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Daten\Bowling\2024-25\Schiri\2025-02-15+16_Bay_F\"/>
    </mc:Choice>
  </mc:AlternateContent>
  <xr:revisionPtr revIDLastSave="0" documentId="13_ncr:1_{C0DB0261-0F2F-4504-A2B9-EB2E095E6D73}" xr6:coauthVersionLast="47" xr6:coauthVersionMax="47" xr10:uidLastSave="{00000000-0000-0000-0000-000000000000}"/>
  <workbookProtection workbookAlgorithmName="SHA-512" workbookHashValue="guQkl9ehNvDkFH8LDUjE+S9oF9fpYM5JukKY/7CG1ijgJPE88k1g7OvxIYNREYUs9MD1tDkdVvjXE4m3dRp3gA==" workbookSaltValue="6VQE1zbBU6u2IiCf8pqeZQ==" workbookSpinCount="100000" lockStructure="1"/>
  <bookViews>
    <workbookView xWindow="-98" yWindow="-98" windowWidth="17115" windowHeight="10755" tabRatio="690" firstSheet="3" activeTab="25" xr2:uid="{00000000-000D-0000-FFFF-FFFF00000000}"/>
  </bookViews>
  <sheets>
    <sheet name="MS" sheetId="95" state="hidden" r:id="rId1"/>
    <sheet name="Spielorte" sheetId="44" state="hidden" r:id="rId2"/>
    <sheet name="Schlüssel" sheetId="16" state="hidden" r:id="rId3"/>
    <sheet name="Schiedsrichterinfos" sheetId="96" r:id="rId4"/>
    <sheet name="SRBericht1" sheetId="89" state="hidden" r:id="rId5"/>
    <sheet name="Spielzettel1" sheetId="41" state="hidden" r:id="rId6"/>
    <sheet name="Erfassung1" sheetId="52" state="hidden" r:id="rId7"/>
    <sheet name="Tabelle1" sheetId="60" state="hidden" r:id="rId8"/>
    <sheet name="Schnitt1" sheetId="78" state="hidden" r:id="rId9"/>
    <sheet name="SRBericht2" sheetId="92" state="hidden" r:id="rId10"/>
    <sheet name="Spielzettel2" sheetId="45" state="hidden" r:id="rId11"/>
    <sheet name="Erfassung2" sheetId="53" r:id="rId12"/>
    <sheet name="Tabelle2" sheetId="66" state="hidden" r:id="rId13"/>
    <sheet name="TabGes2" sheetId="72" state="hidden" r:id="rId14"/>
    <sheet name="Schnitt2" sheetId="79" state="hidden" r:id="rId15"/>
    <sheet name="SchnittGes2" sheetId="84" state="hidden" r:id="rId16"/>
    <sheet name="SRBericht3" sheetId="93" state="hidden" r:id="rId17"/>
    <sheet name="Spielzettel3" sheetId="46" state="hidden" r:id="rId18"/>
    <sheet name="Erfassung3" sheetId="55" state="hidden" r:id="rId19"/>
    <sheet name="Tabelle3" sheetId="63" state="hidden" r:id="rId20"/>
    <sheet name="TabGes3" sheetId="73" state="hidden" r:id="rId21"/>
    <sheet name="Schnitt3" sheetId="80" state="hidden" r:id="rId22"/>
    <sheet name="SchnittGes3" sheetId="85" state="hidden" r:id="rId23"/>
    <sheet name="SRBericht4" sheetId="94" r:id="rId24"/>
    <sheet name="Spielzettel4" sheetId="49" r:id="rId25"/>
    <sheet name="Erfassung4" sheetId="57" r:id="rId26"/>
    <sheet name="Tabelle4" sheetId="70" r:id="rId27"/>
    <sheet name="TabGes4" sheetId="74" r:id="rId28"/>
    <sheet name="Schnitt4" sheetId="81" r:id="rId29"/>
    <sheet name="SchnittGes4" sheetId="86" r:id="rId30"/>
    <sheet name="SRBericht5" sheetId="91" state="hidden" r:id="rId31"/>
    <sheet name="Spielzettel5" sheetId="50" state="hidden" r:id="rId32"/>
    <sheet name="Erfassung5" sheetId="58" state="hidden" r:id="rId33"/>
    <sheet name="Tabelle5" sheetId="68" state="hidden" r:id="rId34"/>
    <sheet name="TabGes5" sheetId="75" state="hidden" r:id="rId35"/>
    <sheet name="Schnitt5" sheetId="82" state="hidden" r:id="rId36"/>
    <sheet name="SchnittGes5" sheetId="87" state="hidden" r:id="rId37"/>
    <sheet name="SRBericht6" sheetId="90" state="hidden" r:id="rId38"/>
    <sheet name="Spielzettel6" sheetId="51" state="hidden" r:id="rId39"/>
    <sheet name="Erfassung6" sheetId="59" state="hidden" r:id="rId40"/>
    <sheet name="Tabelle6" sheetId="69" state="hidden" r:id="rId41"/>
    <sheet name="TabGes6" sheetId="77" state="hidden" r:id="rId42"/>
    <sheet name="Schnitt6" sheetId="83" state="hidden" r:id="rId43"/>
    <sheet name="SchnittGes6" sheetId="88" state="hidden" r:id="rId44"/>
    <sheet name="Starter" sheetId="71" r:id="rId45"/>
    <sheet name="member" sheetId="40" state="hidden" r:id="rId46"/>
  </sheets>
  <externalReferences>
    <externalReference r:id="rId47"/>
  </externalReferences>
  <definedNames>
    <definedName name="_xlnm._FilterDatabase" localSheetId="45" hidden="1">member!$A$4:$K$1155</definedName>
    <definedName name="daysnew">[1]Eingabe!$J$3</definedName>
    <definedName name="_xlnm.Print_Area" localSheetId="6">Erfassung1!$Z:$AV</definedName>
    <definedName name="_xlnm.Print_Area" localSheetId="11">Erfassung2!$Z:$AV</definedName>
    <definedName name="_xlnm.Print_Area" localSheetId="18">Erfassung3!$Z$1:$AW$299</definedName>
    <definedName name="_xlnm.Print_Area" localSheetId="25">Erfassung4!$Z:$AV</definedName>
    <definedName name="_xlnm.Print_Area" localSheetId="32">Erfassung5!$Z:$AV</definedName>
    <definedName name="_xlnm.Print_Area" localSheetId="39">Erfassung6!$Z:$AV</definedName>
    <definedName name="_xlnm.Print_Area" localSheetId="2">Schlüssel!$A$1:$V$27</definedName>
    <definedName name="_xlnm.Print_Area" localSheetId="8">Schnitt1!$A$1:$G$58</definedName>
    <definedName name="_xlnm.Print_Area" localSheetId="14">Schnitt2!$A$1:$G$62</definedName>
    <definedName name="_xlnm.Print_Area" localSheetId="21">Schnitt3!$A$1:$G$62</definedName>
    <definedName name="_xlnm.Print_Area" localSheetId="28">Schnitt4!$A$1:$G$62</definedName>
    <definedName name="_xlnm.Print_Area" localSheetId="35">Schnitt5!$A$1:$G$62</definedName>
    <definedName name="_xlnm.Print_Area" localSheetId="42">Schnitt6!$A$1:$G$62</definedName>
    <definedName name="_xlnm.Print_Area" localSheetId="15">SchnittGes2!$A$1:$G$62</definedName>
    <definedName name="_xlnm.Print_Area" localSheetId="22">SchnittGes3!$A$1:$G$62</definedName>
    <definedName name="_xlnm.Print_Area" localSheetId="29">SchnittGes4!$A$1:$G$62</definedName>
    <definedName name="_xlnm.Print_Area" localSheetId="36">SchnittGes5!$A$1:$G$71</definedName>
    <definedName name="_xlnm.Print_Area" localSheetId="43">SchnittGes6!$A$1:$G$70</definedName>
    <definedName name="_xlnm.Print_Area" localSheetId="5">Spielzettel1!$A:$W</definedName>
    <definedName name="_xlnm.Print_Area" localSheetId="10">Spielzettel2!$A:$W</definedName>
    <definedName name="_xlnm.Print_Area" localSheetId="17">Spielzettel3!$A:$W</definedName>
    <definedName name="_xlnm.Print_Area" localSheetId="24">Spielzettel4!$A:$W</definedName>
    <definedName name="_xlnm.Print_Area" localSheetId="31">Spielzettel5!$A:$W</definedName>
    <definedName name="_xlnm.Print_Area" localSheetId="38">Spielzettel6!$A:$W</definedName>
    <definedName name="_xlnm.Print_Area" localSheetId="7">Tabelle1!$A$1:$W$26</definedName>
    <definedName name="_xlnm.Print_Area" localSheetId="12">Tabelle2!$A$1:$W$24</definedName>
    <definedName name="_xlnm.Print_Area" localSheetId="19">Tabelle3!$A$1:$W$24</definedName>
    <definedName name="_xlnm.Print_Area" localSheetId="26">Tabelle4!$A$1:$W$24</definedName>
    <definedName name="_xlnm.Print_Area" localSheetId="33">Tabelle5!$A$1:$W$24</definedName>
    <definedName name="_xlnm.Print_Area" localSheetId="40">Tabelle6!$A$1:$W$24</definedName>
    <definedName name="_xlnm.Print_Area" localSheetId="13">TabGes2!$A$1:$I$16</definedName>
    <definedName name="_xlnm.Print_Area" localSheetId="20">TabGes3!$A$1:$K$16</definedName>
    <definedName name="_xlnm.Print_Area" localSheetId="27">TabGes4!$A$1:$M$16</definedName>
    <definedName name="_xlnm.Print_Area" localSheetId="34">TabGes5!$A$1:$O$16</definedName>
    <definedName name="_xlnm.Print_Area" localSheetId="41">TabGes6!$A$1:$Q$16</definedName>
    <definedName name="Entryshavday">[1]Eingabe!$AL$6</definedName>
    <definedName name="Entryshavnew">[1]Eingabe!$AM$6</definedName>
    <definedName name="Entryshavprv">[1]Eingabe!$AK$6</definedName>
    <definedName name="Entryshbonday">[1]Eingabe!$AL$4</definedName>
    <definedName name="Entryshbonnew">[1]Eingabe!$AM$4</definedName>
    <definedName name="Entryshbonprv">[1]Eingabe!$AK$4</definedName>
    <definedName name="Entryshgmday">[1]Eingabe!$AN$3</definedName>
    <definedName name="Entryshgmnew">[1]Eingabe!$AN$4</definedName>
    <definedName name="Entryshgmprv">[1]Eingabe!$AN$2</definedName>
    <definedName name="Entryshnamoff">[1]Eingabe!$AJ$2</definedName>
    <definedName name="Entryshpinsday">[1]Eingabe!$AL$2</definedName>
    <definedName name="Entryshpinsnew">[1]Eingabe!$AM$2</definedName>
    <definedName name="Entryshpinsprv">[1]Eingabe!$AK$2</definedName>
    <definedName name="Entryshpointday">[1]Eingabe!$AL$3</definedName>
    <definedName name="Entryshpointnew">[1]Eingabe!$AM$3</definedName>
    <definedName name="Entryshpointprv">[1]Eingabe!$AK$3</definedName>
    <definedName name="Entryshsize">[1]Eingabe!$AE$1</definedName>
    <definedName name="Entryshtabhsz">[1]Eingabe!$AJ$5</definedName>
    <definedName name="Entryshtabvsz">[1]Eingabe!$AJ$4</definedName>
    <definedName name="Entryshtnumoffs">[1]Eingabe!$AJ$3</definedName>
    <definedName name="Entryshtotday">[1]Eingabe!$AL$5</definedName>
    <definedName name="Entryshtotprv">[1]Eingabe!$AK$5</definedName>
    <definedName name="Gamesfix">[1]Eingabe!$P$8</definedName>
    <definedName name="Gameshavoffs">[1]Eingabe!$AI$5</definedName>
    <definedName name="Gameshavpos">[1]Eingabe!$AE$3</definedName>
    <definedName name="Gameshgmpos">[1]Eingabe!$AE$4</definedName>
    <definedName name="Gameshpinspos">[1]Eingabe!$AE$5</definedName>
    <definedName name="Gameshplnum">[1]Eingabe!$AI$4</definedName>
    <definedName name="Gameshpnpos">[1]Eingabe!$AI$2</definedName>
    <definedName name="Gameshsize">[1]Eingabe!$AI$1</definedName>
    <definedName name="Gameshtpinpos">[1]Eingabe!$AQ$4</definedName>
    <definedName name="Gameshtpntpos">[1]Eingabe!$AQ$5</definedName>
    <definedName name="gamesnew">[1]Eingabe!$J$2</definedName>
    <definedName name="GamshEDVpos">[1]Eingabe!$AE$2</definedName>
    <definedName name="Teamshbase">[1]RL!$A$11</definedName>
    <definedName name="Teamshnum">[1]RL!$A$13</definedName>
    <definedName name="Teamshoffs">[1]RL!$A$12</definedName>
    <definedName name="Teamshsize">[1]RL!$A$15</definedName>
    <definedName name="teamsnew">[1]Eingabe!$J$1</definedName>
  </definedNames>
  <calcPr calcId="191029"/>
</workbook>
</file>

<file path=xl/calcChain.xml><?xml version="1.0" encoding="utf-8"?>
<calcChain xmlns="http://schemas.openxmlformats.org/spreadsheetml/2006/main">
  <c r="D99" i="71" l="1"/>
  <c r="C99" i="71"/>
  <c r="B99" i="71"/>
  <c r="D98" i="71"/>
  <c r="C98" i="71"/>
  <c r="B98" i="71"/>
  <c r="D97" i="71"/>
  <c r="C97" i="71"/>
  <c r="B97" i="71"/>
  <c r="D96" i="71"/>
  <c r="C96" i="71"/>
  <c r="B96" i="71"/>
  <c r="D95" i="71"/>
  <c r="C95" i="71"/>
  <c r="B95" i="71"/>
  <c r="D94" i="71"/>
  <c r="C94" i="71"/>
  <c r="B94" i="71"/>
  <c r="D93" i="71"/>
  <c r="C93" i="71"/>
  <c r="B93" i="71"/>
  <c r="D92" i="71"/>
  <c r="C92" i="71"/>
  <c r="B92" i="71"/>
  <c r="D91" i="71"/>
  <c r="C91" i="71"/>
  <c r="B91" i="71"/>
  <c r="D90" i="71"/>
  <c r="C90" i="71"/>
  <c r="B90" i="71"/>
  <c r="D89" i="71"/>
  <c r="C89" i="71"/>
  <c r="B89" i="71"/>
  <c r="D88" i="71"/>
  <c r="C88" i="71"/>
  <c r="B88" i="71"/>
  <c r="D87" i="71"/>
  <c r="C87" i="71"/>
  <c r="B87" i="71"/>
  <c r="D86" i="71"/>
  <c r="C86" i="71"/>
  <c r="B86" i="71"/>
  <c r="D85" i="71"/>
  <c r="C85" i="71"/>
  <c r="B85" i="71"/>
  <c r="D84" i="71"/>
  <c r="C84" i="71"/>
  <c r="B84" i="71"/>
  <c r="D83" i="71"/>
  <c r="C83" i="71"/>
  <c r="B83" i="71"/>
  <c r="D82" i="71"/>
  <c r="C82" i="71"/>
  <c r="B82" i="71"/>
  <c r="D81" i="71"/>
  <c r="C81" i="71"/>
  <c r="B81" i="71"/>
  <c r="D80" i="71"/>
  <c r="C80" i="71"/>
  <c r="B80" i="71"/>
  <c r="D79" i="71"/>
  <c r="C79" i="71"/>
  <c r="B79" i="71"/>
  <c r="D78" i="71"/>
  <c r="C78" i="71"/>
  <c r="B78" i="71"/>
  <c r="D77" i="71"/>
  <c r="C77" i="71"/>
  <c r="B77" i="71"/>
  <c r="D76" i="71"/>
  <c r="C76" i="71"/>
  <c r="B76" i="71"/>
  <c r="D75" i="71"/>
  <c r="C75" i="71"/>
  <c r="B75" i="71"/>
  <c r="D74" i="71"/>
  <c r="C74" i="71"/>
  <c r="B74" i="71"/>
  <c r="D73" i="71"/>
  <c r="C73" i="71"/>
  <c r="B73" i="71"/>
  <c r="D72" i="71"/>
  <c r="C72" i="71"/>
  <c r="B72" i="71"/>
  <c r="D71" i="71"/>
  <c r="C71" i="71"/>
  <c r="B71" i="71"/>
  <c r="D70" i="71"/>
  <c r="C70" i="71"/>
  <c r="B70" i="71"/>
  <c r="D69" i="71"/>
  <c r="C69" i="71"/>
  <c r="B69" i="71"/>
  <c r="D68" i="71"/>
  <c r="C68" i="71"/>
  <c r="B68" i="71"/>
  <c r="D67" i="71"/>
  <c r="C67" i="71"/>
  <c r="B67" i="71"/>
  <c r="D66" i="71"/>
  <c r="C66" i="71"/>
  <c r="B66" i="71"/>
  <c r="AA160" i="52" s="1"/>
  <c r="B160" i="52" s="1"/>
  <c r="D65" i="71"/>
  <c r="C65" i="71"/>
  <c r="B65" i="71"/>
  <c r="D64" i="71"/>
  <c r="C64" i="71"/>
  <c r="B64" i="71"/>
  <c r="D63" i="71"/>
  <c r="C63" i="71"/>
  <c r="B63" i="71"/>
  <c r="D62" i="71"/>
  <c r="C62" i="71"/>
  <c r="B62" i="71"/>
  <c r="D61" i="71"/>
  <c r="C61" i="71"/>
  <c r="B61" i="71"/>
  <c r="D60" i="71"/>
  <c r="C60" i="71"/>
  <c r="B60" i="71"/>
  <c r="D59" i="71"/>
  <c r="C59" i="71"/>
  <c r="B59" i="71"/>
  <c r="D58" i="71"/>
  <c r="C58" i="71"/>
  <c r="B58" i="71"/>
  <c r="D57" i="71"/>
  <c r="C57" i="71"/>
  <c r="B57" i="71"/>
  <c r="D56" i="71"/>
  <c r="C56" i="71"/>
  <c r="B56" i="71"/>
  <c r="D55" i="71"/>
  <c r="C55" i="71"/>
  <c r="B55" i="71"/>
  <c r="D54" i="71"/>
  <c r="C54" i="71"/>
  <c r="B54" i="71"/>
  <c r="D53" i="71"/>
  <c r="C53" i="71"/>
  <c r="B53" i="71"/>
  <c r="D52" i="71"/>
  <c r="C52" i="71"/>
  <c r="B52" i="71"/>
  <c r="D51" i="71"/>
  <c r="C51" i="71"/>
  <c r="B51" i="71"/>
  <c r="D50" i="71"/>
  <c r="C50" i="71"/>
  <c r="B50" i="71"/>
  <c r="D49" i="71"/>
  <c r="C49" i="71"/>
  <c r="B49" i="71"/>
  <c r="D48" i="71"/>
  <c r="C48" i="71"/>
  <c r="B48" i="71"/>
  <c r="D47" i="71"/>
  <c r="C47" i="71"/>
  <c r="B47" i="71"/>
  <c r="D46" i="71"/>
  <c r="C46" i="71"/>
  <c r="B46" i="71"/>
  <c r="D45" i="71"/>
  <c r="C45" i="71"/>
  <c r="B45" i="71"/>
  <c r="D44" i="71"/>
  <c r="C44" i="71"/>
  <c r="B44" i="71"/>
  <c r="D43" i="71"/>
  <c r="C43" i="71"/>
  <c r="B43" i="71"/>
  <c r="D42" i="71"/>
  <c r="C42" i="71"/>
  <c r="B42" i="71"/>
  <c r="D41" i="71"/>
  <c r="C41" i="71"/>
  <c r="B41" i="71"/>
  <c r="D40" i="71"/>
  <c r="C40" i="71"/>
  <c r="B40" i="71"/>
  <c r="D39" i="71"/>
  <c r="C39" i="71"/>
  <c r="B39" i="71"/>
  <c r="D38" i="71"/>
  <c r="C38" i="71"/>
  <c r="B38" i="71"/>
  <c r="D37" i="71"/>
  <c r="C37" i="71"/>
  <c r="B37" i="71"/>
  <c r="D36" i="71"/>
  <c r="C36" i="71"/>
  <c r="B36" i="71"/>
  <c r="D35" i="71"/>
  <c r="C35" i="71"/>
  <c r="B35" i="71"/>
  <c r="D34" i="71"/>
  <c r="C34" i="71"/>
  <c r="B34" i="71"/>
  <c r="D33" i="71"/>
  <c r="C33" i="71"/>
  <c r="B33" i="71"/>
  <c r="D32" i="71"/>
  <c r="C32" i="71"/>
  <c r="B32" i="71"/>
  <c r="D31" i="71"/>
  <c r="C31" i="71"/>
  <c r="B31" i="71"/>
  <c r="D30" i="71"/>
  <c r="C30" i="71"/>
  <c r="B30" i="71"/>
  <c r="D29" i="71"/>
  <c r="C29" i="71"/>
  <c r="B29" i="71"/>
  <c r="D28" i="71"/>
  <c r="C28" i="71"/>
  <c r="B28" i="71"/>
  <c r="D27" i="71"/>
  <c r="C27" i="71"/>
  <c r="B27" i="71"/>
  <c r="D26" i="71"/>
  <c r="C26" i="71"/>
  <c r="B26" i="71"/>
  <c r="D25" i="71"/>
  <c r="C25" i="71"/>
  <c r="B25" i="71"/>
  <c r="D24" i="71"/>
  <c r="C24" i="71"/>
  <c r="B24" i="71"/>
  <c r="D23" i="71"/>
  <c r="C23" i="71"/>
  <c r="B23" i="71"/>
  <c r="D22" i="71"/>
  <c r="C22" i="71"/>
  <c r="B22" i="71"/>
  <c r="D21" i="71"/>
  <c r="C21" i="71"/>
  <c r="B21" i="71"/>
  <c r="D20" i="71"/>
  <c r="C20" i="71"/>
  <c r="B20" i="71"/>
  <c r="D19" i="71"/>
  <c r="C19" i="71"/>
  <c r="B19" i="71"/>
  <c r="D18" i="71"/>
  <c r="C18" i="71"/>
  <c r="B18" i="71"/>
  <c r="D17" i="71"/>
  <c r="C17" i="71"/>
  <c r="B17" i="71"/>
  <c r="AA286" i="52" s="1"/>
  <c r="B286" i="52" s="1"/>
  <c r="D16" i="71"/>
  <c r="C16" i="71"/>
  <c r="B16" i="71"/>
  <c r="D15" i="71"/>
  <c r="C15" i="71"/>
  <c r="B15" i="71"/>
  <c r="D14" i="71"/>
  <c r="C14" i="71"/>
  <c r="B14" i="71"/>
  <c r="D13" i="71"/>
  <c r="C13" i="71"/>
  <c r="B13" i="71"/>
  <c r="D12" i="71"/>
  <c r="C12" i="71"/>
  <c r="B12" i="71"/>
  <c r="D11" i="71"/>
  <c r="C11" i="71"/>
  <c r="B11" i="71"/>
  <c r="D10" i="71"/>
  <c r="C10" i="71"/>
  <c r="B10" i="71"/>
  <c r="D9" i="71"/>
  <c r="C9" i="71"/>
  <c r="B9" i="71"/>
  <c r="AA46" i="52" s="1"/>
  <c r="B46" i="52" s="1"/>
  <c r="D8" i="71"/>
  <c r="C8" i="71"/>
  <c r="B8" i="71"/>
  <c r="D7" i="71"/>
  <c r="C7" i="71"/>
  <c r="B7" i="71"/>
  <c r="AA40" i="52" s="1"/>
  <c r="B40" i="52" s="1"/>
  <c r="D6" i="71"/>
  <c r="C6" i="71"/>
  <c r="B6" i="71"/>
  <c r="AA10" i="52" s="1"/>
  <c r="B10" i="52" s="1"/>
  <c r="D5" i="71"/>
  <c r="C5" i="71"/>
  <c r="B5" i="71"/>
  <c r="D4" i="71"/>
  <c r="C4" i="71"/>
  <c r="B4" i="71"/>
  <c r="AA17" i="52" s="1"/>
  <c r="B17" i="52" s="1"/>
  <c r="D3" i="71"/>
  <c r="C3" i="71"/>
  <c r="B3" i="71"/>
  <c r="D2" i="71"/>
  <c r="C2" i="71"/>
  <c r="B2" i="71"/>
  <c r="T22" i="41"/>
  <c r="T23" i="41" s="1"/>
  <c r="R22" i="41"/>
  <c r="P22" i="41"/>
  <c r="P23" i="41" s="1"/>
  <c r="N22" i="41"/>
  <c r="L22" i="41"/>
  <c r="J22" i="41"/>
  <c r="H22" i="41"/>
  <c r="H23" i="41" s="1"/>
  <c r="F22" i="41"/>
  <c r="F23" i="41" s="1"/>
  <c r="D22" i="41"/>
  <c r="D23" i="41" s="1"/>
  <c r="AA187" i="59"/>
  <c r="B187" i="59" s="1"/>
  <c r="AA47" i="59"/>
  <c r="B47" i="59" s="1"/>
  <c r="AA190" i="58"/>
  <c r="B190" i="58" s="1"/>
  <c r="AA98" i="58"/>
  <c r="B98" i="58" s="1"/>
  <c r="AA191" i="53"/>
  <c r="B191" i="53" s="1"/>
  <c r="AA224" i="52"/>
  <c r="B224" i="52" s="1"/>
  <c r="AA162" i="52"/>
  <c r="B162" i="52" s="1"/>
  <c r="AA98" i="52"/>
  <c r="B98" i="52" s="1"/>
  <c r="AA74" i="52"/>
  <c r="B74" i="52" s="1"/>
  <c r="AA76" i="52"/>
  <c r="B76" i="52" s="1"/>
  <c r="AA44" i="52"/>
  <c r="B44" i="52" s="1"/>
  <c r="AA13" i="52"/>
  <c r="B13" i="52" s="1"/>
  <c r="AA11" i="52"/>
  <c r="B11" i="52" s="1"/>
  <c r="AA250" i="55"/>
  <c r="B250" i="55" s="1"/>
  <c r="AA226" i="52"/>
  <c r="B226" i="52" s="1"/>
  <c r="AA137" i="52"/>
  <c r="B137" i="52" s="1"/>
  <c r="AA130" i="52"/>
  <c r="B130" i="52" s="1"/>
  <c r="AA127" i="52"/>
  <c r="B127" i="52" s="1"/>
  <c r="AA160" i="53"/>
  <c r="B160" i="53" s="1"/>
  <c r="DR4" i="16"/>
  <c r="DQ5" i="16" s="1"/>
  <c r="U4" i="51" s="1"/>
  <c r="CX4" i="16"/>
  <c r="CW5" i="16" s="1"/>
  <c r="U4" i="50" s="1"/>
  <c r="CD4" i="16"/>
  <c r="BW7" i="16" s="1"/>
  <c r="AH64" i="57" s="1"/>
  <c r="BJ4" i="16"/>
  <c r="AP4" i="16"/>
  <c r="V4" i="16"/>
  <c r="N12" i="16" s="1"/>
  <c r="C1" i="95"/>
  <c r="A1" i="77"/>
  <c r="A1" i="75"/>
  <c r="A1" i="74"/>
  <c r="C111" i="96"/>
  <c r="B111" i="96"/>
  <c r="C110" i="96"/>
  <c r="B110" i="96"/>
  <c r="C109" i="96"/>
  <c r="B109" i="96"/>
  <c r="C108" i="96"/>
  <c r="B108" i="96"/>
  <c r="C107" i="96"/>
  <c r="B107" i="96"/>
  <c r="C106" i="96"/>
  <c r="B106" i="96"/>
  <c r="C105" i="96"/>
  <c r="B105" i="96"/>
  <c r="C104" i="96"/>
  <c r="B104" i="96"/>
  <c r="C103" i="96"/>
  <c r="B103" i="96"/>
  <c r="C102" i="96"/>
  <c r="B102" i="96"/>
  <c r="C101" i="96"/>
  <c r="B101" i="96"/>
  <c r="C100" i="96"/>
  <c r="B100" i="96"/>
  <c r="C99" i="96"/>
  <c r="B99" i="96"/>
  <c r="C98" i="96"/>
  <c r="B98" i="96"/>
  <c r="C97" i="96"/>
  <c r="B97" i="96"/>
  <c r="C96" i="96"/>
  <c r="B96" i="96"/>
  <c r="C95" i="96"/>
  <c r="B95" i="96"/>
  <c r="C94" i="96"/>
  <c r="B94" i="96"/>
  <c r="C93" i="96"/>
  <c r="B93" i="96"/>
  <c r="C92" i="96"/>
  <c r="B92" i="96"/>
  <c r="C91" i="96"/>
  <c r="B91" i="96"/>
  <c r="C90" i="96"/>
  <c r="B90" i="96"/>
  <c r="C89" i="96"/>
  <c r="B89" i="96"/>
  <c r="C88" i="96"/>
  <c r="B88" i="96"/>
  <c r="C87" i="96"/>
  <c r="B87" i="96"/>
  <c r="C86" i="96"/>
  <c r="B86" i="96"/>
  <c r="C85" i="96"/>
  <c r="B85" i="96"/>
  <c r="C84" i="96"/>
  <c r="B84" i="96"/>
  <c r="C83" i="96"/>
  <c r="B83" i="96"/>
  <c r="C82" i="96"/>
  <c r="B82" i="96"/>
  <c r="C81" i="96"/>
  <c r="B81" i="96"/>
  <c r="C80" i="96"/>
  <c r="B80" i="96"/>
  <c r="C79" i="96"/>
  <c r="B79" i="96"/>
  <c r="C78" i="96"/>
  <c r="B78" i="96"/>
  <c r="C77" i="96"/>
  <c r="B77" i="96"/>
  <c r="C76" i="96"/>
  <c r="B76" i="96"/>
  <c r="C75" i="96"/>
  <c r="B75" i="96"/>
  <c r="C74" i="96"/>
  <c r="B74" i="96"/>
  <c r="C73" i="96"/>
  <c r="B73" i="96"/>
  <c r="C72" i="96"/>
  <c r="B72" i="96"/>
  <c r="C71" i="96"/>
  <c r="B71" i="96"/>
  <c r="C70" i="96"/>
  <c r="B70" i="96"/>
  <c r="C69" i="96"/>
  <c r="B69" i="96"/>
  <c r="C68" i="96"/>
  <c r="B68" i="96"/>
  <c r="C67" i="96"/>
  <c r="B67" i="96"/>
  <c r="C66" i="96"/>
  <c r="B66" i="96"/>
  <c r="C65" i="96"/>
  <c r="B65" i="96"/>
  <c r="C64" i="96"/>
  <c r="B64" i="96"/>
  <c r="C63" i="96"/>
  <c r="B63" i="96"/>
  <c r="C62" i="96"/>
  <c r="B62" i="96"/>
  <c r="C61" i="96"/>
  <c r="B61" i="96"/>
  <c r="C60" i="96"/>
  <c r="B60" i="96"/>
  <c r="C59" i="96"/>
  <c r="B59" i="96"/>
  <c r="C58" i="96"/>
  <c r="B58" i="96"/>
  <c r="C57" i="96"/>
  <c r="B57" i="96"/>
  <c r="C56" i="96"/>
  <c r="B56" i="96"/>
  <c r="C55" i="96"/>
  <c r="B55" i="96"/>
  <c r="C54" i="96"/>
  <c r="B54" i="96"/>
  <c r="C53" i="96"/>
  <c r="B53" i="96"/>
  <c r="C52" i="96"/>
  <c r="B52" i="96"/>
  <c r="C51" i="96"/>
  <c r="B51" i="96"/>
  <c r="C50" i="96"/>
  <c r="B50" i="96"/>
  <c r="C49" i="96"/>
  <c r="B49" i="96"/>
  <c r="C48" i="96"/>
  <c r="B48" i="96"/>
  <c r="C47" i="96"/>
  <c r="B47" i="96"/>
  <c r="C46" i="96"/>
  <c r="B46" i="96"/>
  <c r="C45" i="96"/>
  <c r="B45" i="96"/>
  <c r="C44" i="96"/>
  <c r="B44" i="96"/>
  <c r="C43" i="96"/>
  <c r="B43" i="96"/>
  <c r="C42" i="96"/>
  <c r="B42" i="96"/>
  <c r="C41" i="96"/>
  <c r="B41" i="96"/>
  <c r="C40" i="96"/>
  <c r="B40" i="96"/>
  <c r="C39" i="96"/>
  <c r="B39" i="96"/>
  <c r="C38" i="96"/>
  <c r="B38" i="96"/>
  <c r="C37" i="96"/>
  <c r="B37" i="96"/>
  <c r="C36" i="96"/>
  <c r="B36" i="96"/>
  <c r="C35" i="96"/>
  <c r="B35" i="96"/>
  <c r="C34" i="96"/>
  <c r="B34" i="96"/>
  <c r="C33" i="96"/>
  <c r="B33" i="96"/>
  <c r="C32" i="96"/>
  <c r="B32" i="96"/>
  <c r="C24" i="96"/>
  <c r="B24" i="96"/>
  <c r="C28" i="96"/>
  <c r="B28" i="96"/>
  <c r="L104" i="88"/>
  <c r="L103" i="88"/>
  <c r="L102" i="88"/>
  <c r="L101" i="88"/>
  <c r="L100" i="88"/>
  <c r="L99" i="88"/>
  <c r="L98" i="88"/>
  <c r="L97" i="88"/>
  <c r="L96" i="88"/>
  <c r="L95" i="88"/>
  <c r="L94" i="88"/>
  <c r="L93" i="88"/>
  <c r="L92" i="88"/>
  <c r="L91" i="88"/>
  <c r="L90" i="88"/>
  <c r="L89" i="88"/>
  <c r="L88" i="88"/>
  <c r="L87" i="88"/>
  <c r="L86" i="88"/>
  <c r="L85" i="88"/>
  <c r="L84" i="88"/>
  <c r="L83" i="88"/>
  <c r="L82" i="88"/>
  <c r="L81" i="88"/>
  <c r="L80" i="88"/>
  <c r="L79" i="88"/>
  <c r="L78" i="88"/>
  <c r="L77" i="88"/>
  <c r="L76" i="88"/>
  <c r="L75" i="88"/>
  <c r="L74" i="88"/>
  <c r="L73" i="88"/>
  <c r="L72" i="88"/>
  <c r="L71" i="88"/>
  <c r="L70" i="88"/>
  <c r="L69" i="88"/>
  <c r="L68" i="88"/>
  <c r="L67" i="88"/>
  <c r="L66" i="88"/>
  <c r="L65" i="88"/>
  <c r="L64" i="88"/>
  <c r="L63" i="88"/>
  <c r="L62" i="88"/>
  <c r="L61" i="88"/>
  <c r="L60" i="88"/>
  <c r="L59" i="88"/>
  <c r="L58" i="88"/>
  <c r="L57" i="88"/>
  <c r="L56" i="88"/>
  <c r="L55" i="88"/>
  <c r="L54" i="88"/>
  <c r="L53" i="88"/>
  <c r="L52" i="88"/>
  <c r="L51" i="88"/>
  <c r="L50" i="88"/>
  <c r="L49" i="88"/>
  <c r="L48" i="88"/>
  <c r="L47" i="88"/>
  <c r="L46" i="88"/>
  <c r="L45" i="88"/>
  <c r="L44" i="88"/>
  <c r="L43" i="88"/>
  <c r="L42" i="88"/>
  <c r="L41" i="88"/>
  <c r="L40" i="88"/>
  <c r="L39" i="88"/>
  <c r="L38" i="88"/>
  <c r="L37" i="88"/>
  <c r="L36" i="88"/>
  <c r="L35" i="88"/>
  <c r="L34" i="88"/>
  <c r="L33" i="88"/>
  <c r="L32" i="88"/>
  <c r="L31" i="88"/>
  <c r="L30" i="88"/>
  <c r="L29" i="88"/>
  <c r="L28" i="88"/>
  <c r="L27" i="88"/>
  <c r="L26" i="88"/>
  <c r="L25" i="88"/>
  <c r="L24" i="88"/>
  <c r="L23" i="88"/>
  <c r="L22" i="88"/>
  <c r="L21" i="88"/>
  <c r="L20" i="88"/>
  <c r="L19" i="88"/>
  <c r="L18" i="88"/>
  <c r="L17" i="88"/>
  <c r="L16" i="88"/>
  <c r="L15" i="88"/>
  <c r="L14" i="88"/>
  <c r="L13" i="88"/>
  <c r="L12" i="88"/>
  <c r="L11" i="88"/>
  <c r="L10" i="88"/>
  <c r="L9" i="88"/>
  <c r="L8" i="88"/>
  <c r="L7" i="88"/>
  <c r="L6" i="88"/>
  <c r="L5" i="88"/>
  <c r="L4" i="88"/>
  <c r="L3" i="88"/>
  <c r="L2" i="88"/>
  <c r="L104" i="87"/>
  <c r="L103" i="87"/>
  <c r="L102" i="87"/>
  <c r="L101" i="87"/>
  <c r="L100" i="87"/>
  <c r="L99" i="87"/>
  <c r="L98" i="87"/>
  <c r="L97" i="87"/>
  <c r="L96" i="87"/>
  <c r="L95" i="87"/>
  <c r="L94" i="87"/>
  <c r="L93" i="87"/>
  <c r="L92" i="87"/>
  <c r="L91" i="87"/>
  <c r="L90" i="87"/>
  <c r="L89" i="87"/>
  <c r="L88" i="87"/>
  <c r="L87" i="87"/>
  <c r="L86" i="87"/>
  <c r="L85" i="87"/>
  <c r="L84" i="87"/>
  <c r="L83" i="87"/>
  <c r="L82" i="87"/>
  <c r="L81" i="87"/>
  <c r="L80" i="87"/>
  <c r="L79" i="87"/>
  <c r="L78" i="87"/>
  <c r="L77" i="87"/>
  <c r="L76" i="87"/>
  <c r="L75" i="87"/>
  <c r="L74" i="87"/>
  <c r="L73" i="87"/>
  <c r="L72" i="87"/>
  <c r="L71" i="87"/>
  <c r="L70" i="87"/>
  <c r="L69" i="87"/>
  <c r="L68" i="87"/>
  <c r="L67" i="87"/>
  <c r="L66" i="87"/>
  <c r="L65" i="87"/>
  <c r="L64" i="87"/>
  <c r="L63" i="87"/>
  <c r="L62" i="87"/>
  <c r="L61" i="87"/>
  <c r="L60" i="87"/>
  <c r="L59" i="87"/>
  <c r="L58" i="87"/>
  <c r="L57" i="87"/>
  <c r="L56" i="87"/>
  <c r="L55" i="87"/>
  <c r="L54" i="87"/>
  <c r="L53" i="87"/>
  <c r="L52" i="87"/>
  <c r="L51" i="87"/>
  <c r="L50" i="87"/>
  <c r="L49" i="87"/>
  <c r="L48" i="87"/>
  <c r="L47" i="87"/>
  <c r="L46" i="87"/>
  <c r="L45" i="87"/>
  <c r="L44" i="87"/>
  <c r="L43" i="87"/>
  <c r="L42" i="87"/>
  <c r="L41" i="87"/>
  <c r="L40" i="87"/>
  <c r="L39" i="87"/>
  <c r="L38" i="87"/>
  <c r="L37" i="87"/>
  <c r="L36" i="87"/>
  <c r="L35" i="87"/>
  <c r="L34" i="87"/>
  <c r="L33" i="87"/>
  <c r="L32" i="87"/>
  <c r="L31" i="87"/>
  <c r="L30" i="87"/>
  <c r="L29" i="87"/>
  <c r="L28" i="87"/>
  <c r="L27" i="87"/>
  <c r="L26" i="87"/>
  <c r="L25" i="87"/>
  <c r="L24" i="87"/>
  <c r="L23" i="87"/>
  <c r="L22" i="87"/>
  <c r="L21" i="87"/>
  <c r="L20" i="87"/>
  <c r="L19" i="87"/>
  <c r="L18" i="87"/>
  <c r="L17" i="87"/>
  <c r="L16" i="87"/>
  <c r="L15" i="87"/>
  <c r="L14" i="87"/>
  <c r="L13" i="87"/>
  <c r="L12" i="87"/>
  <c r="L11" i="87"/>
  <c r="L10" i="87"/>
  <c r="L9" i="87"/>
  <c r="L8" i="87"/>
  <c r="L7" i="87"/>
  <c r="L6" i="87"/>
  <c r="L5" i="87"/>
  <c r="L4" i="87"/>
  <c r="L3" i="87"/>
  <c r="L2" i="87"/>
  <c r="L104" i="86"/>
  <c r="L103" i="86"/>
  <c r="L102" i="86"/>
  <c r="L101" i="86"/>
  <c r="L100" i="86"/>
  <c r="L99" i="86"/>
  <c r="L98" i="86"/>
  <c r="L97" i="86"/>
  <c r="L96" i="86"/>
  <c r="L95" i="86"/>
  <c r="L94" i="86"/>
  <c r="L93" i="86"/>
  <c r="L92" i="86"/>
  <c r="L91" i="86"/>
  <c r="L90" i="86"/>
  <c r="L89" i="86"/>
  <c r="L88" i="86"/>
  <c r="L87" i="86"/>
  <c r="L86" i="86"/>
  <c r="L85" i="86"/>
  <c r="L84" i="86"/>
  <c r="L83" i="86"/>
  <c r="L82" i="86"/>
  <c r="L81" i="86"/>
  <c r="L80" i="86"/>
  <c r="L79" i="86"/>
  <c r="L78" i="86"/>
  <c r="L77" i="86"/>
  <c r="L76" i="86"/>
  <c r="L75" i="86"/>
  <c r="L74" i="86"/>
  <c r="L73" i="86"/>
  <c r="L72" i="86"/>
  <c r="L71" i="86"/>
  <c r="L70" i="86"/>
  <c r="L69" i="86"/>
  <c r="L68" i="86"/>
  <c r="L67" i="86"/>
  <c r="L66" i="86"/>
  <c r="L65" i="86"/>
  <c r="L64" i="86"/>
  <c r="L63" i="86"/>
  <c r="L62" i="86"/>
  <c r="L61" i="86"/>
  <c r="L60" i="86"/>
  <c r="L59" i="86"/>
  <c r="L58" i="86"/>
  <c r="L57" i="86"/>
  <c r="L56" i="86"/>
  <c r="L55" i="86"/>
  <c r="L54" i="86"/>
  <c r="L53" i="86"/>
  <c r="L52" i="86"/>
  <c r="L51" i="86"/>
  <c r="L50" i="86"/>
  <c r="L49" i="86"/>
  <c r="L48" i="86"/>
  <c r="L47" i="86"/>
  <c r="L46" i="86"/>
  <c r="L45" i="86"/>
  <c r="L44" i="86"/>
  <c r="L43" i="86"/>
  <c r="L42" i="86"/>
  <c r="L41" i="86"/>
  <c r="L40" i="86"/>
  <c r="L39" i="86"/>
  <c r="L38" i="86"/>
  <c r="L37" i="86"/>
  <c r="L36" i="86"/>
  <c r="L35" i="86"/>
  <c r="L34" i="86"/>
  <c r="L33" i="86"/>
  <c r="L32" i="86"/>
  <c r="L31" i="86"/>
  <c r="L30" i="86"/>
  <c r="L29" i="86"/>
  <c r="L28" i="86"/>
  <c r="L27" i="86"/>
  <c r="L26" i="86"/>
  <c r="L25" i="86"/>
  <c r="L24" i="86"/>
  <c r="L23" i="86"/>
  <c r="L22" i="86"/>
  <c r="L21" i="86"/>
  <c r="L20" i="86"/>
  <c r="L19" i="86"/>
  <c r="L18" i="86"/>
  <c r="L17" i="86"/>
  <c r="L16" i="86"/>
  <c r="L15" i="86"/>
  <c r="L14" i="86"/>
  <c r="L13" i="86"/>
  <c r="L12" i="86"/>
  <c r="L11" i="86"/>
  <c r="L10" i="86"/>
  <c r="L9" i="86"/>
  <c r="L8" i="86"/>
  <c r="L7" i="86"/>
  <c r="L6" i="86"/>
  <c r="L5" i="86"/>
  <c r="L4" i="86"/>
  <c r="L3" i="86"/>
  <c r="L2" i="86"/>
  <c r="L104" i="85"/>
  <c r="L103" i="85"/>
  <c r="L102" i="85"/>
  <c r="L101" i="85"/>
  <c r="L100" i="85"/>
  <c r="L99" i="85"/>
  <c r="L98" i="85"/>
  <c r="L97" i="85"/>
  <c r="L96" i="85"/>
  <c r="L95" i="85"/>
  <c r="L94" i="85"/>
  <c r="L93" i="85"/>
  <c r="L92" i="85"/>
  <c r="L91" i="85"/>
  <c r="L90" i="85"/>
  <c r="L89" i="85"/>
  <c r="L88" i="85"/>
  <c r="L87" i="85"/>
  <c r="L86" i="85"/>
  <c r="L85" i="85"/>
  <c r="L84" i="85"/>
  <c r="L83" i="85"/>
  <c r="L82" i="85"/>
  <c r="L81" i="85"/>
  <c r="L80" i="85"/>
  <c r="L79" i="85"/>
  <c r="L78" i="85"/>
  <c r="L77" i="85"/>
  <c r="L76" i="85"/>
  <c r="L75" i="85"/>
  <c r="L74" i="85"/>
  <c r="L73" i="85"/>
  <c r="L72" i="85"/>
  <c r="L71" i="85"/>
  <c r="L70" i="85"/>
  <c r="L69" i="85"/>
  <c r="L68" i="85"/>
  <c r="L67" i="85"/>
  <c r="L66" i="85"/>
  <c r="L65" i="85"/>
  <c r="L64" i="85"/>
  <c r="L63" i="85"/>
  <c r="L62" i="85"/>
  <c r="L61" i="85"/>
  <c r="L60" i="85"/>
  <c r="L59" i="85"/>
  <c r="L58" i="85"/>
  <c r="L57" i="85"/>
  <c r="L56" i="85"/>
  <c r="L55" i="85"/>
  <c r="L54" i="85"/>
  <c r="L53" i="85"/>
  <c r="L52" i="85"/>
  <c r="L51" i="85"/>
  <c r="L50" i="85"/>
  <c r="L49" i="85"/>
  <c r="L48" i="85"/>
  <c r="L47" i="85"/>
  <c r="L46" i="85"/>
  <c r="L45" i="85"/>
  <c r="L44" i="85"/>
  <c r="L43" i="85"/>
  <c r="L42" i="85"/>
  <c r="L41" i="85"/>
  <c r="L40" i="85"/>
  <c r="L39" i="85"/>
  <c r="L38" i="85"/>
  <c r="L37" i="85"/>
  <c r="L36" i="85"/>
  <c r="L35" i="85"/>
  <c r="L34" i="85"/>
  <c r="L33" i="85"/>
  <c r="L32" i="85"/>
  <c r="L31" i="85"/>
  <c r="L30" i="85"/>
  <c r="L29" i="85"/>
  <c r="L28" i="85"/>
  <c r="L27" i="85"/>
  <c r="L26" i="85"/>
  <c r="L25" i="85"/>
  <c r="L24" i="85"/>
  <c r="L23" i="85"/>
  <c r="L22" i="85"/>
  <c r="L21" i="85"/>
  <c r="L20" i="85"/>
  <c r="L19" i="85"/>
  <c r="L18" i="85"/>
  <c r="L17" i="85"/>
  <c r="L16" i="85"/>
  <c r="L15" i="85"/>
  <c r="L14" i="85"/>
  <c r="L13" i="85"/>
  <c r="L12" i="85"/>
  <c r="L11" i="85"/>
  <c r="L10" i="85"/>
  <c r="L9" i="85"/>
  <c r="L8" i="85"/>
  <c r="L7" i="85"/>
  <c r="L6" i="85"/>
  <c r="L5" i="85"/>
  <c r="L4" i="85"/>
  <c r="L3" i="85"/>
  <c r="L2" i="85"/>
  <c r="L104" i="84"/>
  <c r="L103" i="84"/>
  <c r="L102" i="84"/>
  <c r="L101" i="84"/>
  <c r="L100" i="84"/>
  <c r="L99" i="84"/>
  <c r="L98" i="84"/>
  <c r="L97" i="84"/>
  <c r="L96" i="84"/>
  <c r="L95" i="84"/>
  <c r="L94" i="84"/>
  <c r="L93" i="84"/>
  <c r="L92" i="84"/>
  <c r="L91" i="84"/>
  <c r="L90" i="84"/>
  <c r="L89" i="84"/>
  <c r="L88" i="84"/>
  <c r="L87" i="84"/>
  <c r="L86" i="84"/>
  <c r="L85" i="84"/>
  <c r="L84" i="84"/>
  <c r="L83" i="84"/>
  <c r="L82" i="84"/>
  <c r="L81" i="84"/>
  <c r="L80" i="84"/>
  <c r="L79" i="84"/>
  <c r="L78" i="84"/>
  <c r="L77" i="84"/>
  <c r="L76" i="84"/>
  <c r="L75" i="84"/>
  <c r="L74" i="84"/>
  <c r="L73" i="84"/>
  <c r="L72" i="84"/>
  <c r="L71" i="84"/>
  <c r="L70" i="84"/>
  <c r="L69" i="84"/>
  <c r="L68" i="84"/>
  <c r="L67" i="84"/>
  <c r="L66" i="84"/>
  <c r="L65" i="84"/>
  <c r="L64" i="84"/>
  <c r="L63" i="84"/>
  <c r="L62" i="84"/>
  <c r="L61" i="84"/>
  <c r="L60" i="84"/>
  <c r="L59" i="84"/>
  <c r="L58" i="84"/>
  <c r="L57" i="84"/>
  <c r="L56" i="84"/>
  <c r="L55" i="84"/>
  <c r="L54" i="84"/>
  <c r="L53" i="84"/>
  <c r="L52" i="84"/>
  <c r="L51" i="84"/>
  <c r="L50" i="84"/>
  <c r="L49" i="84"/>
  <c r="L48" i="84"/>
  <c r="L47" i="84"/>
  <c r="L46" i="84"/>
  <c r="L45" i="84"/>
  <c r="L44" i="84"/>
  <c r="L43" i="84"/>
  <c r="L42" i="84"/>
  <c r="L41" i="84"/>
  <c r="L40" i="84"/>
  <c r="L39" i="84"/>
  <c r="L38" i="84"/>
  <c r="L37" i="84"/>
  <c r="L36" i="84"/>
  <c r="L35" i="84"/>
  <c r="L34" i="84"/>
  <c r="L33" i="84"/>
  <c r="L32" i="84"/>
  <c r="L31" i="84"/>
  <c r="L30" i="84"/>
  <c r="L29" i="84"/>
  <c r="L28" i="84"/>
  <c r="L27" i="84"/>
  <c r="L26" i="84"/>
  <c r="L25" i="84"/>
  <c r="L24" i="84"/>
  <c r="L23" i="84"/>
  <c r="L22" i="84"/>
  <c r="L21" i="84"/>
  <c r="L20" i="84"/>
  <c r="L19" i="84"/>
  <c r="L18" i="84"/>
  <c r="L17" i="84"/>
  <c r="L16" i="84"/>
  <c r="L15" i="84"/>
  <c r="L14" i="84"/>
  <c r="L13" i="84"/>
  <c r="L12" i="84"/>
  <c r="L11" i="84"/>
  <c r="L10" i="84"/>
  <c r="L9" i="84"/>
  <c r="L8" i="84"/>
  <c r="L7" i="84"/>
  <c r="L6" i="84"/>
  <c r="L5" i="84"/>
  <c r="L4" i="84"/>
  <c r="L3" i="84"/>
  <c r="L2" i="84"/>
  <c r="L104" i="83"/>
  <c r="L103" i="83"/>
  <c r="L102" i="83"/>
  <c r="L101" i="83"/>
  <c r="L100" i="83"/>
  <c r="L99" i="83"/>
  <c r="L98" i="83"/>
  <c r="L97" i="83"/>
  <c r="L96" i="83"/>
  <c r="L95" i="83"/>
  <c r="L94" i="83"/>
  <c r="L93" i="83"/>
  <c r="L92" i="83"/>
  <c r="L91" i="83"/>
  <c r="L90" i="83"/>
  <c r="L89" i="83"/>
  <c r="L88" i="83"/>
  <c r="L87" i="83"/>
  <c r="L86" i="83"/>
  <c r="L85" i="83"/>
  <c r="L84" i="83"/>
  <c r="L83" i="83"/>
  <c r="L82" i="83"/>
  <c r="L81" i="83"/>
  <c r="L80" i="83"/>
  <c r="L79" i="83"/>
  <c r="L78" i="83"/>
  <c r="L77" i="83"/>
  <c r="L76" i="83"/>
  <c r="L75" i="83"/>
  <c r="L74" i="83"/>
  <c r="L73" i="83"/>
  <c r="L72" i="83"/>
  <c r="L71" i="83"/>
  <c r="L70" i="83"/>
  <c r="L69" i="83"/>
  <c r="L68" i="83"/>
  <c r="L67" i="83"/>
  <c r="L66" i="83"/>
  <c r="L65" i="83"/>
  <c r="L64" i="83"/>
  <c r="L63" i="83"/>
  <c r="L62" i="83"/>
  <c r="L61" i="83"/>
  <c r="L60" i="83"/>
  <c r="L59" i="83"/>
  <c r="L58" i="83"/>
  <c r="L57" i="83"/>
  <c r="L56" i="83"/>
  <c r="L55" i="83"/>
  <c r="L54" i="83"/>
  <c r="L53" i="83"/>
  <c r="L52" i="83"/>
  <c r="L51" i="83"/>
  <c r="L50" i="83"/>
  <c r="L49" i="83"/>
  <c r="L48" i="83"/>
  <c r="L47" i="83"/>
  <c r="L46" i="83"/>
  <c r="L45" i="83"/>
  <c r="L44" i="83"/>
  <c r="L43" i="83"/>
  <c r="L42" i="83"/>
  <c r="L41" i="83"/>
  <c r="L40" i="83"/>
  <c r="L39" i="83"/>
  <c r="L38" i="83"/>
  <c r="L37" i="83"/>
  <c r="L36" i="83"/>
  <c r="L35" i="83"/>
  <c r="L34" i="83"/>
  <c r="L33" i="83"/>
  <c r="L32" i="83"/>
  <c r="L31" i="83"/>
  <c r="L30" i="83"/>
  <c r="L29" i="83"/>
  <c r="L28" i="83"/>
  <c r="L27" i="83"/>
  <c r="L26" i="83"/>
  <c r="L25" i="83"/>
  <c r="L24" i="83"/>
  <c r="L23" i="83"/>
  <c r="L22" i="83"/>
  <c r="L21" i="83"/>
  <c r="L20" i="83"/>
  <c r="L19" i="83"/>
  <c r="L18" i="83"/>
  <c r="L17" i="83"/>
  <c r="L16" i="83"/>
  <c r="L15" i="83"/>
  <c r="L14" i="83"/>
  <c r="L13" i="83"/>
  <c r="L12" i="83"/>
  <c r="L11" i="83"/>
  <c r="L10" i="83"/>
  <c r="L9" i="83"/>
  <c r="L8" i="83"/>
  <c r="L7" i="83"/>
  <c r="L6" i="83"/>
  <c r="L5" i="83"/>
  <c r="L4" i="83"/>
  <c r="L3" i="83"/>
  <c r="L2" i="83"/>
  <c r="L104" i="82"/>
  <c r="L103" i="82"/>
  <c r="L102" i="82"/>
  <c r="L101" i="82"/>
  <c r="L100" i="82"/>
  <c r="L99" i="82"/>
  <c r="L98" i="82"/>
  <c r="L97" i="82"/>
  <c r="L96" i="82"/>
  <c r="L95" i="82"/>
  <c r="L94" i="82"/>
  <c r="L93" i="82"/>
  <c r="L92" i="82"/>
  <c r="L91" i="82"/>
  <c r="L90" i="82"/>
  <c r="L89" i="82"/>
  <c r="L88" i="82"/>
  <c r="L87" i="82"/>
  <c r="L86" i="82"/>
  <c r="L85" i="82"/>
  <c r="L84" i="82"/>
  <c r="L83" i="82"/>
  <c r="L82" i="82"/>
  <c r="L81" i="82"/>
  <c r="L80" i="82"/>
  <c r="L79" i="82"/>
  <c r="L78" i="82"/>
  <c r="L77" i="82"/>
  <c r="L76" i="82"/>
  <c r="L75" i="82"/>
  <c r="L74" i="82"/>
  <c r="L73" i="82"/>
  <c r="L72" i="82"/>
  <c r="L71" i="82"/>
  <c r="L70" i="82"/>
  <c r="L69" i="82"/>
  <c r="L68" i="82"/>
  <c r="L67" i="82"/>
  <c r="L66" i="82"/>
  <c r="L65" i="82"/>
  <c r="L64" i="82"/>
  <c r="L63" i="82"/>
  <c r="L62" i="82"/>
  <c r="L61" i="82"/>
  <c r="L60" i="82"/>
  <c r="L59" i="82"/>
  <c r="L58" i="82"/>
  <c r="L57" i="82"/>
  <c r="L56" i="82"/>
  <c r="L55" i="82"/>
  <c r="L54" i="82"/>
  <c r="L53" i="82"/>
  <c r="L52" i="82"/>
  <c r="L51" i="82"/>
  <c r="L50" i="82"/>
  <c r="L49" i="82"/>
  <c r="L48" i="82"/>
  <c r="L47" i="82"/>
  <c r="L46" i="82"/>
  <c r="L45" i="82"/>
  <c r="L44" i="82"/>
  <c r="L43" i="82"/>
  <c r="L42" i="82"/>
  <c r="L41" i="82"/>
  <c r="L40" i="82"/>
  <c r="L39" i="82"/>
  <c r="L38" i="82"/>
  <c r="L37" i="82"/>
  <c r="L36" i="82"/>
  <c r="L35" i="82"/>
  <c r="L34" i="82"/>
  <c r="L33" i="82"/>
  <c r="L32" i="82"/>
  <c r="L31" i="82"/>
  <c r="L30" i="82"/>
  <c r="L29" i="82"/>
  <c r="L28" i="82"/>
  <c r="L27" i="82"/>
  <c r="L26" i="82"/>
  <c r="L25" i="82"/>
  <c r="L24" i="82"/>
  <c r="L23" i="82"/>
  <c r="L22" i="82"/>
  <c r="L21" i="82"/>
  <c r="L20" i="82"/>
  <c r="M20" i="82" s="1"/>
  <c r="L19" i="82"/>
  <c r="L18" i="82"/>
  <c r="L17" i="82"/>
  <c r="L16" i="82"/>
  <c r="L15" i="82"/>
  <c r="L14" i="82"/>
  <c r="L13" i="82"/>
  <c r="L12" i="82"/>
  <c r="L11" i="82"/>
  <c r="L10" i="82"/>
  <c r="L9" i="82"/>
  <c r="L8" i="82"/>
  <c r="L7" i="82"/>
  <c r="L6" i="82"/>
  <c r="L5" i="82"/>
  <c r="L4" i="82"/>
  <c r="L3" i="82"/>
  <c r="L2" i="82"/>
  <c r="L104" i="81"/>
  <c r="L103" i="81"/>
  <c r="L102" i="81"/>
  <c r="L101" i="81"/>
  <c r="L100" i="81"/>
  <c r="L99" i="81"/>
  <c r="L98" i="81"/>
  <c r="L97" i="81"/>
  <c r="L96" i="81"/>
  <c r="L95" i="81"/>
  <c r="L94" i="81"/>
  <c r="L93" i="81"/>
  <c r="L92" i="81"/>
  <c r="L91" i="81"/>
  <c r="L90" i="81"/>
  <c r="L89" i="81"/>
  <c r="L88" i="81"/>
  <c r="L87" i="81"/>
  <c r="L86" i="81"/>
  <c r="L85" i="81"/>
  <c r="L84" i="81"/>
  <c r="L83" i="81"/>
  <c r="L82" i="81"/>
  <c r="L81" i="81"/>
  <c r="L80" i="81"/>
  <c r="L79" i="81"/>
  <c r="L78" i="81"/>
  <c r="L77" i="81"/>
  <c r="L76" i="81"/>
  <c r="L75" i="81"/>
  <c r="L74" i="81"/>
  <c r="L73" i="81"/>
  <c r="L72" i="81"/>
  <c r="L71" i="81"/>
  <c r="L70" i="81"/>
  <c r="L69" i="81"/>
  <c r="L68" i="81"/>
  <c r="L67" i="81"/>
  <c r="L66" i="81"/>
  <c r="L65" i="81"/>
  <c r="L64" i="81"/>
  <c r="L63" i="81"/>
  <c r="L62" i="81"/>
  <c r="L61" i="81"/>
  <c r="L60" i="81"/>
  <c r="L59" i="81"/>
  <c r="L58" i="81"/>
  <c r="L57" i="81"/>
  <c r="L56" i="81"/>
  <c r="L55" i="81"/>
  <c r="L54" i="81"/>
  <c r="L53" i="81"/>
  <c r="L52" i="81"/>
  <c r="L51" i="81"/>
  <c r="L50" i="81"/>
  <c r="L49" i="81"/>
  <c r="L48" i="81"/>
  <c r="L47" i="81"/>
  <c r="L46" i="81"/>
  <c r="L45" i="81"/>
  <c r="L44" i="81"/>
  <c r="L43" i="81"/>
  <c r="L42" i="81"/>
  <c r="L41" i="81"/>
  <c r="L40" i="81"/>
  <c r="L39" i="81"/>
  <c r="L38" i="81"/>
  <c r="L37" i="81"/>
  <c r="L36" i="81"/>
  <c r="L35" i="81"/>
  <c r="L34" i="81"/>
  <c r="L33" i="81"/>
  <c r="L32" i="81"/>
  <c r="L31" i="81"/>
  <c r="L30" i="81"/>
  <c r="L29" i="81"/>
  <c r="L28" i="81"/>
  <c r="L27" i="81"/>
  <c r="L26" i="81"/>
  <c r="L25" i="81"/>
  <c r="L24" i="81"/>
  <c r="L23" i="81"/>
  <c r="L22" i="81"/>
  <c r="L21" i="81"/>
  <c r="L20" i="81"/>
  <c r="L19" i="81"/>
  <c r="L18" i="81"/>
  <c r="L17" i="81"/>
  <c r="L16" i="81"/>
  <c r="L15" i="81"/>
  <c r="L14" i="81"/>
  <c r="L13" i="81"/>
  <c r="L12" i="81"/>
  <c r="L11" i="81"/>
  <c r="L10" i="81"/>
  <c r="L9" i="81"/>
  <c r="L8" i="81"/>
  <c r="L7" i="81"/>
  <c r="L6" i="81"/>
  <c r="L5" i="81"/>
  <c r="L4" i="81"/>
  <c r="L3" i="81"/>
  <c r="L2" i="81"/>
  <c r="L104" i="80"/>
  <c r="L103" i="80"/>
  <c r="L102" i="80"/>
  <c r="L101" i="80"/>
  <c r="L100" i="80"/>
  <c r="L99" i="80"/>
  <c r="L98" i="80"/>
  <c r="L97" i="80"/>
  <c r="L96" i="80"/>
  <c r="L95" i="80"/>
  <c r="L94" i="80"/>
  <c r="L93" i="80"/>
  <c r="L92" i="80"/>
  <c r="L91" i="80"/>
  <c r="L90" i="80"/>
  <c r="L89" i="80"/>
  <c r="L88" i="80"/>
  <c r="L87" i="80"/>
  <c r="L86" i="80"/>
  <c r="L85" i="80"/>
  <c r="L84" i="80"/>
  <c r="L83" i="80"/>
  <c r="L82" i="80"/>
  <c r="L81" i="80"/>
  <c r="L80" i="80"/>
  <c r="L79" i="80"/>
  <c r="L78" i="80"/>
  <c r="L77" i="80"/>
  <c r="L76" i="80"/>
  <c r="L75" i="80"/>
  <c r="L74" i="80"/>
  <c r="L73" i="80"/>
  <c r="L72" i="80"/>
  <c r="L71" i="80"/>
  <c r="L70" i="80"/>
  <c r="L69" i="80"/>
  <c r="L68" i="80"/>
  <c r="L67" i="80"/>
  <c r="L66" i="80"/>
  <c r="L65" i="80"/>
  <c r="L64" i="80"/>
  <c r="L63" i="80"/>
  <c r="L62" i="80"/>
  <c r="L61" i="80"/>
  <c r="L60" i="80"/>
  <c r="L59" i="80"/>
  <c r="L58" i="80"/>
  <c r="L57" i="80"/>
  <c r="L56" i="80"/>
  <c r="L55" i="80"/>
  <c r="L54" i="80"/>
  <c r="L53" i="80"/>
  <c r="L52" i="80"/>
  <c r="L51" i="80"/>
  <c r="L50" i="80"/>
  <c r="L49" i="80"/>
  <c r="L48" i="80"/>
  <c r="L47" i="80"/>
  <c r="L46" i="80"/>
  <c r="L45" i="80"/>
  <c r="L44" i="80"/>
  <c r="L43" i="80"/>
  <c r="L42" i="80"/>
  <c r="L41" i="80"/>
  <c r="L40" i="80"/>
  <c r="L39" i="80"/>
  <c r="L38" i="80"/>
  <c r="L37" i="80"/>
  <c r="L36" i="80"/>
  <c r="L35" i="80"/>
  <c r="L34" i="80"/>
  <c r="L33" i="80"/>
  <c r="L32" i="80"/>
  <c r="L31" i="80"/>
  <c r="L30" i="80"/>
  <c r="L29" i="80"/>
  <c r="L28" i="80"/>
  <c r="L27" i="80"/>
  <c r="L26" i="80"/>
  <c r="L25" i="80"/>
  <c r="L24" i="80"/>
  <c r="L23" i="80"/>
  <c r="L22" i="80"/>
  <c r="L21" i="80"/>
  <c r="L20" i="80"/>
  <c r="L19" i="80"/>
  <c r="L18" i="80"/>
  <c r="L17" i="80"/>
  <c r="L16" i="80"/>
  <c r="L15" i="80"/>
  <c r="L14" i="80"/>
  <c r="L13" i="80"/>
  <c r="L12" i="80"/>
  <c r="L11" i="80"/>
  <c r="L10" i="80"/>
  <c r="L9" i="80"/>
  <c r="L8" i="80"/>
  <c r="L7" i="80"/>
  <c r="L6" i="80"/>
  <c r="L5" i="80"/>
  <c r="L4" i="80"/>
  <c r="L3" i="80"/>
  <c r="L2" i="80"/>
  <c r="L104" i="79"/>
  <c r="L103" i="79"/>
  <c r="L102" i="79"/>
  <c r="L101" i="79"/>
  <c r="L100" i="79"/>
  <c r="L99" i="79"/>
  <c r="L98" i="79"/>
  <c r="L97" i="79"/>
  <c r="L96" i="79"/>
  <c r="L95" i="79"/>
  <c r="L94" i="79"/>
  <c r="L93" i="79"/>
  <c r="L92" i="79"/>
  <c r="L91" i="79"/>
  <c r="L90" i="79"/>
  <c r="L89" i="79"/>
  <c r="L88" i="79"/>
  <c r="L87" i="79"/>
  <c r="L86" i="79"/>
  <c r="L85" i="79"/>
  <c r="L84" i="79"/>
  <c r="L83" i="79"/>
  <c r="L82" i="79"/>
  <c r="L81" i="79"/>
  <c r="L80" i="79"/>
  <c r="L79" i="79"/>
  <c r="L78" i="79"/>
  <c r="L77" i="79"/>
  <c r="L76" i="79"/>
  <c r="L75" i="79"/>
  <c r="L74" i="79"/>
  <c r="L73" i="79"/>
  <c r="L72" i="79"/>
  <c r="L71" i="79"/>
  <c r="L70" i="79"/>
  <c r="L69" i="79"/>
  <c r="L68" i="79"/>
  <c r="L67" i="79"/>
  <c r="L66" i="79"/>
  <c r="L65" i="79"/>
  <c r="L64" i="79"/>
  <c r="L63" i="79"/>
  <c r="L62" i="79"/>
  <c r="L61" i="79"/>
  <c r="L60" i="79"/>
  <c r="L59" i="79"/>
  <c r="L58" i="79"/>
  <c r="L57" i="79"/>
  <c r="L56" i="79"/>
  <c r="L55" i="79"/>
  <c r="L54" i="79"/>
  <c r="L53" i="79"/>
  <c r="L52" i="79"/>
  <c r="L51" i="79"/>
  <c r="L50" i="79"/>
  <c r="L49" i="79"/>
  <c r="L48" i="79"/>
  <c r="L47" i="79"/>
  <c r="L46" i="79"/>
  <c r="L45" i="79"/>
  <c r="L44" i="79"/>
  <c r="L43" i="79"/>
  <c r="L42" i="79"/>
  <c r="L41" i="79"/>
  <c r="L40" i="79"/>
  <c r="L39" i="79"/>
  <c r="L38" i="79"/>
  <c r="L37" i="79"/>
  <c r="L36" i="79"/>
  <c r="L35" i="79"/>
  <c r="L34" i="79"/>
  <c r="L33" i="79"/>
  <c r="L32" i="79"/>
  <c r="L31" i="79"/>
  <c r="L30" i="79"/>
  <c r="L29" i="79"/>
  <c r="L28" i="79"/>
  <c r="L27" i="79"/>
  <c r="L26" i="79"/>
  <c r="L25" i="79"/>
  <c r="L24" i="79"/>
  <c r="L23" i="79"/>
  <c r="L22" i="79"/>
  <c r="L21" i="79"/>
  <c r="L20" i="79"/>
  <c r="L19" i="79"/>
  <c r="L18" i="79"/>
  <c r="L17" i="79"/>
  <c r="L16" i="79"/>
  <c r="L15" i="79"/>
  <c r="L14" i="79"/>
  <c r="L13" i="79"/>
  <c r="L12" i="79"/>
  <c r="L11" i="79"/>
  <c r="L10" i="79"/>
  <c r="L9" i="79"/>
  <c r="L8" i="79"/>
  <c r="L7" i="79"/>
  <c r="L6" i="79"/>
  <c r="L5" i="79"/>
  <c r="L4" i="79"/>
  <c r="L3" i="79"/>
  <c r="L2" i="79"/>
  <c r="L104" i="78"/>
  <c r="L103" i="78"/>
  <c r="L102" i="78"/>
  <c r="L101" i="78"/>
  <c r="L100" i="78"/>
  <c r="L99" i="78"/>
  <c r="L98" i="78"/>
  <c r="L97" i="78"/>
  <c r="L96" i="78"/>
  <c r="L95" i="78"/>
  <c r="L94" i="78"/>
  <c r="L93" i="78"/>
  <c r="L92" i="78"/>
  <c r="L91" i="78"/>
  <c r="L90" i="78"/>
  <c r="L89" i="78"/>
  <c r="L88" i="78"/>
  <c r="L87" i="78"/>
  <c r="L86" i="78"/>
  <c r="L85" i="78"/>
  <c r="L84" i="78"/>
  <c r="L83" i="78"/>
  <c r="L82" i="78"/>
  <c r="L81" i="78"/>
  <c r="L80" i="78"/>
  <c r="L79" i="78"/>
  <c r="L78" i="78"/>
  <c r="L77" i="78"/>
  <c r="L76" i="78"/>
  <c r="L75" i="78"/>
  <c r="L74" i="78"/>
  <c r="L73" i="78"/>
  <c r="L72" i="78"/>
  <c r="L71" i="78"/>
  <c r="L70" i="78"/>
  <c r="L69" i="78"/>
  <c r="L68" i="78"/>
  <c r="L67" i="78"/>
  <c r="L66" i="78"/>
  <c r="L65" i="78"/>
  <c r="L64" i="78"/>
  <c r="L63" i="78"/>
  <c r="L62" i="78"/>
  <c r="L61" i="78"/>
  <c r="L60" i="78"/>
  <c r="L59" i="78"/>
  <c r="L58" i="78"/>
  <c r="L57" i="78"/>
  <c r="L56" i="78"/>
  <c r="L55" i="78"/>
  <c r="L54" i="78"/>
  <c r="L53" i="78"/>
  <c r="L52" i="78"/>
  <c r="L51" i="78"/>
  <c r="L50" i="78"/>
  <c r="L49" i="78"/>
  <c r="L48" i="78"/>
  <c r="L47" i="78"/>
  <c r="L46" i="78"/>
  <c r="L45" i="78"/>
  <c r="L44" i="78"/>
  <c r="L43" i="78"/>
  <c r="L42" i="78"/>
  <c r="L41" i="78"/>
  <c r="L40" i="78"/>
  <c r="L39" i="78"/>
  <c r="L38" i="78"/>
  <c r="L37" i="78"/>
  <c r="L36" i="78"/>
  <c r="L35" i="78"/>
  <c r="L34" i="78"/>
  <c r="L33" i="78"/>
  <c r="L32" i="78"/>
  <c r="L31" i="78"/>
  <c r="L30" i="78"/>
  <c r="L29" i="78"/>
  <c r="L28" i="78"/>
  <c r="L27" i="78"/>
  <c r="L26" i="78"/>
  <c r="L25" i="78"/>
  <c r="L24" i="78"/>
  <c r="L23" i="78"/>
  <c r="L22" i="78"/>
  <c r="L21" i="78"/>
  <c r="L20" i="78"/>
  <c r="L19" i="78"/>
  <c r="L18" i="78"/>
  <c r="L17" i="78"/>
  <c r="L16" i="78"/>
  <c r="L15" i="78"/>
  <c r="L14" i="78"/>
  <c r="L13" i="78"/>
  <c r="L12" i="78"/>
  <c r="L11" i="78"/>
  <c r="L10" i="78"/>
  <c r="L9" i="78"/>
  <c r="L8" i="78"/>
  <c r="L7" i="78"/>
  <c r="L6" i="78"/>
  <c r="L5" i="78"/>
  <c r="L4" i="78"/>
  <c r="L3" i="78"/>
  <c r="L2" i="78"/>
  <c r="A1" i="73"/>
  <c r="A1" i="72"/>
  <c r="A1" i="69"/>
  <c r="A1" i="68"/>
  <c r="A1" i="70"/>
  <c r="A1" i="63"/>
  <c r="A1" i="66"/>
  <c r="BC290" i="59"/>
  <c r="BP288" i="59"/>
  <c r="BO288" i="59"/>
  <c r="BN288" i="59"/>
  <c r="BM288" i="59"/>
  <c r="BL288" i="59"/>
  <c r="BK288" i="59"/>
  <c r="BJ288" i="59"/>
  <c r="BI288" i="59"/>
  <c r="BH288" i="59"/>
  <c r="BG288" i="59" s="1"/>
  <c r="BD288" i="59"/>
  <c r="BP287" i="59"/>
  <c r="BO287" i="59"/>
  <c r="BN287" i="59"/>
  <c r="BM287" i="59"/>
  <c r="BL287" i="59"/>
  <c r="BK287" i="59"/>
  <c r="BJ287" i="59"/>
  <c r="BI287" i="59"/>
  <c r="BH287" i="59"/>
  <c r="BD287" i="59"/>
  <c r="BP286" i="59"/>
  <c r="BO286" i="59"/>
  <c r="BN286" i="59"/>
  <c r="BM286" i="59"/>
  <c r="BL286" i="59"/>
  <c r="BK286" i="59"/>
  <c r="BJ286" i="59"/>
  <c r="BI286" i="59"/>
  <c r="BH286" i="59"/>
  <c r="BD286" i="59"/>
  <c r="BP285" i="59"/>
  <c r="BO285" i="59"/>
  <c r="BN285" i="59"/>
  <c r="BM285" i="59"/>
  <c r="BL285" i="59"/>
  <c r="BK285" i="59"/>
  <c r="BJ285" i="59"/>
  <c r="BI285" i="59"/>
  <c r="BH285" i="59"/>
  <c r="BD285" i="59"/>
  <c r="BP284" i="59"/>
  <c r="BO284" i="59"/>
  <c r="BN284" i="59"/>
  <c r="BM284" i="59"/>
  <c r="BL284" i="59"/>
  <c r="BK284" i="59"/>
  <c r="BJ284" i="59"/>
  <c r="BI284" i="59"/>
  <c r="BX284" i="59" s="1"/>
  <c r="BH284" i="59"/>
  <c r="BD284" i="59"/>
  <c r="BP283" i="59"/>
  <c r="BO283" i="59"/>
  <c r="BN283" i="59"/>
  <c r="BM283" i="59"/>
  <c r="BL283" i="59"/>
  <c r="BK283" i="59"/>
  <c r="BJ283" i="59"/>
  <c r="BI283" i="59"/>
  <c r="BH283" i="59"/>
  <c r="BD283" i="59"/>
  <c r="BP282" i="59"/>
  <c r="BO282" i="59"/>
  <c r="BN282" i="59"/>
  <c r="BM282" i="59"/>
  <c r="BL282" i="59"/>
  <c r="BK282" i="59"/>
  <c r="BJ282" i="59"/>
  <c r="BI282" i="59"/>
  <c r="BH282" i="59"/>
  <c r="BD282" i="59"/>
  <c r="BP281" i="59"/>
  <c r="BO281" i="59"/>
  <c r="BN281" i="59"/>
  <c r="BM281" i="59"/>
  <c r="BL281" i="59"/>
  <c r="BK281" i="59"/>
  <c r="BJ281" i="59"/>
  <c r="BI281" i="59"/>
  <c r="BH281" i="59"/>
  <c r="BD281" i="59"/>
  <c r="BP280" i="59"/>
  <c r="BO280" i="59"/>
  <c r="BN280" i="59"/>
  <c r="BM280" i="59"/>
  <c r="BL280" i="59"/>
  <c r="BK280" i="59"/>
  <c r="BJ280" i="59"/>
  <c r="BI280" i="59"/>
  <c r="BH280" i="59"/>
  <c r="BD280" i="59"/>
  <c r="BP279" i="59"/>
  <c r="BO279" i="59"/>
  <c r="BN279" i="59"/>
  <c r="BM279" i="59"/>
  <c r="BL279" i="59"/>
  <c r="BK279" i="59"/>
  <c r="BJ279" i="59"/>
  <c r="BI279" i="59"/>
  <c r="BH279" i="59"/>
  <c r="BD279" i="59"/>
  <c r="BP278" i="59"/>
  <c r="BO278" i="59"/>
  <c r="BN278" i="59"/>
  <c r="BM278" i="59"/>
  <c r="BL278" i="59"/>
  <c r="BK278" i="59"/>
  <c r="BJ278" i="59"/>
  <c r="BI278" i="59"/>
  <c r="BH278" i="59"/>
  <c r="BD278" i="59"/>
  <c r="BP277" i="59"/>
  <c r="BO277" i="59"/>
  <c r="BN277" i="59"/>
  <c r="BM277" i="59"/>
  <c r="BL277" i="59"/>
  <c r="BK277" i="59"/>
  <c r="BJ277" i="59"/>
  <c r="BI277" i="59"/>
  <c r="BH277" i="59"/>
  <c r="BD277" i="59"/>
  <c r="BC260" i="59"/>
  <c r="BP258" i="59"/>
  <c r="BO258" i="59"/>
  <c r="BN258" i="59"/>
  <c r="BM258" i="59"/>
  <c r="BL258" i="59"/>
  <c r="BK258" i="59"/>
  <c r="BJ258" i="59"/>
  <c r="BI258" i="59"/>
  <c r="BH258" i="59"/>
  <c r="BD258" i="59"/>
  <c r="BP257" i="59"/>
  <c r="BO257" i="59"/>
  <c r="BN257" i="59"/>
  <c r="BM257" i="59"/>
  <c r="BL257" i="59"/>
  <c r="BK257" i="59"/>
  <c r="BJ257" i="59"/>
  <c r="BI257" i="59"/>
  <c r="BH257" i="59"/>
  <c r="BD257" i="59"/>
  <c r="BP256" i="59"/>
  <c r="BO256" i="59"/>
  <c r="BN256" i="59"/>
  <c r="BM256" i="59"/>
  <c r="BL256" i="59"/>
  <c r="BK256" i="59"/>
  <c r="BJ256" i="59"/>
  <c r="BI256" i="59"/>
  <c r="BH256" i="59"/>
  <c r="BD256" i="59"/>
  <c r="BP255" i="59"/>
  <c r="BO255" i="59"/>
  <c r="BN255" i="59"/>
  <c r="BM255" i="59"/>
  <c r="BL255" i="59"/>
  <c r="BK255" i="59"/>
  <c r="BJ255" i="59"/>
  <c r="BI255" i="59"/>
  <c r="BH255" i="59"/>
  <c r="BD255" i="59"/>
  <c r="BP254" i="59"/>
  <c r="BO254" i="59"/>
  <c r="BN254" i="59"/>
  <c r="BM254" i="59"/>
  <c r="BL254" i="59"/>
  <c r="BK254" i="59"/>
  <c r="BJ254" i="59"/>
  <c r="BI254" i="59"/>
  <c r="BH254" i="59"/>
  <c r="BD254" i="59"/>
  <c r="BP253" i="59"/>
  <c r="BO253" i="59"/>
  <c r="BN253" i="59"/>
  <c r="BM253" i="59"/>
  <c r="BL253" i="59"/>
  <c r="BK253" i="59"/>
  <c r="BJ253" i="59"/>
  <c r="BI253" i="59"/>
  <c r="BH253" i="59"/>
  <c r="BD253" i="59"/>
  <c r="BP252" i="59"/>
  <c r="BO252" i="59"/>
  <c r="BN252" i="59"/>
  <c r="BM252" i="59"/>
  <c r="BL252" i="59"/>
  <c r="BK252" i="59"/>
  <c r="BJ252" i="59"/>
  <c r="BI252" i="59"/>
  <c r="BH252" i="59"/>
  <c r="BD252" i="59"/>
  <c r="BP251" i="59"/>
  <c r="BO251" i="59"/>
  <c r="BN251" i="59"/>
  <c r="BM251" i="59"/>
  <c r="BL251" i="59"/>
  <c r="BK251" i="59"/>
  <c r="BJ251" i="59"/>
  <c r="BI251" i="59"/>
  <c r="BH251" i="59"/>
  <c r="BD251" i="59"/>
  <c r="BP250" i="59"/>
  <c r="BO250" i="59"/>
  <c r="BN250" i="59"/>
  <c r="BM250" i="59"/>
  <c r="BL250" i="59"/>
  <c r="BK250" i="59"/>
  <c r="BJ250" i="59"/>
  <c r="BI250" i="59"/>
  <c r="BH250" i="59"/>
  <c r="BD250" i="59"/>
  <c r="BP249" i="59"/>
  <c r="BO249" i="59"/>
  <c r="BN249" i="59"/>
  <c r="BM249" i="59"/>
  <c r="BL249" i="59"/>
  <c r="BK249" i="59"/>
  <c r="BJ249" i="59"/>
  <c r="BI249" i="59"/>
  <c r="BH249" i="59"/>
  <c r="BD249" i="59"/>
  <c r="BP248" i="59"/>
  <c r="BO248" i="59"/>
  <c r="BN248" i="59"/>
  <c r="BM248" i="59"/>
  <c r="BL248" i="59"/>
  <c r="BK248" i="59"/>
  <c r="BJ248" i="59"/>
  <c r="BI248" i="59"/>
  <c r="BH248" i="59"/>
  <c r="BD248" i="59"/>
  <c r="BP247" i="59"/>
  <c r="BO247" i="59"/>
  <c r="BN247" i="59"/>
  <c r="BM247" i="59"/>
  <c r="BL247" i="59"/>
  <c r="BK247" i="59"/>
  <c r="BJ247" i="59"/>
  <c r="BI247" i="59"/>
  <c r="BH247" i="59"/>
  <c r="BD247" i="59"/>
  <c r="BC230" i="59"/>
  <c r="BP228" i="59"/>
  <c r="BO228" i="59"/>
  <c r="BN228" i="59"/>
  <c r="BM228" i="59"/>
  <c r="BL228" i="59"/>
  <c r="BK228" i="59"/>
  <c r="BJ228" i="59"/>
  <c r="BG228" i="59" s="1"/>
  <c r="BI228" i="59"/>
  <c r="BH228" i="59"/>
  <c r="BD228" i="59"/>
  <c r="BP227" i="59"/>
  <c r="BO227" i="59"/>
  <c r="BN227" i="59"/>
  <c r="BM227" i="59"/>
  <c r="BL227" i="59"/>
  <c r="BK227" i="59"/>
  <c r="BJ227" i="59"/>
  <c r="BI227" i="59"/>
  <c r="BH227" i="59"/>
  <c r="BD227" i="59"/>
  <c r="BP226" i="59"/>
  <c r="BO226" i="59"/>
  <c r="BN226" i="59"/>
  <c r="BM226" i="59"/>
  <c r="BL226" i="59"/>
  <c r="BK226" i="59"/>
  <c r="BJ226" i="59"/>
  <c r="BI226" i="59"/>
  <c r="BH226" i="59"/>
  <c r="BD226" i="59"/>
  <c r="BP225" i="59"/>
  <c r="BO225" i="59"/>
  <c r="BN225" i="59"/>
  <c r="BM225" i="59"/>
  <c r="BL225" i="59"/>
  <c r="BK225" i="59"/>
  <c r="BJ225" i="59"/>
  <c r="BI225" i="59"/>
  <c r="BH225" i="59"/>
  <c r="BS225" i="59" s="1"/>
  <c r="BD225" i="59"/>
  <c r="BP224" i="59"/>
  <c r="BO224" i="59"/>
  <c r="BN224" i="59"/>
  <c r="BM224" i="59"/>
  <c r="BL224" i="59"/>
  <c r="BK224" i="59"/>
  <c r="BJ224" i="59"/>
  <c r="BI224" i="59"/>
  <c r="BH224" i="59"/>
  <c r="BD224" i="59"/>
  <c r="BP223" i="59"/>
  <c r="BO223" i="59"/>
  <c r="BN223" i="59"/>
  <c r="BM223" i="59"/>
  <c r="BL223" i="59"/>
  <c r="BX223" i="59" s="1"/>
  <c r="BK223" i="59"/>
  <c r="BJ223" i="59"/>
  <c r="BI223" i="59"/>
  <c r="BH223" i="59"/>
  <c r="BD223" i="59"/>
  <c r="BP222" i="59"/>
  <c r="BO222" i="59"/>
  <c r="BN222" i="59"/>
  <c r="BM222" i="59"/>
  <c r="BL222" i="59"/>
  <c r="BK222" i="59"/>
  <c r="BJ222" i="59"/>
  <c r="BI222" i="59"/>
  <c r="BH222" i="59"/>
  <c r="BD222" i="59"/>
  <c r="BP221" i="59"/>
  <c r="BO221" i="59"/>
  <c r="BN221" i="59"/>
  <c r="BM221" i="59"/>
  <c r="BL221" i="59"/>
  <c r="BK221" i="59"/>
  <c r="BJ221" i="59"/>
  <c r="BI221" i="59"/>
  <c r="BH221" i="59"/>
  <c r="BD221" i="59"/>
  <c r="BP220" i="59"/>
  <c r="BO220" i="59"/>
  <c r="BN220" i="59"/>
  <c r="BM220" i="59"/>
  <c r="BL220" i="59"/>
  <c r="BK220" i="59"/>
  <c r="BJ220" i="59"/>
  <c r="BI220" i="59"/>
  <c r="BH220" i="59"/>
  <c r="BD220" i="59"/>
  <c r="BP219" i="59"/>
  <c r="BO219" i="59"/>
  <c r="BN219" i="59"/>
  <c r="BM219" i="59"/>
  <c r="BL219" i="59"/>
  <c r="BK219" i="59"/>
  <c r="BJ219" i="59"/>
  <c r="BI219" i="59"/>
  <c r="BH219" i="59"/>
  <c r="BD219" i="59"/>
  <c r="BP218" i="59"/>
  <c r="BO218" i="59"/>
  <c r="BN218" i="59"/>
  <c r="BM218" i="59"/>
  <c r="BL218" i="59"/>
  <c r="BK218" i="59"/>
  <c r="BJ218" i="59"/>
  <c r="BI218" i="59"/>
  <c r="BH218" i="59"/>
  <c r="BD218" i="59"/>
  <c r="BP217" i="59"/>
  <c r="BO217" i="59"/>
  <c r="BN217" i="59"/>
  <c r="BM217" i="59"/>
  <c r="BL217" i="59"/>
  <c r="BK217" i="59"/>
  <c r="BJ217" i="59"/>
  <c r="BI217" i="59"/>
  <c r="BH217" i="59"/>
  <c r="BD217" i="59"/>
  <c r="BC200" i="59"/>
  <c r="BP198" i="59"/>
  <c r="BO198" i="59"/>
  <c r="BN198" i="59"/>
  <c r="BM198" i="59"/>
  <c r="BL198" i="59"/>
  <c r="BK198" i="59"/>
  <c r="BJ198" i="59"/>
  <c r="BI198" i="59"/>
  <c r="BH198" i="59"/>
  <c r="BD198" i="59"/>
  <c r="BP197" i="59"/>
  <c r="BO197" i="59"/>
  <c r="BN197" i="59"/>
  <c r="BM197" i="59"/>
  <c r="BL197" i="59"/>
  <c r="BK197" i="59"/>
  <c r="BJ197" i="59"/>
  <c r="BI197" i="59"/>
  <c r="BH197" i="59"/>
  <c r="BD197" i="59"/>
  <c r="BP196" i="59"/>
  <c r="BO196" i="59"/>
  <c r="BN196" i="59"/>
  <c r="BM196" i="59"/>
  <c r="BL196" i="59"/>
  <c r="BK196" i="59"/>
  <c r="BJ196" i="59"/>
  <c r="BI196" i="59"/>
  <c r="BH196" i="59"/>
  <c r="BD196" i="59"/>
  <c r="BP195" i="59"/>
  <c r="BO195" i="59"/>
  <c r="BN195" i="59"/>
  <c r="BM195" i="59"/>
  <c r="BL195" i="59"/>
  <c r="BK195" i="59"/>
  <c r="BJ195" i="59"/>
  <c r="BI195" i="59"/>
  <c r="BH195" i="59"/>
  <c r="BD195" i="59"/>
  <c r="BP194" i="59"/>
  <c r="BO194" i="59"/>
  <c r="BN194" i="59"/>
  <c r="BM194" i="59"/>
  <c r="BL194" i="59"/>
  <c r="BK194" i="59"/>
  <c r="BJ194" i="59"/>
  <c r="BI194" i="59"/>
  <c r="BH194" i="59"/>
  <c r="BD194" i="59"/>
  <c r="BP193" i="59"/>
  <c r="BO193" i="59"/>
  <c r="BN193" i="59"/>
  <c r="BM193" i="59"/>
  <c r="BL193" i="59"/>
  <c r="BK193" i="59"/>
  <c r="BJ193" i="59"/>
  <c r="BI193" i="59"/>
  <c r="BH193" i="59"/>
  <c r="BD193" i="59"/>
  <c r="BP192" i="59"/>
  <c r="BO192" i="59"/>
  <c r="BN192" i="59"/>
  <c r="BM192" i="59"/>
  <c r="BL192" i="59"/>
  <c r="BK192" i="59"/>
  <c r="BJ192" i="59"/>
  <c r="BI192" i="59"/>
  <c r="BH192" i="59"/>
  <c r="BD192" i="59"/>
  <c r="BP191" i="59"/>
  <c r="BO191" i="59"/>
  <c r="BN191" i="59"/>
  <c r="BM191" i="59"/>
  <c r="BL191" i="59"/>
  <c r="BK191" i="59"/>
  <c r="BJ191" i="59"/>
  <c r="BI191" i="59"/>
  <c r="BH191" i="59"/>
  <c r="BD191" i="59"/>
  <c r="BP190" i="59"/>
  <c r="BO190" i="59"/>
  <c r="BN190" i="59"/>
  <c r="BM190" i="59"/>
  <c r="BL190" i="59"/>
  <c r="BK190" i="59"/>
  <c r="BJ190" i="59"/>
  <c r="BI190" i="59"/>
  <c r="BH190" i="59"/>
  <c r="BD190" i="59"/>
  <c r="BP189" i="59"/>
  <c r="BO189" i="59"/>
  <c r="BN189" i="59"/>
  <c r="BM189" i="59"/>
  <c r="BL189" i="59"/>
  <c r="BK189" i="59"/>
  <c r="BJ189" i="59"/>
  <c r="BI189" i="59"/>
  <c r="BH189" i="59"/>
  <c r="BD189" i="59"/>
  <c r="BP188" i="59"/>
  <c r="BO188" i="59"/>
  <c r="BN188" i="59"/>
  <c r="BM188" i="59"/>
  <c r="BL188" i="59"/>
  <c r="BK188" i="59"/>
  <c r="BJ188" i="59"/>
  <c r="BI188" i="59"/>
  <c r="BH188" i="59"/>
  <c r="BD188" i="59"/>
  <c r="BP187" i="59"/>
  <c r="BO187" i="59"/>
  <c r="BN187" i="59"/>
  <c r="BM187" i="59"/>
  <c r="BL187" i="59"/>
  <c r="BK187" i="59"/>
  <c r="BJ187" i="59"/>
  <c r="BI187" i="59"/>
  <c r="BH187" i="59"/>
  <c r="BD187" i="59"/>
  <c r="BC170" i="59"/>
  <c r="BP168" i="59"/>
  <c r="BO168" i="59"/>
  <c r="BN168" i="59"/>
  <c r="BM168" i="59"/>
  <c r="BL168" i="59"/>
  <c r="BK168" i="59"/>
  <c r="BJ168" i="59"/>
  <c r="BI168" i="59"/>
  <c r="BH168" i="59"/>
  <c r="BD168" i="59"/>
  <c r="BP167" i="59"/>
  <c r="BO167" i="59"/>
  <c r="BN167" i="59"/>
  <c r="BM167" i="59"/>
  <c r="BL167" i="59"/>
  <c r="BK167" i="59"/>
  <c r="BJ167" i="59"/>
  <c r="BI167" i="59"/>
  <c r="BH167" i="59"/>
  <c r="BD167" i="59"/>
  <c r="BP166" i="59"/>
  <c r="BO166" i="59"/>
  <c r="BN166" i="59"/>
  <c r="BM166" i="59"/>
  <c r="BL166" i="59"/>
  <c r="BK166" i="59"/>
  <c r="BJ166" i="59"/>
  <c r="BI166" i="59"/>
  <c r="BH166" i="59"/>
  <c r="BD166" i="59"/>
  <c r="BP165" i="59"/>
  <c r="BO165" i="59"/>
  <c r="BN165" i="59"/>
  <c r="BM165" i="59"/>
  <c r="BL165" i="59"/>
  <c r="BK165" i="59"/>
  <c r="BJ165" i="59"/>
  <c r="BI165" i="59"/>
  <c r="BH165" i="59"/>
  <c r="BD165" i="59"/>
  <c r="BP164" i="59"/>
  <c r="BO164" i="59"/>
  <c r="BN164" i="59"/>
  <c r="BM164" i="59"/>
  <c r="BL164" i="59"/>
  <c r="BK164" i="59"/>
  <c r="BJ164" i="59"/>
  <c r="BI164" i="59"/>
  <c r="BH164" i="59"/>
  <c r="BD164" i="59"/>
  <c r="BP163" i="59"/>
  <c r="BO163" i="59"/>
  <c r="BN163" i="59"/>
  <c r="BG163" i="59" s="1"/>
  <c r="BM163" i="59"/>
  <c r="BL163" i="59"/>
  <c r="BK163" i="59"/>
  <c r="BJ163" i="59"/>
  <c r="BI163" i="59"/>
  <c r="BH163" i="59"/>
  <c r="BD163" i="59"/>
  <c r="BP162" i="59"/>
  <c r="BO162" i="59"/>
  <c r="BN162" i="59"/>
  <c r="BM162" i="59"/>
  <c r="BL162" i="59"/>
  <c r="BK162" i="59"/>
  <c r="BJ162" i="59"/>
  <c r="BI162" i="59"/>
  <c r="BH162" i="59"/>
  <c r="BD162" i="59"/>
  <c r="BP161" i="59"/>
  <c r="BO161" i="59"/>
  <c r="BN161" i="59"/>
  <c r="BM161" i="59"/>
  <c r="BL161" i="59"/>
  <c r="BK161" i="59"/>
  <c r="BJ161" i="59"/>
  <c r="BI161" i="59"/>
  <c r="BH161" i="59"/>
  <c r="BD161" i="59"/>
  <c r="BP160" i="59"/>
  <c r="BO160" i="59"/>
  <c r="BN160" i="59"/>
  <c r="BM160" i="59"/>
  <c r="BL160" i="59"/>
  <c r="BX160" i="59" s="1"/>
  <c r="BK160" i="59"/>
  <c r="BJ160" i="59"/>
  <c r="BI160" i="59"/>
  <c r="BH160" i="59"/>
  <c r="BD160" i="59"/>
  <c r="BP159" i="59"/>
  <c r="BO159" i="59"/>
  <c r="BN159" i="59"/>
  <c r="BM159" i="59"/>
  <c r="BL159" i="59"/>
  <c r="BK159" i="59"/>
  <c r="BJ159" i="59"/>
  <c r="BI159" i="59"/>
  <c r="BH159" i="59"/>
  <c r="BD159" i="59"/>
  <c r="BP158" i="59"/>
  <c r="BO158" i="59"/>
  <c r="BN158" i="59"/>
  <c r="BM158" i="59"/>
  <c r="BL158" i="59"/>
  <c r="BK158" i="59"/>
  <c r="BJ158" i="59"/>
  <c r="BI158" i="59"/>
  <c r="BF158" i="59" s="1"/>
  <c r="BH158" i="59"/>
  <c r="BD158" i="59"/>
  <c r="BP157" i="59"/>
  <c r="BO157" i="59"/>
  <c r="BN157" i="59"/>
  <c r="BM157" i="59"/>
  <c r="BL157" i="59"/>
  <c r="BK157" i="59"/>
  <c r="BJ157" i="59"/>
  <c r="BI157" i="59"/>
  <c r="BH157" i="59"/>
  <c r="BD157" i="59"/>
  <c r="BC140" i="59"/>
  <c r="BP138" i="59"/>
  <c r="BO138" i="59"/>
  <c r="BN138" i="59"/>
  <c r="BM138" i="59"/>
  <c r="BL138" i="59"/>
  <c r="BK138" i="59"/>
  <c r="BJ138" i="59"/>
  <c r="BI138" i="59"/>
  <c r="BH138" i="59"/>
  <c r="BD138" i="59"/>
  <c r="BP137" i="59"/>
  <c r="BO137" i="59"/>
  <c r="BN137" i="59"/>
  <c r="BM137" i="59"/>
  <c r="BL137" i="59"/>
  <c r="BK137" i="59"/>
  <c r="BJ137" i="59"/>
  <c r="BI137" i="59"/>
  <c r="BH137" i="59"/>
  <c r="BD137" i="59"/>
  <c r="BP136" i="59"/>
  <c r="BO136" i="59"/>
  <c r="BN136" i="59"/>
  <c r="BM136" i="59"/>
  <c r="BL136" i="59"/>
  <c r="BK136" i="59"/>
  <c r="BJ136" i="59"/>
  <c r="BI136" i="59"/>
  <c r="BG136" i="59" s="1"/>
  <c r="BH136" i="59"/>
  <c r="BD136" i="59"/>
  <c r="BP135" i="59"/>
  <c r="BO135" i="59"/>
  <c r="BN135" i="59"/>
  <c r="BM135" i="59"/>
  <c r="BL135" i="59"/>
  <c r="BK135" i="59"/>
  <c r="BJ135" i="59"/>
  <c r="BI135" i="59"/>
  <c r="BH135" i="59"/>
  <c r="BD135" i="59"/>
  <c r="BP134" i="59"/>
  <c r="BO134" i="59"/>
  <c r="BN134" i="59"/>
  <c r="BM134" i="59"/>
  <c r="BL134" i="59"/>
  <c r="BK134" i="59"/>
  <c r="BJ134" i="59"/>
  <c r="BI134" i="59"/>
  <c r="BH134" i="59"/>
  <c r="BD134" i="59"/>
  <c r="BP133" i="59"/>
  <c r="BO133" i="59"/>
  <c r="BN133" i="59"/>
  <c r="BM133" i="59"/>
  <c r="BL133" i="59"/>
  <c r="BK133" i="59"/>
  <c r="BJ133" i="59"/>
  <c r="BI133" i="59"/>
  <c r="BH133" i="59"/>
  <c r="BD133" i="59"/>
  <c r="BP132" i="59"/>
  <c r="BO132" i="59"/>
  <c r="BN132" i="59"/>
  <c r="BM132" i="59"/>
  <c r="BL132" i="59"/>
  <c r="BK132" i="59"/>
  <c r="BJ132" i="59"/>
  <c r="BI132" i="59"/>
  <c r="BH132" i="59"/>
  <c r="BD132" i="59"/>
  <c r="BP131" i="59"/>
  <c r="BO131" i="59"/>
  <c r="BN131" i="59"/>
  <c r="BM131" i="59"/>
  <c r="BL131" i="59"/>
  <c r="BK131" i="59"/>
  <c r="BS131" i="59" s="1"/>
  <c r="BJ131" i="59"/>
  <c r="BI131" i="59"/>
  <c r="BH131" i="59"/>
  <c r="BD131" i="59"/>
  <c r="BP130" i="59"/>
  <c r="BO130" i="59"/>
  <c r="BN130" i="59"/>
  <c r="BM130" i="59"/>
  <c r="BL130" i="59"/>
  <c r="BK130" i="59"/>
  <c r="BJ130" i="59"/>
  <c r="BI130" i="59"/>
  <c r="BH130" i="59"/>
  <c r="BD130" i="59"/>
  <c r="BP129" i="59"/>
  <c r="BO129" i="59"/>
  <c r="BN129" i="59"/>
  <c r="BM129" i="59"/>
  <c r="BL129" i="59"/>
  <c r="BK129" i="59"/>
  <c r="BJ129" i="59"/>
  <c r="BI129" i="59"/>
  <c r="BH129" i="59"/>
  <c r="BD129" i="59"/>
  <c r="BP128" i="59"/>
  <c r="BO128" i="59"/>
  <c r="BN128" i="59"/>
  <c r="BM128" i="59"/>
  <c r="BL128" i="59"/>
  <c r="BK128" i="59"/>
  <c r="BJ128" i="59"/>
  <c r="BI128" i="59"/>
  <c r="BH128" i="59"/>
  <c r="BD128" i="59"/>
  <c r="BP127" i="59"/>
  <c r="BO127" i="59"/>
  <c r="BN127" i="59"/>
  <c r="BM127" i="59"/>
  <c r="BL127" i="59"/>
  <c r="BK127" i="59"/>
  <c r="BJ127" i="59"/>
  <c r="BI127" i="59"/>
  <c r="BH127" i="59"/>
  <c r="BD127" i="59"/>
  <c r="BC110" i="59"/>
  <c r="BP108" i="59"/>
  <c r="BO108" i="59"/>
  <c r="BN108" i="59"/>
  <c r="BM108" i="59"/>
  <c r="BL108" i="59"/>
  <c r="BK108" i="59"/>
  <c r="BJ108" i="59"/>
  <c r="BI108" i="59"/>
  <c r="BH108" i="59"/>
  <c r="BD108" i="59"/>
  <c r="BP107" i="59"/>
  <c r="BO107" i="59"/>
  <c r="BN107" i="59"/>
  <c r="BM107" i="59"/>
  <c r="BL107" i="59"/>
  <c r="BK107" i="59"/>
  <c r="BJ107" i="59"/>
  <c r="BI107" i="59"/>
  <c r="BH107" i="59"/>
  <c r="BD107" i="59"/>
  <c r="BP106" i="59"/>
  <c r="BO106" i="59"/>
  <c r="BN106" i="59"/>
  <c r="BM106" i="59"/>
  <c r="BL106" i="59"/>
  <c r="BK106" i="59"/>
  <c r="BJ106" i="59"/>
  <c r="BI106" i="59"/>
  <c r="BH106" i="59"/>
  <c r="BD106" i="59"/>
  <c r="BP105" i="59"/>
  <c r="BO105" i="59"/>
  <c r="BN105" i="59"/>
  <c r="BM105" i="59"/>
  <c r="BL105" i="59"/>
  <c r="BK105" i="59"/>
  <c r="BJ105" i="59"/>
  <c r="BI105" i="59"/>
  <c r="BH105" i="59"/>
  <c r="BD105" i="59"/>
  <c r="BP104" i="59"/>
  <c r="BO104" i="59"/>
  <c r="BN104" i="59"/>
  <c r="BM104" i="59"/>
  <c r="BL104" i="59"/>
  <c r="BK104" i="59"/>
  <c r="BJ104" i="59"/>
  <c r="BI104" i="59"/>
  <c r="BH104" i="59"/>
  <c r="BD104" i="59"/>
  <c r="BP103" i="59"/>
  <c r="BO103" i="59"/>
  <c r="BN103" i="59"/>
  <c r="BM103" i="59"/>
  <c r="BL103" i="59"/>
  <c r="BK103" i="59"/>
  <c r="BJ103" i="59"/>
  <c r="BI103" i="59"/>
  <c r="BH103" i="59"/>
  <c r="BD103" i="59"/>
  <c r="BP102" i="59"/>
  <c r="BO102" i="59"/>
  <c r="BN102" i="59"/>
  <c r="BM102" i="59"/>
  <c r="BL102" i="59"/>
  <c r="BK102" i="59"/>
  <c r="BJ102" i="59"/>
  <c r="BG102" i="59" s="1"/>
  <c r="BI102" i="59"/>
  <c r="BH102" i="59"/>
  <c r="BD102" i="59"/>
  <c r="BP101" i="59"/>
  <c r="BO101" i="59"/>
  <c r="BN101" i="59"/>
  <c r="BM101" i="59"/>
  <c r="BL101" i="59"/>
  <c r="BK101" i="59"/>
  <c r="BJ101" i="59"/>
  <c r="BI101" i="59"/>
  <c r="BH101" i="59"/>
  <c r="BD101" i="59"/>
  <c r="BP100" i="59"/>
  <c r="BO100" i="59"/>
  <c r="BN100" i="59"/>
  <c r="BS100" i="59" s="1"/>
  <c r="BM100" i="59"/>
  <c r="BL100" i="59"/>
  <c r="BK100" i="59"/>
  <c r="BJ100" i="59"/>
  <c r="BI100" i="59"/>
  <c r="BH100" i="59"/>
  <c r="BD100" i="59"/>
  <c r="BP99" i="59"/>
  <c r="BO99" i="59"/>
  <c r="BN99" i="59"/>
  <c r="BM99" i="59"/>
  <c r="BL99" i="59"/>
  <c r="BK99" i="59"/>
  <c r="BJ99" i="59"/>
  <c r="BI99" i="59"/>
  <c r="BH99" i="59"/>
  <c r="BS99" i="59" s="1"/>
  <c r="BD99" i="59"/>
  <c r="BP98" i="59"/>
  <c r="BO98" i="59"/>
  <c r="BN98" i="59"/>
  <c r="BM98" i="59"/>
  <c r="BL98" i="59"/>
  <c r="BK98" i="59"/>
  <c r="BJ98" i="59"/>
  <c r="BI98" i="59"/>
  <c r="BH98" i="59"/>
  <c r="BD98" i="59"/>
  <c r="BP97" i="59"/>
  <c r="BO97" i="59"/>
  <c r="BN97" i="59"/>
  <c r="BM97" i="59"/>
  <c r="BL97" i="59"/>
  <c r="BK97" i="59"/>
  <c r="BJ97" i="59"/>
  <c r="BI97" i="59"/>
  <c r="BH97" i="59"/>
  <c r="BD97" i="59"/>
  <c r="BC80" i="59"/>
  <c r="BP78" i="59"/>
  <c r="BO78" i="59"/>
  <c r="BN78" i="59"/>
  <c r="BM78" i="59"/>
  <c r="BL78" i="59"/>
  <c r="BK78" i="59"/>
  <c r="BJ78" i="59"/>
  <c r="BI78" i="59"/>
  <c r="BH78" i="59"/>
  <c r="BD78" i="59"/>
  <c r="BP77" i="59"/>
  <c r="BO77" i="59"/>
  <c r="BN77" i="59"/>
  <c r="BM77" i="59"/>
  <c r="BL77" i="59"/>
  <c r="BK77" i="59"/>
  <c r="BJ77" i="59"/>
  <c r="BI77" i="59"/>
  <c r="BH77" i="59"/>
  <c r="BD77" i="59"/>
  <c r="BP76" i="59"/>
  <c r="BO76" i="59"/>
  <c r="BN76" i="59"/>
  <c r="BM76" i="59"/>
  <c r="BL76" i="59"/>
  <c r="BK76" i="59"/>
  <c r="BJ76" i="59"/>
  <c r="BI76" i="59"/>
  <c r="BH76" i="59"/>
  <c r="BD76" i="59"/>
  <c r="BP75" i="59"/>
  <c r="BO75" i="59"/>
  <c r="BN75" i="59"/>
  <c r="BM75" i="59"/>
  <c r="BL75" i="59"/>
  <c r="BK75" i="59"/>
  <c r="BJ75" i="59"/>
  <c r="BI75" i="59"/>
  <c r="BH75" i="59"/>
  <c r="BD75" i="59"/>
  <c r="BP74" i="59"/>
  <c r="BO74" i="59"/>
  <c r="BN74" i="59"/>
  <c r="BM74" i="59"/>
  <c r="BL74" i="59"/>
  <c r="BK74" i="59"/>
  <c r="BJ74" i="59"/>
  <c r="BI74" i="59"/>
  <c r="BH74" i="59"/>
  <c r="BG74" i="59" s="1"/>
  <c r="BD74" i="59"/>
  <c r="BP73" i="59"/>
  <c r="BO73" i="59"/>
  <c r="BN73" i="59"/>
  <c r="BM73" i="59"/>
  <c r="BL73" i="59"/>
  <c r="BK73" i="59"/>
  <c r="BJ73" i="59"/>
  <c r="BI73" i="59"/>
  <c r="BH73" i="59"/>
  <c r="BD73" i="59"/>
  <c r="BP72" i="59"/>
  <c r="BO72" i="59"/>
  <c r="BN72" i="59"/>
  <c r="BM72" i="59"/>
  <c r="BL72" i="59"/>
  <c r="BK72" i="59"/>
  <c r="BJ72" i="59"/>
  <c r="BI72" i="59"/>
  <c r="BH72" i="59"/>
  <c r="BD72" i="59"/>
  <c r="BP71" i="59"/>
  <c r="BO71" i="59"/>
  <c r="BN71" i="59"/>
  <c r="BM71" i="59"/>
  <c r="BL71" i="59"/>
  <c r="BK71" i="59"/>
  <c r="BJ71" i="59"/>
  <c r="BI71" i="59"/>
  <c r="BH71" i="59"/>
  <c r="BD71" i="59"/>
  <c r="BP70" i="59"/>
  <c r="BO70" i="59"/>
  <c r="BN70" i="59"/>
  <c r="BM70" i="59"/>
  <c r="BL70" i="59"/>
  <c r="BK70" i="59"/>
  <c r="BJ70" i="59"/>
  <c r="BI70" i="59"/>
  <c r="BH70" i="59"/>
  <c r="BD70" i="59"/>
  <c r="BP69" i="59"/>
  <c r="BO69" i="59"/>
  <c r="BN69" i="59"/>
  <c r="BM69" i="59"/>
  <c r="BL69" i="59"/>
  <c r="BK69" i="59"/>
  <c r="BJ69" i="59"/>
  <c r="BI69" i="59"/>
  <c r="BH69" i="59"/>
  <c r="BD69" i="59"/>
  <c r="BP68" i="59"/>
  <c r="BO68" i="59"/>
  <c r="BN68" i="59"/>
  <c r="BM68" i="59"/>
  <c r="BL68" i="59"/>
  <c r="BK68" i="59"/>
  <c r="BS68" i="59" s="1"/>
  <c r="BJ68" i="59"/>
  <c r="BI68" i="59"/>
  <c r="BH68" i="59"/>
  <c r="BD68" i="59"/>
  <c r="BP67" i="59"/>
  <c r="BO67" i="59"/>
  <c r="BN67" i="59"/>
  <c r="BM67" i="59"/>
  <c r="BL67" i="59"/>
  <c r="BK67" i="59"/>
  <c r="BJ67" i="59"/>
  <c r="BI67" i="59"/>
  <c r="BH67" i="59"/>
  <c r="BD67" i="59"/>
  <c r="BC50" i="59"/>
  <c r="BP48" i="59"/>
  <c r="BO48" i="59"/>
  <c r="BN48" i="59"/>
  <c r="BM48" i="59"/>
  <c r="BL48" i="59"/>
  <c r="BK48" i="59"/>
  <c r="BJ48" i="59"/>
  <c r="BI48" i="59"/>
  <c r="BH48" i="59"/>
  <c r="BD48" i="59"/>
  <c r="BP47" i="59"/>
  <c r="BO47" i="59"/>
  <c r="BN47" i="59"/>
  <c r="BM47" i="59"/>
  <c r="BL47" i="59"/>
  <c r="BK47" i="59"/>
  <c r="BJ47" i="59"/>
  <c r="BX47" i="59" s="1"/>
  <c r="BI47" i="59"/>
  <c r="BH47" i="59"/>
  <c r="BD47" i="59"/>
  <c r="BP46" i="59"/>
  <c r="BO46" i="59"/>
  <c r="BN46" i="59"/>
  <c r="BM46" i="59"/>
  <c r="BL46" i="59"/>
  <c r="BK46" i="59"/>
  <c r="BJ46" i="59"/>
  <c r="BI46" i="59"/>
  <c r="BH46" i="59"/>
  <c r="BD46" i="59"/>
  <c r="BP45" i="59"/>
  <c r="BO45" i="59"/>
  <c r="BN45" i="59"/>
  <c r="BM45" i="59"/>
  <c r="BL45" i="59"/>
  <c r="BK45" i="59"/>
  <c r="BJ45" i="59"/>
  <c r="BI45" i="59"/>
  <c r="BH45" i="59"/>
  <c r="BD45" i="59"/>
  <c r="BP44" i="59"/>
  <c r="BO44" i="59"/>
  <c r="BN44" i="59"/>
  <c r="BM44" i="59"/>
  <c r="BL44" i="59"/>
  <c r="BK44" i="59"/>
  <c r="BJ44" i="59"/>
  <c r="BI44" i="59"/>
  <c r="BH44" i="59"/>
  <c r="BD44" i="59"/>
  <c r="BP43" i="59"/>
  <c r="BO43" i="59"/>
  <c r="BN43" i="59"/>
  <c r="BM43" i="59"/>
  <c r="BL43" i="59"/>
  <c r="BK43" i="59"/>
  <c r="BJ43" i="59"/>
  <c r="BI43" i="59"/>
  <c r="BH43" i="59"/>
  <c r="BD43" i="59"/>
  <c r="BP42" i="59"/>
  <c r="BO42" i="59"/>
  <c r="BN42" i="59"/>
  <c r="BM42" i="59"/>
  <c r="BL42" i="59"/>
  <c r="BK42" i="59"/>
  <c r="BJ42" i="59"/>
  <c r="BI42" i="59"/>
  <c r="BH42" i="59"/>
  <c r="BD42" i="59"/>
  <c r="BP41" i="59"/>
  <c r="BO41" i="59"/>
  <c r="BN41" i="59"/>
  <c r="BM41" i="59"/>
  <c r="BL41" i="59"/>
  <c r="BK41" i="59"/>
  <c r="BJ41" i="59"/>
  <c r="BI41" i="59"/>
  <c r="BH41" i="59"/>
  <c r="BD41" i="59"/>
  <c r="BP40" i="59"/>
  <c r="BO40" i="59"/>
  <c r="BN40" i="59"/>
  <c r="BM40" i="59"/>
  <c r="BL40" i="59"/>
  <c r="BK40" i="59"/>
  <c r="BJ40" i="59"/>
  <c r="BI40" i="59"/>
  <c r="BS40" i="59" s="1"/>
  <c r="BH40" i="59"/>
  <c r="BD40" i="59"/>
  <c r="BP39" i="59"/>
  <c r="BO39" i="59"/>
  <c r="BN39" i="59"/>
  <c r="BM39" i="59"/>
  <c r="BL39" i="59"/>
  <c r="BK39" i="59"/>
  <c r="BJ39" i="59"/>
  <c r="BI39" i="59"/>
  <c r="BH39" i="59"/>
  <c r="BD39" i="59"/>
  <c r="BP38" i="59"/>
  <c r="BO38" i="59"/>
  <c r="BN38" i="59"/>
  <c r="BM38" i="59"/>
  <c r="BL38" i="59"/>
  <c r="BK38" i="59"/>
  <c r="BJ38" i="59"/>
  <c r="BI38" i="59"/>
  <c r="BH38" i="59"/>
  <c r="BD38" i="59"/>
  <c r="BP37" i="59"/>
  <c r="BO37" i="59"/>
  <c r="BN37" i="59"/>
  <c r="BM37" i="59"/>
  <c r="BL37" i="59"/>
  <c r="BK37" i="59"/>
  <c r="BJ37" i="59"/>
  <c r="BI37" i="59"/>
  <c r="BH37" i="59"/>
  <c r="BD37" i="59"/>
  <c r="BC20" i="59"/>
  <c r="BP18" i="59"/>
  <c r="BO18" i="59"/>
  <c r="BN18" i="59"/>
  <c r="BM18" i="59"/>
  <c r="BL18" i="59"/>
  <c r="BK18" i="59"/>
  <c r="BJ18" i="59"/>
  <c r="BI18" i="59"/>
  <c r="BS18" i="59" s="1"/>
  <c r="BH18" i="59"/>
  <c r="BD18" i="59"/>
  <c r="BP17" i="59"/>
  <c r="BO17" i="59"/>
  <c r="BN17" i="59"/>
  <c r="BM17" i="59"/>
  <c r="BL17" i="59"/>
  <c r="BK17" i="59"/>
  <c r="BJ17" i="59"/>
  <c r="BI17" i="59"/>
  <c r="BH17" i="59"/>
  <c r="BD17" i="59"/>
  <c r="BP16" i="59"/>
  <c r="BO16" i="59"/>
  <c r="BN16" i="59"/>
  <c r="BM16" i="59"/>
  <c r="BX16" i="59" s="1"/>
  <c r="BL16" i="59"/>
  <c r="BK16" i="59"/>
  <c r="BJ16" i="59"/>
  <c r="BI16" i="59"/>
  <c r="BH16" i="59"/>
  <c r="BD16" i="59"/>
  <c r="BP15" i="59"/>
  <c r="BO15" i="59"/>
  <c r="BN15" i="59"/>
  <c r="BM15" i="59"/>
  <c r="BL15" i="59"/>
  <c r="BK15" i="59"/>
  <c r="BJ15" i="59"/>
  <c r="BI15" i="59"/>
  <c r="BH15" i="59"/>
  <c r="BD15" i="59"/>
  <c r="BP14" i="59"/>
  <c r="BO14" i="59"/>
  <c r="BN14" i="59"/>
  <c r="BM14" i="59"/>
  <c r="BL14" i="59"/>
  <c r="BK14" i="59"/>
  <c r="BJ14" i="59"/>
  <c r="BI14" i="59"/>
  <c r="BH14" i="59"/>
  <c r="BD14" i="59"/>
  <c r="BP13" i="59"/>
  <c r="BO13" i="59"/>
  <c r="BN13" i="59"/>
  <c r="BM13" i="59"/>
  <c r="BL13" i="59"/>
  <c r="BK13" i="59"/>
  <c r="BF13" i="59" s="1"/>
  <c r="BJ13" i="59"/>
  <c r="BI13" i="59"/>
  <c r="BH13" i="59"/>
  <c r="BD13" i="59"/>
  <c r="BP12" i="59"/>
  <c r="BO12" i="59"/>
  <c r="BN12" i="59"/>
  <c r="BM12" i="59"/>
  <c r="BL12" i="59"/>
  <c r="BK12" i="59"/>
  <c r="BJ12" i="59"/>
  <c r="BI12" i="59"/>
  <c r="BH12" i="59"/>
  <c r="BD12" i="59"/>
  <c r="BP11" i="59"/>
  <c r="BO11" i="59"/>
  <c r="BN11" i="59"/>
  <c r="BM11" i="59"/>
  <c r="BL11" i="59"/>
  <c r="BK11" i="59"/>
  <c r="BJ11" i="59"/>
  <c r="BI11" i="59"/>
  <c r="BH11" i="59"/>
  <c r="BD11" i="59"/>
  <c r="BP10" i="59"/>
  <c r="BO10" i="59"/>
  <c r="BN10" i="59"/>
  <c r="BM10" i="59"/>
  <c r="BL10" i="59"/>
  <c r="BK10" i="59"/>
  <c r="BJ10" i="59"/>
  <c r="BI10" i="59"/>
  <c r="BH10" i="59"/>
  <c r="BD10" i="59"/>
  <c r="BP9" i="59"/>
  <c r="BO9" i="59"/>
  <c r="BN9" i="59"/>
  <c r="BM9" i="59"/>
  <c r="BL9" i="59"/>
  <c r="BK9" i="59"/>
  <c r="BJ9" i="59"/>
  <c r="BI9" i="59"/>
  <c r="BH9" i="59"/>
  <c r="BD9" i="59"/>
  <c r="BP8" i="59"/>
  <c r="BO8" i="59"/>
  <c r="BN8" i="59"/>
  <c r="BM8" i="59"/>
  <c r="BS8" i="59" s="1"/>
  <c r="BL8" i="59"/>
  <c r="BK8" i="59"/>
  <c r="BJ8" i="59"/>
  <c r="BI8" i="59"/>
  <c r="BH8" i="59"/>
  <c r="BD8" i="59"/>
  <c r="BP7" i="59"/>
  <c r="BO7" i="59"/>
  <c r="BN7" i="59"/>
  <c r="BM7" i="59"/>
  <c r="BL7" i="59"/>
  <c r="BK7" i="59"/>
  <c r="BJ7" i="59"/>
  <c r="BI7" i="59"/>
  <c r="BH7" i="59"/>
  <c r="BD7" i="59"/>
  <c r="BC290" i="58"/>
  <c r="BP288" i="58"/>
  <c r="BO288" i="58"/>
  <c r="BN288" i="58"/>
  <c r="BM288" i="58"/>
  <c r="BL288" i="58"/>
  <c r="BK288" i="58"/>
  <c r="BJ288" i="58"/>
  <c r="BI288" i="58"/>
  <c r="BH288" i="58"/>
  <c r="BD288" i="58"/>
  <c r="BP287" i="58"/>
  <c r="BO287" i="58"/>
  <c r="BN287" i="58"/>
  <c r="BM287" i="58"/>
  <c r="BL287" i="58"/>
  <c r="BX287" i="58" s="1"/>
  <c r="BK287" i="58"/>
  <c r="BJ287" i="58"/>
  <c r="BI287" i="58"/>
  <c r="BH287" i="58"/>
  <c r="BD287" i="58"/>
  <c r="BP286" i="58"/>
  <c r="BO286" i="58"/>
  <c r="BN286" i="58"/>
  <c r="BM286" i="58"/>
  <c r="BL286" i="58"/>
  <c r="BK286" i="58"/>
  <c r="BJ286" i="58"/>
  <c r="BI286" i="58"/>
  <c r="BH286" i="58"/>
  <c r="BD286" i="58"/>
  <c r="BP285" i="58"/>
  <c r="BO285" i="58"/>
  <c r="BN285" i="58"/>
  <c r="BM285" i="58"/>
  <c r="BL285" i="58"/>
  <c r="BK285" i="58"/>
  <c r="BJ285" i="58"/>
  <c r="BI285" i="58"/>
  <c r="BH285" i="58"/>
  <c r="BD285" i="58"/>
  <c r="BP284" i="58"/>
  <c r="BO284" i="58"/>
  <c r="BN284" i="58"/>
  <c r="BM284" i="58"/>
  <c r="BL284" i="58"/>
  <c r="BK284" i="58"/>
  <c r="BJ284" i="58"/>
  <c r="BI284" i="58"/>
  <c r="BH284" i="58"/>
  <c r="BD284" i="58"/>
  <c r="BP283" i="58"/>
  <c r="BO283" i="58"/>
  <c r="BN283" i="58"/>
  <c r="BM283" i="58"/>
  <c r="BL283" i="58"/>
  <c r="BK283" i="58"/>
  <c r="BJ283" i="58"/>
  <c r="BI283" i="58"/>
  <c r="BH283" i="58"/>
  <c r="BD283" i="58"/>
  <c r="BP282" i="58"/>
  <c r="BO282" i="58"/>
  <c r="BN282" i="58"/>
  <c r="BM282" i="58"/>
  <c r="BL282" i="58"/>
  <c r="BK282" i="58"/>
  <c r="BJ282" i="58"/>
  <c r="BI282" i="58"/>
  <c r="BH282" i="58"/>
  <c r="BD282" i="58"/>
  <c r="BP281" i="58"/>
  <c r="BO281" i="58"/>
  <c r="BN281" i="58"/>
  <c r="BM281" i="58"/>
  <c r="BL281" i="58"/>
  <c r="BK281" i="58"/>
  <c r="BJ281" i="58"/>
  <c r="BI281" i="58"/>
  <c r="BH281" i="58"/>
  <c r="BD281" i="58"/>
  <c r="BP280" i="58"/>
  <c r="BO280" i="58"/>
  <c r="BN280" i="58"/>
  <c r="BM280" i="58"/>
  <c r="BL280" i="58"/>
  <c r="BK280" i="58"/>
  <c r="BJ280" i="58"/>
  <c r="BI280" i="58"/>
  <c r="BH280" i="58"/>
  <c r="BD280" i="58"/>
  <c r="BP279" i="58"/>
  <c r="BO279" i="58"/>
  <c r="BN279" i="58"/>
  <c r="BM279" i="58"/>
  <c r="BL279" i="58"/>
  <c r="BS279" i="58" s="1"/>
  <c r="BK279" i="58"/>
  <c r="BJ279" i="58"/>
  <c r="BI279" i="58"/>
  <c r="BH279" i="58"/>
  <c r="BD279" i="58"/>
  <c r="BP278" i="58"/>
  <c r="BO278" i="58"/>
  <c r="BN278" i="58"/>
  <c r="BM278" i="58"/>
  <c r="BL278" i="58"/>
  <c r="BK278" i="58"/>
  <c r="BJ278" i="58"/>
  <c r="BI278" i="58"/>
  <c r="BH278" i="58"/>
  <c r="BD278" i="58"/>
  <c r="BP277" i="58"/>
  <c r="BO277" i="58"/>
  <c r="BN277" i="58"/>
  <c r="BM277" i="58"/>
  <c r="BL277" i="58"/>
  <c r="BK277" i="58"/>
  <c r="BJ277" i="58"/>
  <c r="BI277" i="58"/>
  <c r="BW277" i="58" s="1"/>
  <c r="BH277" i="58"/>
  <c r="BD277" i="58"/>
  <c r="BC260" i="58"/>
  <c r="BP258" i="58"/>
  <c r="BO258" i="58"/>
  <c r="BN258" i="58"/>
  <c r="BM258" i="58"/>
  <c r="BL258" i="58"/>
  <c r="BK258" i="58"/>
  <c r="BJ258" i="58"/>
  <c r="BI258" i="58"/>
  <c r="BH258" i="58"/>
  <c r="BD258" i="58"/>
  <c r="BP257" i="58"/>
  <c r="BO257" i="58"/>
  <c r="BN257" i="58"/>
  <c r="BM257" i="58"/>
  <c r="BL257" i="58"/>
  <c r="BK257" i="58"/>
  <c r="BJ257" i="58"/>
  <c r="BI257" i="58"/>
  <c r="BH257" i="58"/>
  <c r="BD257" i="58"/>
  <c r="BP256" i="58"/>
  <c r="BO256" i="58"/>
  <c r="BN256" i="58"/>
  <c r="BM256" i="58"/>
  <c r="BL256" i="58"/>
  <c r="BK256" i="58"/>
  <c r="BJ256" i="58"/>
  <c r="BI256" i="58"/>
  <c r="BH256" i="58"/>
  <c r="BD256" i="58"/>
  <c r="BP255" i="58"/>
  <c r="BO255" i="58"/>
  <c r="BN255" i="58"/>
  <c r="BM255" i="58"/>
  <c r="BL255" i="58"/>
  <c r="BK255" i="58"/>
  <c r="BJ255" i="58"/>
  <c r="BI255" i="58"/>
  <c r="BH255" i="58"/>
  <c r="BD255" i="58"/>
  <c r="BP254" i="58"/>
  <c r="BO254" i="58"/>
  <c r="BN254" i="58"/>
  <c r="BM254" i="58"/>
  <c r="BL254" i="58"/>
  <c r="BK254" i="58"/>
  <c r="BJ254" i="58"/>
  <c r="BI254" i="58"/>
  <c r="BH254" i="58"/>
  <c r="BD254" i="58"/>
  <c r="BP253" i="58"/>
  <c r="BO253" i="58"/>
  <c r="BN253" i="58"/>
  <c r="BM253" i="58"/>
  <c r="BL253" i="58"/>
  <c r="BK253" i="58"/>
  <c r="BJ253" i="58"/>
  <c r="BI253" i="58"/>
  <c r="BH253" i="58"/>
  <c r="BD253" i="58"/>
  <c r="BP252" i="58"/>
  <c r="BO252" i="58"/>
  <c r="BN252" i="58"/>
  <c r="BM252" i="58"/>
  <c r="BL252" i="58"/>
  <c r="BK252" i="58"/>
  <c r="BJ252" i="58"/>
  <c r="BI252" i="58"/>
  <c r="BH252" i="58"/>
  <c r="BD252" i="58"/>
  <c r="BP251" i="58"/>
  <c r="BO251" i="58"/>
  <c r="BN251" i="58"/>
  <c r="BM251" i="58"/>
  <c r="BL251" i="58"/>
  <c r="BK251" i="58"/>
  <c r="BJ251" i="58"/>
  <c r="BI251" i="58"/>
  <c r="BH251" i="58"/>
  <c r="BD251" i="58"/>
  <c r="BP250" i="58"/>
  <c r="BO250" i="58"/>
  <c r="BN250" i="58"/>
  <c r="BM250" i="58"/>
  <c r="BL250" i="58"/>
  <c r="BK250" i="58"/>
  <c r="BX250" i="58" s="1"/>
  <c r="BJ250" i="58"/>
  <c r="BI250" i="58"/>
  <c r="BH250" i="58"/>
  <c r="BD250" i="58"/>
  <c r="BP249" i="58"/>
  <c r="BO249" i="58"/>
  <c r="BN249" i="58"/>
  <c r="BM249" i="58"/>
  <c r="BL249" i="58"/>
  <c r="BK249" i="58"/>
  <c r="BJ249" i="58"/>
  <c r="BI249" i="58"/>
  <c r="BH249" i="58"/>
  <c r="BD249" i="58"/>
  <c r="BP248" i="58"/>
  <c r="BO248" i="58"/>
  <c r="BN248" i="58"/>
  <c r="BM248" i="58"/>
  <c r="BL248" i="58"/>
  <c r="BK248" i="58"/>
  <c r="BJ248" i="58"/>
  <c r="BI248" i="58"/>
  <c r="BH248" i="58"/>
  <c r="BD248" i="58"/>
  <c r="BP247" i="58"/>
  <c r="BO247" i="58"/>
  <c r="BN247" i="58"/>
  <c r="BM247" i="58"/>
  <c r="BL247" i="58"/>
  <c r="BK247" i="58"/>
  <c r="BJ247" i="58"/>
  <c r="BI247" i="58"/>
  <c r="BH247" i="58"/>
  <c r="BD247" i="58"/>
  <c r="BC230" i="58"/>
  <c r="BP228" i="58"/>
  <c r="BO228" i="58"/>
  <c r="BN228" i="58"/>
  <c r="BM228" i="58"/>
  <c r="BL228" i="58"/>
  <c r="BK228" i="58"/>
  <c r="BJ228" i="58"/>
  <c r="BI228" i="58"/>
  <c r="BH228" i="58"/>
  <c r="BD228" i="58"/>
  <c r="BP227" i="58"/>
  <c r="BO227" i="58"/>
  <c r="BN227" i="58"/>
  <c r="BM227" i="58"/>
  <c r="BL227" i="58"/>
  <c r="BK227" i="58"/>
  <c r="BJ227" i="58"/>
  <c r="BI227" i="58"/>
  <c r="BH227" i="58"/>
  <c r="BD227" i="58"/>
  <c r="BP226" i="58"/>
  <c r="BO226" i="58"/>
  <c r="BN226" i="58"/>
  <c r="BM226" i="58"/>
  <c r="BL226" i="58"/>
  <c r="BK226" i="58"/>
  <c r="BJ226" i="58"/>
  <c r="BI226" i="58"/>
  <c r="BH226" i="58"/>
  <c r="BD226" i="58"/>
  <c r="BP225" i="58"/>
  <c r="BO225" i="58"/>
  <c r="BN225" i="58"/>
  <c r="BM225" i="58"/>
  <c r="BL225" i="58"/>
  <c r="BK225" i="58"/>
  <c r="BJ225" i="58"/>
  <c r="BI225" i="58"/>
  <c r="BH225" i="58"/>
  <c r="BD225" i="58"/>
  <c r="BP224" i="58"/>
  <c r="BO224" i="58"/>
  <c r="BN224" i="58"/>
  <c r="BM224" i="58"/>
  <c r="BL224" i="58"/>
  <c r="BK224" i="58"/>
  <c r="BJ224" i="58"/>
  <c r="BI224" i="58"/>
  <c r="BH224" i="58"/>
  <c r="BD224" i="58"/>
  <c r="BP223" i="58"/>
  <c r="BO223" i="58"/>
  <c r="BN223" i="58"/>
  <c r="BM223" i="58"/>
  <c r="BL223" i="58"/>
  <c r="BK223" i="58"/>
  <c r="BJ223" i="58"/>
  <c r="BI223" i="58"/>
  <c r="BH223" i="58"/>
  <c r="BD223" i="58"/>
  <c r="BP222" i="58"/>
  <c r="BO222" i="58"/>
  <c r="BN222" i="58"/>
  <c r="BM222" i="58"/>
  <c r="BL222" i="58"/>
  <c r="BK222" i="58"/>
  <c r="BJ222" i="58"/>
  <c r="BI222" i="58"/>
  <c r="BH222" i="58"/>
  <c r="BD222" i="58"/>
  <c r="BP221" i="58"/>
  <c r="BO221" i="58"/>
  <c r="BN221" i="58"/>
  <c r="BM221" i="58"/>
  <c r="BL221" i="58"/>
  <c r="BK221" i="58"/>
  <c r="BJ221" i="58"/>
  <c r="BI221" i="58"/>
  <c r="BH221" i="58"/>
  <c r="BD221" i="58"/>
  <c r="BP220" i="58"/>
  <c r="BO220" i="58"/>
  <c r="BN220" i="58"/>
  <c r="BM220" i="58"/>
  <c r="BL220" i="58"/>
  <c r="BK220" i="58"/>
  <c r="BJ220" i="58"/>
  <c r="BI220" i="58"/>
  <c r="BH220" i="58"/>
  <c r="BD220" i="58"/>
  <c r="BP219" i="58"/>
  <c r="BO219" i="58"/>
  <c r="BN219" i="58"/>
  <c r="BM219" i="58"/>
  <c r="BL219" i="58"/>
  <c r="BK219" i="58"/>
  <c r="BJ219" i="58"/>
  <c r="BI219" i="58"/>
  <c r="BH219" i="58"/>
  <c r="BD219" i="58"/>
  <c r="BP218" i="58"/>
  <c r="BO218" i="58"/>
  <c r="BN218" i="58"/>
  <c r="BM218" i="58"/>
  <c r="BL218" i="58"/>
  <c r="BK218" i="58"/>
  <c r="BJ218" i="58"/>
  <c r="BI218" i="58"/>
  <c r="BH218" i="58"/>
  <c r="BD218" i="58"/>
  <c r="BP217" i="58"/>
  <c r="BO217" i="58"/>
  <c r="BN217" i="58"/>
  <c r="BM217" i="58"/>
  <c r="BL217" i="58"/>
  <c r="BK217" i="58"/>
  <c r="BJ217" i="58"/>
  <c r="BI217" i="58"/>
  <c r="BH217" i="58"/>
  <c r="BD217" i="58"/>
  <c r="BC200" i="58"/>
  <c r="BP198" i="58"/>
  <c r="BO198" i="58"/>
  <c r="BN198" i="58"/>
  <c r="BM198" i="58"/>
  <c r="BL198" i="58"/>
  <c r="BK198" i="58"/>
  <c r="BJ198" i="58"/>
  <c r="BI198" i="58"/>
  <c r="BH198" i="58"/>
  <c r="BD198" i="58"/>
  <c r="BP197" i="58"/>
  <c r="BO197" i="58"/>
  <c r="BN197" i="58"/>
  <c r="BM197" i="58"/>
  <c r="BL197" i="58"/>
  <c r="BK197" i="58"/>
  <c r="BJ197" i="58"/>
  <c r="BI197" i="58"/>
  <c r="BH197" i="58"/>
  <c r="BD197" i="58"/>
  <c r="BP196" i="58"/>
  <c r="BO196" i="58"/>
  <c r="BN196" i="58"/>
  <c r="BM196" i="58"/>
  <c r="BL196" i="58"/>
  <c r="BK196" i="58"/>
  <c r="BJ196" i="58"/>
  <c r="BI196" i="58"/>
  <c r="BH196" i="58"/>
  <c r="BD196" i="58"/>
  <c r="BP195" i="58"/>
  <c r="BO195" i="58"/>
  <c r="BN195" i="58"/>
  <c r="BM195" i="58"/>
  <c r="BL195" i="58"/>
  <c r="BK195" i="58"/>
  <c r="BX195" i="58" s="1"/>
  <c r="BJ195" i="58"/>
  <c r="BI195" i="58"/>
  <c r="BH195" i="58"/>
  <c r="BD195" i="58"/>
  <c r="BP194" i="58"/>
  <c r="BO194" i="58"/>
  <c r="BN194" i="58"/>
  <c r="BM194" i="58"/>
  <c r="BL194" i="58"/>
  <c r="BK194" i="58"/>
  <c r="BJ194" i="58"/>
  <c r="BI194" i="58"/>
  <c r="BH194" i="58"/>
  <c r="BD194" i="58"/>
  <c r="BP193" i="58"/>
  <c r="BO193" i="58"/>
  <c r="BN193" i="58"/>
  <c r="BM193" i="58"/>
  <c r="BL193" i="58"/>
  <c r="BK193" i="58"/>
  <c r="BJ193" i="58"/>
  <c r="BI193" i="58"/>
  <c r="BH193" i="58"/>
  <c r="BD193" i="58"/>
  <c r="BP192" i="58"/>
  <c r="BO192" i="58"/>
  <c r="BN192" i="58"/>
  <c r="BM192" i="58"/>
  <c r="BL192" i="58"/>
  <c r="BK192" i="58"/>
  <c r="BJ192" i="58"/>
  <c r="BI192" i="58"/>
  <c r="BH192" i="58"/>
  <c r="BD192" i="58"/>
  <c r="BP191" i="58"/>
  <c r="BO191" i="58"/>
  <c r="BN191" i="58"/>
  <c r="BM191" i="58"/>
  <c r="BL191" i="58"/>
  <c r="BK191" i="58"/>
  <c r="BJ191" i="58"/>
  <c r="BI191" i="58"/>
  <c r="BH191" i="58"/>
  <c r="BD191" i="58"/>
  <c r="BP190" i="58"/>
  <c r="BO190" i="58"/>
  <c r="BN190" i="58"/>
  <c r="BM190" i="58"/>
  <c r="BL190" i="58"/>
  <c r="BK190" i="58"/>
  <c r="BJ190" i="58"/>
  <c r="BI190" i="58"/>
  <c r="BH190" i="58"/>
  <c r="BD190" i="58"/>
  <c r="BP189" i="58"/>
  <c r="BO189" i="58"/>
  <c r="BN189" i="58"/>
  <c r="BM189" i="58"/>
  <c r="BL189" i="58"/>
  <c r="BK189" i="58"/>
  <c r="BJ189" i="58"/>
  <c r="BI189" i="58"/>
  <c r="BH189" i="58"/>
  <c r="BD189" i="58"/>
  <c r="BP188" i="58"/>
  <c r="BO188" i="58"/>
  <c r="BN188" i="58"/>
  <c r="BM188" i="58"/>
  <c r="BL188" i="58"/>
  <c r="BK188" i="58"/>
  <c r="BJ188" i="58"/>
  <c r="BI188" i="58"/>
  <c r="BH188" i="58"/>
  <c r="BD188" i="58"/>
  <c r="BP187" i="58"/>
  <c r="BO187" i="58"/>
  <c r="BN187" i="58"/>
  <c r="BM187" i="58"/>
  <c r="BL187" i="58"/>
  <c r="BK187" i="58"/>
  <c r="BJ187" i="58"/>
  <c r="BI187" i="58"/>
  <c r="BH187" i="58"/>
  <c r="BD187" i="58"/>
  <c r="BC170" i="58"/>
  <c r="BP168" i="58"/>
  <c r="BO168" i="58"/>
  <c r="BN168" i="58"/>
  <c r="BM168" i="58"/>
  <c r="BL168" i="58"/>
  <c r="BK168" i="58"/>
  <c r="BJ168" i="58"/>
  <c r="BI168" i="58"/>
  <c r="BH168" i="58"/>
  <c r="BD168" i="58"/>
  <c r="BP167" i="58"/>
  <c r="BO167" i="58"/>
  <c r="BN167" i="58"/>
  <c r="BM167" i="58"/>
  <c r="BL167" i="58"/>
  <c r="BK167" i="58"/>
  <c r="BJ167" i="58"/>
  <c r="BI167" i="58"/>
  <c r="BH167" i="58"/>
  <c r="BD167" i="58"/>
  <c r="BP166" i="58"/>
  <c r="BO166" i="58"/>
  <c r="BN166" i="58"/>
  <c r="BM166" i="58"/>
  <c r="BL166" i="58"/>
  <c r="BK166" i="58"/>
  <c r="BJ166" i="58"/>
  <c r="BI166" i="58"/>
  <c r="BH166" i="58"/>
  <c r="BD166" i="58"/>
  <c r="BP165" i="58"/>
  <c r="BO165" i="58"/>
  <c r="BN165" i="58"/>
  <c r="BM165" i="58"/>
  <c r="BL165" i="58"/>
  <c r="BK165" i="58"/>
  <c r="BJ165" i="58"/>
  <c r="BI165" i="58"/>
  <c r="BH165" i="58"/>
  <c r="BD165" i="58"/>
  <c r="BP164" i="58"/>
  <c r="BO164" i="58"/>
  <c r="BN164" i="58"/>
  <c r="BM164" i="58"/>
  <c r="BL164" i="58"/>
  <c r="BK164" i="58"/>
  <c r="BJ164" i="58"/>
  <c r="BI164" i="58"/>
  <c r="BH164" i="58"/>
  <c r="BD164" i="58"/>
  <c r="BP163" i="58"/>
  <c r="BO163" i="58"/>
  <c r="BN163" i="58"/>
  <c r="BM163" i="58"/>
  <c r="BL163" i="58"/>
  <c r="BK163" i="58"/>
  <c r="BJ163" i="58"/>
  <c r="BI163" i="58"/>
  <c r="BH163" i="58"/>
  <c r="BD163" i="58"/>
  <c r="BP162" i="58"/>
  <c r="BO162" i="58"/>
  <c r="BN162" i="58"/>
  <c r="BM162" i="58"/>
  <c r="BL162" i="58"/>
  <c r="BK162" i="58"/>
  <c r="BJ162" i="58"/>
  <c r="BI162" i="58"/>
  <c r="BH162" i="58"/>
  <c r="BD162" i="58"/>
  <c r="BP161" i="58"/>
  <c r="BO161" i="58"/>
  <c r="BN161" i="58"/>
  <c r="BM161" i="58"/>
  <c r="BL161" i="58"/>
  <c r="BK161" i="58"/>
  <c r="BJ161" i="58"/>
  <c r="BI161" i="58"/>
  <c r="BH161" i="58"/>
  <c r="BD161" i="58"/>
  <c r="BP160" i="58"/>
  <c r="BO160" i="58"/>
  <c r="BN160" i="58"/>
  <c r="BM160" i="58"/>
  <c r="BL160" i="58"/>
  <c r="BK160" i="58"/>
  <c r="BJ160" i="58"/>
  <c r="BI160" i="58"/>
  <c r="BH160" i="58"/>
  <c r="BD160" i="58"/>
  <c r="BP159" i="58"/>
  <c r="BO159" i="58"/>
  <c r="BN159" i="58"/>
  <c r="BM159" i="58"/>
  <c r="BL159" i="58"/>
  <c r="BK159" i="58"/>
  <c r="BJ159" i="58"/>
  <c r="BI159" i="58"/>
  <c r="BH159" i="58"/>
  <c r="BD159" i="58"/>
  <c r="BP158" i="58"/>
  <c r="BO158" i="58"/>
  <c r="BN158" i="58"/>
  <c r="BM158" i="58"/>
  <c r="BL158" i="58"/>
  <c r="BK158" i="58"/>
  <c r="BJ158" i="58"/>
  <c r="BI158" i="58"/>
  <c r="BH158" i="58"/>
  <c r="BD158" i="58"/>
  <c r="BP157" i="58"/>
  <c r="BO157" i="58"/>
  <c r="BN157" i="58"/>
  <c r="BM157" i="58"/>
  <c r="BL157" i="58"/>
  <c r="BK157" i="58"/>
  <c r="BJ157" i="58"/>
  <c r="BI157" i="58"/>
  <c r="BH157" i="58"/>
  <c r="BD157" i="58"/>
  <c r="BC140" i="58"/>
  <c r="BP138" i="58"/>
  <c r="BO138" i="58"/>
  <c r="BN138" i="58"/>
  <c r="BM138" i="58"/>
  <c r="BL138" i="58"/>
  <c r="BK138" i="58"/>
  <c r="BJ138" i="58"/>
  <c r="BI138" i="58"/>
  <c r="BH138" i="58"/>
  <c r="BD138" i="58"/>
  <c r="BP137" i="58"/>
  <c r="BO137" i="58"/>
  <c r="BN137" i="58"/>
  <c r="BM137" i="58"/>
  <c r="BL137" i="58"/>
  <c r="BK137" i="58"/>
  <c r="BJ137" i="58"/>
  <c r="BI137" i="58"/>
  <c r="BW137" i="58" s="1"/>
  <c r="BH137" i="58"/>
  <c r="BD137" i="58"/>
  <c r="BP136" i="58"/>
  <c r="BO136" i="58"/>
  <c r="BN136" i="58"/>
  <c r="BM136" i="58"/>
  <c r="BL136" i="58"/>
  <c r="BK136" i="58"/>
  <c r="BJ136" i="58"/>
  <c r="BI136" i="58"/>
  <c r="BH136" i="58"/>
  <c r="BD136" i="58"/>
  <c r="BP135" i="58"/>
  <c r="BO135" i="58"/>
  <c r="BN135" i="58"/>
  <c r="BM135" i="58"/>
  <c r="BL135" i="58"/>
  <c r="BK135" i="58"/>
  <c r="BJ135" i="58"/>
  <c r="BI135" i="58"/>
  <c r="BH135" i="58"/>
  <c r="BD135" i="58"/>
  <c r="BP134" i="58"/>
  <c r="BO134" i="58"/>
  <c r="BN134" i="58"/>
  <c r="BM134" i="58"/>
  <c r="BL134" i="58"/>
  <c r="BK134" i="58"/>
  <c r="BJ134" i="58"/>
  <c r="BI134" i="58"/>
  <c r="BH134" i="58"/>
  <c r="BD134" i="58"/>
  <c r="BP133" i="58"/>
  <c r="BO133" i="58"/>
  <c r="BN133" i="58"/>
  <c r="BM133" i="58"/>
  <c r="BL133" i="58"/>
  <c r="BK133" i="58"/>
  <c r="BJ133" i="58"/>
  <c r="BI133" i="58"/>
  <c r="BH133" i="58"/>
  <c r="BD133" i="58"/>
  <c r="BP132" i="58"/>
  <c r="BO132" i="58"/>
  <c r="BN132" i="58"/>
  <c r="BM132" i="58"/>
  <c r="BL132" i="58"/>
  <c r="BK132" i="58"/>
  <c r="BJ132" i="58"/>
  <c r="BI132" i="58"/>
  <c r="BH132" i="58"/>
  <c r="BD132" i="58"/>
  <c r="BP131" i="58"/>
  <c r="BO131" i="58"/>
  <c r="BN131" i="58"/>
  <c r="BM131" i="58"/>
  <c r="BL131" i="58"/>
  <c r="BK131" i="58"/>
  <c r="BJ131" i="58"/>
  <c r="BI131" i="58"/>
  <c r="BH131" i="58"/>
  <c r="BD131" i="58"/>
  <c r="BP130" i="58"/>
  <c r="BO130" i="58"/>
  <c r="BN130" i="58"/>
  <c r="BM130" i="58"/>
  <c r="BL130" i="58"/>
  <c r="BK130" i="58"/>
  <c r="BJ130" i="58"/>
  <c r="BI130" i="58"/>
  <c r="BH130" i="58"/>
  <c r="BD130" i="58"/>
  <c r="BP129" i="58"/>
  <c r="BO129" i="58"/>
  <c r="BN129" i="58"/>
  <c r="BM129" i="58"/>
  <c r="BL129" i="58"/>
  <c r="BK129" i="58"/>
  <c r="BJ129" i="58"/>
  <c r="BI129" i="58"/>
  <c r="BH129" i="58"/>
  <c r="BD129" i="58"/>
  <c r="BP128" i="58"/>
  <c r="BO128" i="58"/>
  <c r="BN128" i="58"/>
  <c r="BM128" i="58"/>
  <c r="BL128" i="58"/>
  <c r="BK128" i="58"/>
  <c r="BJ128" i="58"/>
  <c r="BI128" i="58"/>
  <c r="BH128" i="58"/>
  <c r="BD128" i="58"/>
  <c r="BP127" i="58"/>
  <c r="BO127" i="58"/>
  <c r="BN127" i="58"/>
  <c r="BM127" i="58"/>
  <c r="BL127" i="58"/>
  <c r="BK127" i="58"/>
  <c r="BJ127" i="58"/>
  <c r="BI127" i="58"/>
  <c r="BH127" i="58"/>
  <c r="BD127" i="58"/>
  <c r="BC110" i="58"/>
  <c r="BP108" i="58"/>
  <c r="BO108" i="58"/>
  <c r="BN108" i="58"/>
  <c r="BM108" i="58"/>
  <c r="BL108" i="58"/>
  <c r="BK108" i="58"/>
  <c r="BJ108" i="58"/>
  <c r="BI108" i="58"/>
  <c r="BH108" i="58"/>
  <c r="BD108" i="58"/>
  <c r="BP107" i="58"/>
  <c r="BO107" i="58"/>
  <c r="BN107" i="58"/>
  <c r="BM107" i="58"/>
  <c r="BL107" i="58"/>
  <c r="BK107" i="58"/>
  <c r="BJ107" i="58"/>
  <c r="BI107" i="58"/>
  <c r="BH107" i="58"/>
  <c r="BD107" i="58"/>
  <c r="BP106" i="58"/>
  <c r="BO106" i="58"/>
  <c r="BN106" i="58"/>
  <c r="BM106" i="58"/>
  <c r="BL106" i="58"/>
  <c r="BK106" i="58"/>
  <c r="BJ106" i="58"/>
  <c r="BI106" i="58"/>
  <c r="BH106" i="58"/>
  <c r="BD106" i="58"/>
  <c r="BP105" i="58"/>
  <c r="BO105" i="58"/>
  <c r="BN105" i="58"/>
  <c r="BM105" i="58"/>
  <c r="BL105" i="58"/>
  <c r="BK105" i="58"/>
  <c r="BJ105" i="58"/>
  <c r="BI105" i="58"/>
  <c r="BH105" i="58"/>
  <c r="BD105" i="58"/>
  <c r="BP104" i="58"/>
  <c r="BO104" i="58"/>
  <c r="BN104" i="58"/>
  <c r="BM104" i="58"/>
  <c r="BL104" i="58"/>
  <c r="BK104" i="58"/>
  <c r="BJ104" i="58"/>
  <c r="BI104" i="58"/>
  <c r="BX104" i="58" s="1"/>
  <c r="BH104" i="58"/>
  <c r="BD104" i="58"/>
  <c r="BP103" i="58"/>
  <c r="BO103" i="58"/>
  <c r="BN103" i="58"/>
  <c r="BM103" i="58"/>
  <c r="BL103" i="58"/>
  <c r="BK103" i="58"/>
  <c r="BJ103" i="58"/>
  <c r="BI103" i="58"/>
  <c r="BH103" i="58"/>
  <c r="BD103" i="58"/>
  <c r="BP102" i="58"/>
  <c r="BO102" i="58"/>
  <c r="BN102" i="58"/>
  <c r="BM102" i="58"/>
  <c r="BL102" i="58"/>
  <c r="BK102" i="58"/>
  <c r="BJ102" i="58"/>
  <c r="BI102" i="58"/>
  <c r="BH102" i="58"/>
  <c r="BD102" i="58"/>
  <c r="BP101" i="58"/>
  <c r="BO101" i="58"/>
  <c r="BN101" i="58"/>
  <c r="BF101" i="58" s="1"/>
  <c r="BM101" i="58"/>
  <c r="BL101" i="58"/>
  <c r="BK101" i="58"/>
  <c r="BJ101" i="58"/>
  <c r="BI101" i="58"/>
  <c r="BH101" i="58"/>
  <c r="BD101" i="58"/>
  <c r="BP100" i="58"/>
  <c r="BO100" i="58"/>
  <c r="BN100" i="58"/>
  <c r="BM100" i="58"/>
  <c r="BL100" i="58"/>
  <c r="BK100" i="58"/>
  <c r="BJ100" i="58"/>
  <c r="BI100" i="58"/>
  <c r="BH100" i="58"/>
  <c r="BX100" i="58" s="1"/>
  <c r="BD100" i="58"/>
  <c r="BP99" i="58"/>
  <c r="BO99" i="58"/>
  <c r="BN99" i="58"/>
  <c r="BM99" i="58"/>
  <c r="BL99" i="58"/>
  <c r="BK99" i="58"/>
  <c r="BJ99" i="58"/>
  <c r="BI99" i="58"/>
  <c r="BH99" i="58"/>
  <c r="BD99" i="58"/>
  <c r="BP98" i="58"/>
  <c r="BO98" i="58"/>
  <c r="BN98" i="58"/>
  <c r="BM98" i="58"/>
  <c r="BL98" i="58"/>
  <c r="BK98" i="58"/>
  <c r="BJ98" i="58"/>
  <c r="BI98" i="58"/>
  <c r="BH98" i="58"/>
  <c r="BD98" i="58"/>
  <c r="BP97" i="58"/>
  <c r="BO97" i="58"/>
  <c r="BN97" i="58"/>
  <c r="BM97" i="58"/>
  <c r="BL97" i="58"/>
  <c r="BK97" i="58"/>
  <c r="BJ97" i="58"/>
  <c r="BI97" i="58"/>
  <c r="BH97" i="58"/>
  <c r="BD97" i="58"/>
  <c r="BC80" i="58"/>
  <c r="BP78" i="58"/>
  <c r="BO78" i="58"/>
  <c r="BN78" i="58"/>
  <c r="BM78" i="58"/>
  <c r="BL78" i="58"/>
  <c r="BK78" i="58"/>
  <c r="BJ78" i="58"/>
  <c r="BI78" i="58"/>
  <c r="BH78" i="58"/>
  <c r="BD78" i="58"/>
  <c r="BP77" i="58"/>
  <c r="BO77" i="58"/>
  <c r="BN77" i="58"/>
  <c r="BM77" i="58"/>
  <c r="BL77" i="58"/>
  <c r="BK77" i="58"/>
  <c r="BJ77" i="58"/>
  <c r="BI77" i="58"/>
  <c r="BH77" i="58"/>
  <c r="BD77" i="58"/>
  <c r="BP76" i="58"/>
  <c r="BO76" i="58"/>
  <c r="BN76" i="58"/>
  <c r="BM76" i="58"/>
  <c r="BL76" i="58"/>
  <c r="BK76" i="58"/>
  <c r="BJ76" i="58"/>
  <c r="BI76" i="58"/>
  <c r="BH76" i="58"/>
  <c r="BD76" i="58"/>
  <c r="BP75" i="58"/>
  <c r="BO75" i="58"/>
  <c r="BN75" i="58"/>
  <c r="BM75" i="58"/>
  <c r="BL75" i="58"/>
  <c r="BK75" i="58"/>
  <c r="BJ75" i="58"/>
  <c r="BI75" i="58"/>
  <c r="BH75" i="58"/>
  <c r="BD75" i="58"/>
  <c r="BP74" i="58"/>
  <c r="BO74" i="58"/>
  <c r="BN74" i="58"/>
  <c r="BM74" i="58"/>
  <c r="BL74" i="58"/>
  <c r="BK74" i="58"/>
  <c r="BJ74" i="58"/>
  <c r="BI74" i="58"/>
  <c r="BH74" i="58"/>
  <c r="BD74" i="58"/>
  <c r="BP73" i="58"/>
  <c r="BO73" i="58"/>
  <c r="BN73" i="58"/>
  <c r="BM73" i="58"/>
  <c r="BL73" i="58"/>
  <c r="BK73" i="58"/>
  <c r="BJ73" i="58"/>
  <c r="BI73" i="58"/>
  <c r="BH73" i="58"/>
  <c r="BD73" i="58"/>
  <c r="BP72" i="58"/>
  <c r="BO72" i="58"/>
  <c r="BN72" i="58"/>
  <c r="BM72" i="58"/>
  <c r="BL72" i="58"/>
  <c r="BK72" i="58"/>
  <c r="BJ72" i="58"/>
  <c r="BI72" i="58"/>
  <c r="BH72" i="58"/>
  <c r="BD72" i="58"/>
  <c r="BP71" i="58"/>
  <c r="BO71" i="58"/>
  <c r="BN71" i="58"/>
  <c r="BM71" i="58"/>
  <c r="BL71" i="58"/>
  <c r="BK71" i="58"/>
  <c r="BJ71" i="58"/>
  <c r="BI71" i="58"/>
  <c r="BH71" i="58"/>
  <c r="BD71" i="58"/>
  <c r="BP70" i="58"/>
  <c r="BO70" i="58"/>
  <c r="BN70" i="58"/>
  <c r="BM70" i="58"/>
  <c r="BL70" i="58"/>
  <c r="BK70" i="58"/>
  <c r="BJ70" i="58"/>
  <c r="BI70" i="58"/>
  <c r="BH70" i="58"/>
  <c r="BD70" i="58"/>
  <c r="BP69" i="58"/>
  <c r="BO69" i="58"/>
  <c r="BN69" i="58"/>
  <c r="BM69" i="58"/>
  <c r="BL69" i="58"/>
  <c r="BK69" i="58"/>
  <c r="BJ69" i="58"/>
  <c r="BI69" i="58"/>
  <c r="BH69" i="58"/>
  <c r="BD69" i="58"/>
  <c r="BP68" i="58"/>
  <c r="BO68" i="58"/>
  <c r="BN68" i="58"/>
  <c r="BM68" i="58"/>
  <c r="BL68" i="58"/>
  <c r="BK68" i="58"/>
  <c r="BJ68" i="58"/>
  <c r="BI68" i="58"/>
  <c r="BH68" i="58"/>
  <c r="BD68" i="58"/>
  <c r="BP67" i="58"/>
  <c r="BO67" i="58"/>
  <c r="BN67" i="58"/>
  <c r="BM67" i="58"/>
  <c r="BL67" i="58"/>
  <c r="BK67" i="58"/>
  <c r="BJ67" i="58"/>
  <c r="BI67" i="58"/>
  <c r="BH67" i="58"/>
  <c r="BD67" i="58"/>
  <c r="BC50" i="58"/>
  <c r="BP48" i="58"/>
  <c r="BO48" i="58"/>
  <c r="BN48" i="58"/>
  <c r="BM48" i="58"/>
  <c r="BL48" i="58"/>
  <c r="BK48" i="58"/>
  <c r="BJ48" i="58"/>
  <c r="BI48" i="58"/>
  <c r="BH48" i="58"/>
  <c r="BD48" i="58"/>
  <c r="BP47" i="58"/>
  <c r="BO47" i="58"/>
  <c r="BN47" i="58"/>
  <c r="BM47" i="58"/>
  <c r="BL47" i="58"/>
  <c r="BK47" i="58"/>
  <c r="BJ47" i="58"/>
  <c r="BI47" i="58"/>
  <c r="BH47" i="58"/>
  <c r="BD47" i="58"/>
  <c r="BP46" i="58"/>
  <c r="BO46" i="58"/>
  <c r="BN46" i="58"/>
  <c r="BX46" i="58" s="1"/>
  <c r="BM46" i="58"/>
  <c r="BL46" i="58"/>
  <c r="BK46" i="58"/>
  <c r="BJ46" i="58"/>
  <c r="BI46" i="58"/>
  <c r="BH46" i="58"/>
  <c r="BD46" i="58"/>
  <c r="BP45" i="58"/>
  <c r="BO45" i="58"/>
  <c r="BN45" i="58"/>
  <c r="BM45" i="58"/>
  <c r="BL45" i="58"/>
  <c r="BK45" i="58"/>
  <c r="BJ45" i="58"/>
  <c r="BI45" i="58"/>
  <c r="BH45" i="58"/>
  <c r="BD45" i="58"/>
  <c r="BP44" i="58"/>
  <c r="BO44" i="58"/>
  <c r="BN44" i="58"/>
  <c r="BM44" i="58"/>
  <c r="BL44" i="58"/>
  <c r="BK44" i="58"/>
  <c r="BJ44" i="58"/>
  <c r="BI44" i="58"/>
  <c r="BH44" i="58"/>
  <c r="BD44" i="58"/>
  <c r="BP43" i="58"/>
  <c r="BO43" i="58"/>
  <c r="BN43" i="58"/>
  <c r="BM43" i="58"/>
  <c r="BL43" i="58"/>
  <c r="BF43" i="58" s="1"/>
  <c r="BK43" i="58"/>
  <c r="BJ43" i="58"/>
  <c r="BI43" i="58"/>
  <c r="BH43" i="58"/>
  <c r="BD43" i="58"/>
  <c r="BP42" i="58"/>
  <c r="BO42" i="58"/>
  <c r="BN42" i="58"/>
  <c r="BM42" i="58"/>
  <c r="BL42" i="58"/>
  <c r="BK42" i="58"/>
  <c r="BJ42" i="58"/>
  <c r="BI42" i="58"/>
  <c r="BH42" i="58"/>
  <c r="BD42" i="58"/>
  <c r="BP41" i="58"/>
  <c r="BO41" i="58"/>
  <c r="BN41" i="58"/>
  <c r="BM41" i="58"/>
  <c r="BL41" i="58"/>
  <c r="BK41" i="58"/>
  <c r="BJ41" i="58"/>
  <c r="BI41" i="58"/>
  <c r="BF41" i="58" s="1"/>
  <c r="BH41" i="58"/>
  <c r="BD41" i="58"/>
  <c r="BP40" i="58"/>
  <c r="BO40" i="58"/>
  <c r="BN40" i="58"/>
  <c r="BM40" i="58"/>
  <c r="BL40" i="58"/>
  <c r="BK40" i="58"/>
  <c r="BJ40" i="58"/>
  <c r="BI40" i="58"/>
  <c r="BH40" i="58"/>
  <c r="BD40" i="58"/>
  <c r="BP39" i="58"/>
  <c r="BO39" i="58"/>
  <c r="BN39" i="58"/>
  <c r="BM39" i="58"/>
  <c r="BL39" i="58"/>
  <c r="BK39" i="58"/>
  <c r="BJ39" i="58"/>
  <c r="BI39" i="58"/>
  <c r="BH39" i="58"/>
  <c r="BD39" i="58"/>
  <c r="BP38" i="58"/>
  <c r="BO38" i="58"/>
  <c r="BN38" i="58"/>
  <c r="BX38" i="58" s="1"/>
  <c r="BM38" i="58"/>
  <c r="BL38" i="58"/>
  <c r="BK38" i="58"/>
  <c r="BJ38" i="58"/>
  <c r="BI38" i="58"/>
  <c r="BH38" i="58"/>
  <c r="BD38" i="58"/>
  <c r="BP37" i="58"/>
  <c r="BO37" i="58"/>
  <c r="BN37" i="58"/>
  <c r="BM37" i="58"/>
  <c r="BL37" i="58"/>
  <c r="BK37" i="58"/>
  <c r="BJ37" i="58"/>
  <c r="BI37" i="58"/>
  <c r="BH37" i="58"/>
  <c r="BD37" i="58"/>
  <c r="BC20" i="58"/>
  <c r="BP18" i="58"/>
  <c r="BO18" i="58"/>
  <c r="BN18" i="58"/>
  <c r="BM18" i="58"/>
  <c r="BL18" i="58"/>
  <c r="BK18" i="58"/>
  <c r="BJ18" i="58"/>
  <c r="BI18" i="58"/>
  <c r="BH18" i="58"/>
  <c r="BD18" i="58"/>
  <c r="BP17" i="58"/>
  <c r="BO17" i="58"/>
  <c r="BN17" i="58"/>
  <c r="BM17" i="58"/>
  <c r="BL17" i="58"/>
  <c r="BK17" i="58"/>
  <c r="BJ17" i="58"/>
  <c r="BI17" i="58"/>
  <c r="BH17" i="58"/>
  <c r="BD17" i="58"/>
  <c r="BP16" i="58"/>
  <c r="BO16" i="58"/>
  <c r="BN16" i="58"/>
  <c r="BM16" i="58"/>
  <c r="BL16" i="58"/>
  <c r="BK16" i="58"/>
  <c r="BJ16" i="58"/>
  <c r="BI16" i="58"/>
  <c r="BH16" i="58"/>
  <c r="BD16" i="58"/>
  <c r="BP15" i="58"/>
  <c r="BO15" i="58"/>
  <c r="BN15" i="58"/>
  <c r="BM15" i="58"/>
  <c r="BL15" i="58"/>
  <c r="BK15" i="58"/>
  <c r="BJ15" i="58"/>
  <c r="BI15" i="58"/>
  <c r="BH15" i="58"/>
  <c r="BD15" i="58"/>
  <c r="BP14" i="58"/>
  <c r="BO14" i="58"/>
  <c r="BN14" i="58"/>
  <c r="BM14" i="58"/>
  <c r="BL14" i="58"/>
  <c r="BK14" i="58"/>
  <c r="BJ14" i="58"/>
  <c r="BI14" i="58"/>
  <c r="BH14" i="58"/>
  <c r="BD14" i="58"/>
  <c r="BP13" i="58"/>
  <c r="BO13" i="58"/>
  <c r="BN13" i="58"/>
  <c r="BM13" i="58"/>
  <c r="BL13" i="58"/>
  <c r="BK13" i="58"/>
  <c r="BJ13" i="58"/>
  <c r="BI13" i="58"/>
  <c r="BH13" i="58"/>
  <c r="BD13" i="58"/>
  <c r="BP12" i="58"/>
  <c r="BO12" i="58"/>
  <c r="BN12" i="58"/>
  <c r="BM12" i="58"/>
  <c r="BL12" i="58"/>
  <c r="BK12" i="58"/>
  <c r="BJ12" i="58"/>
  <c r="BI12" i="58"/>
  <c r="BH12" i="58"/>
  <c r="BD12" i="58"/>
  <c r="BP11" i="58"/>
  <c r="BO11" i="58"/>
  <c r="BN11" i="58"/>
  <c r="BM11" i="58"/>
  <c r="BL11" i="58"/>
  <c r="BK11" i="58"/>
  <c r="BJ11" i="58"/>
  <c r="BI11" i="58"/>
  <c r="BH11" i="58"/>
  <c r="BD11" i="58"/>
  <c r="BP10" i="58"/>
  <c r="BO10" i="58"/>
  <c r="BN10" i="58"/>
  <c r="BM10" i="58"/>
  <c r="BL10" i="58"/>
  <c r="BK10" i="58"/>
  <c r="BJ10" i="58"/>
  <c r="BI10" i="58"/>
  <c r="BH10" i="58"/>
  <c r="BD10" i="58"/>
  <c r="BP9" i="58"/>
  <c r="BO9" i="58"/>
  <c r="BN9" i="58"/>
  <c r="BM9" i="58"/>
  <c r="BL9" i="58"/>
  <c r="BK9" i="58"/>
  <c r="BJ9" i="58"/>
  <c r="BI9" i="58"/>
  <c r="BH9" i="58"/>
  <c r="BD9" i="58"/>
  <c r="BP8" i="58"/>
  <c r="BO8" i="58"/>
  <c r="BN8" i="58"/>
  <c r="BM8" i="58"/>
  <c r="BL8" i="58"/>
  <c r="BK8" i="58"/>
  <c r="BJ8" i="58"/>
  <c r="BI8" i="58"/>
  <c r="BH8" i="58"/>
  <c r="BD8" i="58"/>
  <c r="BP7" i="58"/>
  <c r="BO7" i="58"/>
  <c r="BN7" i="58"/>
  <c r="BM7" i="58"/>
  <c r="BL7" i="58"/>
  <c r="BK7" i="58"/>
  <c r="BJ7" i="58"/>
  <c r="BI7" i="58"/>
  <c r="BH7" i="58"/>
  <c r="BD7" i="58"/>
  <c r="BC290" i="57"/>
  <c r="BP288" i="57"/>
  <c r="BO288" i="57"/>
  <c r="BN288" i="57"/>
  <c r="BM288" i="57"/>
  <c r="BL288" i="57"/>
  <c r="BF288" i="57" s="1"/>
  <c r="BK288" i="57"/>
  <c r="BJ288" i="57"/>
  <c r="BI288" i="57"/>
  <c r="BH288" i="57"/>
  <c r="BD288" i="57"/>
  <c r="BP287" i="57"/>
  <c r="BO287" i="57"/>
  <c r="BN287" i="57"/>
  <c r="BM287" i="57"/>
  <c r="BL287" i="57"/>
  <c r="BW287" i="57" s="1"/>
  <c r="BK287" i="57"/>
  <c r="BJ287" i="57"/>
  <c r="BI287" i="57"/>
  <c r="BH287" i="57"/>
  <c r="BD287" i="57"/>
  <c r="BP286" i="57"/>
  <c r="BO286" i="57"/>
  <c r="BN286" i="57"/>
  <c r="BM286" i="57"/>
  <c r="BL286" i="57"/>
  <c r="BK286" i="57"/>
  <c r="BJ286" i="57"/>
  <c r="BI286" i="57"/>
  <c r="BF286" i="57" s="1"/>
  <c r="BH286" i="57"/>
  <c r="BD286" i="57"/>
  <c r="BP285" i="57"/>
  <c r="BO285" i="57"/>
  <c r="BN285" i="57"/>
  <c r="BM285" i="57"/>
  <c r="BL285" i="57"/>
  <c r="BK285" i="57"/>
  <c r="BJ285" i="57"/>
  <c r="BI285" i="57"/>
  <c r="BH285" i="57"/>
  <c r="BD285" i="57"/>
  <c r="BP284" i="57"/>
  <c r="BO284" i="57"/>
  <c r="BN284" i="57"/>
  <c r="BM284" i="57"/>
  <c r="BL284" i="57"/>
  <c r="BK284" i="57"/>
  <c r="BJ284" i="57"/>
  <c r="BI284" i="57"/>
  <c r="BH284" i="57"/>
  <c r="BD284" i="57"/>
  <c r="BP283" i="57"/>
  <c r="BO283" i="57"/>
  <c r="BN283" i="57"/>
  <c r="BM283" i="57"/>
  <c r="BL283" i="57"/>
  <c r="BG283" i="57" s="1"/>
  <c r="BK283" i="57"/>
  <c r="BJ283" i="57"/>
  <c r="BI283" i="57"/>
  <c r="BH283" i="57"/>
  <c r="BD283" i="57"/>
  <c r="BP282" i="57"/>
  <c r="BO282" i="57"/>
  <c r="BN282" i="57"/>
  <c r="BM282" i="57"/>
  <c r="BL282" i="57"/>
  <c r="BK282" i="57"/>
  <c r="BJ282" i="57"/>
  <c r="BI282" i="57"/>
  <c r="BH282" i="57"/>
  <c r="BD282" i="57"/>
  <c r="BP281" i="57"/>
  <c r="BX281" i="57" s="1"/>
  <c r="BO281" i="57"/>
  <c r="BN281" i="57"/>
  <c r="BM281" i="57"/>
  <c r="BL281" i="57"/>
  <c r="BK281" i="57"/>
  <c r="BJ281" i="57"/>
  <c r="BI281" i="57"/>
  <c r="BH281" i="57"/>
  <c r="BD281" i="57"/>
  <c r="BP280" i="57"/>
  <c r="BO280" i="57"/>
  <c r="BN280" i="57"/>
  <c r="BG280" i="57" s="1"/>
  <c r="BM280" i="57"/>
  <c r="BL280" i="57"/>
  <c r="BK280" i="57"/>
  <c r="BJ280" i="57"/>
  <c r="BF280" i="57" s="1"/>
  <c r="BI280" i="57"/>
  <c r="BH280" i="57"/>
  <c r="BD280" i="57"/>
  <c r="BP279" i="57"/>
  <c r="BO279" i="57"/>
  <c r="BN279" i="57"/>
  <c r="BM279" i="57"/>
  <c r="BL279" i="57"/>
  <c r="BK279" i="57"/>
  <c r="BJ279" i="57"/>
  <c r="BI279" i="57"/>
  <c r="BH279" i="57"/>
  <c r="BD279" i="57"/>
  <c r="BP278" i="57"/>
  <c r="BX278" i="57" s="1"/>
  <c r="BO278" i="57"/>
  <c r="BN278" i="57"/>
  <c r="BG278" i="57" s="1"/>
  <c r="BM278" i="57"/>
  <c r="BL278" i="57"/>
  <c r="BK278" i="57"/>
  <c r="BJ278" i="57"/>
  <c r="BI278" i="57"/>
  <c r="BH278" i="57"/>
  <c r="BD278" i="57"/>
  <c r="BP277" i="57"/>
  <c r="BO277" i="57"/>
  <c r="BN277" i="57"/>
  <c r="BM277" i="57"/>
  <c r="BL277" i="57"/>
  <c r="BK277" i="57"/>
  <c r="BJ277" i="57"/>
  <c r="BI277" i="57"/>
  <c r="BH277" i="57"/>
  <c r="BG277" i="57" s="1"/>
  <c r="BD277" i="57"/>
  <c r="BC260" i="57"/>
  <c r="BP258" i="57"/>
  <c r="BO258" i="57"/>
  <c r="BN258" i="57"/>
  <c r="BM258" i="57"/>
  <c r="BL258" i="57"/>
  <c r="BK258" i="57"/>
  <c r="BJ258" i="57"/>
  <c r="BI258" i="57"/>
  <c r="BH258" i="57"/>
  <c r="BD258" i="57"/>
  <c r="BP257" i="57"/>
  <c r="BO257" i="57"/>
  <c r="BN257" i="57"/>
  <c r="BS257" i="57" s="1"/>
  <c r="BM257" i="57"/>
  <c r="BG257" i="57" s="1"/>
  <c r="BL257" i="57"/>
  <c r="BK257" i="57"/>
  <c r="BJ257" i="57"/>
  <c r="BI257" i="57"/>
  <c r="BH257" i="57"/>
  <c r="BD257" i="57"/>
  <c r="BP256" i="57"/>
  <c r="BO256" i="57"/>
  <c r="BN256" i="57"/>
  <c r="BM256" i="57"/>
  <c r="BL256" i="57"/>
  <c r="BK256" i="57"/>
  <c r="BJ256" i="57"/>
  <c r="BI256" i="57"/>
  <c r="BH256" i="57"/>
  <c r="BW256" i="57" s="1"/>
  <c r="BD256" i="57"/>
  <c r="BP255" i="57"/>
  <c r="BO255" i="57"/>
  <c r="BN255" i="57"/>
  <c r="BM255" i="57"/>
  <c r="BL255" i="57"/>
  <c r="BK255" i="57"/>
  <c r="BJ255" i="57"/>
  <c r="BI255" i="57"/>
  <c r="BH255" i="57"/>
  <c r="BD255" i="57"/>
  <c r="BP254" i="57"/>
  <c r="BO254" i="57"/>
  <c r="BN254" i="57"/>
  <c r="BM254" i="57"/>
  <c r="BL254" i="57"/>
  <c r="BK254" i="57"/>
  <c r="BJ254" i="57"/>
  <c r="BI254" i="57"/>
  <c r="BH254" i="57"/>
  <c r="BD254" i="57"/>
  <c r="BP253" i="57"/>
  <c r="BO253" i="57"/>
  <c r="BN253" i="57"/>
  <c r="BM253" i="57"/>
  <c r="BL253" i="57"/>
  <c r="BK253" i="57"/>
  <c r="BJ253" i="57"/>
  <c r="BI253" i="57"/>
  <c r="BH253" i="57"/>
  <c r="BD253" i="57"/>
  <c r="BP252" i="57"/>
  <c r="BO252" i="57"/>
  <c r="BN252" i="57"/>
  <c r="BM252" i="57"/>
  <c r="BL252" i="57"/>
  <c r="BK252" i="57"/>
  <c r="BJ252" i="57"/>
  <c r="BI252" i="57"/>
  <c r="BH252" i="57"/>
  <c r="BD252" i="57"/>
  <c r="BP251" i="57"/>
  <c r="BO251" i="57"/>
  <c r="BN251" i="57"/>
  <c r="BM251" i="57"/>
  <c r="BL251" i="57"/>
  <c r="BK251" i="57"/>
  <c r="BG251" i="57" s="1"/>
  <c r="BJ251" i="57"/>
  <c r="BX251" i="57" s="1"/>
  <c r="BI251" i="57"/>
  <c r="BH251" i="57"/>
  <c r="BD251" i="57"/>
  <c r="BP250" i="57"/>
  <c r="BO250" i="57"/>
  <c r="BN250" i="57"/>
  <c r="BM250" i="57"/>
  <c r="BL250" i="57"/>
  <c r="BK250" i="57"/>
  <c r="BJ250" i="57"/>
  <c r="BI250" i="57"/>
  <c r="BH250" i="57"/>
  <c r="BD250" i="57"/>
  <c r="BP249" i="57"/>
  <c r="BO249" i="57"/>
  <c r="BN249" i="57"/>
  <c r="BM249" i="57"/>
  <c r="BL249" i="57"/>
  <c r="BK249" i="57"/>
  <c r="BJ249" i="57"/>
  <c r="BI249" i="57"/>
  <c r="BH249" i="57"/>
  <c r="BD249" i="57"/>
  <c r="BP248" i="57"/>
  <c r="BO248" i="57"/>
  <c r="BN248" i="57"/>
  <c r="BM248" i="57"/>
  <c r="BL248" i="57"/>
  <c r="BK248" i="57"/>
  <c r="BJ248" i="57"/>
  <c r="BI248" i="57"/>
  <c r="BW248" i="57" s="1"/>
  <c r="BH248" i="57"/>
  <c r="BD248" i="57"/>
  <c r="BP247" i="57"/>
  <c r="BO247" i="57"/>
  <c r="BN247" i="57"/>
  <c r="BM247" i="57"/>
  <c r="BL247" i="57"/>
  <c r="BK247" i="57"/>
  <c r="BJ247" i="57"/>
  <c r="BI247" i="57"/>
  <c r="BS247" i="57" s="1"/>
  <c r="BH247" i="57"/>
  <c r="BD247" i="57"/>
  <c r="BC230" i="57"/>
  <c r="BP228" i="57"/>
  <c r="BO228" i="57"/>
  <c r="BN228" i="57"/>
  <c r="BM228" i="57"/>
  <c r="BL228" i="57"/>
  <c r="BK228" i="57"/>
  <c r="BJ228" i="57"/>
  <c r="BI228" i="57"/>
  <c r="BH228" i="57"/>
  <c r="BD228" i="57"/>
  <c r="BP227" i="57"/>
  <c r="BO227" i="57"/>
  <c r="BN227" i="57"/>
  <c r="BM227" i="57"/>
  <c r="BL227" i="57"/>
  <c r="BK227" i="57"/>
  <c r="BJ227" i="57"/>
  <c r="BI227" i="57"/>
  <c r="BH227" i="57"/>
  <c r="BD227" i="57"/>
  <c r="BP226" i="57"/>
  <c r="BO226" i="57"/>
  <c r="BN226" i="57"/>
  <c r="BM226" i="57"/>
  <c r="BL226" i="57"/>
  <c r="BK226" i="57"/>
  <c r="BJ226" i="57"/>
  <c r="BI226" i="57"/>
  <c r="BH226" i="57"/>
  <c r="BD226" i="57"/>
  <c r="BP225" i="57"/>
  <c r="BO225" i="57"/>
  <c r="BN225" i="57"/>
  <c r="BM225" i="57"/>
  <c r="BL225" i="57"/>
  <c r="BS225" i="57" s="1"/>
  <c r="BK225" i="57"/>
  <c r="BJ225" i="57"/>
  <c r="BI225" i="57"/>
  <c r="BH225" i="57"/>
  <c r="BD225" i="57"/>
  <c r="BP224" i="57"/>
  <c r="BO224" i="57"/>
  <c r="BN224" i="57"/>
  <c r="BM224" i="57"/>
  <c r="BL224" i="57"/>
  <c r="BK224" i="57"/>
  <c r="BJ224" i="57"/>
  <c r="BI224" i="57"/>
  <c r="BH224" i="57"/>
  <c r="BD224" i="57"/>
  <c r="BP223" i="57"/>
  <c r="BO223" i="57"/>
  <c r="BN223" i="57"/>
  <c r="BM223" i="57"/>
  <c r="BL223" i="57"/>
  <c r="BK223" i="57"/>
  <c r="BJ223" i="57"/>
  <c r="BI223" i="57"/>
  <c r="BH223" i="57"/>
  <c r="BD223" i="57"/>
  <c r="BP222" i="57"/>
  <c r="BO222" i="57"/>
  <c r="BN222" i="57"/>
  <c r="BM222" i="57"/>
  <c r="BL222" i="57"/>
  <c r="BK222" i="57"/>
  <c r="BJ222" i="57"/>
  <c r="BI222" i="57"/>
  <c r="BH222" i="57"/>
  <c r="BD222" i="57"/>
  <c r="BP221" i="57"/>
  <c r="BO221" i="57"/>
  <c r="BN221" i="57"/>
  <c r="BM221" i="57"/>
  <c r="BL221" i="57"/>
  <c r="BK221" i="57"/>
  <c r="BJ221" i="57"/>
  <c r="BX221" i="57" s="1"/>
  <c r="BI221" i="57"/>
  <c r="BH221" i="57"/>
  <c r="BD221" i="57"/>
  <c r="BP220" i="57"/>
  <c r="BO220" i="57"/>
  <c r="BN220" i="57"/>
  <c r="BM220" i="57"/>
  <c r="BL220" i="57"/>
  <c r="BK220" i="57"/>
  <c r="BJ220" i="57"/>
  <c r="BI220" i="57"/>
  <c r="BH220" i="57"/>
  <c r="BS220" i="57" s="1"/>
  <c r="BD220" i="57"/>
  <c r="BP219" i="57"/>
  <c r="BO219" i="57"/>
  <c r="BN219" i="57"/>
  <c r="BM219" i="57"/>
  <c r="BL219" i="57"/>
  <c r="BK219" i="57"/>
  <c r="BJ219" i="57"/>
  <c r="BI219" i="57"/>
  <c r="BH219" i="57"/>
  <c r="BS219" i="57" s="1"/>
  <c r="BD219" i="57"/>
  <c r="BP218" i="57"/>
  <c r="BF218" i="57" s="1"/>
  <c r="BO218" i="57"/>
  <c r="BN218" i="57"/>
  <c r="BM218" i="57"/>
  <c r="BL218" i="57"/>
  <c r="BK218" i="57"/>
  <c r="BJ218" i="57"/>
  <c r="BI218" i="57"/>
  <c r="BH218" i="57"/>
  <c r="BD218" i="57"/>
  <c r="BP217" i="57"/>
  <c r="BO217" i="57"/>
  <c r="BN217" i="57"/>
  <c r="BM217" i="57"/>
  <c r="BL217" i="57"/>
  <c r="BK217" i="57"/>
  <c r="BJ217" i="57"/>
  <c r="BG217" i="57" s="1"/>
  <c r="BI217" i="57"/>
  <c r="BH217" i="57"/>
  <c r="BD217" i="57"/>
  <c r="BC200" i="57"/>
  <c r="BP198" i="57"/>
  <c r="BO198" i="57"/>
  <c r="BN198" i="57"/>
  <c r="BM198" i="57"/>
  <c r="BL198" i="57"/>
  <c r="BK198" i="57"/>
  <c r="BJ198" i="57"/>
  <c r="BI198" i="57"/>
  <c r="BH198" i="57"/>
  <c r="BD198" i="57"/>
  <c r="BP197" i="57"/>
  <c r="BO197" i="57"/>
  <c r="BN197" i="57"/>
  <c r="BM197" i="57"/>
  <c r="BL197" i="57"/>
  <c r="BK197" i="57"/>
  <c r="BJ197" i="57"/>
  <c r="BI197" i="57"/>
  <c r="BH197" i="57"/>
  <c r="BD197" i="57"/>
  <c r="BP196" i="57"/>
  <c r="BO196" i="57"/>
  <c r="BN196" i="57"/>
  <c r="BM196" i="57"/>
  <c r="BL196" i="57"/>
  <c r="BK196" i="57"/>
  <c r="BJ196" i="57"/>
  <c r="BI196" i="57"/>
  <c r="BF196" i="57" s="1"/>
  <c r="BH196" i="57"/>
  <c r="BD196" i="57"/>
  <c r="BP195" i="57"/>
  <c r="BO195" i="57"/>
  <c r="BN195" i="57"/>
  <c r="BM195" i="57"/>
  <c r="BL195" i="57"/>
  <c r="BK195" i="57"/>
  <c r="BJ195" i="57"/>
  <c r="BI195" i="57"/>
  <c r="BH195" i="57"/>
  <c r="BD195" i="57"/>
  <c r="BP194" i="57"/>
  <c r="BO194" i="57"/>
  <c r="BN194" i="57"/>
  <c r="BM194" i="57"/>
  <c r="BL194" i="57"/>
  <c r="BK194" i="57"/>
  <c r="BJ194" i="57"/>
  <c r="BI194" i="57"/>
  <c r="BH194" i="57"/>
  <c r="BD194" i="57"/>
  <c r="BP193" i="57"/>
  <c r="BO193" i="57"/>
  <c r="BN193" i="57"/>
  <c r="BM193" i="57"/>
  <c r="BL193" i="57"/>
  <c r="BK193" i="57"/>
  <c r="BJ193" i="57"/>
  <c r="BI193" i="57"/>
  <c r="BH193" i="57"/>
  <c r="BD193" i="57"/>
  <c r="BP192" i="57"/>
  <c r="BO192" i="57"/>
  <c r="BN192" i="57"/>
  <c r="BM192" i="57"/>
  <c r="BL192" i="57"/>
  <c r="BK192" i="57"/>
  <c r="BJ192" i="57"/>
  <c r="BI192" i="57"/>
  <c r="BH192" i="57"/>
  <c r="BD192" i="57"/>
  <c r="BP191" i="57"/>
  <c r="BO191" i="57"/>
  <c r="BN191" i="57"/>
  <c r="BM191" i="57"/>
  <c r="BL191" i="57"/>
  <c r="BK191" i="57"/>
  <c r="BJ191" i="57"/>
  <c r="BI191" i="57"/>
  <c r="BH191" i="57"/>
  <c r="BD191" i="57"/>
  <c r="BP190" i="57"/>
  <c r="BO190" i="57"/>
  <c r="BN190" i="57"/>
  <c r="BM190" i="57"/>
  <c r="BS190" i="57" s="1"/>
  <c r="BL190" i="57"/>
  <c r="BK190" i="57"/>
  <c r="BJ190" i="57"/>
  <c r="BI190" i="57"/>
  <c r="BH190" i="57"/>
  <c r="BD190" i="57"/>
  <c r="BP189" i="57"/>
  <c r="BO189" i="57"/>
  <c r="BN189" i="57"/>
  <c r="BM189" i="57"/>
  <c r="BL189" i="57"/>
  <c r="BK189" i="57"/>
  <c r="BJ189" i="57"/>
  <c r="BI189" i="57"/>
  <c r="BH189" i="57"/>
  <c r="BD189" i="57"/>
  <c r="BP188" i="57"/>
  <c r="BO188" i="57"/>
  <c r="BN188" i="57"/>
  <c r="BM188" i="57"/>
  <c r="BL188" i="57"/>
  <c r="BK188" i="57"/>
  <c r="BJ188" i="57"/>
  <c r="BI188" i="57"/>
  <c r="BH188" i="57"/>
  <c r="BD188" i="57"/>
  <c r="BP187" i="57"/>
  <c r="BO187" i="57"/>
  <c r="BN187" i="57"/>
  <c r="BM187" i="57"/>
  <c r="BL187" i="57"/>
  <c r="BK187" i="57"/>
  <c r="BJ187" i="57"/>
  <c r="BI187" i="57"/>
  <c r="BH187" i="57"/>
  <c r="BD187" i="57"/>
  <c r="BC170" i="57"/>
  <c r="BP168" i="57"/>
  <c r="BO168" i="57"/>
  <c r="BN168" i="57"/>
  <c r="BM168" i="57"/>
  <c r="BL168" i="57"/>
  <c r="BK168" i="57"/>
  <c r="BJ168" i="57"/>
  <c r="BI168" i="57"/>
  <c r="BG168" i="57" s="1"/>
  <c r="BH168" i="57"/>
  <c r="BD168" i="57"/>
  <c r="BP167" i="57"/>
  <c r="BO167" i="57"/>
  <c r="BN167" i="57"/>
  <c r="BM167" i="57"/>
  <c r="BL167" i="57"/>
  <c r="BK167" i="57"/>
  <c r="BJ167" i="57"/>
  <c r="BI167" i="57"/>
  <c r="BH167" i="57"/>
  <c r="BD167" i="57"/>
  <c r="BP166" i="57"/>
  <c r="BO166" i="57"/>
  <c r="BN166" i="57"/>
  <c r="BM166" i="57"/>
  <c r="BL166" i="57"/>
  <c r="BK166" i="57"/>
  <c r="BJ166" i="57"/>
  <c r="BF166" i="57" s="1"/>
  <c r="BI166" i="57"/>
  <c r="BH166" i="57"/>
  <c r="BD166" i="57"/>
  <c r="BP165" i="57"/>
  <c r="BO165" i="57"/>
  <c r="BN165" i="57"/>
  <c r="BM165" i="57"/>
  <c r="BL165" i="57"/>
  <c r="BK165" i="57"/>
  <c r="BJ165" i="57"/>
  <c r="BI165" i="57"/>
  <c r="BH165" i="57"/>
  <c r="BD165" i="57"/>
  <c r="BP164" i="57"/>
  <c r="BO164" i="57"/>
  <c r="BN164" i="57"/>
  <c r="BW164" i="57" s="1"/>
  <c r="BM164" i="57"/>
  <c r="BL164" i="57"/>
  <c r="BK164" i="57"/>
  <c r="BJ164" i="57"/>
  <c r="BI164" i="57"/>
  <c r="BH164" i="57"/>
  <c r="BD164" i="57"/>
  <c r="BP163" i="57"/>
  <c r="BO163" i="57"/>
  <c r="BN163" i="57"/>
  <c r="BM163" i="57"/>
  <c r="BL163" i="57"/>
  <c r="BK163" i="57"/>
  <c r="BJ163" i="57"/>
  <c r="BI163" i="57"/>
  <c r="BH163" i="57"/>
  <c r="BF163" i="57" s="1"/>
  <c r="BD163" i="57"/>
  <c r="BP162" i="57"/>
  <c r="BO162" i="57"/>
  <c r="BN162" i="57"/>
  <c r="BM162" i="57"/>
  <c r="BL162" i="57"/>
  <c r="BK162" i="57"/>
  <c r="BJ162" i="57"/>
  <c r="BI162" i="57"/>
  <c r="BH162" i="57"/>
  <c r="BD162" i="57"/>
  <c r="BP161" i="57"/>
  <c r="BO161" i="57"/>
  <c r="BN161" i="57"/>
  <c r="BM161" i="57"/>
  <c r="BL161" i="57"/>
  <c r="BK161" i="57"/>
  <c r="BJ161" i="57"/>
  <c r="BI161" i="57"/>
  <c r="BH161" i="57"/>
  <c r="BD161" i="57"/>
  <c r="BP160" i="57"/>
  <c r="BO160" i="57"/>
  <c r="BN160" i="57"/>
  <c r="BM160" i="57"/>
  <c r="BL160" i="57"/>
  <c r="BK160" i="57"/>
  <c r="BJ160" i="57"/>
  <c r="BI160" i="57"/>
  <c r="BW160" i="57" s="1"/>
  <c r="BH160" i="57"/>
  <c r="BD160" i="57"/>
  <c r="BP159" i="57"/>
  <c r="BO159" i="57"/>
  <c r="BN159" i="57"/>
  <c r="BM159" i="57"/>
  <c r="BL159" i="57"/>
  <c r="BK159" i="57"/>
  <c r="BJ159" i="57"/>
  <c r="BI159" i="57"/>
  <c r="BH159" i="57"/>
  <c r="BD159" i="57"/>
  <c r="BP158" i="57"/>
  <c r="BO158" i="57"/>
  <c r="BN158" i="57"/>
  <c r="BM158" i="57"/>
  <c r="BL158" i="57"/>
  <c r="BG158" i="57" s="1"/>
  <c r="BK158" i="57"/>
  <c r="BJ158" i="57"/>
  <c r="BI158" i="57"/>
  <c r="BH158" i="57"/>
  <c r="BD158" i="57"/>
  <c r="BP157" i="57"/>
  <c r="BO157" i="57"/>
  <c r="BF157" i="57" s="1"/>
  <c r="BN157" i="57"/>
  <c r="BM157" i="57"/>
  <c r="BL157" i="57"/>
  <c r="BK157" i="57"/>
  <c r="BJ157" i="57"/>
  <c r="BI157" i="57"/>
  <c r="BH157" i="57"/>
  <c r="BD157" i="57"/>
  <c r="BC140" i="57"/>
  <c r="BP138" i="57"/>
  <c r="BO138" i="57"/>
  <c r="BN138" i="57"/>
  <c r="BM138" i="57"/>
  <c r="BL138" i="57"/>
  <c r="BK138" i="57"/>
  <c r="BJ138" i="57"/>
  <c r="BI138" i="57"/>
  <c r="BS138" i="57" s="1"/>
  <c r="BH138" i="57"/>
  <c r="BD138" i="57"/>
  <c r="BP137" i="57"/>
  <c r="BO137" i="57"/>
  <c r="BN137" i="57"/>
  <c r="BM137" i="57"/>
  <c r="BL137" i="57"/>
  <c r="BK137" i="57"/>
  <c r="BJ137" i="57"/>
  <c r="BI137" i="57"/>
  <c r="BH137" i="57"/>
  <c r="BD137" i="57"/>
  <c r="BP136" i="57"/>
  <c r="BO136" i="57"/>
  <c r="BN136" i="57"/>
  <c r="BG136" i="57" s="1"/>
  <c r="BM136" i="57"/>
  <c r="BL136" i="57"/>
  <c r="BK136" i="57"/>
  <c r="BS136" i="57" s="1"/>
  <c r="BJ136" i="57"/>
  <c r="BI136" i="57"/>
  <c r="BH136" i="57"/>
  <c r="BD136" i="57"/>
  <c r="BP135" i="57"/>
  <c r="BO135" i="57"/>
  <c r="BN135" i="57"/>
  <c r="BM135" i="57"/>
  <c r="BL135" i="57"/>
  <c r="BK135" i="57"/>
  <c r="BJ135" i="57"/>
  <c r="BI135" i="57"/>
  <c r="BH135" i="57"/>
  <c r="BD135" i="57"/>
  <c r="BP134" i="57"/>
  <c r="BO134" i="57"/>
  <c r="BS134" i="57" s="1"/>
  <c r="BN134" i="57"/>
  <c r="BM134" i="57"/>
  <c r="BL134" i="57"/>
  <c r="BK134" i="57"/>
  <c r="BJ134" i="57"/>
  <c r="BI134" i="57"/>
  <c r="BH134" i="57"/>
  <c r="BD134" i="57"/>
  <c r="BP133" i="57"/>
  <c r="BO133" i="57"/>
  <c r="BN133" i="57"/>
  <c r="BM133" i="57"/>
  <c r="BL133" i="57"/>
  <c r="BK133" i="57"/>
  <c r="BJ133" i="57"/>
  <c r="BI133" i="57"/>
  <c r="BW133" i="57" s="1"/>
  <c r="BH133" i="57"/>
  <c r="BD133" i="57"/>
  <c r="BP132" i="57"/>
  <c r="BO132" i="57"/>
  <c r="BN132" i="57"/>
  <c r="BW132" i="57" s="1"/>
  <c r="BM132" i="57"/>
  <c r="BL132" i="57"/>
  <c r="BK132" i="57"/>
  <c r="BJ132" i="57"/>
  <c r="BI132" i="57"/>
  <c r="BH132" i="57"/>
  <c r="BD132" i="57"/>
  <c r="BP131" i="57"/>
  <c r="BO131" i="57"/>
  <c r="BN131" i="57"/>
  <c r="BM131" i="57"/>
  <c r="BF131" i="57" s="1"/>
  <c r="BL131" i="57"/>
  <c r="BK131" i="57"/>
  <c r="BJ131" i="57"/>
  <c r="BI131" i="57"/>
  <c r="BH131" i="57"/>
  <c r="BD131" i="57"/>
  <c r="BP130" i="57"/>
  <c r="BO130" i="57"/>
  <c r="BN130" i="57"/>
  <c r="BM130" i="57"/>
  <c r="BL130" i="57"/>
  <c r="BK130" i="57"/>
  <c r="BJ130" i="57"/>
  <c r="BI130" i="57"/>
  <c r="BH130" i="57"/>
  <c r="BW130" i="57" s="1"/>
  <c r="BD130" i="57"/>
  <c r="BP129" i="57"/>
  <c r="BO129" i="57"/>
  <c r="BN129" i="57"/>
  <c r="BM129" i="57"/>
  <c r="BL129" i="57"/>
  <c r="BK129" i="57"/>
  <c r="BJ129" i="57"/>
  <c r="BI129" i="57"/>
  <c r="BH129" i="57"/>
  <c r="BD129" i="57"/>
  <c r="BP128" i="57"/>
  <c r="BO128" i="57"/>
  <c r="BN128" i="57"/>
  <c r="BM128" i="57"/>
  <c r="BL128" i="57"/>
  <c r="BK128" i="57"/>
  <c r="BJ128" i="57"/>
  <c r="BI128" i="57"/>
  <c r="BH128" i="57"/>
  <c r="BD128" i="57"/>
  <c r="BP127" i="57"/>
  <c r="BW127" i="57" s="1"/>
  <c r="BO127" i="57"/>
  <c r="BN127" i="57"/>
  <c r="BM127" i="57"/>
  <c r="BS127" i="57" s="1"/>
  <c r="BL127" i="57"/>
  <c r="BK127" i="57"/>
  <c r="BJ127" i="57"/>
  <c r="BI127" i="57"/>
  <c r="BH127" i="57"/>
  <c r="BD127" i="57"/>
  <c r="BC110" i="57"/>
  <c r="BP108" i="57"/>
  <c r="BO108" i="57"/>
  <c r="BN108" i="57"/>
  <c r="BM108" i="57"/>
  <c r="BL108" i="57"/>
  <c r="BK108" i="57"/>
  <c r="BJ108" i="57"/>
  <c r="BI108" i="57"/>
  <c r="BH108" i="57"/>
  <c r="BD108" i="57"/>
  <c r="BP107" i="57"/>
  <c r="BO107" i="57"/>
  <c r="BN107" i="57"/>
  <c r="BM107" i="57"/>
  <c r="BL107" i="57"/>
  <c r="BF107" i="57" s="1"/>
  <c r="BK107" i="57"/>
  <c r="BJ107" i="57"/>
  <c r="BI107" i="57"/>
  <c r="BH107" i="57"/>
  <c r="BD107" i="57"/>
  <c r="BP106" i="57"/>
  <c r="BO106" i="57"/>
  <c r="BN106" i="57"/>
  <c r="BM106" i="57"/>
  <c r="BL106" i="57"/>
  <c r="BK106" i="57"/>
  <c r="BJ106" i="57"/>
  <c r="BI106" i="57"/>
  <c r="BH106" i="57"/>
  <c r="BD106" i="57"/>
  <c r="BP105" i="57"/>
  <c r="BO105" i="57"/>
  <c r="BN105" i="57"/>
  <c r="BM105" i="57"/>
  <c r="BL105" i="57"/>
  <c r="BK105" i="57"/>
  <c r="BJ105" i="57"/>
  <c r="BI105" i="57"/>
  <c r="BH105" i="57"/>
  <c r="BD105" i="57"/>
  <c r="BP104" i="57"/>
  <c r="BO104" i="57"/>
  <c r="BN104" i="57"/>
  <c r="BM104" i="57"/>
  <c r="BL104" i="57"/>
  <c r="BK104" i="57"/>
  <c r="BJ104" i="57"/>
  <c r="BI104" i="57"/>
  <c r="BH104" i="57"/>
  <c r="BD104" i="57"/>
  <c r="BP103" i="57"/>
  <c r="BO103" i="57"/>
  <c r="BN103" i="57"/>
  <c r="BM103" i="57"/>
  <c r="BL103" i="57"/>
  <c r="BK103" i="57"/>
  <c r="BJ103" i="57"/>
  <c r="BI103" i="57"/>
  <c r="BH103" i="57"/>
  <c r="BD103" i="57"/>
  <c r="BP102" i="57"/>
  <c r="BO102" i="57"/>
  <c r="BN102" i="57"/>
  <c r="BX102" i="57" s="1"/>
  <c r="BM102" i="57"/>
  <c r="BL102" i="57"/>
  <c r="BK102" i="57"/>
  <c r="BJ102" i="57"/>
  <c r="BI102" i="57"/>
  <c r="BH102" i="57"/>
  <c r="BD102" i="57"/>
  <c r="BP101" i="57"/>
  <c r="BO101" i="57"/>
  <c r="BN101" i="57"/>
  <c r="BM101" i="57"/>
  <c r="BL101" i="57"/>
  <c r="BK101" i="57"/>
  <c r="BJ101" i="57"/>
  <c r="BI101" i="57"/>
  <c r="BH101" i="57"/>
  <c r="BD101" i="57"/>
  <c r="BP100" i="57"/>
  <c r="BO100" i="57"/>
  <c r="BN100" i="57"/>
  <c r="BM100" i="57"/>
  <c r="BL100" i="57"/>
  <c r="BK100" i="57"/>
  <c r="BJ100" i="57"/>
  <c r="BI100" i="57"/>
  <c r="BH100" i="57"/>
  <c r="BD100" i="57"/>
  <c r="BP99" i="57"/>
  <c r="BO99" i="57"/>
  <c r="BN99" i="57"/>
  <c r="BM99" i="57"/>
  <c r="BL99" i="57"/>
  <c r="BK99" i="57"/>
  <c r="BJ99" i="57"/>
  <c r="BI99" i="57"/>
  <c r="BH99" i="57"/>
  <c r="BD99" i="57"/>
  <c r="BP98" i="57"/>
  <c r="BO98" i="57"/>
  <c r="BN98" i="57"/>
  <c r="BM98" i="57"/>
  <c r="BL98" i="57"/>
  <c r="BK98" i="57"/>
  <c r="BJ98" i="57"/>
  <c r="BI98" i="57"/>
  <c r="BH98" i="57"/>
  <c r="BD98" i="57"/>
  <c r="BP97" i="57"/>
  <c r="BO97" i="57"/>
  <c r="BN97" i="57"/>
  <c r="BM97" i="57"/>
  <c r="BL97" i="57"/>
  <c r="BK97" i="57"/>
  <c r="BJ97" i="57"/>
  <c r="BI97" i="57"/>
  <c r="BH97" i="57"/>
  <c r="BD97" i="57"/>
  <c r="BC80" i="57"/>
  <c r="BP78" i="57"/>
  <c r="BO78" i="57"/>
  <c r="BN78" i="57"/>
  <c r="BM78" i="57"/>
  <c r="BL78" i="57"/>
  <c r="BK78" i="57"/>
  <c r="BJ78" i="57"/>
  <c r="BI78" i="57"/>
  <c r="BH78" i="57"/>
  <c r="BD78" i="57"/>
  <c r="BP77" i="57"/>
  <c r="BO77" i="57"/>
  <c r="BN77" i="57"/>
  <c r="BM77" i="57"/>
  <c r="BL77" i="57"/>
  <c r="BK77" i="57"/>
  <c r="BJ77" i="57"/>
  <c r="BI77" i="57"/>
  <c r="BH77" i="57"/>
  <c r="BD77" i="57"/>
  <c r="BP76" i="57"/>
  <c r="BO76" i="57"/>
  <c r="BN76" i="57"/>
  <c r="BM76" i="57"/>
  <c r="BL76" i="57"/>
  <c r="BK76" i="57"/>
  <c r="BJ76" i="57"/>
  <c r="BI76" i="57"/>
  <c r="BH76" i="57"/>
  <c r="BD76" i="57"/>
  <c r="BP75" i="57"/>
  <c r="BO75" i="57"/>
  <c r="BN75" i="57"/>
  <c r="BM75" i="57"/>
  <c r="BL75" i="57"/>
  <c r="BK75" i="57"/>
  <c r="BJ75" i="57"/>
  <c r="BI75" i="57"/>
  <c r="BH75" i="57"/>
  <c r="BD75" i="57"/>
  <c r="BP74" i="57"/>
  <c r="BO74" i="57"/>
  <c r="BN74" i="57"/>
  <c r="BM74" i="57"/>
  <c r="BL74" i="57"/>
  <c r="BK74" i="57"/>
  <c r="BJ74" i="57"/>
  <c r="BI74" i="57"/>
  <c r="BW74" i="57" s="1"/>
  <c r="BH74" i="57"/>
  <c r="BD74" i="57"/>
  <c r="BP73" i="57"/>
  <c r="BO73" i="57"/>
  <c r="BN73" i="57"/>
  <c r="BM73" i="57"/>
  <c r="BL73" i="57"/>
  <c r="BK73" i="57"/>
  <c r="BJ73" i="57"/>
  <c r="BI73" i="57"/>
  <c r="BH73" i="57"/>
  <c r="BD73" i="57"/>
  <c r="BP72" i="57"/>
  <c r="BO72" i="57"/>
  <c r="BN72" i="57"/>
  <c r="BM72" i="57"/>
  <c r="BL72" i="57"/>
  <c r="BK72" i="57"/>
  <c r="BJ72" i="57"/>
  <c r="BI72" i="57"/>
  <c r="BH72" i="57"/>
  <c r="BD72" i="57"/>
  <c r="BP71" i="57"/>
  <c r="BO71" i="57"/>
  <c r="BN71" i="57"/>
  <c r="BM71" i="57"/>
  <c r="BL71" i="57"/>
  <c r="BK71" i="57"/>
  <c r="BJ71" i="57"/>
  <c r="BI71" i="57"/>
  <c r="BH71" i="57"/>
  <c r="BD71" i="57"/>
  <c r="BP70" i="57"/>
  <c r="BO70" i="57"/>
  <c r="BN70" i="57"/>
  <c r="BM70" i="57"/>
  <c r="BL70" i="57"/>
  <c r="BK70" i="57"/>
  <c r="BJ70" i="57"/>
  <c r="BI70" i="57"/>
  <c r="BG70" i="57" s="1"/>
  <c r="BH70" i="57"/>
  <c r="BD70" i="57"/>
  <c r="BP69" i="57"/>
  <c r="BO69" i="57"/>
  <c r="BN69" i="57"/>
  <c r="BM69" i="57"/>
  <c r="BL69" i="57"/>
  <c r="BK69" i="57"/>
  <c r="BJ69" i="57"/>
  <c r="BI69" i="57"/>
  <c r="BH69" i="57"/>
  <c r="BD69" i="57"/>
  <c r="BP68" i="57"/>
  <c r="BO68" i="57"/>
  <c r="BN68" i="57"/>
  <c r="BM68" i="57"/>
  <c r="BF68" i="57" s="1"/>
  <c r="BL68" i="57"/>
  <c r="BK68" i="57"/>
  <c r="BJ68" i="57"/>
  <c r="BI68" i="57"/>
  <c r="BH68" i="57"/>
  <c r="BD68" i="57"/>
  <c r="BP67" i="57"/>
  <c r="BO67" i="57"/>
  <c r="BN67" i="57"/>
  <c r="BM67" i="57"/>
  <c r="BL67" i="57"/>
  <c r="BK67" i="57"/>
  <c r="BJ67" i="57"/>
  <c r="BI67" i="57"/>
  <c r="BH67" i="57"/>
  <c r="BG67" i="57" s="1"/>
  <c r="BD67" i="57"/>
  <c r="BC50" i="57"/>
  <c r="BP48" i="57"/>
  <c r="BO48" i="57"/>
  <c r="BN48" i="57"/>
  <c r="BM48" i="57"/>
  <c r="BL48" i="57"/>
  <c r="BK48" i="57"/>
  <c r="BJ48" i="57"/>
  <c r="BI48" i="57"/>
  <c r="BH48" i="57"/>
  <c r="BD48" i="57"/>
  <c r="BP47" i="57"/>
  <c r="BO47" i="57"/>
  <c r="BN47" i="57"/>
  <c r="BF47" i="57" s="1"/>
  <c r="BM47" i="57"/>
  <c r="BL47" i="57"/>
  <c r="BK47" i="57"/>
  <c r="BJ47" i="57"/>
  <c r="BI47" i="57"/>
  <c r="BH47" i="57"/>
  <c r="BD47" i="57"/>
  <c r="BP46" i="57"/>
  <c r="BO46" i="57"/>
  <c r="BN46" i="57"/>
  <c r="BM46" i="57"/>
  <c r="BL46" i="57"/>
  <c r="BK46" i="57"/>
  <c r="BJ46" i="57"/>
  <c r="BI46" i="57"/>
  <c r="BH46" i="57"/>
  <c r="BD46" i="57"/>
  <c r="BP45" i="57"/>
  <c r="BO45" i="57"/>
  <c r="BN45" i="57"/>
  <c r="BM45" i="57"/>
  <c r="BL45" i="57"/>
  <c r="BK45" i="57"/>
  <c r="BJ45" i="57"/>
  <c r="BI45" i="57"/>
  <c r="BH45" i="57"/>
  <c r="BD45" i="57"/>
  <c r="BP44" i="57"/>
  <c r="BO44" i="57"/>
  <c r="BN44" i="57"/>
  <c r="BM44" i="57"/>
  <c r="BL44" i="57"/>
  <c r="BK44" i="57"/>
  <c r="BJ44" i="57"/>
  <c r="BI44" i="57"/>
  <c r="BH44" i="57"/>
  <c r="BD44" i="57"/>
  <c r="BP43" i="57"/>
  <c r="BO43" i="57"/>
  <c r="BN43" i="57"/>
  <c r="BM43" i="57"/>
  <c r="BL43" i="57"/>
  <c r="BX43" i="57" s="1"/>
  <c r="BK43" i="57"/>
  <c r="BJ43" i="57"/>
  <c r="BI43" i="57"/>
  <c r="BH43" i="57"/>
  <c r="BD43" i="57"/>
  <c r="BP42" i="57"/>
  <c r="BO42" i="57"/>
  <c r="BN42" i="57"/>
  <c r="BM42" i="57"/>
  <c r="BL42" i="57"/>
  <c r="BK42" i="57"/>
  <c r="BJ42" i="57"/>
  <c r="BI42" i="57"/>
  <c r="BH42" i="57"/>
  <c r="BD42" i="57"/>
  <c r="BP41" i="57"/>
  <c r="BO41" i="57"/>
  <c r="BN41" i="57"/>
  <c r="BM41" i="57"/>
  <c r="BL41" i="57"/>
  <c r="BK41" i="57"/>
  <c r="BJ41" i="57"/>
  <c r="BI41" i="57"/>
  <c r="BH41" i="57"/>
  <c r="BD41" i="57"/>
  <c r="BP40" i="57"/>
  <c r="BO40" i="57"/>
  <c r="BN40" i="57"/>
  <c r="BM40" i="57"/>
  <c r="BL40" i="57"/>
  <c r="BK40" i="57"/>
  <c r="BW40" i="57" s="1"/>
  <c r="BJ40" i="57"/>
  <c r="BF40" i="57" s="1"/>
  <c r="BI40" i="57"/>
  <c r="BH40" i="57"/>
  <c r="BD40" i="57"/>
  <c r="BP39" i="57"/>
  <c r="BO39" i="57"/>
  <c r="BN39" i="57"/>
  <c r="BW39" i="57" s="1"/>
  <c r="BM39" i="57"/>
  <c r="BL39" i="57"/>
  <c r="BK39" i="57"/>
  <c r="BJ39" i="57"/>
  <c r="BI39" i="57"/>
  <c r="BH39" i="57"/>
  <c r="BD39" i="57"/>
  <c r="BP38" i="57"/>
  <c r="BO38" i="57"/>
  <c r="BN38" i="57"/>
  <c r="BM38" i="57"/>
  <c r="BL38" i="57"/>
  <c r="BK38" i="57"/>
  <c r="BJ38" i="57"/>
  <c r="BI38" i="57"/>
  <c r="BH38" i="57"/>
  <c r="BD38" i="57"/>
  <c r="BP37" i="57"/>
  <c r="BO37" i="57"/>
  <c r="BN37" i="57"/>
  <c r="BM37" i="57"/>
  <c r="BL37" i="57"/>
  <c r="BK37" i="57"/>
  <c r="BJ37" i="57"/>
  <c r="BI37" i="57"/>
  <c r="BH37" i="57"/>
  <c r="BX37" i="57" s="1"/>
  <c r="BD37" i="57"/>
  <c r="BC20" i="57"/>
  <c r="BP18" i="57"/>
  <c r="BO18" i="57"/>
  <c r="BN18" i="57"/>
  <c r="BM18" i="57"/>
  <c r="BL18" i="57"/>
  <c r="BK18" i="57"/>
  <c r="BJ18" i="57"/>
  <c r="BI18" i="57"/>
  <c r="BH18" i="57"/>
  <c r="BD18" i="57"/>
  <c r="BP17" i="57"/>
  <c r="BO17" i="57"/>
  <c r="BN17" i="57"/>
  <c r="BM17" i="57"/>
  <c r="BL17" i="57"/>
  <c r="BK17" i="57"/>
  <c r="BJ17" i="57"/>
  <c r="BI17" i="57"/>
  <c r="BH17" i="57"/>
  <c r="BD17" i="57"/>
  <c r="BP16" i="57"/>
  <c r="BO16" i="57"/>
  <c r="BN16" i="57"/>
  <c r="BM16" i="57"/>
  <c r="BL16" i="57"/>
  <c r="BK16" i="57"/>
  <c r="BJ16" i="57"/>
  <c r="BI16" i="57"/>
  <c r="BH16" i="57"/>
  <c r="BD16" i="57"/>
  <c r="BP15" i="57"/>
  <c r="BO15" i="57"/>
  <c r="BN15" i="57"/>
  <c r="BM15" i="57"/>
  <c r="BL15" i="57"/>
  <c r="BK15" i="57"/>
  <c r="BW15" i="57" s="1"/>
  <c r="BJ15" i="57"/>
  <c r="BI15" i="57"/>
  <c r="BH15" i="57"/>
  <c r="BD15" i="57"/>
  <c r="BP14" i="57"/>
  <c r="BO14" i="57"/>
  <c r="BN14" i="57"/>
  <c r="BM14" i="57"/>
  <c r="BL14" i="57"/>
  <c r="BK14" i="57"/>
  <c r="BJ14" i="57"/>
  <c r="BI14" i="57"/>
  <c r="BH14" i="57"/>
  <c r="BD14" i="57"/>
  <c r="BP13" i="57"/>
  <c r="BO13" i="57"/>
  <c r="BN13" i="57"/>
  <c r="BM13" i="57"/>
  <c r="BL13" i="57"/>
  <c r="BK13" i="57"/>
  <c r="BJ13" i="57"/>
  <c r="BI13" i="57"/>
  <c r="BH13" i="57"/>
  <c r="BD13" i="57"/>
  <c r="BP12" i="57"/>
  <c r="BO12" i="57"/>
  <c r="BN12" i="57"/>
  <c r="BM12" i="57"/>
  <c r="BL12" i="57"/>
  <c r="BK12" i="57"/>
  <c r="BJ12" i="57"/>
  <c r="BI12" i="57"/>
  <c r="BS12" i="57" s="1"/>
  <c r="BH12" i="57"/>
  <c r="BD12" i="57"/>
  <c r="BP11" i="57"/>
  <c r="BO11" i="57"/>
  <c r="BN11" i="57"/>
  <c r="BM11" i="57"/>
  <c r="BL11" i="57"/>
  <c r="BW11" i="57" s="1"/>
  <c r="BK11" i="57"/>
  <c r="BJ11" i="57"/>
  <c r="BI11" i="57"/>
  <c r="BH11" i="57"/>
  <c r="BD11" i="57"/>
  <c r="BP10" i="57"/>
  <c r="BO10" i="57"/>
  <c r="BN10" i="57"/>
  <c r="BM10" i="57"/>
  <c r="BL10" i="57"/>
  <c r="BG10" i="57" s="1"/>
  <c r="BK10" i="57"/>
  <c r="BS10" i="57" s="1"/>
  <c r="BJ10" i="57"/>
  <c r="BI10" i="57"/>
  <c r="BH10" i="57"/>
  <c r="BD10" i="57"/>
  <c r="BP9" i="57"/>
  <c r="BO9" i="57"/>
  <c r="BN9" i="57"/>
  <c r="BM9" i="57"/>
  <c r="BL9" i="57"/>
  <c r="BK9" i="57"/>
  <c r="BJ9" i="57"/>
  <c r="BI9" i="57"/>
  <c r="BH9" i="57"/>
  <c r="BD9" i="57"/>
  <c r="BP8" i="57"/>
  <c r="BO8" i="57"/>
  <c r="BN8" i="57"/>
  <c r="BM8" i="57"/>
  <c r="BL8" i="57"/>
  <c r="BK8" i="57"/>
  <c r="BJ8" i="57"/>
  <c r="BI8" i="57"/>
  <c r="BH8" i="57"/>
  <c r="BD8" i="57"/>
  <c r="BP7" i="57"/>
  <c r="BO7" i="57"/>
  <c r="BN7" i="57"/>
  <c r="BM7" i="57"/>
  <c r="BL7" i="57"/>
  <c r="BG7" i="57" s="1"/>
  <c r="BK7" i="57"/>
  <c r="BS7" i="57" s="1"/>
  <c r="BJ7" i="57"/>
  <c r="BI7" i="57"/>
  <c r="BH7" i="57"/>
  <c r="BD7" i="57"/>
  <c r="BC290" i="55"/>
  <c r="BP288" i="55"/>
  <c r="BO288" i="55"/>
  <c r="BN288" i="55"/>
  <c r="BM288" i="55"/>
  <c r="BL288" i="55"/>
  <c r="BK288" i="55"/>
  <c r="BJ288" i="55"/>
  <c r="BI288" i="55"/>
  <c r="BH288" i="55"/>
  <c r="BD288" i="55"/>
  <c r="BP287" i="55"/>
  <c r="BO287" i="55"/>
  <c r="BN287" i="55"/>
  <c r="BM287" i="55"/>
  <c r="BL287" i="55"/>
  <c r="BK287" i="55"/>
  <c r="BJ287" i="55"/>
  <c r="BI287" i="55"/>
  <c r="BH287" i="55"/>
  <c r="BD287" i="55"/>
  <c r="BP286" i="55"/>
  <c r="BO286" i="55"/>
  <c r="BN286" i="55"/>
  <c r="BM286" i="55"/>
  <c r="BL286" i="55"/>
  <c r="BK286" i="55"/>
  <c r="BJ286" i="55"/>
  <c r="BI286" i="55"/>
  <c r="BH286" i="55"/>
  <c r="BD286" i="55"/>
  <c r="BP285" i="55"/>
  <c r="BO285" i="55"/>
  <c r="BN285" i="55"/>
  <c r="BM285" i="55"/>
  <c r="BL285" i="55"/>
  <c r="BK285" i="55"/>
  <c r="BJ285" i="55"/>
  <c r="BI285" i="55"/>
  <c r="BH285" i="55"/>
  <c r="BD285" i="55"/>
  <c r="BP284" i="55"/>
  <c r="BO284" i="55"/>
  <c r="BN284" i="55"/>
  <c r="BM284" i="55"/>
  <c r="BL284" i="55"/>
  <c r="BK284" i="55"/>
  <c r="BJ284" i="55"/>
  <c r="BI284" i="55"/>
  <c r="BH284" i="55"/>
  <c r="BD284" i="55"/>
  <c r="BP283" i="55"/>
  <c r="BO283" i="55"/>
  <c r="BN283" i="55"/>
  <c r="BM283" i="55"/>
  <c r="BL283" i="55"/>
  <c r="BK283" i="55"/>
  <c r="BJ283" i="55"/>
  <c r="BI283" i="55"/>
  <c r="BH283" i="55"/>
  <c r="BD283" i="55"/>
  <c r="BP282" i="55"/>
  <c r="BO282" i="55"/>
  <c r="BN282" i="55"/>
  <c r="BM282" i="55"/>
  <c r="BL282" i="55"/>
  <c r="BK282" i="55"/>
  <c r="BJ282" i="55"/>
  <c r="BI282" i="55"/>
  <c r="BH282" i="55"/>
  <c r="BD282" i="55"/>
  <c r="BP281" i="55"/>
  <c r="BO281" i="55"/>
  <c r="BN281" i="55"/>
  <c r="BM281" i="55"/>
  <c r="BL281" i="55"/>
  <c r="BW281" i="55" s="1"/>
  <c r="BK281" i="55"/>
  <c r="BJ281" i="55"/>
  <c r="BI281" i="55"/>
  <c r="BH281" i="55"/>
  <c r="BD281" i="55"/>
  <c r="BP280" i="55"/>
  <c r="BO280" i="55"/>
  <c r="BN280" i="55"/>
  <c r="BM280" i="55"/>
  <c r="BL280" i="55"/>
  <c r="BK280" i="55"/>
  <c r="BJ280" i="55"/>
  <c r="BI280" i="55"/>
  <c r="BH280" i="55"/>
  <c r="BD280" i="55"/>
  <c r="BP279" i="55"/>
  <c r="BO279" i="55"/>
  <c r="BN279" i="55"/>
  <c r="BM279" i="55"/>
  <c r="BL279" i="55"/>
  <c r="BK279" i="55"/>
  <c r="BJ279" i="55"/>
  <c r="BI279" i="55"/>
  <c r="BH279" i="55"/>
  <c r="BD279" i="55"/>
  <c r="BP278" i="55"/>
  <c r="BO278" i="55"/>
  <c r="BN278" i="55"/>
  <c r="BM278" i="55"/>
  <c r="BL278" i="55"/>
  <c r="BK278" i="55"/>
  <c r="BJ278" i="55"/>
  <c r="BI278" i="55"/>
  <c r="BH278" i="55"/>
  <c r="BD278" i="55"/>
  <c r="BP277" i="55"/>
  <c r="BO277" i="55"/>
  <c r="BN277" i="55"/>
  <c r="BM277" i="55"/>
  <c r="BL277" i="55"/>
  <c r="BK277" i="55"/>
  <c r="BJ277" i="55"/>
  <c r="BI277" i="55"/>
  <c r="BH277" i="55"/>
  <c r="BD277" i="55"/>
  <c r="BC260" i="55"/>
  <c r="BP258" i="55"/>
  <c r="BO258" i="55"/>
  <c r="BN258" i="55"/>
  <c r="BM258" i="55"/>
  <c r="BL258" i="55"/>
  <c r="BK258" i="55"/>
  <c r="BJ258" i="55"/>
  <c r="BI258" i="55"/>
  <c r="BH258" i="55"/>
  <c r="BD258" i="55"/>
  <c r="BP257" i="55"/>
  <c r="BO257" i="55"/>
  <c r="BN257" i="55"/>
  <c r="BM257" i="55"/>
  <c r="BL257" i="55"/>
  <c r="BK257" i="55"/>
  <c r="BJ257" i="55"/>
  <c r="BI257" i="55"/>
  <c r="BG257" i="55" s="1"/>
  <c r="BH257" i="55"/>
  <c r="BD257" i="55"/>
  <c r="BP256" i="55"/>
  <c r="BO256" i="55"/>
  <c r="BN256" i="55"/>
  <c r="BM256" i="55"/>
  <c r="BL256" i="55"/>
  <c r="BK256" i="55"/>
  <c r="BJ256" i="55"/>
  <c r="BI256" i="55"/>
  <c r="BH256" i="55"/>
  <c r="BD256" i="55"/>
  <c r="BP255" i="55"/>
  <c r="BO255" i="55"/>
  <c r="BN255" i="55"/>
  <c r="BM255" i="55"/>
  <c r="BG255" i="55" s="1"/>
  <c r="BL255" i="55"/>
  <c r="BK255" i="55"/>
  <c r="BJ255" i="55"/>
  <c r="BI255" i="55"/>
  <c r="BH255" i="55"/>
  <c r="BD255" i="55"/>
  <c r="BP254" i="55"/>
  <c r="BO254" i="55"/>
  <c r="BN254" i="55"/>
  <c r="BM254" i="55"/>
  <c r="BL254" i="55"/>
  <c r="BK254" i="55"/>
  <c r="BJ254" i="55"/>
  <c r="BI254" i="55"/>
  <c r="BH254" i="55"/>
  <c r="BD254" i="55"/>
  <c r="BP253" i="55"/>
  <c r="BO253" i="55"/>
  <c r="BN253" i="55"/>
  <c r="BM253" i="55"/>
  <c r="BL253" i="55"/>
  <c r="BK253" i="55"/>
  <c r="BJ253" i="55"/>
  <c r="BI253" i="55"/>
  <c r="BH253" i="55"/>
  <c r="BD253" i="55"/>
  <c r="BP252" i="55"/>
  <c r="BO252" i="55"/>
  <c r="BN252" i="55"/>
  <c r="BM252" i="55"/>
  <c r="BL252" i="55"/>
  <c r="BK252" i="55"/>
  <c r="BJ252" i="55"/>
  <c r="BI252" i="55"/>
  <c r="BH252" i="55"/>
  <c r="BD252" i="55"/>
  <c r="BP251" i="55"/>
  <c r="BO251" i="55"/>
  <c r="BN251" i="55"/>
  <c r="BM251" i="55"/>
  <c r="BL251" i="55"/>
  <c r="BK251" i="55"/>
  <c r="BJ251" i="55"/>
  <c r="BI251" i="55"/>
  <c r="BH251" i="55"/>
  <c r="BD251" i="55"/>
  <c r="BP250" i="55"/>
  <c r="BO250" i="55"/>
  <c r="BN250" i="55"/>
  <c r="BM250" i="55"/>
  <c r="BL250" i="55"/>
  <c r="BK250" i="55"/>
  <c r="BJ250" i="55"/>
  <c r="BI250" i="55"/>
  <c r="BH250" i="55"/>
  <c r="BD250" i="55"/>
  <c r="BP249" i="55"/>
  <c r="BO249" i="55"/>
  <c r="BN249" i="55"/>
  <c r="BM249" i="55"/>
  <c r="BL249" i="55"/>
  <c r="BK249" i="55"/>
  <c r="BJ249" i="55"/>
  <c r="BI249" i="55"/>
  <c r="BH249" i="55"/>
  <c r="BD249" i="55"/>
  <c r="BP248" i="55"/>
  <c r="BO248" i="55"/>
  <c r="BN248" i="55"/>
  <c r="BM248" i="55"/>
  <c r="BL248" i="55"/>
  <c r="BK248" i="55"/>
  <c r="BJ248" i="55"/>
  <c r="BI248" i="55"/>
  <c r="BH248" i="55"/>
  <c r="BD248" i="55"/>
  <c r="BP247" i="55"/>
  <c r="BO247" i="55"/>
  <c r="BN247" i="55"/>
  <c r="BM247" i="55"/>
  <c r="BL247" i="55"/>
  <c r="BK247" i="55"/>
  <c r="BJ247" i="55"/>
  <c r="BI247" i="55"/>
  <c r="BH247" i="55"/>
  <c r="BD247" i="55"/>
  <c r="BC230" i="55"/>
  <c r="BP228" i="55"/>
  <c r="BO228" i="55"/>
  <c r="BN228" i="55"/>
  <c r="BM228" i="55"/>
  <c r="BL228" i="55"/>
  <c r="BK228" i="55"/>
  <c r="BJ228" i="55"/>
  <c r="BI228" i="55"/>
  <c r="BH228" i="55"/>
  <c r="BD228" i="55"/>
  <c r="BP227" i="55"/>
  <c r="BO227" i="55"/>
  <c r="BN227" i="55"/>
  <c r="BM227" i="55"/>
  <c r="BL227" i="55"/>
  <c r="BK227" i="55"/>
  <c r="BJ227" i="55"/>
  <c r="BI227" i="55"/>
  <c r="BH227" i="55"/>
  <c r="BD227" i="55"/>
  <c r="BP226" i="55"/>
  <c r="BO226" i="55"/>
  <c r="BN226" i="55"/>
  <c r="BM226" i="55"/>
  <c r="BL226" i="55"/>
  <c r="BK226" i="55"/>
  <c r="BJ226" i="55"/>
  <c r="BI226" i="55"/>
  <c r="BH226" i="55"/>
  <c r="BD226" i="55"/>
  <c r="BP225" i="55"/>
  <c r="BO225" i="55"/>
  <c r="BN225" i="55"/>
  <c r="BM225" i="55"/>
  <c r="BL225" i="55"/>
  <c r="BK225" i="55"/>
  <c r="BJ225" i="55"/>
  <c r="BI225" i="55"/>
  <c r="BH225" i="55"/>
  <c r="BD225" i="55"/>
  <c r="BP224" i="55"/>
  <c r="BO224" i="55"/>
  <c r="BN224" i="55"/>
  <c r="BM224" i="55"/>
  <c r="BL224" i="55"/>
  <c r="BK224" i="55"/>
  <c r="BJ224" i="55"/>
  <c r="BI224" i="55"/>
  <c r="BH224" i="55"/>
  <c r="BD224" i="55"/>
  <c r="BP223" i="55"/>
  <c r="BO223" i="55"/>
  <c r="BN223" i="55"/>
  <c r="BM223" i="55"/>
  <c r="BL223" i="55"/>
  <c r="BK223" i="55"/>
  <c r="BJ223" i="55"/>
  <c r="BI223" i="55"/>
  <c r="BH223" i="55"/>
  <c r="BD223" i="55"/>
  <c r="BP222" i="55"/>
  <c r="BO222" i="55"/>
  <c r="BN222" i="55"/>
  <c r="BM222" i="55"/>
  <c r="BL222" i="55"/>
  <c r="BK222" i="55"/>
  <c r="BJ222" i="55"/>
  <c r="BI222" i="55"/>
  <c r="BH222" i="55"/>
  <c r="BD222" i="55"/>
  <c r="BP221" i="55"/>
  <c r="BO221" i="55"/>
  <c r="BN221" i="55"/>
  <c r="BM221" i="55"/>
  <c r="BW221" i="55" s="1"/>
  <c r="BL221" i="55"/>
  <c r="BK221" i="55"/>
  <c r="BJ221" i="55"/>
  <c r="BI221" i="55"/>
  <c r="BH221" i="55"/>
  <c r="BD221" i="55"/>
  <c r="BP220" i="55"/>
  <c r="BO220" i="55"/>
  <c r="BN220" i="55"/>
  <c r="BM220" i="55"/>
  <c r="BL220" i="55"/>
  <c r="BK220" i="55"/>
  <c r="BJ220" i="55"/>
  <c r="BI220" i="55"/>
  <c r="BH220" i="55"/>
  <c r="BD220" i="55"/>
  <c r="BP219" i="55"/>
  <c r="BO219" i="55"/>
  <c r="BN219" i="55"/>
  <c r="BM219" i="55"/>
  <c r="BL219" i="55"/>
  <c r="BK219" i="55"/>
  <c r="BJ219" i="55"/>
  <c r="BI219" i="55"/>
  <c r="BH219" i="55"/>
  <c r="BD219" i="55"/>
  <c r="BP218" i="55"/>
  <c r="BO218" i="55"/>
  <c r="BN218" i="55"/>
  <c r="BM218" i="55"/>
  <c r="BL218" i="55"/>
  <c r="BK218" i="55"/>
  <c r="BJ218" i="55"/>
  <c r="BI218" i="55"/>
  <c r="BH218" i="55"/>
  <c r="BD218" i="55"/>
  <c r="BP217" i="55"/>
  <c r="BO217" i="55"/>
  <c r="BN217" i="55"/>
  <c r="BM217" i="55"/>
  <c r="BL217" i="55"/>
  <c r="BK217" i="55"/>
  <c r="BJ217" i="55"/>
  <c r="BI217" i="55"/>
  <c r="BH217" i="55"/>
  <c r="BD217" i="55"/>
  <c r="BC200" i="55"/>
  <c r="BP198" i="55"/>
  <c r="BO198" i="55"/>
  <c r="BN198" i="55"/>
  <c r="BM198" i="55"/>
  <c r="BL198" i="55"/>
  <c r="BK198" i="55"/>
  <c r="BJ198" i="55"/>
  <c r="BI198" i="55"/>
  <c r="BH198" i="55"/>
  <c r="BD198" i="55"/>
  <c r="BP197" i="55"/>
  <c r="BO197" i="55"/>
  <c r="BN197" i="55"/>
  <c r="BM197" i="55"/>
  <c r="BL197" i="55"/>
  <c r="BK197" i="55"/>
  <c r="BJ197" i="55"/>
  <c r="BI197" i="55"/>
  <c r="BH197" i="55"/>
  <c r="BD197" i="55"/>
  <c r="BP196" i="55"/>
  <c r="BO196" i="55"/>
  <c r="BN196" i="55"/>
  <c r="BM196" i="55"/>
  <c r="BL196" i="55"/>
  <c r="BK196" i="55"/>
  <c r="BJ196" i="55"/>
  <c r="BI196" i="55"/>
  <c r="BH196" i="55"/>
  <c r="BD196" i="55"/>
  <c r="BP195" i="55"/>
  <c r="BO195" i="55"/>
  <c r="BN195" i="55"/>
  <c r="BM195" i="55"/>
  <c r="BL195" i="55"/>
  <c r="BK195" i="55"/>
  <c r="BJ195" i="55"/>
  <c r="BI195" i="55"/>
  <c r="BH195" i="55"/>
  <c r="BD195" i="55"/>
  <c r="BP194" i="55"/>
  <c r="BO194" i="55"/>
  <c r="BN194" i="55"/>
  <c r="BM194" i="55"/>
  <c r="BL194" i="55"/>
  <c r="BK194" i="55"/>
  <c r="BJ194" i="55"/>
  <c r="BI194" i="55"/>
  <c r="BH194" i="55"/>
  <c r="BD194" i="55"/>
  <c r="BP193" i="55"/>
  <c r="BO193" i="55"/>
  <c r="BN193" i="55"/>
  <c r="BM193" i="55"/>
  <c r="BL193" i="55"/>
  <c r="BK193" i="55"/>
  <c r="BJ193" i="55"/>
  <c r="BI193" i="55"/>
  <c r="BH193" i="55"/>
  <c r="BD193" i="55"/>
  <c r="BP192" i="55"/>
  <c r="BO192" i="55"/>
  <c r="BN192" i="55"/>
  <c r="BM192" i="55"/>
  <c r="BL192" i="55"/>
  <c r="BK192" i="55"/>
  <c r="BJ192" i="55"/>
  <c r="BI192" i="55"/>
  <c r="BH192" i="55"/>
  <c r="BD192" i="55"/>
  <c r="BP191" i="55"/>
  <c r="BO191" i="55"/>
  <c r="BN191" i="55"/>
  <c r="BM191" i="55"/>
  <c r="BL191" i="55"/>
  <c r="BK191" i="55"/>
  <c r="BJ191" i="55"/>
  <c r="BI191" i="55"/>
  <c r="BH191" i="55"/>
  <c r="BD191" i="55"/>
  <c r="BP190" i="55"/>
  <c r="BO190" i="55"/>
  <c r="BF190" i="55" s="1"/>
  <c r="BN190" i="55"/>
  <c r="BM190" i="55"/>
  <c r="BL190" i="55"/>
  <c r="BK190" i="55"/>
  <c r="BJ190" i="55"/>
  <c r="BI190" i="55"/>
  <c r="BH190" i="55"/>
  <c r="BD190" i="55"/>
  <c r="BP189" i="55"/>
  <c r="BO189" i="55"/>
  <c r="BN189" i="55"/>
  <c r="BM189" i="55"/>
  <c r="BL189" i="55"/>
  <c r="BK189" i="55"/>
  <c r="BJ189" i="55"/>
  <c r="BI189" i="55"/>
  <c r="BH189" i="55"/>
  <c r="BD189" i="55"/>
  <c r="BP188" i="55"/>
  <c r="BO188" i="55"/>
  <c r="BN188" i="55"/>
  <c r="BM188" i="55"/>
  <c r="BL188" i="55"/>
  <c r="BK188" i="55"/>
  <c r="BJ188" i="55"/>
  <c r="BI188" i="55"/>
  <c r="BH188" i="55"/>
  <c r="BD188" i="55"/>
  <c r="BP187" i="55"/>
  <c r="BO187" i="55"/>
  <c r="BG187" i="55" s="1"/>
  <c r="BN187" i="55"/>
  <c r="BM187" i="55"/>
  <c r="BL187" i="55"/>
  <c r="BK187" i="55"/>
  <c r="BJ187" i="55"/>
  <c r="BI187" i="55"/>
  <c r="BH187" i="55"/>
  <c r="BD187" i="55"/>
  <c r="BC170" i="55"/>
  <c r="BP168" i="55"/>
  <c r="BO168" i="55"/>
  <c r="BN168" i="55"/>
  <c r="BM168" i="55"/>
  <c r="BL168" i="55"/>
  <c r="BK168" i="55"/>
  <c r="BJ168" i="55"/>
  <c r="BI168" i="55"/>
  <c r="BH168" i="55"/>
  <c r="BD168" i="55"/>
  <c r="BP167" i="55"/>
  <c r="BO167" i="55"/>
  <c r="BN167" i="55"/>
  <c r="BM167" i="55"/>
  <c r="BL167" i="55"/>
  <c r="BK167" i="55"/>
  <c r="BJ167" i="55"/>
  <c r="BI167" i="55"/>
  <c r="BH167" i="55"/>
  <c r="BD167" i="55"/>
  <c r="BP166" i="55"/>
  <c r="BO166" i="55"/>
  <c r="BN166" i="55"/>
  <c r="BM166" i="55"/>
  <c r="BS166" i="55" s="1"/>
  <c r="BL166" i="55"/>
  <c r="BK166" i="55"/>
  <c r="BJ166" i="55"/>
  <c r="BI166" i="55"/>
  <c r="BH166" i="55"/>
  <c r="BD166" i="55"/>
  <c r="BP165" i="55"/>
  <c r="BO165" i="55"/>
  <c r="BN165" i="55"/>
  <c r="BM165" i="55"/>
  <c r="BL165" i="55"/>
  <c r="BK165" i="55"/>
  <c r="BJ165" i="55"/>
  <c r="BI165" i="55"/>
  <c r="BH165" i="55"/>
  <c r="BD165" i="55"/>
  <c r="BP164" i="55"/>
  <c r="BO164" i="55"/>
  <c r="BN164" i="55"/>
  <c r="BM164" i="55"/>
  <c r="BL164" i="55"/>
  <c r="BK164" i="55"/>
  <c r="BJ164" i="55"/>
  <c r="BI164" i="55"/>
  <c r="BH164" i="55"/>
  <c r="BD164" i="55"/>
  <c r="BP163" i="55"/>
  <c r="BO163" i="55"/>
  <c r="BN163" i="55"/>
  <c r="BM163" i="55"/>
  <c r="BL163" i="55"/>
  <c r="BK163" i="55"/>
  <c r="BJ163" i="55"/>
  <c r="BI163" i="55"/>
  <c r="BH163" i="55"/>
  <c r="BD163" i="55"/>
  <c r="BP162" i="55"/>
  <c r="BO162" i="55"/>
  <c r="BN162" i="55"/>
  <c r="BM162" i="55"/>
  <c r="BL162" i="55"/>
  <c r="BK162" i="55"/>
  <c r="BJ162" i="55"/>
  <c r="BI162" i="55"/>
  <c r="BH162" i="55"/>
  <c r="BD162" i="55"/>
  <c r="BP161" i="55"/>
  <c r="BO161" i="55"/>
  <c r="BN161" i="55"/>
  <c r="BM161" i="55"/>
  <c r="BL161" i="55"/>
  <c r="BK161" i="55"/>
  <c r="BJ161" i="55"/>
  <c r="BI161" i="55"/>
  <c r="BH161" i="55"/>
  <c r="BD161" i="55"/>
  <c r="BP160" i="55"/>
  <c r="BO160" i="55"/>
  <c r="BN160" i="55"/>
  <c r="BM160" i="55"/>
  <c r="BL160" i="55"/>
  <c r="BK160" i="55"/>
  <c r="BJ160" i="55"/>
  <c r="BI160" i="55"/>
  <c r="BH160" i="55"/>
  <c r="BD160" i="55"/>
  <c r="BP159" i="55"/>
  <c r="BO159" i="55"/>
  <c r="BN159" i="55"/>
  <c r="BM159" i="55"/>
  <c r="BL159" i="55"/>
  <c r="BK159" i="55"/>
  <c r="BJ159" i="55"/>
  <c r="BI159" i="55"/>
  <c r="BH159" i="55"/>
  <c r="BD159" i="55"/>
  <c r="BP158" i="55"/>
  <c r="BO158" i="55"/>
  <c r="BN158" i="55"/>
  <c r="BM158" i="55"/>
  <c r="BL158" i="55"/>
  <c r="BK158" i="55"/>
  <c r="BJ158" i="55"/>
  <c r="BI158" i="55"/>
  <c r="BH158" i="55"/>
  <c r="BD158" i="55"/>
  <c r="BP157" i="55"/>
  <c r="BO157" i="55"/>
  <c r="BN157" i="55"/>
  <c r="BM157" i="55"/>
  <c r="BL157" i="55"/>
  <c r="BK157" i="55"/>
  <c r="BJ157" i="55"/>
  <c r="BI157" i="55"/>
  <c r="BG157" i="55" s="1"/>
  <c r="BH157" i="55"/>
  <c r="BD157" i="55"/>
  <c r="BC140" i="55"/>
  <c r="BP138" i="55"/>
  <c r="BO138" i="55"/>
  <c r="BN138" i="55"/>
  <c r="BM138" i="55"/>
  <c r="BL138" i="55"/>
  <c r="BK138" i="55"/>
  <c r="BJ138" i="55"/>
  <c r="BI138" i="55"/>
  <c r="BH138" i="55"/>
  <c r="BD138" i="55"/>
  <c r="BP137" i="55"/>
  <c r="BO137" i="55"/>
  <c r="BN137" i="55"/>
  <c r="BM137" i="55"/>
  <c r="BL137" i="55"/>
  <c r="BK137" i="55"/>
  <c r="BJ137" i="55"/>
  <c r="BI137" i="55"/>
  <c r="BH137" i="55"/>
  <c r="BD137" i="55"/>
  <c r="BP136" i="55"/>
  <c r="BO136" i="55"/>
  <c r="BN136" i="55"/>
  <c r="BM136" i="55"/>
  <c r="BL136" i="55"/>
  <c r="BK136" i="55"/>
  <c r="BJ136" i="55"/>
  <c r="BI136" i="55"/>
  <c r="BH136" i="55"/>
  <c r="BD136" i="55"/>
  <c r="BP135" i="55"/>
  <c r="BO135" i="55"/>
  <c r="BN135" i="55"/>
  <c r="BM135" i="55"/>
  <c r="BL135" i="55"/>
  <c r="BK135" i="55"/>
  <c r="BJ135" i="55"/>
  <c r="BI135" i="55"/>
  <c r="BH135" i="55"/>
  <c r="BD135" i="55"/>
  <c r="BP134" i="55"/>
  <c r="BO134" i="55"/>
  <c r="BN134" i="55"/>
  <c r="BM134" i="55"/>
  <c r="BL134" i="55"/>
  <c r="BK134" i="55"/>
  <c r="BJ134" i="55"/>
  <c r="BI134" i="55"/>
  <c r="BH134" i="55"/>
  <c r="BD134" i="55"/>
  <c r="BP133" i="55"/>
  <c r="BO133" i="55"/>
  <c r="BN133" i="55"/>
  <c r="BM133" i="55"/>
  <c r="BL133" i="55"/>
  <c r="BK133" i="55"/>
  <c r="BJ133" i="55"/>
  <c r="BI133" i="55"/>
  <c r="BH133" i="55"/>
  <c r="BD133" i="55"/>
  <c r="BP132" i="55"/>
  <c r="BO132" i="55"/>
  <c r="BN132" i="55"/>
  <c r="BM132" i="55"/>
  <c r="BL132" i="55"/>
  <c r="BK132" i="55"/>
  <c r="BJ132" i="55"/>
  <c r="BI132" i="55"/>
  <c r="BH132" i="55"/>
  <c r="BD132" i="55"/>
  <c r="BP131" i="55"/>
  <c r="BO131" i="55"/>
  <c r="BN131" i="55"/>
  <c r="BM131" i="55"/>
  <c r="BL131" i="55"/>
  <c r="BK131" i="55"/>
  <c r="BJ131" i="55"/>
  <c r="BI131" i="55"/>
  <c r="BX131" i="55" s="1"/>
  <c r="BH131" i="55"/>
  <c r="BD131" i="55"/>
  <c r="BP130" i="55"/>
  <c r="BO130" i="55"/>
  <c r="BN130" i="55"/>
  <c r="BM130" i="55"/>
  <c r="BL130" i="55"/>
  <c r="BK130" i="55"/>
  <c r="BJ130" i="55"/>
  <c r="BI130" i="55"/>
  <c r="BH130" i="55"/>
  <c r="BD130" i="55"/>
  <c r="BP129" i="55"/>
  <c r="BO129" i="55"/>
  <c r="BN129" i="55"/>
  <c r="BM129" i="55"/>
  <c r="BL129" i="55"/>
  <c r="BK129" i="55"/>
  <c r="BJ129" i="55"/>
  <c r="BI129" i="55"/>
  <c r="BH129" i="55"/>
  <c r="BD129" i="55"/>
  <c r="BP128" i="55"/>
  <c r="BO128" i="55"/>
  <c r="BN128" i="55"/>
  <c r="BM128" i="55"/>
  <c r="BL128" i="55"/>
  <c r="BK128" i="55"/>
  <c r="BJ128" i="55"/>
  <c r="BI128" i="55"/>
  <c r="BH128" i="55"/>
  <c r="BD128" i="55"/>
  <c r="BP127" i="55"/>
  <c r="BO127" i="55"/>
  <c r="BN127" i="55"/>
  <c r="BM127" i="55"/>
  <c r="BL127" i="55"/>
  <c r="BK127" i="55"/>
  <c r="BJ127" i="55"/>
  <c r="BI127" i="55"/>
  <c r="BH127" i="55"/>
  <c r="BD127" i="55"/>
  <c r="BC110" i="55"/>
  <c r="BP108" i="55"/>
  <c r="BO108" i="55"/>
  <c r="BN108" i="55"/>
  <c r="BM108" i="55"/>
  <c r="BL108" i="55"/>
  <c r="BK108" i="55"/>
  <c r="BJ108" i="55"/>
  <c r="BI108" i="55"/>
  <c r="BH108" i="55"/>
  <c r="BD108" i="55"/>
  <c r="BP107" i="55"/>
  <c r="BO107" i="55"/>
  <c r="BN107" i="55"/>
  <c r="BM107" i="55"/>
  <c r="BL107" i="55"/>
  <c r="BK107" i="55"/>
  <c r="BJ107" i="55"/>
  <c r="BI107" i="55"/>
  <c r="BH107" i="55"/>
  <c r="BD107" i="55"/>
  <c r="BP106" i="55"/>
  <c r="BO106" i="55"/>
  <c r="BN106" i="55"/>
  <c r="BM106" i="55"/>
  <c r="BL106" i="55"/>
  <c r="BK106" i="55"/>
  <c r="BJ106" i="55"/>
  <c r="BI106" i="55"/>
  <c r="BH106" i="55"/>
  <c r="BD106" i="55"/>
  <c r="BP105" i="55"/>
  <c r="BO105" i="55"/>
  <c r="BN105" i="55"/>
  <c r="BM105" i="55"/>
  <c r="BL105" i="55"/>
  <c r="BK105" i="55"/>
  <c r="BJ105" i="55"/>
  <c r="BF105" i="55" s="1"/>
  <c r="BI105" i="55"/>
  <c r="BH105" i="55"/>
  <c r="BD105" i="55"/>
  <c r="BP104" i="55"/>
  <c r="BO104" i="55"/>
  <c r="BN104" i="55"/>
  <c r="BM104" i="55"/>
  <c r="BL104" i="55"/>
  <c r="BK104" i="55"/>
  <c r="BJ104" i="55"/>
  <c r="BI104" i="55"/>
  <c r="BH104" i="55"/>
  <c r="BD104" i="55"/>
  <c r="BP103" i="55"/>
  <c r="BO103" i="55"/>
  <c r="BN103" i="55"/>
  <c r="BM103" i="55"/>
  <c r="BL103" i="55"/>
  <c r="BK103" i="55"/>
  <c r="BJ103" i="55"/>
  <c r="BI103" i="55"/>
  <c r="BH103" i="55"/>
  <c r="BD103" i="55"/>
  <c r="BP102" i="55"/>
  <c r="BO102" i="55"/>
  <c r="BN102" i="55"/>
  <c r="BM102" i="55"/>
  <c r="BL102" i="55"/>
  <c r="BK102" i="55"/>
  <c r="BJ102" i="55"/>
  <c r="BI102" i="55"/>
  <c r="BH102" i="55"/>
  <c r="BD102" i="55"/>
  <c r="BP101" i="55"/>
  <c r="BO101" i="55"/>
  <c r="BN101" i="55"/>
  <c r="BM101" i="55"/>
  <c r="BL101" i="55"/>
  <c r="BK101" i="55"/>
  <c r="BJ101" i="55"/>
  <c r="BI101" i="55"/>
  <c r="BH101" i="55"/>
  <c r="BD101" i="55"/>
  <c r="BP100" i="55"/>
  <c r="BO100" i="55"/>
  <c r="BN100" i="55"/>
  <c r="BM100" i="55"/>
  <c r="BL100" i="55"/>
  <c r="BK100" i="55"/>
  <c r="BJ100" i="55"/>
  <c r="BI100" i="55"/>
  <c r="BH100" i="55"/>
  <c r="BD100" i="55"/>
  <c r="BP99" i="55"/>
  <c r="BO99" i="55"/>
  <c r="BN99" i="55"/>
  <c r="BM99" i="55"/>
  <c r="BL99" i="55"/>
  <c r="BK99" i="55"/>
  <c r="BJ99" i="55"/>
  <c r="BI99" i="55"/>
  <c r="BH99" i="55"/>
  <c r="BD99" i="55"/>
  <c r="BP98" i="55"/>
  <c r="BO98" i="55"/>
  <c r="BN98" i="55"/>
  <c r="BM98" i="55"/>
  <c r="BL98" i="55"/>
  <c r="BK98" i="55"/>
  <c r="BJ98" i="55"/>
  <c r="BI98" i="55"/>
  <c r="BH98" i="55"/>
  <c r="BD98" i="55"/>
  <c r="BP97" i="55"/>
  <c r="BO97" i="55"/>
  <c r="BN97" i="55"/>
  <c r="BM97" i="55"/>
  <c r="BL97" i="55"/>
  <c r="BK97" i="55"/>
  <c r="BJ97" i="55"/>
  <c r="BI97" i="55"/>
  <c r="BH97" i="55"/>
  <c r="BD97" i="55"/>
  <c r="BC80" i="55"/>
  <c r="BP78" i="55"/>
  <c r="BO78" i="55"/>
  <c r="BN78" i="55"/>
  <c r="BM78" i="55"/>
  <c r="BL78" i="55"/>
  <c r="BK78" i="55"/>
  <c r="BJ78" i="55"/>
  <c r="BI78" i="55"/>
  <c r="BH78" i="55"/>
  <c r="BD78" i="55"/>
  <c r="BP77" i="55"/>
  <c r="BO77" i="55"/>
  <c r="BN77" i="55"/>
  <c r="BM77" i="55"/>
  <c r="BL77" i="55"/>
  <c r="BK77" i="55"/>
  <c r="BJ77" i="55"/>
  <c r="BI77" i="55"/>
  <c r="BH77" i="55"/>
  <c r="BD77" i="55"/>
  <c r="BP76" i="55"/>
  <c r="BO76" i="55"/>
  <c r="BN76" i="55"/>
  <c r="BM76" i="55"/>
  <c r="BL76" i="55"/>
  <c r="BK76" i="55"/>
  <c r="BJ76" i="55"/>
  <c r="BI76" i="55"/>
  <c r="BH76" i="55"/>
  <c r="BD76" i="55"/>
  <c r="BP75" i="55"/>
  <c r="BO75" i="55"/>
  <c r="BN75" i="55"/>
  <c r="BM75" i="55"/>
  <c r="BL75" i="55"/>
  <c r="BK75" i="55"/>
  <c r="BJ75" i="55"/>
  <c r="BI75" i="55"/>
  <c r="BH75" i="55"/>
  <c r="BD75" i="55"/>
  <c r="BP74" i="55"/>
  <c r="BO74" i="55"/>
  <c r="BN74" i="55"/>
  <c r="BM74" i="55"/>
  <c r="BL74" i="55"/>
  <c r="BK74" i="55"/>
  <c r="BJ74" i="55"/>
  <c r="BI74" i="55"/>
  <c r="BH74" i="55"/>
  <c r="BD74" i="55"/>
  <c r="BP73" i="55"/>
  <c r="BO73" i="55"/>
  <c r="BN73" i="55"/>
  <c r="BM73" i="55"/>
  <c r="BL73" i="55"/>
  <c r="BK73" i="55"/>
  <c r="BJ73" i="55"/>
  <c r="BI73" i="55"/>
  <c r="BH73" i="55"/>
  <c r="BD73" i="55"/>
  <c r="BP72" i="55"/>
  <c r="BO72" i="55"/>
  <c r="BN72" i="55"/>
  <c r="BM72" i="55"/>
  <c r="BL72" i="55"/>
  <c r="BK72" i="55"/>
  <c r="BJ72" i="55"/>
  <c r="BI72" i="55"/>
  <c r="BH72" i="55"/>
  <c r="BD72" i="55"/>
  <c r="BP71" i="55"/>
  <c r="BO71" i="55"/>
  <c r="BN71" i="55"/>
  <c r="BM71" i="55"/>
  <c r="BL71" i="55"/>
  <c r="BK71" i="55"/>
  <c r="BJ71" i="55"/>
  <c r="BI71" i="55"/>
  <c r="BH71" i="55"/>
  <c r="BD71" i="55"/>
  <c r="BP70" i="55"/>
  <c r="BO70" i="55"/>
  <c r="BN70" i="55"/>
  <c r="BM70" i="55"/>
  <c r="BL70" i="55"/>
  <c r="BK70" i="55"/>
  <c r="BJ70" i="55"/>
  <c r="BI70" i="55"/>
  <c r="BH70" i="55"/>
  <c r="BD70" i="55"/>
  <c r="BP69" i="55"/>
  <c r="BO69" i="55"/>
  <c r="BN69" i="55"/>
  <c r="BM69" i="55"/>
  <c r="BL69" i="55"/>
  <c r="BK69" i="55"/>
  <c r="BJ69" i="55"/>
  <c r="BI69" i="55"/>
  <c r="BH69" i="55"/>
  <c r="BD69" i="55"/>
  <c r="BP68" i="55"/>
  <c r="BO68" i="55"/>
  <c r="BN68" i="55"/>
  <c r="BM68" i="55"/>
  <c r="BL68" i="55"/>
  <c r="BK68" i="55"/>
  <c r="BJ68" i="55"/>
  <c r="BI68" i="55"/>
  <c r="BH68" i="55"/>
  <c r="BD68" i="55"/>
  <c r="BP67" i="55"/>
  <c r="BO67" i="55"/>
  <c r="BN67" i="55"/>
  <c r="BM67" i="55"/>
  <c r="BL67" i="55"/>
  <c r="BK67" i="55"/>
  <c r="BJ67" i="55"/>
  <c r="BI67" i="55"/>
  <c r="BH67" i="55"/>
  <c r="BD67" i="55"/>
  <c r="BC50" i="55"/>
  <c r="BP48" i="55"/>
  <c r="BO48" i="55"/>
  <c r="BN48" i="55"/>
  <c r="BX48" i="55" s="1"/>
  <c r="BM48" i="55"/>
  <c r="BL48" i="55"/>
  <c r="BK48" i="55"/>
  <c r="BJ48" i="55"/>
  <c r="BI48" i="55"/>
  <c r="BH48" i="55"/>
  <c r="BD48" i="55"/>
  <c r="BP47" i="55"/>
  <c r="BO47" i="55"/>
  <c r="BN47" i="55"/>
  <c r="BM47" i="55"/>
  <c r="BL47" i="55"/>
  <c r="BK47" i="55"/>
  <c r="BJ47" i="55"/>
  <c r="BI47" i="55"/>
  <c r="BH47" i="55"/>
  <c r="BD47" i="55"/>
  <c r="BP46" i="55"/>
  <c r="BO46" i="55"/>
  <c r="BN46" i="55"/>
  <c r="BM46" i="55"/>
  <c r="BL46" i="55"/>
  <c r="BK46" i="55"/>
  <c r="BJ46" i="55"/>
  <c r="BI46" i="55"/>
  <c r="BH46" i="55"/>
  <c r="BD46" i="55"/>
  <c r="BP45" i="55"/>
  <c r="BO45" i="55"/>
  <c r="BN45" i="55"/>
  <c r="BM45" i="55"/>
  <c r="BL45" i="55"/>
  <c r="BK45" i="55"/>
  <c r="BJ45" i="55"/>
  <c r="BI45" i="55"/>
  <c r="BH45" i="55"/>
  <c r="BD45" i="55"/>
  <c r="BP44" i="55"/>
  <c r="BO44" i="55"/>
  <c r="BN44" i="55"/>
  <c r="BM44" i="55"/>
  <c r="BL44" i="55"/>
  <c r="BK44" i="55"/>
  <c r="BJ44" i="55"/>
  <c r="BI44" i="55"/>
  <c r="BH44" i="55"/>
  <c r="BD44" i="55"/>
  <c r="BP43" i="55"/>
  <c r="BO43" i="55"/>
  <c r="BW43" i="55" s="1"/>
  <c r="BN43" i="55"/>
  <c r="BM43" i="55"/>
  <c r="BL43" i="55"/>
  <c r="BK43" i="55"/>
  <c r="BJ43" i="55"/>
  <c r="BI43" i="55"/>
  <c r="BH43" i="55"/>
  <c r="BD43" i="55"/>
  <c r="BP42" i="55"/>
  <c r="BO42" i="55"/>
  <c r="BN42" i="55"/>
  <c r="BM42" i="55"/>
  <c r="BL42" i="55"/>
  <c r="BK42" i="55"/>
  <c r="BJ42" i="55"/>
  <c r="BI42" i="55"/>
  <c r="BH42" i="55"/>
  <c r="BD42" i="55"/>
  <c r="BP41" i="55"/>
  <c r="BO41" i="55"/>
  <c r="BN41" i="55"/>
  <c r="BM41" i="55"/>
  <c r="BL41" i="55"/>
  <c r="BK41" i="55"/>
  <c r="BJ41" i="55"/>
  <c r="BI41" i="55"/>
  <c r="BH41" i="55"/>
  <c r="BD41" i="55"/>
  <c r="BP40" i="55"/>
  <c r="BO40" i="55"/>
  <c r="BN40" i="55"/>
  <c r="BM40" i="55"/>
  <c r="BL40" i="55"/>
  <c r="BK40" i="55"/>
  <c r="BJ40" i="55"/>
  <c r="BI40" i="55"/>
  <c r="BH40" i="55"/>
  <c r="BD40" i="55"/>
  <c r="BP39" i="55"/>
  <c r="BO39" i="55"/>
  <c r="BN39" i="55"/>
  <c r="BM39" i="55"/>
  <c r="BL39" i="55"/>
  <c r="BK39" i="55"/>
  <c r="BJ39" i="55"/>
  <c r="BI39" i="55"/>
  <c r="BH39" i="55"/>
  <c r="BF39" i="55" s="1"/>
  <c r="BD39" i="55"/>
  <c r="BP38" i="55"/>
  <c r="BO38" i="55"/>
  <c r="BN38" i="55"/>
  <c r="BM38" i="55"/>
  <c r="BL38" i="55"/>
  <c r="BK38" i="55"/>
  <c r="BJ38" i="55"/>
  <c r="BI38" i="55"/>
  <c r="BH38" i="55"/>
  <c r="BD38" i="55"/>
  <c r="BP37" i="55"/>
  <c r="BO37" i="55"/>
  <c r="BN37" i="55"/>
  <c r="BM37" i="55"/>
  <c r="BL37" i="55"/>
  <c r="BK37" i="55"/>
  <c r="BJ37" i="55"/>
  <c r="BI37" i="55"/>
  <c r="BH37" i="55"/>
  <c r="BD37" i="55"/>
  <c r="BC20" i="55"/>
  <c r="BP18" i="55"/>
  <c r="BO18" i="55"/>
  <c r="BN18" i="55"/>
  <c r="BM18" i="55"/>
  <c r="BL18" i="55"/>
  <c r="BK18" i="55"/>
  <c r="BJ18" i="55"/>
  <c r="BI18" i="55"/>
  <c r="BH18" i="55"/>
  <c r="BD18" i="55"/>
  <c r="BP17" i="55"/>
  <c r="BO17" i="55"/>
  <c r="BN17" i="55"/>
  <c r="BM17" i="55"/>
  <c r="BL17" i="55"/>
  <c r="BK17" i="55"/>
  <c r="BJ17" i="55"/>
  <c r="BI17" i="55"/>
  <c r="BH17" i="55"/>
  <c r="BD17" i="55"/>
  <c r="BP16" i="55"/>
  <c r="BO16" i="55"/>
  <c r="BN16" i="55"/>
  <c r="BM16" i="55"/>
  <c r="BL16" i="55"/>
  <c r="BK16" i="55"/>
  <c r="BJ16" i="55"/>
  <c r="BI16" i="55"/>
  <c r="BH16" i="55"/>
  <c r="BD16" i="55"/>
  <c r="BP15" i="55"/>
  <c r="BO15" i="55"/>
  <c r="BN15" i="55"/>
  <c r="BM15" i="55"/>
  <c r="BL15" i="55"/>
  <c r="BK15" i="55"/>
  <c r="BJ15" i="55"/>
  <c r="BI15" i="55"/>
  <c r="BH15" i="55"/>
  <c r="BD15" i="55"/>
  <c r="BP14" i="55"/>
  <c r="BO14" i="55"/>
  <c r="BN14" i="55"/>
  <c r="BM14" i="55"/>
  <c r="BL14" i="55"/>
  <c r="BK14" i="55"/>
  <c r="BJ14" i="55"/>
  <c r="BI14" i="55"/>
  <c r="BH14" i="55"/>
  <c r="BD14" i="55"/>
  <c r="BP13" i="55"/>
  <c r="BO13" i="55"/>
  <c r="BN13" i="55"/>
  <c r="BM13" i="55"/>
  <c r="BL13" i="55"/>
  <c r="BK13" i="55"/>
  <c r="BJ13" i="55"/>
  <c r="BI13" i="55"/>
  <c r="BH13" i="55"/>
  <c r="BD13" i="55"/>
  <c r="BP12" i="55"/>
  <c r="BO12" i="55"/>
  <c r="BN12" i="55"/>
  <c r="BM12" i="55"/>
  <c r="BL12" i="55"/>
  <c r="BK12" i="55"/>
  <c r="BJ12" i="55"/>
  <c r="BI12" i="55"/>
  <c r="BH12" i="55"/>
  <c r="BD12" i="55"/>
  <c r="BP11" i="55"/>
  <c r="BO11" i="55"/>
  <c r="BN11" i="55"/>
  <c r="BM11" i="55"/>
  <c r="BL11" i="55"/>
  <c r="BK11" i="55"/>
  <c r="BJ11" i="55"/>
  <c r="BI11" i="55"/>
  <c r="BH11" i="55"/>
  <c r="BD11" i="55"/>
  <c r="BP10" i="55"/>
  <c r="BO10" i="55"/>
  <c r="BN10" i="55"/>
  <c r="BM10" i="55"/>
  <c r="BL10" i="55"/>
  <c r="BK10" i="55"/>
  <c r="BJ10" i="55"/>
  <c r="BI10" i="55"/>
  <c r="BH10" i="55"/>
  <c r="BD10" i="55"/>
  <c r="BP9" i="55"/>
  <c r="BO9" i="55"/>
  <c r="BN9" i="55"/>
  <c r="BM9" i="55"/>
  <c r="BL9" i="55"/>
  <c r="BK9" i="55"/>
  <c r="BJ9" i="55"/>
  <c r="BI9" i="55"/>
  <c r="BH9" i="55"/>
  <c r="BD9" i="55"/>
  <c r="BP8" i="55"/>
  <c r="BO8" i="55"/>
  <c r="BN8" i="55"/>
  <c r="BM8" i="55"/>
  <c r="BL8" i="55"/>
  <c r="BK8" i="55"/>
  <c r="BJ8" i="55"/>
  <c r="BI8" i="55"/>
  <c r="BH8" i="55"/>
  <c r="BD8" i="55"/>
  <c r="BP7" i="55"/>
  <c r="BO7" i="55"/>
  <c r="BN7" i="55"/>
  <c r="BM7" i="55"/>
  <c r="BL7" i="55"/>
  <c r="BK7" i="55"/>
  <c r="BJ7" i="55"/>
  <c r="BI7" i="55"/>
  <c r="BH7" i="55"/>
  <c r="BD7" i="55"/>
  <c r="BC290" i="53"/>
  <c r="BP288" i="53"/>
  <c r="BO288" i="53"/>
  <c r="BN288" i="53"/>
  <c r="BM288" i="53"/>
  <c r="BL288" i="53"/>
  <c r="BK288" i="53"/>
  <c r="BJ288" i="53"/>
  <c r="BI288" i="53"/>
  <c r="BH288" i="53"/>
  <c r="BD288" i="53"/>
  <c r="BP287" i="53"/>
  <c r="BO287" i="53"/>
  <c r="BN287" i="53"/>
  <c r="BM287" i="53"/>
  <c r="BL287" i="53"/>
  <c r="BK287" i="53"/>
  <c r="BJ287" i="53"/>
  <c r="BS287" i="53" s="1"/>
  <c r="BI287" i="53"/>
  <c r="BH287" i="53"/>
  <c r="BD287" i="53"/>
  <c r="BP286" i="53"/>
  <c r="BO286" i="53"/>
  <c r="BN286" i="53"/>
  <c r="BM286" i="53"/>
  <c r="BL286" i="53"/>
  <c r="BK286" i="53"/>
  <c r="BJ286" i="53"/>
  <c r="BI286" i="53"/>
  <c r="BH286" i="53"/>
  <c r="BD286" i="53"/>
  <c r="BP285" i="53"/>
  <c r="BO285" i="53"/>
  <c r="BN285" i="53"/>
  <c r="BM285" i="53"/>
  <c r="BL285" i="53"/>
  <c r="BK285" i="53"/>
  <c r="BJ285" i="53"/>
  <c r="BI285" i="53"/>
  <c r="BH285" i="53"/>
  <c r="BD285" i="53"/>
  <c r="BP284" i="53"/>
  <c r="BO284" i="53"/>
  <c r="BN284" i="53"/>
  <c r="BM284" i="53"/>
  <c r="BL284" i="53"/>
  <c r="BK284" i="53"/>
  <c r="BJ284" i="53"/>
  <c r="BI284" i="53"/>
  <c r="BH284" i="53"/>
  <c r="BD284" i="53"/>
  <c r="BP283" i="53"/>
  <c r="BO283" i="53"/>
  <c r="BN283" i="53"/>
  <c r="BM283" i="53"/>
  <c r="BL283" i="53"/>
  <c r="BK283" i="53"/>
  <c r="BJ283" i="53"/>
  <c r="BI283" i="53"/>
  <c r="BH283" i="53"/>
  <c r="BD283" i="53"/>
  <c r="BP282" i="53"/>
  <c r="BO282" i="53"/>
  <c r="BN282" i="53"/>
  <c r="BM282" i="53"/>
  <c r="BL282" i="53"/>
  <c r="BK282" i="53"/>
  <c r="BJ282" i="53"/>
  <c r="BI282" i="53"/>
  <c r="BH282" i="53"/>
  <c r="BD282" i="53"/>
  <c r="BP281" i="53"/>
  <c r="BO281" i="53"/>
  <c r="BN281" i="53"/>
  <c r="BM281" i="53"/>
  <c r="BL281" i="53"/>
  <c r="BK281" i="53"/>
  <c r="BJ281" i="53"/>
  <c r="BI281" i="53"/>
  <c r="BH281" i="53"/>
  <c r="BD281" i="53"/>
  <c r="BP280" i="53"/>
  <c r="BO280" i="53"/>
  <c r="BN280" i="53"/>
  <c r="BM280" i="53"/>
  <c r="BL280" i="53"/>
  <c r="BK280" i="53"/>
  <c r="BJ280" i="53"/>
  <c r="BI280" i="53"/>
  <c r="BH280" i="53"/>
  <c r="BD280" i="53"/>
  <c r="BP279" i="53"/>
  <c r="BO279" i="53"/>
  <c r="BN279" i="53"/>
  <c r="BM279" i="53"/>
  <c r="BL279" i="53"/>
  <c r="BK279" i="53"/>
  <c r="BJ279" i="53"/>
  <c r="BI279" i="53"/>
  <c r="BH279" i="53"/>
  <c r="BD279" i="53"/>
  <c r="BP278" i="53"/>
  <c r="BO278" i="53"/>
  <c r="BN278" i="53"/>
  <c r="BM278" i="53"/>
  <c r="BL278" i="53"/>
  <c r="BK278" i="53"/>
  <c r="BJ278" i="53"/>
  <c r="BI278" i="53"/>
  <c r="BH278" i="53"/>
  <c r="BD278" i="53"/>
  <c r="BP277" i="53"/>
  <c r="BO277" i="53"/>
  <c r="BN277" i="53"/>
  <c r="BM277" i="53"/>
  <c r="BL277" i="53"/>
  <c r="BK277" i="53"/>
  <c r="BJ277" i="53"/>
  <c r="BI277" i="53"/>
  <c r="BH277" i="53"/>
  <c r="BD277" i="53"/>
  <c r="BC260" i="53"/>
  <c r="BP258" i="53"/>
  <c r="BO258" i="53"/>
  <c r="BN258" i="53"/>
  <c r="BM258" i="53"/>
  <c r="BL258" i="53"/>
  <c r="BK258" i="53"/>
  <c r="BJ258" i="53"/>
  <c r="BI258" i="53"/>
  <c r="BH258" i="53"/>
  <c r="BD258" i="53"/>
  <c r="BP257" i="53"/>
  <c r="BO257" i="53"/>
  <c r="BN257" i="53"/>
  <c r="BM257" i="53"/>
  <c r="BL257" i="53"/>
  <c r="BK257" i="53"/>
  <c r="BJ257" i="53"/>
  <c r="BI257" i="53"/>
  <c r="BH257" i="53"/>
  <c r="BD257" i="53"/>
  <c r="BP256" i="53"/>
  <c r="BO256" i="53"/>
  <c r="BN256" i="53"/>
  <c r="BM256" i="53"/>
  <c r="BF256" i="53" s="1"/>
  <c r="BL256" i="53"/>
  <c r="BK256" i="53"/>
  <c r="BJ256" i="53"/>
  <c r="BI256" i="53"/>
  <c r="BH256" i="53"/>
  <c r="BD256" i="53"/>
  <c r="BP255" i="53"/>
  <c r="BO255" i="53"/>
  <c r="BN255" i="53"/>
  <c r="BM255" i="53"/>
  <c r="BL255" i="53"/>
  <c r="BK255" i="53"/>
  <c r="BJ255" i="53"/>
  <c r="BI255" i="53"/>
  <c r="BH255" i="53"/>
  <c r="BD255" i="53"/>
  <c r="BP254" i="53"/>
  <c r="BO254" i="53"/>
  <c r="BN254" i="53"/>
  <c r="BM254" i="53"/>
  <c r="BL254" i="53"/>
  <c r="BK254" i="53"/>
  <c r="BJ254" i="53"/>
  <c r="BI254" i="53"/>
  <c r="BH254" i="53"/>
  <c r="BD254" i="53"/>
  <c r="BP253" i="53"/>
  <c r="BO253" i="53"/>
  <c r="BN253" i="53"/>
  <c r="BM253" i="53"/>
  <c r="BL253" i="53"/>
  <c r="BK253" i="53"/>
  <c r="BJ253" i="53"/>
  <c r="BI253" i="53"/>
  <c r="BH253" i="53"/>
  <c r="BD253" i="53"/>
  <c r="BP252" i="53"/>
  <c r="BO252" i="53"/>
  <c r="BN252" i="53"/>
  <c r="BM252" i="53"/>
  <c r="BL252" i="53"/>
  <c r="BK252" i="53"/>
  <c r="BJ252" i="53"/>
  <c r="BI252" i="53"/>
  <c r="BH252" i="53"/>
  <c r="BD252" i="53"/>
  <c r="BP251" i="53"/>
  <c r="BO251" i="53"/>
  <c r="BN251" i="53"/>
  <c r="BM251" i="53"/>
  <c r="BL251" i="53"/>
  <c r="BK251" i="53"/>
  <c r="BJ251" i="53"/>
  <c r="BI251" i="53"/>
  <c r="BH251" i="53"/>
  <c r="BD251" i="53"/>
  <c r="BP250" i="53"/>
  <c r="BO250" i="53"/>
  <c r="BN250" i="53"/>
  <c r="BM250" i="53"/>
  <c r="BL250" i="53"/>
  <c r="BK250" i="53"/>
  <c r="BJ250" i="53"/>
  <c r="BI250" i="53"/>
  <c r="BH250" i="53"/>
  <c r="BD250" i="53"/>
  <c r="BP249" i="53"/>
  <c r="BO249" i="53"/>
  <c r="BN249" i="53"/>
  <c r="BM249" i="53"/>
  <c r="BL249" i="53"/>
  <c r="BK249" i="53"/>
  <c r="BJ249" i="53"/>
  <c r="BI249" i="53"/>
  <c r="BH249" i="53"/>
  <c r="BD249" i="53"/>
  <c r="BP248" i="53"/>
  <c r="BO248" i="53"/>
  <c r="BN248" i="53"/>
  <c r="BM248" i="53"/>
  <c r="BL248" i="53"/>
  <c r="BK248" i="53"/>
  <c r="BJ248" i="53"/>
  <c r="BI248" i="53"/>
  <c r="BH248" i="53"/>
  <c r="BD248" i="53"/>
  <c r="BP247" i="53"/>
  <c r="BO247" i="53"/>
  <c r="BN247" i="53"/>
  <c r="BM247" i="53"/>
  <c r="BL247" i="53"/>
  <c r="BK247" i="53"/>
  <c r="BJ247" i="53"/>
  <c r="BI247" i="53"/>
  <c r="BH247" i="53"/>
  <c r="BD247" i="53"/>
  <c r="BC230" i="53"/>
  <c r="BP228" i="53"/>
  <c r="BO228" i="53"/>
  <c r="BN228" i="53"/>
  <c r="BM228" i="53"/>
  <c r="BL228" i="53"/>
  <c r="BK228" i="53"/>
  <c r="BJ228" i="53"/>
  <c r="BI228" i="53"/>
  <c r="BH228" i="53"/>
  <c r="BD228" i="53"/>
  <c r="BP227" i="53"/>
  <c r="BO227" i="53"/>
  <c r="BN227" i="53"/>
  <c r="BM227" i="53"/>
  <c r="BL227" i="53"/>
  <c r="BK227" i="53"/>
  <c r="BJ227" i="53"/>
  <c r="BI227" i="53"/>
  <c r="BH227" i="53"/>
  <c r="BD227" i="53"/>
  <c r="BP226" i="53"/>
  <c r="BO226" i="53"/>
  <c r="BN226" i="53"/>
  <c r="BM226" i="53"/>
  <c r="BL226" i="53"/>
  <c r="BK226" i="53"/>
  <c r="BJ226" i="53"/>
  <c r="BI226" i="53"/>
  <c r="BH226" i="53"/>
  <c r="BD226" i="53"/>
  <c r="BP225" i="53"/>
  <c r="BO225" i="53"/>
  <c r="BN225" i="53"/>
  <c r="BM225" i="53"/>
  <c r="BL225" i="53"/>
  <c r="BK225" i="53"/>
  <c r="BJ225" i="53"/>
  <c r="BI225" i="53"/>
  <c r="BH225" i="53"/>
  <c r="BD225" i="53"/>
  <c r="BP224" i="53"/>
  <c r="BO224" i="53"/>
  <c r="BN224" i="53"/>
  <c r="BM224" i="53"/>
  <c r="BL224" i="53"/>
  <c r="BK224" i="53"/>
  <c r="BJ224" i="53"/>
  <c r="BI224" i="53"/>
  <c r="BH224" i="53"/>
  <c r="BD224" i="53"/>
  <c r="BP223" i="53"/>
  <c r="BO223" i="53"/>
  <c r="BN223" i="53"/>
  <c r="BM223" i="53"/>
  <c r="BL223" i="53"/>
  <c r="BK223" i="53"/>
  <c r="BJ223" i="53"/>
  <c r="BI223" i="53"/>
  <c r="BH223" i="53"/>
  <c r="BD223" i="53"/>
  <c r="BP222" i="53"/>
  <c r="BO222" i="53"/>
  <c r="BN222" i="53"/>
  <c r="BM222" i="53"/>
  <c r="BL222" i="53"/>
  <c r="BK222" i="53"/>
  <c r="BJ222" i="53"/>
  <c r="BI222" i="53"/>
  <c r="BH222" i="53"/>
  <c r="BD222" i="53"/>
  <c r="BP221" i="53"/>
  <c r="BO221" i="53"/>
  <c r="BN221" i="53"/>
  <c r="BM221" i="53"/>
  <c r="BL221" i="53"/>
  <c r="BK221" i="53"/>
  <c r="BJ221" i="53"/>
  <c r="BI221" i="53"/>
  <c r="BH221" i="53"/>
  <c r="BD221" i="53"/>
  <c r="BP220" i="53"/>
  <c r="BO220" i="53"/>
  <c r="BN220" i="53"/>
  <c r="BM220" i="53"/>
  <c r="BL220" i="53"/>
  <c r="BK220" i="53"/>
  <c r="BJ220" i="53"/>
  <c r="BI220" i="53"/>
  <c r="BH220" i="53"/>
  <c r="BD220" i="53"/>
  <c r="BP219" i="53"/>
  <c r="BO219" i="53"/>
  <c r="BN219" i="53"/>
  <c r="BM219" i="53"/>
  <c r="BL219" i="53"/>
  <c r="BX219" i="53" s="1"/>
  <c r="BK219" i="53"/>
  <c r="BJ219" i="53"/>
  <c r="BI219" i="53"/>
  <c r="BH219" i="53"/>
  <c r="BD219" i="53"/>
  <c r="BP218" i="53"/>
  <c r="BO218" i="53"/>
  <c r="BN218" i="53"/>
  <c r="BM218" i="53"/>
  <c r="BL218" i="53"/>
  <c r="BK218" i="53"/>
  <c r="BJ218" i="53"/>
  <c r="BI218" i="53"/>
  <c r="BH218" i="53"/>
  <c r="BD218" i="53"/>
  <c r="BP217" i="53"/>
  <c r="BO217" i="53"/>
  <c r="BN217" i="53"/>
  <c r="BM217" i="53"/>
  <c r="BL217" i="53"/>
  <c r="BK217" i="53"/>
  <c r="BJ217" i="53"/>
  <c r="BI217" i="53"/>
  <c r="BH217" i="53"/>
  <c r="BD217" i="53"/>
  <c r="BC200" i="53"/>
  <c r="BP198" i="53"/>
  <c r="BO198" i="53"/>
  <c r="BN198" i="53"/>
  <c r="BM198" i="53"/>
  <c r="BL198" i="53"/>
  <c r="BK198" i="53"/>
  <c r="BJ198" i="53"/>
  <c r="BI198" i="53"/>
  <c r="BH198" i="53"/>
  <c r="BD198" i="53"/>
  <c r="BP197" i="53"/>
  <c r="BO197" i="53"/>
  <c r="BN197" i="53"/>
  <c r="BM197" i="53"/>
  <c r="BL197" i="53"/>
  <c r="BK197" i="53"/>
  <c r="BW197" i="53" s="1"/>
  <c r="BJ197" i="53"/>
  <c r="BI197" i="53"/>
  <c r="BH197" i="53"/>
  <c r="BD197" i="53"/>
  <c r="BP196" i="53"/>
  <c r="BO196" i="53"/>
  <c r="BN196" i="53"/>
  <c r="BM196" i="53"/>
  <c r="BL196" i="53"/>
  <c r="BK196" i="53"/>
  <c r="BJ196" i="53"/>
  <c r="BI196" i="53"/>
  <c r="BH196" i="53"/>
  <c r="BD196" i="53"/>
  <c r="BP195" i="53"/>
  <c r="BO195" i="53"/>
  <c r="BN195" i="53"/>
  <c r="BM195" i="53"/>
  <c r="BL195" i="53"/>
  <c r="BK195" i="53"/>
  <c r="BJ195" i="53"/>
  <c r="BI195" i="53"/>
  <c r="BH195" i="53"/>
  <c r="BD195" i="53"/>
  <c r="BP194" i="53"/>
  <c r="BO194" i="53"/>
  <c r="BN194" i="53"/>
  <c r="BM194" i="53"/>
  <c r="BL194" i="53"/>
  <c r="BK194" i="53"/>
  <c r="BJ194" i="53"/>
  <c r="BI194" i="53"/>
  <c r="BH194" i="53"/>
  <c r="BD194" i="53"/>
  <c r="BP193" i="53"/>
  <c r="BO193" i="53"/>
  <c r="BN193" i="53"/>
  <c r="BM193" i="53"/>
  <c r="BL193" i="53"/>
  <c r="BK193" i="53"/>
  <c r="BJ193" i="53"/>
  <c r="BI193" i="53"/>
  <c r="BH193" i="53"/>
  <c r="BD193" i="53"/>
  <c r="BP192" i="53"/>
  <c r="BO192" i="53"/>
  <c r="BN192" i="53"/>
  <c r="BM192" i="53"/>
  <c r="BL192" i="53"/>
  <c r="BK192" i="53"/>
  <c r="BJ192" i="53"/>
  <c r="BI192" i="53"/>
  <c r="BH192" i="53"/>
  <c r="BD192" i="53"/>
  <c r="BP191" i="53"/>
  <c r="BO191" i="53"/>
  <c r="BN191" i="53"/>
  <c r="BM191" i="53"/>
  <c r="BL191" i="53"/>
  <c r="BK191" i="53"/>
  <c r="BJ191" i="53"/>
  <c r="BI191" i="53"/>
  <c r="BH191" i="53"/>
  <c r="BD191" i="53"/>
  <c r="BP190" i="53"/>
  <c r="BO190" i="53"/>
  <c r="BN190" i="53"/>
  <c r="BM190" i="53"/>
  <c r="BL190" i="53"/>
  <c r="BK190" i="53"/>
  <c r="BS190" i="53" s="1"/>
  <c r="BJ190" i="53"/>
  <c r="BI190" i="53"/>
  <c r="BH190" i="53"/>
  <c r="BD190" i="53"/>
  <c r="BP189" i="53"/>
  <c r="BO189" i="53"/>
  <c r="BN189" i="53"/>
  <c r="BM189" i="53"/>
  <c r="BL189" i="53"/>
  <c r="BK189" i="53"/>
  <c r="BJ189" i="53"/>
  <c r="BI189" i="53"/>
  <c r="BH189" i="53"/>
  <c r="BD189" i="53"/>
  <c r="BP188" i="53"/>
  <c r="BO188" i="53"/>
  <c r="BN188" i="53"/>
  <c r="BM188" i="53"/>
  <c r="BL188" i="53"/>
  <c r="BK188" i="53"/>
  <c r="BJ188" i="53"/>
  <c r="BI188" i="53"/>
  <c r="BH188" i="53"/>
  <c r="BD188" i="53"/>
  <c r="BP187" i="53"/>
  <c r="BO187" i="53"/>
  <c r="BN187" i="53"/>
  <c r="BM187" i="53"/>
  <c r="BL187" i="53"/>
  <c r="BK187" i="53"/>
  <c r="BJ187" i="53"/>
  <c r="BI187" i="53"/>
  <c r="BW187" i="53" s="1"/>
  <c r="BH187" i="53"/>
  <c r="BD187" i="53"/>
  <c r="BC170" i="53"/>
  <c r="BP168" i="53"/>
  <c r="BO168" i="53"/>
  <c r="BN168" i="53"/>
  <c r="BM168" i="53"/>
  <c r="BL168" i="53"/>
  <c r="BK168" i="53"/>
  <c r="BJ168" i="53"/>
  <c r="BI168" i="53"/>
  <c r="BH168" i="53"/>
  <c r="BD168" i="53"/>
  <c r="BP167" i="53"/>
  <c r="BO167" i="53"/>
  <c r="BN167" i="53"/>
  <c r="BM167" i="53"/>
  <c r="BL167" i="53"/>
  <c r="BK167" i="53"/>
  <c r="BJ167" i="53"/>
  <c r="BI167" i="53"/>
  <c r="BH167" i="53"/>
  <c r="BD167" i="53"/>
  <c r="BP166" i="53"/>
  <c r="BO166" i="53"/>
  <c r="BN166" i="53"/>
  <c r="BM166" i="53"/>
  <c r="BL166" i="53"/>
  <c r="BK166" i="53"/>
  <c r="BJ166" i="53"/>
  <c r="BI166" i="53"/>
  <c r="BH166" i="53"/>
  <c r="BD166" i="53"/>
  <c r="BP165" i="53"/>
  <c r="BO165" i="53"/>
  <c r="BN165" i="53"/>
  <c r="BM165" i="53"/>
  <c r="BL165" i="53"/>
  <c r="BK165" i="53"/>
  <c r="BJ165" i="53"/>
  <c r="BI165" i="53"/>
  <c r="BH165" i="53"/>
  <c r="BD165" i="53"/>
  <c r="BP164" i="53"/>
  <c r="BO164" i="53"/>
  <c r="BN164" i="53"/>
  <c r="BM164" i="53"/>
  <c r="BL164" i="53"/>
  <c r="BW164" i="53" s="1"/>
  <c r="BK164" i="53"/>
  <c r="BJ164" i="53"/>
  <c r="BI164" i="53"/>
  <c r="BH164" i="53"/>
  <c r="BD164" i="53"/>
  <c r="BP163" i="53"/>
  <c r="BO163" i="53"/>
  <c r="BN163" i="53"/>
  <c r="BM163" i="53"/>
  <c r="BL163" i="53"/>
  <c r="BK163" i="53"/>
  <c r="BJ163" i="53"/>
  <c r="BI163" i="53"/>
  <c r="BH163" i="53"/>
  <c r="BD163" i="53"/>
  <c r="BP162" i="53"/>
  <c r="BO162" i="53"/>
  <c r="BN162" i="53"/>
  <c r="BM162" i="53"/>
  <c r="BL162" i="53"/>
  <c r="BK162" i="53"/>
  <c r="BJ162" i="53"/>
  <c r="BI162" i="53"/>
  <c r="BH162" i="53"/>
  <c r="BD162" i="53"/>
  <c r="BP161" i="53"/>
  <c r="BO161" i="53"/>
  <c r="BN161" i="53"/>
  <c r="BM161" i="53"/>
  <c r="BL161" i="53"/>
  <c r="BK161" i="53"/>
  <c r="BJ161" i="53"/>
  <c r="BI161" i="53"/>
  <c r="BH161" i="53"/>
  <c r="BD161" i="53"/>
  <c r="BP160" i="53"/>
  <c r="BO160" i="53"/>
  <c r="BN160" i="53"/>
  <c r="BM160" i="53"/>
  <c r="BL160" i="53"/>
  <c r="BK160" i="53"/>
  <c r="BJ160" i="53"/>
  <c r="BI160" i="53"/>
  <c r="BH160" i="53"/>
  <c r="BD160" i="53"/>
  <c r="BP159" i="53"/>
  <c r="BO159" i="53"/>
  <c r="BN159" i="53"/>
  <c r="BM159" i="53"/>
  <c r="BL159" i="53"/>
  <c r="BK159" i="53"/>
  <c r="BJ159" i="53"/>
  <c r="BI159" i="53"/>
  <c r="BH159" i="53"/>
  <c r="BD159" i="53"/>
  <c r="BP158" i="53"/>
  <c r="BO158" i="53"/>
  <c r="BN158" i="53"/>
  <c r="BM158" i="53"/>
  <c r="BL158" i="53"/>
  <c r="BK158" i="53"/>
  <c r="BJ158" i="53"/>
  <c r="BI158" i="53"/>
  <c r="BH158" i="53"/>
  <c r="BD158" i="53"/>
  <c r="BP157" i="53"/>
  <c r="BO157" i="53"/>
  <c r="BN157" i="53"/>
  <c r="BM157" i="53"/>
  <c r="BL157" i="53"/>
  <c r="BK157" i="53"/>
  <c r="BJ157" i="53"/>
  <c r="BI157" i="53"/>
  <c r="BH157" i="53"/>
  <c r="BD157" i="53"/>
  <c r="BC140" i="53"/>
  <c r="BP138" i="53"/>
  <c r="BO138" i="53"/>
  <c r="BN138" i="53"/>
  <c r="BM138" i="53"/>
  <c r="BL138" i="53"/>
  <c r="BK138" i="53"/>
  <c r="BJ138" i="53"/>
  <c r="BI138" i="53"/>
  <c r="BH138" i="53"/>
  <c r="BD138" i="53"/>
  <c r="BP137" i="53"/>
  <c r="BO137" i="53"/>
  <c r="BN137" i="53"/>
  <c r="BM137" i="53"/>
  <c r="BL137" i="53"/>
  <c r="BK137" i="53"/>
  <c r="BJ137" i="53"/>
  <c r="BI137" i="53"/>
  <c r="BH137" i="53"/>
  <c r="BD137" i="53"/>
  <c r="BP136" i="53"/>
  <c r="BO136" i="53"/>
  <c r="BN136" i="53"/>
  <c r="BM136" i="53"/>
  <c r="BL136" i="53"/>
  <c r="BK136" i="53"/>
  <c r="BJ136" i="53"/>
  <c r="BI136" i="53"/>
  <c r="BH136" i="53"/>
  <c r="BD136" i="53"/>
  <c r="BP135" i="53"/>
  <c r="BO135" i="53"/>
  <c r="BN135" i="53"/>
  <c r="BM135" i="53"/>
  <c r="BL135" i="53"/>
  <c r="BK135" i="53"/>
  <c r="BJ135" i="53"/>
  <c r="BI135" i="53"/>
  <c r="BH135" i="53"/>
  <c r="BD135" i="53"/>
  <c r="BP134" i="53"/>
  <c r="BO134" i="53"/>
  <c r="BN134" i="53"/>
  <c r="BM134" i="53"/>
  <c r="BL134" i="53"/>
  <c r="BK134" i="53"/>
  <c r="BJ134" i="53"/>
  <c r="BI134" i="53"/>
  <c r="BH134" i="53"/>
  <c r="BD134" i="53"/>
  <c r="BP133" i="53"/>
  <c r="BO133" i="53"/>
  <c r="BN133" i="53"/>
  <c r="BM133" i="53"/>
  <c r="BL133" i="53"/>
  <c r="BK133" i="53"/>
  <c r="BJ133" i="53"/>
  <c r="BI133" i="53"/>
  <c r="BH133" i="53"/>
  <c r="BD133" i="53"/>
  <c r="BP132" i="53"/>
  <c r="BO132" i="53"/>
  <c r="BN132" i="53"/>
  <c r="BM132" i="53"/>
  <c r="BL132" i="53"/>
  <c r="BK132" i="53"/>
  <c r="BJ132" i="53"/>
  <c r="BI132" i="53"/>
  <c r="BH132" i="53"/>
  <c r="BD132" i="53"/>
  <c r="BP131" i="53"/>
  <c r="BO131" i="53"/>
  <c r="BN131" i="53"/>
  <c r="BM131" i="53"/>
  <c r="BL131" i="53"/>
  <c r="BK131" i="53"/>
  <c r="BJ131" i="53"/>
  <c r="BI131" i="53"/>
  <c r="BH131" i="53"/>
  <c r="BD131" i="53"/>
  <c r="BP130" i="53"/>
  <c r="BO130" i="53"/>
  <c r="BN130" i="53"/>
  <c r="BM130" i="53"/>
  <c r="BL130" i="53"/>
  <c r="BK130" i="53"/>
  <c r="BJ130" i="53"/>
  <c r="BI130" i="53"/>
  <c r="BH130" i="53"/>
  <c r="BD130" i="53"/>
  <c r="BP129" i="53"/>
  <c r="BO129" i="53"/>
  <c r="BN129" i="53"/>
  <c r="BM129" i="53"/>
  <c r="BL129" i="53"/>
  <c r="BK129" i="53"/>
  <c r="BJ129" i="53"/>
  <c r="BI129" i="53"/>
  <c r="BH129" i="53"/>
  <c r="BD129" i="53"/>
  <c r="BP128" i="53"/>
  <c r="BO128" i="53"/>
  <c r="BN128" i="53"/>
  <c r="BM128" i="53"/>
  <c r="BL128" i="53"/>
  <c r="BK128" i="53"/>
  <c r="BJ128" i="53"/>
  <c r="BI128" i="53"/>
  <c r="BH128" i="53"/>
  <c r="BD128" i="53"/>
  <c r="BP127" i="53"/>
  <c r="BO127" i="53"/>
  <c r="BN127" i="53"/>
  <c r="BM127" i="53"/>
  <c r="BL127" i="53"/>
  <c r="BK127" i="53"/>
  <c r="BJ127" i="53"/>
  <c r="BI127" i="53"/>
  <c r="BH127" i="53"/>
  <c r="BD127" i="53"/>
  <c r="BC110" i="53"/>
  <c r="BP108" i="53"/>
  <c r="BO108" i="53"/>
  <c r="BN108" i="53"/>
  <c r="BM108" i="53"/>
  <c r="BL108" i="53"/>
  <c r="BK108" i="53"/>
  <c r="BJ108" i="53"/>
  <c r="BI108" i="53"/>
  <c r="BH108" i="53"/>
  <c r="BD108" i="53"/>
  <c r="BP107" i="53"/>
  <c r="BO107" i="53"/>
  <c r="BN107" i="53"/>
  <c r="BM107" i="53"/>
  <c r="BL107" i="53"/>
  <c r="BK107" i="53"/>
  <c r="BJ107" i="53"/>
  <c r="BI107" i="53"/>
  <c r="BH107" i="53"/>
  <c r="BD107" i="53"/>
  <c r="BP106" i="53"/>
  <c r="BO106" i="53"/>
  <c r="BN106" i="53"/>
  <c r="BM106" i="53"/>
  <c r="BL106" i="53"/>
  <c r="BK106" i="53"/>
  <c r="BJ106" i="53"/>
  <c r="BI106" i="53"/>
  <c r="BH106" i="53"/>
  <c r="BD106" i="53"/>
  <c r="BP105" i="53"/>
  <c r="BO105" i="53"/>
  <c r="BN105" i="53"/>
  <c r="BM105" i="53"/>
  <c r="BL105" i="53"/>
  <c r="BK105" i="53"/>
  <c r="BJ105" i="53"/>
  <c r="BI105" i="53"/>
  <c r="BH105" i="53"/>
  <c r="BD105" i="53"/>
  <c r="BP104" i="53"/>
  <c r="BO104" i="53"/>
  <c r="BN104" i="53"/>
  <c r="BM104" i="53"/>
  <c r="BL104" i="53"/>
  <c r="BK104" i="53"/>
  <c r="BJ104" i="53"/>
  <c r="BI104" i="53"/>
  <c r="BH104" i="53"/>
  <c r="BD104" i="53"/>
  <c r="BP103" i="53"/>
  <c r="BO103" i="53"/>
  <c r="BN103" i="53"/>
  <c r="BM103" i="53"/>
  <c r="BL103" i="53"/>
  <c r="BK103" i="53"/>
  <c r="BJ103" i="53"/>
  <c r="BI103" i="53"/>
  <c r="BH103" i="53"/>
  <c r="BD103" i="53"/>
  <c r="BP102" i="53"/>
  <c r="BO102" i="53"/>
  <c r="BN102" i="53"/>
  <c r="BM102" i="53"/>
  <c r="BL102" i="53"/>
  <c r="BK102" i="53"/>
  <c r="BJ102" i="53"/>
  <c r="BI102" i="53"/>
  <c r="BH102" i="53"/>
  <c r="BD102" i="53"/>
  <c r="BP101" i="53"/>
  <c r="BO101" i="53"/>
  <c r="BN101" i="53"/>
  <c r="BM101" i="53"/>
  <c r="BL101" i="53"/>
  <c r="BK101" i="53"/>
  <c r="BJ101" i="53"/>
  <c r="BI101" i="53"/>
  <c r="BH101" i="53"/>
  <c r="BD101" i="53"/>
  <c r="BP100" i="53"/>
  <c r="BO100" i="53"/>
  <c r="BN100" i="53"/>
  <c r="BM100" i="53"/>
  <c r="BL100" i="53"/>
  <c r="BK100" i="53"/>
  <c r="BJ100" i="53"/>
  <c r="BI100" i="53"/>
  <c r="BH100" i="53"/>
  <c r="BD100" i="53"/>
  <c r="BP99" i="53"/>
  <c r="BO99" i="53"/>
  <c r="BN99" i="53"/>
  <c r="BM99" i="53"/>
  <c r="BL99" i="53"/>
  <c r="BK99" i="53"/>
  <c r="BJ99" i="53"/>
  <c r="BI99" i="53"/>
  <c r="BH99" i="53"/>
  <c r="BD99" i="53"/>
  <c r="BP98" i="53"/>
  <c r="BO98" i="53"/>
  <c r="BN98" i="53"/>
  <c r="BM98" i="53"/>
  <c r="BL98" i="53"/>
  <c r="BK98" i="53"/>
  <c r="BJ98" i="53"/>
  <c r="BI98" i="53"/>
  <c r="BH98" i="53"/>
  <c r="BD98" i="53"/>
  <c r="BP97" i="53"/>
  <c r="BO97" i="53"/>
  <c r="BN97" i="53"/>
  <c r="BM97" i="53"/>
  <c r="BL97" i="53"/>
  <c r="BK97" i="53"/>
  <c r="BJ97" i="53"/>
  <c r="BI97" i="53"/>
  <c r="BH97" i="53"/>
  <c r="BD97" i="53"/>
  <c r="BC80" i="53"/>
  <c r="BP78" i="53"/>
  <c r="BO78" i="53"/>
  <c r="BN78" i="53"/>
  <c r="BM78" i="53"/>
  <c r="BL78" i="53"/>
  <c r="BK78" i="53"/>
  <c r="BJ78" i="53"/>
  <c r="BI78" i="53"/>
  <c r="BH78" i="53"/>
  <c r="BD78" i="53"/>
  <c r="BP77" i="53"/>
  <c r="BO77" i="53"/>
  <c r="BN77" i="53"/>
  <c r="BM77" i="53"/>
  <c r="BL77" i="53"/>
  <c r="BK77" i="53"/>
  <c r="BG77" i="53" s="1"/>
  <c r="BJ77" i="53"/>
  <c r="BI77" i="53"/>
  <c r="BH77" i="53"/>
  <c r="BD77" i="53"/>
  <c r="BP76" i="53"/>
  <c r="BO76" i="53"/>
  <c r="BN76" i="53"/>
  <c r="BM76" i="53"/>
  <c r="BL76" i="53"/>
  <c r="BK76" i="53"/>
  <c r="BJ76" i="53"/>
  <c r="BI76" i="53"/>
  <c r="BH76" i="53"/>
  <c r="BD76" i="53"/>
  <c r="BP75" i="53"/>
  <c r="BO75" i="53"/>
  <c r="BN75" i="53"/>
  <c r="BM75" i="53"/>
  <c r="BL75" i="53"/>
  <c r="BK75" i="53"/>
  <c r="BJ75" i="53"/>
  <c r="BI75" i="53"/>
  <c r="BH75" i="53"/>
  <c r="BD75" i="53"/>
  <c r="BP74" i="53"/>
  <c r="BO74" i="53"/>
  <c r="BN74" i="53"/>
  <c r="BM74" i="53"/>
  <c r="BL74" i="53"/>
  <c r="BK74" i="53"/>
  <c r="BJ74" i="53"/>
  <c r="BI74" i="53"/>
  <c r="BH74" i="53"/>
  <c r="BD74" i="53"/>
  <c r="BP73" i="53"/>
  <c r="BO73" i="53"/>
  <c r="BN73" i="53"/>
  <c r="BM73" i="53"/>
  <c r="BL73" i="53"/>
  <c r="BK73" i="53"/>
  <c r="BJ73" i="53"/>
  <c r="BI73" i="53"/>
  <c r="BH73" i="53"/>
  <c r="BD73" i="53"/>
  <c r="BP72" i="53"/>
  <c r="BO72" i="53"/>
  <c r="BN72" i="53"/>
  <c r="BM72" i="53"/>
  <c r="BL72" i="53"/>
  <c r="BK72" i="53"/>
  <c r="BJ72" i="53"/>
  <c r="BI72" i="53"/>
  <c r="BH72" i="53"/>
  <c r="BD72" i="53"/>
  <c r="BP71" i="53"/>
  <c r="BO71" i="53"/>
  <c r="BN71" i="53"/>
  <c r="BM71" i="53"/>
  <c r="BL71" i="53"/>
  <c r="BK71" i="53"/>
  <c r="BJ71" i="53"/>
  <c r="BI71" i="53"/>
  <c r="BH71" i="53"/>
  <c r="BD71" i="53"/>
  <c r="BP70" i="53"/>
  <c r="BO70" i="53"/>
  <c r="BN70" i="53"/>
  <c r="BM70" i="53"/>
  <c r="BL70" i="53"/>
  <c r="BK70" i="53"/>
  <c r="BJ70" i="53"/>
  <c r="BI70" i="53"/>
  <c r="BH70" i="53"/>
  <c r="BD70" i="53"/>
  <c r="BP69" i="53"/>
  <c r="BO69" i="53"/>
  <c r="BN69" i="53"/>
  <c r="BM69" i="53"/>
  <c r="BL69" i="53"/>
  <c r="BK69" i="53"/>
  <c r="BJ69" i="53"/>
  <c r="BI69" i="53"/>
  <c r="BW69" i="53" s="1"/>
  <c r="BH69" i="53"/>
  <c r="BD69" i="53"/>
  <c r="BP68" i="53"/>
  <c r="BO68" i="53"/>
  <c r="BN68" i="53"/>
  <c r="BM68" i="53"/>
  <c r="BL68" i="53"/>
  <c r="BK68" i="53"/>
  <c r="BJ68" i="53"/>
  <c r="BI68" i="53"/>
  <c r="BH68" i="53"/>
  <c r="BD68" i="53"/>
  <c r="BP67" i="53"/>
  <c r="BO67" i="53"/>
  <c r="BN67" i="53"/>
  <c r="BM67" i="53"/>
  <c r="BG67" i="53" s="1"/>
  <c r="BL67" i="53"/>
  <c r="BK67" i="53"/>
  <c r="BJ67" i="53"/>
  <c r="BI67" i="53"/>
  <c r="BH67" i="53"/>
  <c r="BD67" i="53"/>
  <c r="BC50" i="53"/>
  <c r="BP48" i="53"/>
  <c r="BO48" i="53"/>
  <c r="BN48" i="53"/>
  <c r="BM48" i="53"/>
  <c r="BL48" i="53"/>
  <c r="BK48" i="53"/>
  <c r="BJ48" i="53"/>
  <c r="BI48" i="53"/>
  <c r="BH48" i="53"/>
  <c r="BD48" i="53"/>
  <c r="BP47" i="53"/>
  <c r="BO47" i="53"/>
  <c r="BN47" i="53"/>
  <c r="BM47" i="53"/>
  <c r="BL47" i="53"/>
  <c r="BK47" i="53"/>
  <c r="BJ47" i="53"/>
  <c r="BI47" i="53"/>
  <c r="BH47" i="53"/>
  <c r="BD47" i="53"/>
  <c r="BP46" i="53"/>
  <c r="BO46" i="53"/>
  <c r="BN46" i="53"/>
  <c r="BM46" i="53"/>
  <c r="BL46" i="53"/>
  <c r="BK46" i="53"/>
  <c r="BJ46" i="53"/>
  <c r="BI46" i="53"/>
  <c r="BH46" i="53"/>
  <c r="BD46" i="53"/>
  <c r="BP45" i="53"/>
  <c r="BO45" i="53"/>
  <c r="BN45" i="53"/>
  <c r="BM45" i="53"/>
  <c r="BL45" i="53"/>
  <c r="BK45" i="53"/>
  <c r="BJ45" i="53"/>
  <c r="BI45" i="53"/>
  <c r="BH45" i="53"/>
  <c r="BD45" i="53"/>
  <c r="BP44" i="53"/>
  <c r="BO44" i="53"/>
  <c r="BN44" i="53"/>
  <c r="BM44" i="53"/>
  <c r="BL44" i="53"/>
  <c r="BK44" i="53"/>
  <c r="BJ44" i="53"/>
  <c r="BI44" i="53"/>
  <c r="BH44" i="53"/>
  <c r="BD44" i="53"/>
  <c r="BP43" i="53"/>
  <c r="BO43" i="53"/>
  <c r="BN43" i="53"/>
  <c r="BM43" i="53"/>
  <c r="BL43" i="53"/>
  <c r="BK43" i="53"/>
  <c r="BJ43" i="53"/>
  <c r="BS43" i="53" s="1"/>
  <c r="BI43" i="53"/>
  <c r="BH43" i="53"/>
  <c r="BD43" i="53"/>
  <c r="BP42" i="53"/>
  <c r="BO42" i="53"/>
  <c r="BN42" i="53"/>
  <c r="BM42" i="53"/>
  <c r="BL42" i="53"/>
  <c r="BK42" i="53"/>
  <c r="BJ42" i="53"/>
  <c r="BI42" i="53"/>
  <c r="BH42" i="53"/>
  <c r="BD42" i="53"/>
  <c r="BP41" i="53"/>
  <c r="BO41" i="53"/>
  <c r="BN41" i="53"/>
  <c r="BX41" i="53" s="1"/>
  <c r="BM41" i="53"/>
  <c r="BL41" i="53"/>
  <c r="BK41" i="53"/>
  <c r="BJ41" i="53"/>
  <c r="BI41" i="53"/>
  <c r="BH41" i="53"/>
  <c r="BD41" i="53"/>
  <c r="BP40" i="53"/>
  <c r="BO40" i="53"/>
  <c r="BN40" i="53"/>
  <c r="BM40" i="53"/>
  <c r="BL40" i="53"/>
  <c r="BK40" i="53"/>
  <c r="BJ40" i="53"/>
  <c r="BI40" i="53"/>
  <c r="BH40" i="53"/>
  <c r="BG40" i="53" s="1"/>
  <c r="BD40" i="53"/>
  <c r="BP39" i="53"/>
  <c r="BO39" i="53"/>
  <c r="BN39" i="53"/>
  <c r="BM39" i="53"/>
  <c r="BL39" i="53"/>
  <c r="BK39" i="53"/>
  <c r="BJ39" i="53"/>
  <c r="BI39" i="53"/>
  <c r="BH39" i="53"/>
  <c r="BD39" i="53"/>
  <c r="BP38" i="53"/>
  <c r="BO38" i="53"/>
  <c r="BN38" i="53"/>
  <c r="BM38" i="53"/>
  <c r="BL38" i="53"/>
  <c r="BS38" i="53" s="1"/>
  <c r="BK38" i="53"/>
  <c r="BJ38" i="53"/>
  <c r="BI38" i="53"/>
  <c r="BH38" i="53"/>
  <c r="BD38" i="53"/>
  <c r="BP37" i="53"/>
  <c r="BO37" i="53"/>
  <c r="BN37" i="53"/>
  <c r="BM37" i="53"/>
  <c r="BL37" i="53"/>
  <c r="BK37" i="53"/>
  <c r="BJ37" i="53"/>
  <c r="BI37" i="53"/>
  <c r="BH37" i="53"/>
  <c r="BD37" i="53"/>
  <c r="BC20" i="53"/>
  <c r="BP18" i="53"/>
  <c r="BO18" i="53"/>
  <c r="BN18" i="53"/>
  <c r="BM18" i="53"/>
  <c r="BL18" i="53"/>
  <c r="BK18" i="53"/>
  <c r="BJ18" i="53"/>
  <c r="BI18" i="53"/>
  <c r="BH18" i="53"/>
  <c r="BD18" i="53"/>
  <c r="BP17" i="53"/>
  <c r="BO17" i="53"/>
  <c r="BN17" i="53"/>
  <c r="BM17" i="53"/>
  <c r="BL17" i="53"/>
  <c r="BK17" i="53"/>
  <c r="BX17" i="53" s="1"/>
  <c r="BJ17" i="53"/>
  <c r="BI17" i="53"/>
  <c r="BH17" i="53"/>
  <c r="BD17" i="53"/>
  <c r="BP16" i="53"/>
  <c r="BO16" i="53"/>
  <c r="BN16" i="53"/>
  <c r="BM16" i="53"/>
  <c r="BL16" i="53"/>
  <c r="BK16" i="53"/>
  <c r="BJ16" i="53"/>
  <c r="BI16" i="53"/>
  <c r="BH16" i="53"/>
  <c r="BD16" i="53"/>
  <c r="BP15" i="53"/>
  <c r="BO15" i="53"/>
  <c r="BN15" i="53"/>
  <c r="BM15" i="53"/>
  <c r="BL15" i="53"/>
  <c r="BK15" i="53"/>
  <c r="BJ15" i="53"/>
  <c r="BI15" i="53"/>
  <c r="BH15" i="53"/>
  <c r="BD15" i="53"/>
  <c r="BP14" i="53"/>
  <c r="BO14" i="53"/>
  <c r="BN14" i="53"/>
  <c r="BM14" i="53"/>
  <c r="BL14" i="53"/>
  <c r="BK14" i="53"/>
  <c r="BJ14" i="53"/>
  <c r="BI14" i="53"/>
  <c r="BS14" i="53" s="1"/>
  <c r="BH14" i="53"/>
  <c r="BD14" i="53"/>
  <c r="BP13" i="53"/>
  <c r="BO13" i="53"/>
  <c r="BN13" i="53"/>
  <c r="BM13" i="53"/>
  <c r="BL13" i="53"/>
  <c r="BK13" i="53"/>
  <c r="BJ13" i="53"/>
  <c r="BI13" i="53"/>
  <c r="BH13" i="53"/>
  <c r="BD13" i="53"/>
  <c r="BP12" i="53"/>
  <c r="BO12" i="53"/>
  <c r="BN12" i="53"/>
  <c r="BM12" i="53"/>
  <c r="BF12" i="53" s="1"/>
  <c r="BL12" i="53"/>
  <c r="BK12" i="53"/>
  <c r="BJ12" i="53"/>
  <c r="BI12" i="53"/>
  <c r="BH12" i="53"/>
  <c r="BD12" i="53"/>
  <c r="BP11" i="53"/>
  <c r="BO11" i="53"/>
  <c r="BN11" i="53"/>
  <c r="BM11" i="53"/>
  <c r="BL11" i="53"/>
  <c r="BK11" i="53"/>
  <c r="BJ11" i="53"/>
  <c r="BI11" i="53"/>
  <c r="BH11" i="53"/>
  <c r="BD11" i="53"/>
  <c r="BP10" i="53"/>
  <c r="BO10" i="53"/>
  <c r="BN10" i="53"/>
  <c r="BM10" i="53"/>
  <c r="BL10" i="53"/>
  <c r="BK10" i="53"/>
  <c r="BJ10" i="53"/>
  <c r="BI10" i="53"/>
  <c r="BH10" i="53"/>
  <c r="BD10" i="53"/>
  <c r="BP9" i="53"/>
  <c r="BO9" i="53"/>
  <c r="BN9" i="53"/>
  <c r="BM9" i="53"/>
  <c r="BL9" i="53"/>
  <c r="BK9" i="53"/>
  <c r="BJ9" i="53"/>
  <c r="BI9" i="53"/>
  <c r="BH9" i="53"/>
  <c r="BD9" i="53"/>
  <c r="BP8" i="53"/>
  <c r="BO8" i="53"/>
  <c r="BN8" i="53"/>
  <c r="BM8" i="53"/>
  <c r="BL8" i="53"/>
  <c r="BK8" i="53"/>
  <c r="BJ8" i="53"/>
  <c r="BI8" i="53"/>
  <c r="BH8" i="53"/>
  <c r="BD8" i="53"/>
  <c r="BP7" i="53"/>
  <c r="BO7" i="53"/>
  <c r="BN7" i="53"/>
  <c r="BM7" i="53"/>
  <c r="BL7" i="53"/>
  <c r="BK7" i="53"/>
  <c r="BJ7" i="53"/>
  <c r="BI7" i="53"/>
  <c r="BH7" i="53"/>
  <c r="BD7" i="53"/>
  <c r="BC290" i="52"/>
  <c r="BP288" i="52"/>
  <c r="BO288" i="52"/>
  <c r="BN288" i="52"/>
  <c r="BM288" i="52"/>
  <c r="BL288" i="52"/>
  <c r="BK288" i="52"/>
  <c r="BJ288" i="52"/>
  <c r="BI288" i="52"/>
  <c r="BH288" i="52"/>
  <c r="BD288" i="52"/>
  <c r="BP287" i="52"/>
  <c r="BO287" i="52"/>
  <c r="BN287" i="52"/>
  <c r="BM287" i="52"/>
  <c r="BL287" i="52"/>
  <c r="BK287" i="52"/>
  <c r="BJ287" i="52"/>
  <c r="BI287" i="52"/>
  <c r="BH287" i="52"/>
  <c r="BD287" i="52"/>
  <c r="BP286" i="52"/>
  <c r="BO286" i="52"/>
  <c r="BN286" i="52"/>
  <c r="BM286" i="52"/>
  <c r="BL286" i="52"/>
  <c r="BK286" i="52"/>
  <c r="BJ286" i="52"/>
  <c r="BI286" i="52"/>
  <c r="BH286" i="52"/>
  <c r="BD286" i="52"/>
  <c r="BP285" i="52"/>
  <c r="BO285" i="52"/>
  <c r="BN285" i="52"/>
  <c r="BM285" i="52"/>
  <c r="BL285" i="52"/>
  <c r="BK285" i="52"/>
  <c r="BJ285" i="52"/>
  <c r="BI285" i="52"/>
  <c r="BH285" i="52"/>
  <c r="BD285" i="52"/>
  <c r="BP284" i="52"/>
  <c r="BO284" i="52"/>
  <c r="BN284" i="52"/>
  <c r="BM284" i="52"/>
  <c r="BL284" i="52"/>
  <c r="BK284" i="52"/>
  <c r="BJ284" i="52"/>
  <c r="BI284" i="52"/>
  <c r="BH284" i="52"/>
  <c r="BD284" i="52"/>
  <c r="BP283" i="52"/>
  <c r="BO283" i="52"/>
  <c r="BN283" i="52"/>
  <c r="BM283" i="52"/>
  <c r="BL283" i="52"/>
  <c r="BK283" i="52"/>
  <c r="BJ283" i="52"/>
  <c r="BI283" i="52"/>
  <c r="BH283" i="52"/>
  <c r="BD283" i="52"/>
  <c r="BP282" i="52"/>
  <c r="BO282" i="52"/>
  <c r="BN282" i="52"/>
  <c r="BM282" i="52"/>
  <c r="BL282" i="52"/>
  <c r="BK282" i="52"/>
  <c r="BJ282" i="52"/>
  <c r="BI282" i="52"/>
  <c r="BH282" i="52"/>
  <c r="BD282" i="52"/>
  <c r="BP281" i="52"/>
  <c r="BO281" i="52"/>
  <c r="BN281" i="52"/>
  <c r="BM281" i="52"/>
  <c r="BL281" i="52"/>
  <c r="BK281" i="52"/>
  <c r="BJ281" i="52"/>
  <c r="BI281" i="52"/>
  <c r="BH281" i="52"/>
  <c r="BD281" i="52"/>
  <c r="BP280" i="52"/>
  <c r="BO280" i="52"/>
  <c r="BN280" i="52"/>
  <c r="BM280" i="52"/>
  <c r="BL280" i="52"/>
  <c r="BK280" i="52"/>
  <c r="BJ280" i="52"/>
  <c r="BI280" i="52"/>
  <c r="BH280" i="52"/>
  <c r="BD280" i="52"/>
  <c r="BP279" i="52"/>
  <c r="BO279" i="52"/>
  <c r="BN279" i="52"/>
  <c r="BM279" i="52"/>
  <c r="BL279" i="52"/>
  <c r="BK279" i="52"/>
  <c r="BJ279" i="52"/>
  <c r="BI279" i="52"/>
  <c r="BH279" i="52"/>
  <c r="BD279" i="52"/>
  <c r="BP278" i="52"/>
  <c r="BO278" i="52"/>
  <c r="BN278" i="52"/>
  <c r="BM278" i="52"/>
  <c r="BL278" i="52"/>
  <c r="BK278" i="52"/>
  <c r="BJ278" i="52"/>
  <c r="BI278" i="52"/>
  <c r="BH278" i="52"/>
  <c r="BD278" i="52"/>
  <c r="BP277" i="52"/>
  <c r="BO277" i="52"/>
  <c r="BN277" i="52"/>
  <c r="BM277" i="52"/>
  <c r="BL277" i="52"/>
  <c r="BK277" i="52"/>
  <c r="BJ277" i="52"/>
  <c r="BI277" i="52"/>
  <c r="BH277" i="52"/>
  <c r="BD277" i="52"/>
  <c r="BC260" i="52"/>
  <c r="BP258" i="52"/>
  <c r="BO258" i="52"/>
  <c r="BN258" i="52"/>
  <c r="BM258" i="52"/>
  <c r="BL258" i="52"/>
  <c r="BK258" i="52"/>
  <c r="BJ258" i="52"/>
  <c r="BI258" i="52"/>
  <c r="BH258" i="52"/>
  <c r="BD258" i="52"/>
  <c r="BP257" i="52"/>
  <c r="BO257" i="52"/>
  <c r="BN257" i="52"/>
  <c r="BM257" i="52"/>
  <c r="BS257" i="52" s="1"/>
  <c r="BL257" i="52"/>
  <c r="BK257" i="52"/>
  <c r="BJ257" i="52"/>
  <c r="BI257" i="52"/>
  <c r="BH257" i="52"/>
  <c r="BD257" i="52"/>
  <c r="BP256" i="52"/>
  <c r="BO256" i="52"/>
  <c r="BN256" i="52"/>
  <c r="BM256" i="52"/>
  <c r="BL256" i="52"/>
  <c r="BK256" i="52"/>
  <c r="BJ256" i="52"/>
  <c r="BI256" i="52"/>
  <c r="BH256" i="52"/>
  <c r="BD256" i="52"/>
  <c r="BP255" i="52"/>
  <c r="BO255" i="52"/>
  <c r="BN255" i="52"/>
  <c r="BM255" i="52"/>
  <c r="BL255" i="52"/>
  <c r="BK255" i="52"/>
  <c r="BJ255" i="52"/>
  <c r="BI255" i="52"/>
  <c r="BH255" i="52"/>
  <c r="BD255" i="52"/>
  <c r="BP254" i="52"/>
  <c r="BO254" i="52"/>
  <c r="BN254" i="52"/>
  <c r="BM254" i="52"/>
  <c r="BL254" i="52"/>
  <c r="BK254" i="52"/>
  <c r="BJ254" i="52"/>
  <c r="BI254" i="52"/>
  <c r="BH254" i="52"/>
  <c r="BD254" i="52"/>
  <c r="BP253" i="52"/>
  <c r="BO253" i="52"/>
  <c r="BN253" i="52"/>
  <c r="BM253" i="52"/>
  <c r="BL253" i="52"/>
  <c r="BK253" i="52"/>
  <c r="BJ253" i="52"/>
  <c r="BI253" i="52"/>
  <c r="BH253" i="52"/>
  <c r="BD253" i="52"/>
  <c r="BP252" i="52"/>
  <c r="BO252" i="52"/>
  <c r="BN252" i="52"/>
  <c r="BM252" i="52"/>
  <c r="BL252" i="52"/>
  <c r="BK252" i="52"/>
  <c r="BJ252" i="52"/>
  <c r="BI252" i="52"/>
  <c r="BH252" i="52"/>
  <c r="BD252" i="52"/>
  <c r="BP251" i="52"/>
  <c r="BO251" i="52"/>
  <c r="BN251" i="52"/>
  <c r="BM251" i="52"/>
  <c r="BL251" i="52"/>
  <c r="BK251" i="52"/>
  <c r="BJ251" i="52"/>
  <c r="BI251" i="52"/>
  <c r="BS251" i="52" s="1"/>
  <c r="BH251" i="52"/>
  <c r="BD251" i="52"/>
  <c r="BP250" i="52"/>
  <c r="BO250" i="52"/>
  <c r="BN250" i="52"/>
  <c r="BM250" i="52"/>
  <c r="BL250" i="52"/>
  <c r="BK250" i="52"/>
  <c r="BJ250" i="52"/>
  <c r="BI250" i="52"/>
  <c r="BH250" i="52"/>
  <c r="BD250" i="52"/>
  <c r="BP249" i="52"/>
  <c r="BO249" i="52"/>
  <c r="BN249" i="52"/>
  <c r="BM249" i="52"/>
  <c r="BX249" i="52" s="1"/>
  <c r="BL249" i="52"/>
  <c r="BK249" i="52"/>
  <c r="BJ249" i="52"/>
  <c r="BI249" i="52"/>
  <c r="BH249" i="52"/>
  <c r="BD249" i="52"/>
  <c r="BP248" i="52"/>
  <c r="BO248" i="52"/>
  <c r="BN248" i="52"/>
  <c r="BM248" i="52"/>
  <c r="BL248" i="52"/>
  <c r="BK248" i="52"/>
  <c r="BJ248" i="52"/>
  <c r="BI248" i="52"/>
  <c r="BH248" i="52"/>
  <c r="BD248" i="52"/>
  <c r="BP247" i="52"/>
  <c r="BO247" i="52"/>
  <c r="BN247" i="52"/>
  <c r="BM247" i="52"/>
  <c r="BL247" i="52"/>
  <c r="BK247" i="52"/>
  <c r="BJ247" i="52"/>
  <c r="BI247" i="52"/>
  <c r="BH247" i="52"/>
  <c r="BD247" i="52"/>
  <c r="BC230" i="52"/>
  <c r="BP228" i="52"/>
  <c r="BO228" i="52"/>
  <c r="BN228" i="52"/>
  <c r="BM228" i="52"/>
  <c r="BL228" i="52"/>
  <c r="BK228" i="52"/>
  <c r="BJ228" i="52"/>
  <c r="BI228" i="52"/>
  <c r="BH228" i="52"/>
  <c r="BD228" i="52"/>
  <c r="BP227" i="52"/>
  <c r="BO227" i="52"/>
  <c r="BN227" i="52"/>
  <c r="BM227" i="52"/>
  <c r="BL227" i="52"/>
  <c r="BK227" i="52"/>
  <c r="BJ227" i="52"/>
  <c r="BI227" i="52"/>
  <c r="BH227" i="52"/>
  <c r="BD227" i="52"/>
  <c r="BP226" i="52"/>
  <c r="BO226" i="52"/>
  <c r="BN226" i="52"/>
  <c r="BM226" i="52"/>
  <c r="BL226" i="52"/>
  <c r="BK226" i="52"/>
  <c r="BJ226" i="52"/>
  <c r="BI226" i="52"/>
  <c r="BH226" i="52"/>
  <c r="BD226" i="52"/>
  <c r="BP225" i="52"/>
  <c r="BO225" i="52"/>
  <c r="BN225" i="52"/>
  <c r="BM225" i="52"/>
  <c r="BL225" i="52"/>
  <c r="BK225" i="52"/>
  <c r="BJ225" i="52"/>
  <c r="BI225" i="52"/>
  <c r="BH225" i="52"/>
  <c r="BD225" i="52"/>
  <c r="BP224" i="52"/>
  <c r="BO224" i="52"/>
  <c r="BN224" i="52"/>
  <c r="BM224" i="52"/>
  <c r="BL224" i="52"/>
  <c r="BK224" i="52"/>
  <c r="BJ224" i="52"/>
  <c r="BI224" i="52"/>
  <c r="BH224" i="52"/>
  <c r="BD224" i="52"/>
  <c r="BP223" i="52"/>
  <c r="BO223" i="52"/>
  <c r="BN223" i="52"/>
  <c r="BM223" i="52"/>
  <c r="BL223" i="52"/>
  <c r="BK223" i="52"/>
  <c r="BJ223" i="52"/>
  <c r="BI223" i="52"/>
  <c r="BH223" i="52"/>
  <c r="BD223" i="52"/>
  <c r="BP222" i="52"/>
  <c r="BO222" i="52"/>
  <c r="BN222" i="52"/>
  <c r="BM222" i="52"/>
  <c r="BL222" i="52"/>
  <c r="BK222" i="52"/>
  <c r="BJ222" i="52"/>
  <c r="BI222" i="52"/>
  <c r="BH222" i="52"/>
  <c r="BD222" i="52"/>
  <c r="BP221" i="52"/>
  <c r="BO221" i="52"/>
  <c r="BN221" i="52"/>
  <c r="BM221" i="52"/>
  <c r="BL221" i="52"/>
  <c r="BK221" i="52"/>
  <c r="BJ221" i="52"/>
  <c r="BI221" i="52"/>
  <c r="BH221" i="52"/>
  <c r="BD221" i="52"/>
  <c r="BP220" i="52"/>
  <c r="BO220" i="52"/>
  <c r="BN220" i="52"/>
  <c r="BM220" i="52"/>
  <c r="BL220" i="52"/>
  <c r="BK220" i="52"/>
  <c r="BJ220" i="52"/>
  <c r="BI220" i="52"/>
  <c r="BH220" i="52"/>
  <c r="BD220" i="52"/>
  <c r="BP219" i="52"/>
  <c r="BO219" i="52"/>
  <c r="BN219" i="52"/>
  <c r="BM219" i="52"/>
  <c r="BL219" i="52"/>
  <c r="BK219" i="52"/>
  <c r="BJ219" i="52"/>
  <c r="BI219" i="52"/>
  <c r="BH219" i="52"/>
  <c r="BD219" i="52"/>
  <c r="BP218" i="52"/>
  <c r="BO218" i="52"/>
  <c r="BN218" i="52"/>
  <c r="BM218" i="52"/>
  <c r="BL218" i="52"/>
  <c r="BK218" i="52"/>
  <c r="BJ218" i="52"/>
  <c r="BI218" i="52"/>
  <c r="BH218" i="52"/>
  <c r="BD218" i="52"/>
  <c r="BP217" i="52"/>
  <c r="BO217" i="52"/>
  <c r="BN217" i="52"/>
  <c r="BM217" i="52"/>
  <c r="BL217" i="52"/>
  <c r="BK217" i="52"/>
  <c r="BJ217" i="52"/>
  <c r="BI217" i="52"/>
  <c r="BH217" i="52"/>
  <c r="BD217" i="52"/>
  <c r="BC200" i="52"/>
  <c r="BP198" i="52"/>
  <c r="BO198" i="52"/>
  <c r="BN198" i="52"/>
  <c r="BM198" i="52"/>
  <c r="BL198" i="52"/>
  <c r="BK198" i="52"/>
  <c r="BJ198" i="52"/>
  <c r="BI198" i="52"/>
  <c r="BH198" i="52"/>
  <c r="BD198" i="52"/>
  <c r="BP197" i="52"/>
  <c r="BO197" i="52"/>
  <c r="BN197" i="52"/>
  <c r="BM197" i="52"/>
  <c r="BL197" i="52"/>
  <c r="BK197" i="52"/>
  <c r="BJ197" i="52"/>
  <c r="BI197" i="52"/>
  <c r="BH197" i="52"/>
  <c r="BD197" i="52"/>
  <c r="BP196" i="52"/>
  <c r="BO196" i="52"/>
  <c r="BN196" i="52"/>
  <c r="BM196" i="52"/>
  <c r="BL196" i="52"/>
  <c r="BK196" i="52"/>
  <c r="BJ196" i="52"/>
  <c r="BI196" i="52"/>
  <c r="BH196" i="52"/>
  <c r="BD196" i="52"/>
  <c r="BP195" i="52"/>
  <c r="BO195" i="52"/>
  <c r="BN195" i="52"/>
  <c r="BM195" i="52"/>
  <c r="BL195" i="52"/>
  <c r="BK195" i="52"/>
  <c r="BJ195" i="52"/>
  <c r="BI195" i="52"/>
  <c r="BH195" i="52"/>
  <c r="BD195" i="52"/>
  <c r="BP194" i="52"/>
  <c r="BO194" i="52"/>
  <c r="BN194" i="52"/>
  <c r="BM194" i="52"/>
  <c r="BL194" i="52"/>
  <c r="BK194" i="52"/>
  <c r="BJ194" i="52"/>
  <c r="BI194" i="52"/>
  <c r="BH194" i="52"/>
  <c r="BD194" i="52"/>
  <c r="BP193" i="52"/>
  <c r="BO193" i="52"/>
  <c r="BN193" i="52"/>
  <c r="BM193" i="52"/>
  <c r="BL193" i="52"/>
  <c r="BK193" i="52"/>
  <c r="BJ193" i="52"/>
  <c r="BI193" i="52"/>
  <c r="BH193" i="52"/>
  <c r="BD193" i="52"/>
  <c r="BP192" i="52"/>
  <c r="BO192" i="52"/>
  <c r="BN192" i="52"/>
  <c r="BM192" i="52"/>
  <c r="BL192" i="52"/>
  <c r="BK192" i="52"/>
  <c r="BJ192" i="52"/>
  <c r="BI192" i="52"/>
  <c r="BH192" i="52"/>
  <c r="BD192" i="52"/>
  <c r="BP191" i="52"/>
  <c r="BO191" i="52"/>
  <c r="BN191" i="52"/>
  <c r="BM191" i="52"/>
  <c r="BL191" i="52"/>
  <c r="BK191" i="52"/>
  <c r="BF191" i="52" s="1"/>
  <c r="BJ191" i="52"/>
  <c r="BI191" i="52"/>
  <c r="BH191" i="52"/>
  <c r="BD191" i="52"/>
  <c r="BP190" i="52"/>
  <c r="BO190" i="52"/>
  <c r="BN190" i="52"/>
  <c r="BM190" i="52"/>
  <c r="BL190" i="52"/>
  <c r="BK190" i="52"/>
  <c r="BJ190" i="52"/>
  <c r="BI190" i="52"/>
  <c r="BH190" i="52"/>
  <c r="BD190" i="52"/>
  <c r="BP189" i="52"/>
  <c r="BO189" i="52"/>
  <c r="BN189" i="52"/>
  <c r="BM189" i="52"/>
  <c r="BL189" i="52"/>
  <c r="BK189" i="52"/>
  <c r="BJ189" i="52"/>
  <c r="BI189" i="52"/>
  <c r="BH189" i="52"/>
  <c r="BD189" i="52"/>
  <c r="BP188" i="52"/>
  <c r="BO188" i="52"/>
  <c r="BN188" i="52"/>
  <c r="BM188" i="52"/>
  <c r="BL188" i="52"/>
  <c r="BK188" i="52"/>
  <c r="BJ188" i="52"/>
  <c r="BI188" i="52"/>
  <c r="BX188" i="52" s="1"/>
  <c r="BH188" i="52"/>
  <c r="BD188" i="52"/>
  <c r="BP187" i="52"/>
  <c r="BO187" i="52"/>
  <c r="BN187" i="52"/>
  <c r="BM187" i="52"/>
  <c r="BL187" i="52"/>
  <c r="BK187" i="52"/>
  <c r="BJ187" i="52"/>
  <c r="BI187" i="52"/>
  <c r="BH187" i="52"/>
  <c r="BD187" i="52"/>
  <c r="A1" i="60"/>
  <c r="BC170" i="52"/>
  <c r="BP168" i="52"/>
  <c r="BO168" i="52"/>
  <c r="BN168" i="52"/>
  <c r="BM168" i="52"/>
  <c r="BL168" i="52"/>
  <c r="BK168" i="52"/>
  <c r="BJ168" i="52"/>
  <c r="BI168" i="52"/>
  <c r="BH168" i="52"/>
  <c r="BD168" i="52"/>
  <c r="BP167" i="52"/>
  <c r="BO167" i="52"/>
  <c r="BN167" i="52"/>
  <c r="BM167" i="52"/>
  <c r="BL167" i="52"/>
  <c r="BK167" i="52"/>
  <c r="BJ167" i="52"/>
  <c r="BI167" i="52"/>
  <c r="BS167" i="52" s="1"/>
  <c r="BH167" i="52"/>
  <c r="BD167" i="52"/>
  <c r="BP166" i="52"/>
  <c r="BO166" i="52"/>
  <c r="BN166" i="52"/>
  <c r="BM166" i="52"/>
  <c r="BL166" i="52"/>
  <c r="BK166" i="52"/>
  <c r="BJ166" i="52"/>
  <c r="BI166" i="52"/>
  <c r="BH166" i="52"/>
  <c r="BD166" i="52"/>
  <c r="BP165" i="52"/>
  <c r="BO165" i="52"/>
  <c r="BN165" i="52"/>
  <c r="BM165" i="52"/>
  <c r="BL165" i="52"/>
  <c r="BK165" i="52"/>
  <c r="BJ165" i="52"/>
  <c r="BI165" i="52"/>
  <c r="BH165" i="52"/>
  <c r="BD165" i="52"/>
  <c r="BP164" i="52"/>
  <c r="BO164" i="52"/>
  <c r="BN164" i="52"/>
  <c r="BM164" i="52"/>
  <c r="BL164" i="52"/>
  <c r="BK164" i="52"/>
  <c r="BJ164" i="52"/>
  <c r="BI164" i="52"/>
  <c r="BH164" i="52"/>
  <c r="BD164" i="52"/>
  <c r="BP163" i="52"/>
  <c r="BO163" i="52"/>
  <c r="BN163" i="52"/>
  <c r="BM163" i="52"/>
  <c r="BL163" i="52"/>
  <c r="BK163" i="52"/>
  <c r="BJ163" i="52"/>
  <c r="BI163" i="52"/>
  <c r="BH163" i="52"/>
  <c r="BD163" i="52"/>
  <c r="BP162" i="52"/>
  <c r="BO162" i="52"/>
  <c r="BN162" i="52"/>
  <c r="BM162" i="52"/>
  <c r="BL162" i="52"/>
  <c r="BK162" i="52"/>
  <c r="BS162" i="52" s="1"/>
  <c r="BJ162" i="52"/>
  <c r="BI162" i="52"/>
  <c r="BH162" i="52"/>
  <c r="BD162" i="52"/>
  <c r="BP161" i="52"/>
  <c r="BO161" i="52"/>
  <c r="BN161" i="52"/>
  <c r="BM161" i="52"/>
  <c r="BL161" i="52"/>
  <c r="BK161" i="52"/>
  <c r="BJ161" i="52"/>
  <c r="BI161" i="52"/>
  <c r="BH161" i="52"/>
  <c r="BD161" i="52"/>
  <c r="BP160" i="52"/>
  <c r="BO160" i="52"/>
  <c r="BN160" i="52"/>
  <c r="BM160" i="52"/>
  <c r="BL160" i="52"/>
  <c r="BK160" i="52"/>
  <c r="BJ160" i="52"/>
  <c r="BI160" i="52"/>
  <c r="BH160" i="52"/>
  <c r="BD160" i="52"/>
  <c r="BP159" i="52"/>
  <c r="BO159" i="52"/>
  <c r="BN159" i="52"/>
  <c r="BM159" i="52"/>
  <c r="BL159" i="52"/>
  <c r="BK159" i="52"/>
  <c r="BJ159" i="52"/>
  <c r="BI159" i="52"/>
  <c r="BH159" i="52"/>
  <c r="BD159" i="52"/>
  <c r="BP158" i="52"/>
  <c r="BO158" i="52"/>
  <c r="BN158" i="52"/>
  <c r="BM158" i="52"/>
  <c r="BL158" i="52"/>
  <c r="BK158" i="52"/>
  <c r="BJ158" i="52"/>
  <c r="BI158" i="52"/>
  <c r="BH158" i="52"/>
  <c r="BD158" i="52"/>
  <c r="BP157" i="52"/>
  <c r="BO157" i="52"/>
  <c r="BN157" i="52"/>
  <c r="BM157" i="52"/>
  <c r="BL157" i="52"/>
  <c r="BK157" i="52"/>
  <c r="BJ157" i="52"/>
  <c r="BI157" i="52"/>
  <c r="BH157" i="52"/>
  <c r="BD157" i="52"/>
  <c r="BC140" i="52"/>
  <c r="BP138" i="52"/>
  <c r="BO138" i="52"/>
  <c r="BN138" i="52"/>
  <c r="BM138" i="52"/>
  <c r="BL138" i="52"/>
  <c r="BK138" i="52"/>
  <c r="BJ138" i="52"/>
  <c r="BI138" i="52"/>
  <c r="BH138" i="52"/>
  <c r="BD138" i="52"/>
  <c r="BP137" i="52"/>
  <c r="BO137" i="52"/>
  <c r="BN137" i="52"/>
  <c r="BM137" i="52"/>
  <c r="BL137" i="52"/>
  <c r="BK137" i="52"/>
  <c r="BJ137" i="52"/>
  <c r="BI137" i="52"/>
  <c r="BH137" i="52"/>
  <c r="BD137" i="52"/>
  <c r="BP136" i="52"/>
  <c r="BO136" i="52"/>
  <c r="BN136" i="52"/>
  <c r="BM136" i="52"/>
  <c r="BL136" i="52"/>
  <c r="BK136" i="52"/>
  <c r="BJ136" i="52"/>
  <c r="BI136" i="52"/>
  <c r="BH136" i="52"/>
  <c r="BD136" i="52"/>
  <c r="BP135" i="52"/>
  <c r="BO135" i="52"/>
  <c r="BN135" i="52"/>
  <c r="BM135" i="52"/>
  <c r="BL135" i="52"/>
  <c r="BK135" i="52"/>
  <c r="BJ135" i="52"/>
  <c r="BI135" i="52"/>
  <c r="BH135" i="52"/>
  <c r="BD135" i="52"/>
  <c r="BP134" i="52"/>
  <c r="BO134" i="52"/>
  <c r="BN134" i="52"/>
  <c r="BM134" i="52"/>
  <c r="BL134" i="52"/>
  <c r="BK134" i="52"/>
  <c r="BJ134" i="52"/>
  <c r="BI134" i="52"/>
  <c r="BH134" i="52"/>
  <c r="BD134" i="52"/>
  <c r="BP133" i="52"/>
  <c r="BO133" i="52"/>
  <c r="BN133" i="52"/>
  <c r="BM133" i="52"/>
  <c r="BL133" i="52"/>
  <c r="BK133" i="52"/>
  <c r="BJ133" i="52"/>
  <c r="BI133" i="52"/>
  <c r="BH133" i="52"/>
  <c r="BD133" i="52"/>
  <c r="BP132" i="52"/>
  <c r="BO132" i="52"/>
  <c r="BN132" i="52"/>
  <c r="BM132" i="52"/>
  <c r="BL132" i="52"/>
  <c r="BK132" i="52"/>
  <c r="BJ132" i="52"/>
  <c r="BI132" i="52"/>
  <c r="BH132" i="52"/>
  <c r="BD132" i="52"/>
  <c r="BP131" i="52"/>
  <c r="BO131" i="52"/>
  <c r="BN131" i="52"/>
  <c r="BM131" i="52"/>
  <c r="BL131" i="52"/>
  <c r="BK131" i="52"/>
  <c r="BJ131" i="52"/>
  <c r="BI131" i="52"/>
  <c r="BH131" i="52"/>
  <c r="BD131" i="52"/>
  <c r="BP130" i="52"/>
  <c r="BO130" i="52"/>
  <c r="BN130" i="52"/>
  <c r="BM130" i="52"/>
  <c r="BL130" i="52"/>
  <c r="BK130" i="52"/>
  <c r="BJ130" i="52"/>
  <c r="BI130" i="52"/>
  <c r="BH130" i="52"/>
  <c r="BD130" i="52"/>
  <c r="BP129" i="52"/>
  <c r="BO129" i="52"/>
  <c r="BN129" i="52"/>
  <c r="BM129" i="52"/>
  <c r="BL129" i="52"/>
  <c r="BK129" i="52"/>
  <c r="BJ129" i="52"/>
  <c r="BI129" i="52"/>
  <c r="BH129" i="52"/>
  <c r="BD129" i="52"/>
  <c r="BP128" i="52"/>
  <c r="BO128" i="52"/>
  <c r="BN128" i="52"/>
  <c r="BM128" i="52"/>
  <c r="BL128" i="52"/>
  <c r="BK128" i="52"/>
  <c r="BJ128" i="52"/>
  <c r="BI128" i="52"/>
  <c r="BH128" i="52"/>
  <c r="BD128" i="52"/>
  <c r="BP127" i="52"/>
  <c r="BO127" i="52"/>
  <c r="BN127" i="52"/>
  <c r="BM127" i="52"/>
  <c r="BL127" i="52"/>
  <c r="BK127" i="52"/>
  <c r="BJ127" i="52"/>
  <c r="BI127" i="52"/>
  <c r="BH127" i="52"/>
  <c r="BD127" i="52"/>
  <c r="BC110" i="52"/>
  <c r="BP108" i="52"/>
  <c r="BO108" i="52"/>
  <c r="BN108" i="52"/>
  <c r="BM108" i="52"/>
  <c r="BL108" i="52"/>
  <c r="BK108" i="52"/>
  <c r="BJ108" i="52"/>
  <c r="BI108" i="52"/>
  <c r="BH108" i="52"/>
  <c r="BD108" i="52"/>
  <c r="BP107" i="52"/>
  <c r="BO107" i="52"/>
  <c r="BN107" i="52"/>
  <c r="BM107" i="52"/>
  <c r="BL107" i="52"/>
  <c r="BK107" i="52"/>
  <c r="BJ107" i="52"/>
  <c r="BI107" i="52"/>
  <c r="BH107" i="52"/>
  <c r="BD107" i="52"/>
  <c r="BP106" i="52"/>
  <c r="BO106" i="52"/>
  <c r="BN106" i="52"/>
  <c r="BM106" i="52"/>
  <c r="BL106" i="52"/>
  <c r="BK106" i="52"/>
  <c r="BJ106" i="52"/>
  <c r="BI106" i="52"/>
  <c r="BH106" i="52"/>
  <c r="BD106" i="52"/>
  <c r="BP105" i="52"/>
  <c r="BO105" i="52"/>
  <c r="BN105" i="52"/>
  <c r="BM105" i="52"/>
  <c r="BL105" i="52"/>
  <c r="BK105" i="52"/>
  <c r="BJ105" i="52"/>
  <c r="BI105" i="52"/>
  <c r="BH105" i="52"/>
  <c r="BD105" i="52"/>
  <c r="BP104" i="52"/>
  <c r="BO104" i="52"/>
  <c r="BN104" i="52"/>
  <c r="BM104" i="52"/>
  <c r="BL104" i="52"/>
  <c r="BK104" i="52"/>
  <c r="BJ104" i="52"/>
  <c r="BI104" i="52"/>
  <c r="BH104" i="52"/>
  <c r="BD104" i="52"/>
  <c r="BP103" i="52"/>
  <c r="BO103" i="52"/>
  <c r="BN103" i="52"/>
  <c r="BM103" i="52"/>
  <c r="BL103" i="52"/>
  <c r="BK103" i="52"/>
  <c r="BJ103" i="52"/>
  <c r="BI103" i="52"/>
  <c r="BH103" i="52"/>
  <c r="BD103" i="52"/>
  <c r="BP102" i="52"/>
  <c r="BO102" i="52"/>
  <c r="BN102" i="52"/>
  <c r="BM102" i="52"/>
  <c r="BL102" i="52"/>
  <c r="BK102" i="52"/>
  <c r="BJ102" i="52"/>
  <c r="BI102" i="52"/>
  <c r="BH102" i="52"/>
  <c r="BD102" i="52"/>
  <c r="BP101" i="52"/>
  <c r="BO101" i="52"/>
  <c r="BN101" i="52"/>
  <c r="BM101" i="52"/>
  <c r="BL101" i="52"/>
  <c r="BK101" i="52"/>
  <c r="BJ101" i="52"/>
  <c r="BI101" i="52"/>
  <c r="BH101" i="52"/>
  <c r="BD101" i="52"/>
  <c r="BP100" i="52"/>
  <c r="BO100" i="52"/>
  <c r="BN100" i="52"/>
  <c r="BM100" i="52"/>
  <c r="BL100" i="52"/>
  <c r="BK100" i="52"/>
  <c r="BJ100" i="52"/>
  <c r="BI100" i="52"/>
  <c r="BH100" i="52"/>
  <c r="BD100" i="52"/>
  <c r="BP99" i="52"/>
  <c r="BO99" i="52"/>
  <c r="BN99" i="52"/>
  <c r="BM99" i="52"/>
  <c r="BL99" i="52"/>
  <c r="BK99" i="52"/>
  <c r="BJ99" i="52"/>
  <c r="BI99" i="52"/>
  <c r="BH99" i="52"/>
  <c r="BD99" i="52"/>
  <c r="BP98" i="52"/>
  <c r="BO98" i="52"/>
  <c r="BN98" i="52"/>
  <c r="BM98" i="52"/>
  <c r="BL98" i="52"/>
  <c r="BK98" i="52"/>
  <c r="BJ98" i="52"/>
  <c r="BI98" i="52"/>
  <c r="BH98" i="52"/>
  <c r="BD98" i="52"/>
  <c r="BP97" i="52"/>
  <c r="BO97" i="52"/>
  <c r="BN97" i="52"/>
  <c r="BM97" i="52"/>
  <c r="BL97" i="52"/>
  <c r="BK97" i="52"/>
  <c r="BJ97" i="52"/>
  <c r="BI97" i="52"/>
  <c r="BH97" i="52"/>
  <c r="BD97" i="52"/>
  <c r="BC80" i="52"/>
  <c r="BP78" i="52"/>
  <c r="BO78" i="52"/>
  <c r="BN78" i="52"/>
  <c r="BM78" i="52"/>
  <c r="BL78" i="52"/>
  <c r="BK78" i="52"/>
  <c r="BJ78" i="52"/>
  <c r="BI78" i="52"/>
  <c r="BH78" i="52"/>
  <c r="BD78" i="52"/>
  <c r="BP77" i="52"/>
  <c r="BO77" i="52"/>
  <c r="BN77" i="52"/>
  <c r="BM77" i="52"/>
  <c r="BL77" i="52"/>
  <c r="BK77" i="52"/>
  <c r="BJ77" i="52"/>
  <c r="BI77" i="52"/>
  <c r="BH77" i="52"/>
  <c r="BD77" i="52"/>
  <c r="BP76" i="52"/>
  <c r="BO76" i="52"/>
  <c r="BN76" i="52"/>
  <c r="BM76" i="52"/>
  <c r="BL76" i="52"/>
  <c r="BK76" i="52"/>
  <c r="BJ76" i="52"/>
  <c r="BI76" i="52"/>
  <c r="BH76" i="52"/>
  <c r="BD76" i="52"/>
  <c r="BP75" i="52"/>
  <c r="BO75" i="52"/>
  <c r="BN75" i="52"/>
  <c r="BM75" i="52"/>
  <c r="BL75" i="52"/>
  <c r="BK75" i="52"/>
  <c r="BJ75" i="52"/>
  <c r="BI75" i="52"/>
  <c r="BH75" i="52"/>
  <c r="BD75" i="52"/>
  <c r="BP74" i="52"/>
  <c r="BO74" i="52"/>
  <c r="BN74" i="52"/>
  <c r="BM74" i="52"/>
  <c r="BL74" i="52"/>
  <c r="BK74" i="52"/>
  <c r="BJ74" i="52"/>
  <c r="BI74" i="52"/>
  <c r="BH74" i="52"/>
  <c r="BD74" i="52"/>
  <c r="BP73" i="52"/>
  <c r="BO73" i="52"/>
  <c r="BN73" i="52"/>
  <c r="BM73" i="52"/>
  <c r="BL73" i="52"/>
  <c r="BK73" i="52"/>
  <c r="BJ73" i="52"/>
  <c r="BI73" i="52"/>
  <c r="BH73" i="52"/>
  <c r="BD73" i="52"/>
  <c r="BP72" i="52"/>
  <c r="BO72" i="52"/>
  <c r="BN72" i="52"/>
  <c r="BM72" i="52"/>
  <c r="BL72" i="52"/>
  <c r="BK72" i="52"/>
  <c r="BJ72" i="52"/>
  <c r="BI72" i="52"/>
  <c r="BH72" i="52"/>
  <c r="BD72" i="52"/>
  <c r="BP71" i="52"/>
  <c r="BO71" i="52"/>
  <c r="BN71" i="52"/>
  <c r="BM71" i="52"/>
  <c r="BL71" i="52"/>
  <c r="BK71" i="52"/>
  <c r="BJ71" i="52"/>
  <c r="BI71" i="52"/>
  <c r="BH71" i="52"/>
  <c r="BD71" i="52"/>
  <c r="BP70" i="52"/>
  <c r="BO70" i="52"/>
  <c r="BN70" i="52"/>
  <c r="BM70" i="52"/>
  <c r="BL70" i="52"/>
  <c r="BK70" i="52"/>
  <c r="BJ70" i="52"/>
  <c r="BI70" i="52"/>
  <c r="BH70" i="52"/>
  <c r="BD70" i="52"/>
  <c r="BP69" i="52"/>
  <c r="BO69" i="52"/>
  <c r="BN69" i="52"/>
  <c r="BM69" i="52"/>
  <c r="BL69" i="52"/>
  <c r="BK69" i="52"/>
  <c r="BJ69" i="52"/>
  <c r="BI69" i="52"/>
  <c r="BH69" i="52"/>
  <c r="BD69" i="52"/>
  <c r="BP68" i="52"/>
  <c r="BO68" i="52"/>
  <c r="BN68" i="52"/>
  <c r="BM68" i="52"/>
  <c r="BL68" i="52"/>
  <c r="BK68" i="52"/>
  <c r="BJ68" i="52"/>
  <c r="BI68" i="52"/>
  <c r="BH68" i="52"/>
  <c r="BD68" i="52"/>
  <c r="BP67" i="52"/>
  <c r="BO67" i="52"/>
  <c r="BN67" i="52"/>
  <c r="BM67" i="52"/>
  <c r="BL67" i="52"/>
  <c r="BK67" i="52"/>
  <c r="BJ67" i="52"/>
  <c r="BI67" i="52"/>
  <c r="BH67" i="52"/>
  <c r="BX67" i="52" s="1"/>
  <c r="BD67" i="52"/>
  <c r="BC50" i="52"/>
  <c r="BP48" i="52"/>
  <c r="BO48" i="52"/>
  <c r="BN48" i="52"/>
  <c r="BM48" i="52"/>
  <c r="BL48" i="52"/>
  <c r="BK48" i="52"/>
  <c r="BJ48" i="52"/>
  <c r="BI48" i="52"/>
  <c r="BH48" i="52"/>
  <c r="BD48" i="52"/>
  <c r="BP47" i="52"/>
  <c r="BO47" i="52"/>
  <c r="BN47" i="52"/>
  <c r="BM47" i="52"/>
  <c r="BL47" i="52"/>
  <c r="BK47" i="52"/>
  <c r="BJ47" i="52"/>
  <c r="BI47" i="52"/>
  <c r="BH47" i="52"/>
  <c r="BD47" i="52"/>
  <c r="BP46" i="52"/>
  <c r="BO46" i="52"/>
  <c r="BN46" i="52"/>
  <c r="BM46" i="52"/>
  <c r="BL46" i="52"/>
  <c r="BK46" i="52"/>
  <c r="BJ46" i="52"/>
  <c r="BI46" i="52"/>
  <c r="BH46" i="52"/>
  <c r="BD46" i="52"/>
  <c r="BP45" i="52"/>
  <c r="BO45" i="52"/>
  <c r="BN45" i="52"/>
  <c r="BM45" i="52"/>
  <c r="BL45" i="52"/>
  <c r="BK45" i="52"/>
  <c r="BJ45" i="52"/>
  <c r="BI45" i="52"/>
  <c r="BH45" i="52"/>
  <c r="BD45" i="52"/>
  <c r="BP44" i="52"/>
  <c r="BO44" i="52"/>
  <c r="BN44" i="52"/>
  <c r="BM44" i="52"/>
  <c r="BL44" i="52"/>
  <c r="BK44" i="52"/>
  <c r="BW44" i="52" s="1"/>
  <c r="BJ44" i="52"/>
  <c r="BI44" i="52"/>
  <c r="BH44" i="52"/>
  <c r="BD44" i="52"/>
  <c r="BP43" i="52"/>
  <c r="BO43" i="52"/>
  <c r="BN43" i="52"/>
  <c r="BM43" i="52"/>
  <c r="BL43" i="52"/>
  <c r="BK43" i="52"/>
  <c r="BJ43" i="52"/>
  <c r="BI43" i="52"/>
  <c r="BH43" i="52"/>
  <c r="BD43" i="52"/>
  <c r="BP42" i="52"/>
  <c r="BO42" i="52"/>
  <c r="BN42" i="52"/>
  <c r="BM42" i="52"/>
  <c r="BL42" i="52"/>
  <c r="BK42" i="52"/>
  <c r="BJ42" i="52"/>
  <c r="BI42" i="52"/>
  <c r="BH42" i="52"/>
  <c r="BD42" i="52"/>
  <c r="BP41" i="52"/>
  <c r="BO41" i="52"/>
  <c r="BN41" i="52"/>
  <c r="BM41" i="52"/>
  <c r="BL41" i="52"/>
  <c r="BK41" i="52"/>
  <c r="BJ41" i="52"/>
  <c r="BI41" i="52"/>
  <c r="BS41" i="52" s="1"/>
  <c r="BH41" i="52"/>
  <c r="BD41" i="52"/>
  <c r="BP40" i="52"/>
  <c r="BO40" i="52"/>
  <c r="BN40" i="52"/>
  <c r="BM40" i="52"/>
  <c r="BL40" i="52"/>
  <c r="BK40" i="52"/>
  <c r="BJ40" i="52"/>
  <c r="BI40" i="52"/>
  <c r="BH40" i="52"/>
  <c r="BD40" i="52"/>
  <c r="BP39" i="52"/>
  <c r="BO39" i="52"/>
  <c r="BN39" i="52"/>
  <c r="BM39" i="52"/>
  <c r="BL39" i="52"/>
  <c r="BK39" i="52"/>
  <c r="BJ39" i="52"/>
  <c r="BI39" i="52"/>
  <c r="BH39" i="52"/>
  <c r="BD39" i="52"/>
  <c r="BP38" i="52"/>
  <c r="BO38" i="52"/>
  <c r="BN38" i="52"/>
  <c r="BM38" i="52"/>
  <c r="BL38" i="52"/>
  <c r="BK38" i="52"/>
  <c r="BJ38" i="52"/>
  <c r="BI38" i="52"/>
  <c r="BH38" i="52"/>
  <c r="BD38" i="52"/>
  <c r="BP37" i="52"/>
  <c r="BO37" i="52"/>
  <c r="BN37" i="52"/>
  <c r="BM37" i="52"/>
  <c r="BL37" i="52"/>
  <c r="BK37" i="52"/>
  <c r="BJ37" i="52"/>
  <c r="BI37" i="52"/>
  <c r="BH37" i="52"/>
  <c r="BD37" i="52"/>
  <c r="BP18" i="52"/>
  <c r="BO18" i="52"/>
  <c r="BN18" i="52"/>
  <c r="BM18" i="52"/>
  <c r="BL18" i="52"/>
  <c r="BK18" i="52"/>
  <c r="BJ18" i="52"/>
  <c r="BI18" i="52"/>
  <c r="BH18" i="52"/>
  <c r="BP17" i="52"/>
  <c r="BO17" i="52"/>
  <c r="BN17" i="52"/>
  <c r="BM17" i="52"/>
  <c r="BL17" i="52"/>
  <c r="BK17" i="52"/>
  <c r="BJ17" i="52"/>
  <c r="BI17" i="52"/>
  <c r="BH17" i="52"/>
  <c r="BP16" i="52"/>
  <c r="BO16" i="52"/>
  <c r="BN16" i="52"/>
  <c r="BM16" i="52"/>
  <c r="BL16" i="52"/>
  <c r="BK16" i="52"/>
  <c r="BJ16" i="52"/>
  <c r="BI16" i="52"/>
  <c r="BH16" i="52"/>
  <c r="BP15" i="52"/>
  <c r="BO15" i="52"/>
  <c r="BN15" i="52"/>
  <c r="BM15" i="52"/>
  <c r="BL15" i="52"/>
  <c r="BK15" i="52"/>
  <c r="BJ15" i="52"/>
  <c r="BI15" i="52"/>
  <c r="BH15" i="52"/>
  <c r="BP14" i="52"/>
  <c r="BO14" i="52"/>
  <c r="BN14" i="52"/>
  <c r="BM14" i="52"/>
  <c r="BL14" i="52"/>
  <c r="BK14" i="52"/>
  <c r="BJ14" i="52"/>
  <c r="BI14" i="52"/>
  <c r="BH14" i="52"/>
  <c r="BP13" i="52"/>
  <c r="BO13" i="52"/>
  <c r="BN13" i="52"/>
  <c r="BM13" i="52"/>
  <c r="BL13" i="52"/>
  <c r="BK13" i="52"/>
  <c r="BJ13" i="52"/>
  <c r="BI13" i="52"/>
  <c r="BH13" i="52"/>
  <c r="BP12" i="52"/>
  <c r="BO12" i="52"/>
  <c r="BN12" i="52"/>
  <c r="BM12" i="52"/>
  <c r="BL12" i="52"/>
  <c r="BK12" i="52"/>
  <c r="BJ12" i="52"/>
  <c r="BI12" i="52"/>
  <c r="BH12" i="52"/>
  <c r="BP11" i="52"/>
  <c r="BO11" i="52"/>
  <c r="BN11" i="52"/>
  <c r="BM11" i="52"/>
  <c r="BL11" i="52"/>
  <c r="BK11" i="52"/>
  <c r="BJ11" i="52"/>
  <c r="BF11" i="52" s="1"/>
  <c r="BI11" i="52"/>
  <c r="BH11" i="52"/>
  <c r="BP10" i="52"/>
  <c r="BO10" i="52"/>
  <c r="BN10" i="52"/>
  <c r="BM10" i="52"/>
  <c r="BL10" i="52"/>
  <c r="BK10" i="52"/>
  <c r="BJ10" i="52"/>
  <c r="BI10" i="52"/>
  <c r="BH10" i="52"/>
  <c r="BP9" i="52"/>
  <c r="BO9" i="52"/>
  <c r="BN9" i="52"/>
  <c r="BM9" i="52"/>
  <c r="BL9" i="52"/>
  <c r="BK9" i="52"/>
  <c r="BJ9" i="52"/>
  <c r="BI9" i="52"/>
  <c r="BH9" i="52"/>
  <c r="BP8" i="52"/>
  <c r="BO8" i="52"/>
  <c r="BN8" i="52"/>
  <c r="BM8" i="52"/>
  <c r="BL8" i="52"/>
  <c r="BK8" i="52"/>
  <c r="BJ8" i="52"/>
  <c r="BI8" i="52"/>
  <c r="BH8" i="52"/>
  <c r="BP7" i="52"/>
  <c r="BO7" i="52"/>
  <c r="BN7" i="52"/>
  <c r="BM7" i="52"/>
  <c r="BL7" i="52"/>
  <c r="BK7" i="52"/>
  <c r="BJ7" i="52"/>
  <c r="BI7" i="52"/>
  <c r="BH7" i="52"/>
  <c r="BD18" i="52"/>
  <c r="BD17" i="52"/>
  <c r="BD16" i="52"/>
  <c r="BD15" i="52"/>
  <c r="BD14" i="52"/>
  <c r="BD13" i="52"/>
  <c r="BD12" i="52"/>
  <c r="BD11" i="52"/>
  <c r="BD10" i="52"/>
  <c r="BD9" i="52"/>
  <c r="BD8" i="52"/>
  <c r="BD7" i="52"/>
  <c r="BC20" i="52"/>
  <c r="AU288" i="59"/>
  <c r="AU287" i="59"/>
  <c r="BE287" i="59" s="1"/>
  <c r="AU286" i="59"/>
  <c r="BE286" i="59" s="1"/>
  <c r="AU285" i="59"/>
  <c r="BE285" i="59" s="1"/>
  <c r="AU284" i="59"/>
  <c r="BE284" i="59"/>
  <c r="AU283" i="59"/>
  <c r="AU282" i="59"/>
  <c r="BE282" i="59" s="1"/>
  <c r="AU281" i="59"/>
  <c r="BE281" i="59" s="1"/>
  <c r="AU280" i="59"/>
  <c r="BE280" i="59" s="1"/>
  <c r="AU279" i="59"/>
  <c r="BE279" i="59" s="1"/>
  <c r="AU278" i="59"/>
  <c r="AU277" i="59"/>
  <c r="BE277" i="59" s="1"/>
  <c r="AU258" i="59"/>
  <c r="BE258" i="59" s="1"/>
  <c r="AU257" i="59"/>
  <c r="BE257" i="59" s="1"/>
  <c r="AU256" i="59"/>
  <c r="BE256" i="59" s="1"/>
  <c r="AU255" i="59"/>
  <c r="AU254" i="59"/>
  <c r="AU253" i="59"/>
  <c r="BE253" i="59" s="1"/>
  <c r="AU252" i="59"/>
  <c r="BE252" i="59" s="1"/>
  <c r="AU251" i="59"/>
  <c r="BE251" i="59" s="1"/>
  <c r="AU250" i="59"/>
  <c r="BE250" i="59" s="1"/>
  <c r="AU249" i="59"/>
  <c r="BE249" i="59" s="1"/>
  <c r="AU248" i="59"/>
  <c r="BE248" i="59" s="1"/>
  <c r="AU247" i="59"/>
  <c r="V247" i="59" s="1"/>
  <c r="AU228" i="59"/>
  <c r="BE228" i="59" s="1"/>
  <c r="AU227" i="59"/>
  <c r="AU226" i="59"/>
  <c r="V226" i="59" s="1"/>
  <c r="AU225" i="59"/>
  <c r="BE225" i="59" s="1"/>
  <c r="AU224" i="59"/>
  <c r="BE224" i="59" s="1"/>
  <c r="AU223" i="59"/>
  <c r="BE223" i="59" s="1"/>
  <c r="AU222" i="59"/>
  <c r="BE222" i="59" s="1"/>
  <c r="AU221" i="59"/>
  <c r="AU220" i="59"/>
  <c r="BE220" i="59" s="1"/>
  <c r="AU219" i="59"/>
  <c r="AU218" i="59"/>
  <c r="BE218" i="59" s="1"/>
  <c r="AU217" i="59"/>
  <c r="BE217" i="59" s="1"/>
  <c r="AU198" i="59"/>
  <c r="BE198" i="59" s="1"/>
  <c r="AU197" i="59"/>
  <c r="BE197" i="59" s="1"/>
  <c r="AU196" i="59"/>
  <c r="BE196" i="59" s="1"/>
  <c r="AU195" i="59"/>
  <c r="BE195" i="59" s="1"/>
  <c r="AU194" i="59"/>
  <c r="AU193" i="59"/>
  <c r="BE193" i="59" s="1"/>
  <c r="AU192" i="59"/>
  <c r="AU191" i="59"/>
  <c r="BE191" i="59" s="1"/>
  <c r="AU190" i="59"/>
  <c r="V190" i="59"/>
  <c r="AU189" i="59"/>
  <c r="BE189" i="59"/>
  <c r="AU188" i="59"/>
  <c r="V188" i="59" s="1"/>
  <c r="AU187" i="59"/>
  <c r="BE187" i="59" s="1"/>
  <c r="AU168" i="59"/>
  <c r="BE168" i="59" s="1"/>
  <c r="AU167" i="59"/>
  <c r="BE167" i="59" s="1"/>
  <c r="AU166" i="59"/>
  <c r="BE166" i="59" s="1"/>
  <c r="AU165" i="59"/>
  <c r="AU164" i="59"/>
  <c r="BE164" i="59" s="1"/>
  <c r="AU163" i="59"/>
  <c r="V163" i="59" s="1"/>
  <c r="AU162" i="59"/>
  <c r="AU161" i="59"/>
  <c r="BE161" i="59" s="1"/>
  <c r="AU160" i="59"/>
  <c r="BE160" i="59" s="1"/>
  <c r="AU159" i="59"/>
  <c r="BE159" i="59" s="1"/>
  <c r="AU158" i="59"/>
  <c r="BE158" i="59" s="1"/>
  <c r="AU157" i="59"/>
  <c r="BE157" i="59" s="1"/>
  <c r="AU138" i="59"/>
  <c r="AU137" i="59"/>
  <c r="BE137" i="59" s="1"/>
  <c r="AU136" i="59"/>
  <c r="BE136" i="59" s="1"/>
  <c r="AU135" i="59"/>
  <c r="BE135" i="59" s="1"/>
  <c r="AU134" i="59"/>
  <c r="BE134" i="59" s="1"/>
  <c r="AU133" i="59"/>
  <c r="BE133" i="59" s="1"/>
  <c r="AU132" i="59"/>
  <c r="BE132" i="59" s="1"/>
  <c r="AU131" i="59"/>
  <c r="BE131" i="59" s="1"/>
  <c r="AU130" i="59"/>
  <c r="BE130" i="59" s="1"/>
  <c r="AU129" i="59"/>
  <c r="AU128" i="59"/>
  <c r="AU127" i="59"/>
  <c r="BE127" i="59" s="1"/>
  <c r="AU108" i="59"/>
  <c r="BE108" i="59" s="1"/>
  <c r="AU107" i="59"/>
  <c r="BE107" i="59" s="1"/>
  <c r="AU106" i="59"/>
  <c r="BE106" i="59" s="1"/>
  <c r="AU105" i="59"/>
  <c r="AU104" i="59"/>
  <c r="BE104" i="59" s="1"/>
  <c r="AU103" i="59"/>
  <c r="V103" i="59" s="1"/>
  <c r="AU102" i="59"/>
  <c r="BE102" i="59" s="1"/>
  <c r="AU101" i="59"/>
  <c r="BE101" i="59" s="1"/>
  <c r="AU100" i="59"/>
  <c r="BE100" i="59" s="1"/>
  <c r="AU99" i="59"/>
  <c r="BE99" i="59" s="1"/>
  <c r="AU98" i="59"/>
  <c r="BE98" i="59" s="1"/>
  <c r="AU97" i="59"/>
  <c r="BE97" i="59" s="1"/>
  <c r="AU78" i="59"/>
  <c r="BE78" i="59" s="1"/>
  <c r="AU77" i="59"/>
  <c r="V77" i="59" s="1"/>
  <c r="AU76" i="59"/>
  <c r="BE76" i="59" s="1"/>
  <c r="AU75" i="59"/>
  <c r="BE75" i="59" s="1"/>
  <c r="AU74" i="59"/>
  <c r="BE74" i="59" s="1"/>
  <c r="AU73" i="59"/>
  <c r="V73" i="59" s="1"/>
  <c r="AU72" i="59"/>
  <c r="BE72" i="59" s="1"/>
  <c r="AU71" i="59"/>
  <c r="BE71" i="59" s="1"/>
  <c r="AU70" i="59"/>
  <c r="BE70" i="59"/>
  <c r="AU69" i="59"/>
  <c r="BE69" i="59" s="1"/>
  <c r="AU68" i="59"/>
  <c r="BE68" i="59" s="1"/>
  <c r="AU67" i="59"/>
  <c r="V67" i="59" s="1"/>
  <c r="AU48" i="59"/>
  <c r="BE48" i="59" s="1"/>
  <c r="AU47" i="59"/>
  <c r="V47" i="59" s="1"/>
  <c r="AU46" i="59"/>
  <c r="V46" i="59" s="1"/>
  <c r="AU45" i="59"/>
  <c r="BE45" i="59" s="1"/>
  <c r="AU44" i="59"/>
  <c r="BE44" i="59" s="1"/>
  <c r="AU43" i="59"/>
  <c r="AU42" i="59"/>
  <c r="BE42" i="59" s="1"/>
  <c r="AU41" i="59"/>
  <c r="BE41" i="59" s="1"/>
  <c r="AU40" i="59"/>
  <c r="BE40" i="59" s="1"/>
  <c r="AU39" i="59"/>
  <c r="BE39" i="59" s="1"/>
  <c r="AU38" i="59"/>
  <c r="BE38" i="59" s="1"/>
  <c r="AU37" i="59"/>
  <c r="V37" i="59" s="1"/>
  <c r="AU18" i="59"/>
  <c r="BE18" i="59" s="1"/>
  <c r="AU17" i="59"/>
  <c r="AU16" i="59"/>
  <c r="BE16" i="59" s="1"/>
  <c r="AU15" i="59"/>
  <c r="AU14" i="59"/>
  <c r="BE14" i="59" s="1"/>
  <c r="AU13" i="59"/>
  <c r="V13" i="59" s="1"/>
  <c r="AU12" i="59"/>
  <c r="AU11" i="59"/>
  <c r="BE11" i="59" s="1"/>
  <c r="AU10" i="59"/>
  <c r="V10" i="59" s="1"/>
  <c r="AU9" i="59"/>
  <c r="BE9" i="59" s="1"/>
  <c r="AU8" i="59"/>
  <c r="BE8" i="59" s="1"/>
  <c r="AU7" i="59"/>
  <c r="BE7" i="59" s="1"/>
  <c r="AU288" i="58"/>
  <c r="BE288" i="58" s="1"/>
  <c r="AU287" i="58"/>
  <c r="BE287" i="58" s="1"/>
  <c r="AU286" i="58"/>
  <c r="AU285" i="58"/>
  <c r="BE285" i="58" s="1"/>
  <c r="AU284" i="58"/>
  <c r="AU283" i="58"/>
  <c r="V283" i="58" s="1"/>
  <c r="AU282" i="58"/>
  <c r="BE282" i="58" s="1"/>
  <c r="AU281" i="58"/>
  <c r="BE281" i="58" s="1"/>
  <c r="AU280" i="58"/>
  <c r="V280" i="58" s="1"/>
  <c r="AU279" i="58"/>
  <c r="BE279" i="58" s="1"/>
  <c r="AU278" i="58"/>
  <c r="BE278" i="58" s="1"/>
  <c r="AU277" i="58"/>
  <c r="BE277" i="58" s="1"/>
  <c r="AU258" i="58"/>
  <c r="BE258" i="58" s="1"/>
  <c r="AU257" i="58"/>
  <c r="BE257" i="58" s="1"/>
  <c r="AU256" i="58"/>
  <c r="V256" i="58" s="1"/>
  <c r="AU255" i="58"/>
  <c r="BE255" i="58" s="1"/>
  <c r="AU254" i="58"/>
  <c r="BE254" i="58" s="1"/>
  <c r="AU253" i="58"/>
  <c r="BE253" i="58" s="1"/>
  <c r="AU252" i="58"/>
  <c r="BE252" i="58" s="1"/>
  <c r="AU251" i="58"/>
  <c r="BE251" i="58" s="1"/>
  <c r="AU250" i="58"/>
  <c r="BE250" i="58" s="1"/>
  <c r="AU249" i="58"/>
  <c r="BE249" i="58" s="1"/>
  <c r="AU248" i="58"/>
  <c r="BE248" i="58" s="1"/>
  <c r="AU247" i="58"/>
  <c r="BE247" i="58" s="1"/>
  <c r="AU228" i="58"/>
  <c r="BE228" i="58" s="1"/>
  <c r="AU227" i="58"/>
  <c r="BE227" i="58" s="1"/>
  <c r="AU226" i="58"/>
  <c r="BE226" i="58" s="1"/>
  <c r="AU225" i="58"/>
  <c r="BE225" i="58" s="1"/>
  <c r="AU224" i="58"/>
  <c r="BE224" i="58" s="1"/>
  <c r="AU223" i="58"/>
  <c r="V223" i="58" s="1"/>
  <c r="AU222" i="58"/>
  <c r="BE222" i="58" s="1"/>
  <c r="AU221" i="58"/>
  <c r="BE221" i="58" s="1"/>
  <c r="AU220" i="58"/>
  <c r="BE220" i="58" s="1"/>
  <c r="AU219" i="58"/>
  <c r="BE219" i="58" s="1"/>
  <c r="AU218" i="58"/>
  <c r="BE218" i="58" s="1"/>
  <c r="AU217" i="58"/>
  <c r="BE217" i="58" s="1"/>
  <c r="AU198" i="58"/>
  <c r="AU197" i="58"/>
  <c r="BE197" i="58" s="1"/>
  <c r="AU196" i="58"/>
  <c r="V196" i="58" s="1"/>
  <c r="AU195" i="58"/>
  <c r="BE195" i="58" s="1"/>
  <c r="AU194" i="58"/>
  <c r="BE194" i="58"/>
  <c r="AU193" i="58"/>
  <c r="BE193" i="58"/>
  <c r="AU192" i="58"/>
  <c r="BE192" i="58" s="1"/>
  <c r="AU191" i="58"/>
  <c r="BE191" i="58" s="1"/>
  <c r="AU190" i="58"/>
  <c r="BE190" i="58" s="1"/>
  <c r="AU189" i="58"/>
  <c r="AU188" i="58"/>
  <c r="BE188" i="58" s="1"/>
  <c r="AU187" i="58"/>
  <c r="V187" i="58" s="1"/>
  <c r="AU168" i="58"/>
  <c r="AU167" i="58"/>
  <c r="BE167" i="58" s="1"/>
  <c r="AU166" i="58"/>
  <c r="AU165" i="58"/>
  <c r="BE165" i="58" s="1"/>
  <c r="AU164" i="58"/>
  <c r="BE164" i="58" s="1"/>
  <c r="AU163" i="58"/>
  <c r="V163" i="58" s="1"/>
  <c r="AU162" i="58"/>
  <c r="BE162" i="58" s="1"/>
  <c r="AU161" i="58"/>
  <c r="BE161" i="58" s="1"/>
  <c r="AU160" i="58"/>
  <c r="V160" i="58" s="1"/>
  <c r="AU159" i="58"/>
  <c r="BE159" i="58" s="1"/>
  <c r="AU158" i="58"/>
  <c r="BE158" i="58" s="1"/>
  <c r="AU157" i="58"/>
  <c r="BE157" i="58" s="1"/>
  <c r="AU138" i="58"/>
  <c r="BE138" i="58" s="1"/>
  <c r="AU137" i="58"/>
  <c r="AU136" i="58"/>
  <c r="V136" i="58" s="1"/>
  <c r="AU135" i="58"/>
  <c r="BE135" i="58" s="1"/>
  <c r="AU134" i="58"/>
  <c r="V134" i="58" s="1"/>
  <c r="AU133" i="58"/>
  <c r="V133" i="58" s="1"/>
  <c r="AU132" i="58"/>
  <c r="BE132" i="58" s="1"/>
  <c r="AU131" i="58"/>
  <c r="BE131" i="58" s="1"/>
  <c r="AU130" i="58"/>
  <c r="BE130" i="58" s="1"/>
  <c r="AU129" i="58"/>
  <c r="AU128" i="58"/>
  <c r="BE128" i="58"/>
  <c r="AU127" i="58"/>
  <c r="AU108" i="58"/>
  <c r="AU107" i="58"/>
  <c r="BE107" i="58" s="1"/>
  <c r="AU106" i="58"/>
  <c r="BE106" i="58" s="1"/>
  <c r="AU105" i="58"/>
  <c r="BE105" i="58" s="1"/>
  <c r="AU104" i="58"/>
  <c r="BE104" i="58" s="1"/>
  <c r="AU103" i="58"/>
  <c r="BE103" i="58" s="1"/>
  <c r="AU102" i="58"/>
  <c r="BE102" i="58" s="1"/>
  <c r="AU101" i="58"/>
  <c r="V101" i="58" s="1"/>
  <c r="AU100" i="58"/>
  <c r="BE100" i="58" s="1"/>
  <c r="AU99" i="58"/>
  <c r="BE99" i="58" s="1"/>
  <c r="AU98" i="58"/>
  <c r="V98" i="58" s="1"/>
  <c r="AU97" i="58"/>
  <c r="BE97" i="58" s="1"/>
  <c r="AU78" i="58"/>
  <c r="BE78" i="58" s="1"/>
  <c r="AU77" i="58"/>
  <c r="AU76" i="58"/>
  <c r="BE76" i="58" s="1"/>
  <c r="AU75" i="58"/>
  <c r="BE75" i="58" s="1"/>
  <c r="AU74" i="58"/>
  <c r="BE74" i="58" s="1"/>
  <c r="AU73" i="58"/>
  <c r="BE73" i="58" s="1"/>
  <c r="AU72" i="58"/>
  <c r="BE72" i="58" s="1"/>
  <c r="AU71" i="58"/>
  <c r="BE71" i="58" s="1"/>
  <c r="AU70" i="58"/>
  <c r="V70" i="58" s="1"/>
  <c r="AU69" i="58"/>
  <c r="AU68" i="58"/>
  <c r="BE68" i="58" s="1"/>
  <c r="AU67" i="58"/>
  <c r="BE67" i="58" s="1"/>
  <c r="AU48" i="58"/>
  <c r="AU47" i="58"/>
  <c r="BE47" i="58" s="1"/>
  <c r="AU46" i="58"/>
  <c r="BE46" i="58" s="1"/>
  <c r="AU45" i="58"/>
  <c r="AU44" i="58"/>
  <c r="BE44" i="58" s="1"/>
  <c r="AU43" i="58"/>
  <c r="BE43" i="58"/>
  <c r="AU42" i="58"/>
  <c r="BE42" i="58" s="1"/>
  <c r="AU41" i="58"/>
  <c r="BE41" i="58" s="1"/>
  <c r="AU40" i="58"/>
  <c r="BE40" i="58" s="1"/>
  <c r="AU39" i="58"/>
  <c r="BE39" i="58" s="1"/>
  <c r="AU38" i="58"/>
  <c r="BE38" i="58" s="1"/>
  <c r="AU37" i="58"/>
  <c r="BE37" i="58"/>
  <c r="AU18" i="58"/>
  <c r="AU17" i="58"/>
  <c r="BE17" i="58" s="1"/>
  <c r="AU16" i="58"/>
  <c r="BE16" i="58" s="1"/>
  <c r="AU15" i="58"/>
  <c r="AU14" i="58"/>
  <c r="BE14" i="58" s="1"/>
  <c r="AU13" i="58"/>
  <c r="BE13" i="58" s="1"/>
  <c r="AU12" i="58"/>
  <c r="AU11" i="58"/>
  <c r="AU10" i="58"/>
  <c r="AU9" i="58"/>
  <c r="BE9" i="58"/>
  <c r="AU8" i="58"/>
  <c r="BE8" i="58" s="1"/>
  <c r="AU7" i="58"/>
  <c r="V7" i="58" s="1"/>
  <c r="AU288" i="57"/>
  <c r="BE288" i="57" s="1"/>
  <c r="AU287" i="57"/>
  <c r="BE287" i="57" s="1"/>
  <c r="AU286" i="57"/>
  <c r="AU285" i="57"/>
  <c r="BE285" i="57" s="1"/>
  <c r="AU284" i="57"/>
  <c r="BE284" i="57" s="1"/>
  <c r="AU283" i="57"/>
  <c r="BE283" i="57" s="1"/>
  <c r="AU282" i="57"/>
  <c r="BE282" i="57" s="1"/>
  <c r="AU281" i="57"/>
  <c r="AU280" i="57"/>
  <c r="BE280" i="57" s="1"/>
  <c r="AU279" i="57"/>
  <c r="AU278" i="57"/>
  <c r="V278" i="57" s="1"/>
  <c r="AU277" i="57"/>
  <c r="BE277" i="57" s="1"/>
  <c r="AU258" i="57"/>
  <c r="BE258" i="57" s="1"/>
  <c r="AU257" i="57"/>
  <c r="BE257" i="57" s="1"/>
  <c r="AU256" i="57"/>
  <c r="BE256" i="57" s="1"/>
  <c r="AU255" i="57"/>
  <c r="V255" i="57" s="1"/>
  <c r="AU254" i="57"/>
  <c r="BE254" i="57" s="1"/>
  <c r="AU253" i="57"/>
  <c r="BE253" i="57" s="1"/>
  <c r="AU252" i="57"/>
  <c r="AU251" i="57"/>
  <c r="BE251" i="57" s="1"/>
  <c r="AU250" i="57"/>
  <c r="BE250" i="57" s="1"/>
  <c r="AU249" i="57"/>
  <c r="BE249" i="57" s="1"/>
  <c r="AU248" i="57"/>
  <c r="BE248" i="57" s="1"/>
  <c r="AU247" i="57"/>
  <c r="BE247" i="57" s="1"/>
  <c r="AU228" i="57"/>
  <c r="AU227" i="57"/>
  <c r="AU226" i="57"/>
  <c r="BE226" i="57" s="1"/>
  <c r="AU225" i="57"/>
  <c r="AU224" i="57"/>
  <c r="BE224" i="57" s="1"/>
  <c r="AU223" i="57"/>
  <c r="BE223" i="57" s="1"/>
  <c r="AU222" i="57"/>
  <c r="BE222" i="57" s="1"/>
  <c r="AU221" i="57"/>
  <c r="BE221" i="57" s="1"/>
  <c r="AU220" i="57"/>
  <c r="BE220" i="57" s="1"/>
  <c r="AU219" i="57"/>
  <c r="AU218" i="57"/>
  <c r="BE218" i="57" s="1"/>
  <c r="AU217" i="57"/>
  <c r="BE217" i="57" s="1"/>
  <c r="AU198" i="57"/>
  <c r="AU197" i="57"/>
  <c r="BE197" i="57"/>
  <c r="AU196" i="57"/>
  <c r="BE196" i="57" s="1"/>
  <c r="AU195" i="57"/>
  <c r="AU194" i="57"/>
  <c r="BE194" i="57" s="1"/>
  <c r="AU193" i="57"/>
  <c r="BE193" i="57" s="1"/>
  <c r="AU192" i="57"/>
  <c r="BE192" i="57" s="1"/>
  <c r="AU191" i="57"/>
  <c r="AU190" i="57"/>
  <c r="BE190" i="57" s="1"/>
  <c r="AU189" i="57"/>
  <c r="AU188" i="57"/>
  <c r="BE188" i="57" s="1"/>
  <c r="AU187" i="57"/>
  <c r="V187" i="57" s="1"/>
  <c r="AU168" i="57"/>
  <c r="AU167" i="57"/>
  <c r="BE167" i="57" s="1"/>
  <c r="AU166" i="57"/>
  <c r="BE166" i="57" s="1"/>
  <c r="AU165" i="57"/>
  <c r="BE165" i="57" s="1"/>
  <c r="AU164" i="57"/>
  <c r="BE164" i="57" s="1"/>
  <c r="AU163" i="57"/>
  <c r="BE163" i="57" s="1"/>
  <c r="AU162" i="57"/>
  <c r="BE162" i="57" s="1"/>
  <c r="AU161" i="57"/>
  <c r="AU160" i="57"/>
  <c r="BE160" i="57" s="1"/>
  <c r="AU159" i="57"/>
  <c r="BE159" i="57" s="1"/>
  <c r="AU158" i="57"/>
  <c r="BE158" i="57" s="1"/>
  <c r="AU157" i="57"/>
  <c r="BE157" i="57" s="1"/>
  <c r="AU138" i="57"/>
  <c r="AU137" i="57"/>
  <c r="BE137" i="57" s="1"/>
  <c r="AU136" i="57"/>
  <c r="BE136" i="57" s="1"/>
  <c r="AU135" i="57"/>
  <c r="AU134" i="57"/>
  <c r="BE134" i="57" s="1"/>
  <c r="AU133" i="57"/>
  <c r="BE133" i="57" s="1"/>
  <c r="AU132" i="57"/>
  <c r="BE132" i="57" s="1"/>
  <c r="AU131" i="57"/>
  <c r="BE131" i="57" s="1"/>
  <c r="AU130" i="57"/>
  <c r="BE130" i="57" s="1"/>
  <c r="AU129" i="57"/>
  <c r="BE129" i="57" s="1"/>
  <c r="AU128" i="57"/>
  <c r="BE128" i="57" s="1"/>
  <c r="AU127" i="57"/>
  <c r="BE127" i="57" s="1"/>
  <c r="AU108" i="57"/>
  <c r="BE108" i="57" s="1"/>
  <c r="AU107" i="57"/>
  <c r="BE107" i="57" s="1"/>
  <c r="AU106" i="57"/>
  <c r="BE106" i="57" s="1"/>
  <c r="AU105" i="57"/>
  <c r="BE105" i="57" s="1"/>
  <c r="AU104" i="57"/>
  <c r="BE104" i="57" s="1"/>
  <c r="AU103" i="57"/>
  <c r="BE103" i="57" s="1"/>
  <c r="AU102" i="57"/>
  <c r="BE102" i="57" s="1"/>
  <c r="AU101" i="57"/>
  <c r="BE101" i="57" s="1"/>
  <c r="AU100" i="57"/>
  <c r="BE100" i="57"/>
  <c r="AU99" i="57"/>
  <c r="BE99" i="57"/>
  <c r="AU98" i="57"/>
  <c r="BE98" i="57" s="1"/>
  <c r="AU97" i="57"/>
  <c r="BE97" i="57" s="1"/>
  <c r="AU78" i="57"/>
  <c r="AU77" i="57"/>
  <c r="BE77" i="57" s="1"/>
  <c r="AU76" i="57"/>
  <c r="AU75" i="57"/>
  <c r="BE75" i="57" s="1"/>
  <c r="AU74" i="57"/>
  <c r="BE74" i="57" s="1"/>
  <c r="AU73" i="57"/>
  <c r="BE73" i="57" s="1"/>
  <c r="AU72" i="57"/>
  <c r="BE72" i="57" s="1"/>
  <c r="AU71" i="57"/>
  <c r="BE71" i="57" s="1"/>
  <c r="AU70" i="57"/>
  <c r="BE70" i="57" s="1"/>
  <c r="AU69" i="57"/>
  <c r="BE69" i="57" s="1"/>
  <c r="AU68" i="57"/>
  <c r="BE68" i="57" s="1"/>
  <c r="AU67" i="57"/>
  <c r="BE67" i="57" s="1"/>
  <c r="AU48" i="57"/>
  <c r="BE48" i="57"/>
  <c r="AU47" i="57"/>
  <c r="BE47" i="57" s="1"/>
  <c r="AU46" i="57"/>
  <c r="BE46" i="57" s="1"/>
  <c r="AU45" i="57"/>
  <c r="BE45" i="57" s="1"/>
  <c r="AU44" i="57"/>
  <c r="BE44" i="57" s="1"/>
  <c r="AU43" i="57"/>
  <c r="BE43" i="57" s="1"/>
  <c r="AU42" i="57"/>
  <c r="BE42" i="57" s="1"/>
  <c r="AU41" i="57"/>
  <c r="BE41" i="57" s="1"/>
  <c r="AU40" i="57"/>
  <c r="BE40" i="57" s="1"/>
  <c r="AU39" i="57"/>
  <c r="BE39" i="57" s="1"/>
  <c r="AU38" i="57"/>
  <c r="BE38" i="57" s="1"/>
  <c r="AU37" i="57"/>
  <c r="BE37" i="57" s="1"/>
  <c r="AU18" i="57"/>
  <c r="BE18" i="57" s="1"/>
  <c r="AU17" i="57"/>
  <c r="BE17" i="57" s="1"/>
  <c r="AU16" i="57"/>
  <c r="BE16" i="57" s="1"/>
  <c r="AU15" i="57"/>
  <c r="BE15" i="57" s="1"/>
  <c r="AU14" i="57"/>
  <c r="AU13" i="57"/>
  <c r="AU12" i="57"/>
  <c r="BE12" i="57" s="1"/>
  <c r="AU11" i="57"/>
  <c r="BE11" i="57" s="1"/>
  <c r="AU10" i="57"/>
  <c r="BE10" i="57" s="1"/>
  <c r="AU9" i="57"/>
  <c r="BE9" i="57" s="1"/>
  <c r="AU8" i="57"/>
  <c r="BE8" i="57"/>
  <c r="AU7" i="57"/>
  <c r="BE7" i="57" s="1"/>
  <c r="AU288" i="55"/>
  <c r="BE288" i="55" s="1"/>
  <c r="AU287" i="55"/>
  <c r="BE287" i="55" s="1"/>
  <c r="AU286" i="55"/>
  <c r="BE286" i="55" s="1"/>
  <c r="AU285" i="55"/>
  <c r="BE285" i="55" s="1"/>
  <c r="AU284" i="55"/>
  <c r="BE284" i="55" s="1"/>
  <c r="AU283" i="55"/>
  <c r="BE283" i="55" s="1"/>
  <c r="AU282" i="55"/>
  <c r="BE282" i="55" s="1"/>
  <c r="AU281" i="55"/>
  <c r="BE281" i="55" s="1"/>
  <c r="AU280" i="55"/>
  <c r="BE280" i="55" s="1"/>
  <c r="AU279" i="55"/>
  <c r="BE279" i="55" s="1"/>
  <c r="AU278" i="55"/>
  <c r="BE278" i="55" s="1"/>
  <c r="AU277" i="55"/>
  <c r="BE277" i="55" s="1"/>
  <c r="AU258" i="55"/>
  <c r="BE258" i="55"/>
  <c r="AU257" i="55"/>
  <c r="BE257" i="55" s="1"/>
  <c r="AU256" i="55"/>
  <c r="AU255" i="55"/>
  <c r="BE255" i="55" s="1"/>
  <c r="AU254" i="55"/>
  <c r="BE254" i="55" s="1"/>
  <c r="AU253" i="55"/>
  <c r="BE253" i="55" s="1"/>
  <c r="AU252" i="55"/>
  <c r="BE252" i="55" s="1"/>
  <c r="AU251" i="55"/>
  <c r="BE251" i="55" s="1"/>
  <c r="AU250" i="55"/>
  <c r="AU249" i="55"/>
  <c r="BE249" i="55" s="1"/>
  <c r="AU248" i="55"/>
  <c r="BE248" i="55" s="1"/>
  <c r="AU247" i="55"/>
  <c r="V247" i="55" s="1"/>
  <c r="AU228" i="55"/>
  <c r="BE228" i="55" s="1"/>
  <c r="AU227" i="55"/>
  <c r="BE227" i="55" s="1"/>
  <c r="AU226" i="55"/>
  <c r="BE226" i="55" s="1"/>
  <c r="AU225" i="55"/>
  <c r="BE225" i="55" s="1"/>
  <c r="AU224" i="55"/>
  <c r="AU223" i="55"/>
  <c r="BE223" i="55" s="1"/>
  <c r="AU222" i="55"/>
  <c r="BE222" i="55" s="1"/>
  <c r="AU221" i="55"/>
  <c r="BE221" i="55" s="1"/>
  <c r="AU220" i="55"/>
  <c r="BE220" i="55" s="1"/>
  <c r="AU219" i="55"/>
  <c r="AU218" i="55"/>
  <c r="AU217" i="55"/>
  <c r="BE217" i="55" s="1"/>
  <c r="AU198" i="55"/>
  <c r="AU197" i="55"/>
  <c r="BE197" i="55" s="1"/>
  <c r="AU196" i="55"/>
  <c r="BE196" i="55" s="1"/>
  <c r="AU195" i="55"/>
  <c r="AU194" i="55"/>
  <c r="BE194" i="55" s="1"/>
  <c r="AU193" i="55"/>
  <c r="BE193" i="55" s="1"/>
  <c r="AU192" i="55"/>
  <c r="BE192" i="55" s="1"/>
  <c r="AU191" i="55"/>
  <c r="BE191" i="55" s="1"/>
  <c r="AU190" i="55"/>
  <c r="BE190" i="55" s="1"/>
  <c r="AU189" i="55"/>
  <c r="BE189" i="55" s="1"/>
  <c r="AU188" i="55"/>
  <c r="BE188" i="55" s="1"/>
  <c r="AU187" i="55"/>
  <c r="BE187" i="55" s="1"/>
  <c r="AU168" i="55"/>
  <c r="BE168" i="55" s="1"/>
  <c r="AU167" i="55"/>
  <c r="BE167" i="55" s="1"/>
  <c r="AU166" i="55"/>
  <c r="V166" i="55" s="1"/>
  <c r="AU165" i="55"/>
  <c r="BE165" i="55" s="1"/>
  <c r="AU164" i="55"/>
  <c r="BE164" i="55" s="1"/>
  <c r="AU163" i="55"/>
  <c r="BE163" i="55" s="1"/>
  <c r="AU162" i="55"/>
  <c r="BE162" i="55" s="1"/>
  <c r="AU161" i="55"/>
  <c r="BE161" i="55" s="1"/>
  <c r="AU160" i="55"/>
  <c r="BE160" i="55" s="1"/>
  <c r="AU159" i="55"/>
  <c r="BE159" i="55" s="1"/>
  <c r="AU158" i="55"/>
  <c r="AU157" i="55"/>
  <c r="BE157" i="55" s="1"/>
  <c r="AU138" i="55"/>
  <c r="BE138" i="55" s="1"/>
  <c r="AU137" i="55"/>
  <c r="AU136" i="55"/>
  <c r="BE136" i="55" s="1"/>
  <c r="AU135" i="55"/>
  <c r="AU134" i="55"/>
  <c r="BE134" i="55" s="1"/>
  <c r="AU133" i="55"/>
  <c r="AU132" i="55"/>
  <c r="BE132" i="55" s="1"/>
  <c r="AU131" i="55"/>
  <c r="BE131" i="55" s="1"/>
  <c r="AU130" i="55"/>
  <c r="BE130" i="55" s="1"/>
  <c r="AU129" i="55"/>
  <c r="BE129" i="55" s="1"/>
  <c r="AU128" i="55"/>
  <c r="AU127" i="55"/>
  <c r="V127" i="55" s="1"/>
  <c r="AU108" i="55"/>
  <c r="AU107" i="55"/>
  <c r="AU106" i="55"/>
  <c r="BE106" i="55" s="1"/>
  <c r="AU105" i="55"/>
  <c r="BE105" i="55" s="1"/>
  <c r="AU104" i="55"/>
  <c r="BE104" i="55" s="1"/>
  <c r="AU103" i="55"/>
  <c r="BE103" i="55" s="1"/>
  <c r="AU102" i="55"/>
  <c r="BE102" i="55" s="1"/>
  <c r="AU101" i="55"/>
  <c r="BE101" i="55" s="1"/>
  <c r="AU100" i="55"/>
  <c r="BE100" i="55" s="1"/>
  <c r="AU99" i="55"/>
  <c r="AU98" i="55"/>
  <c r="BE98" i="55" s="1"/>
  <c r="AU97" i="55"/>
  <c r="V97" i="55" s="1"/>
  <c r="AU78" i="55"/>
  <c r="BE78" i="55" s="1"/>
  <c r="AU77" i="55"/>
  <c r="BE77" i="55" s="1"/>
  <c r="AU76" i="55"/>
  <c r="BE76" i="55" s="1"/>
  <c r="AU75" i="55"/>
  <c r="BE75" i="55" s="1"/>
  <c r="AU74" i="55"/>
  <c r="AU73" i="55"/>
  <c r="AU72" i="55"/>
  <c r="BE72" i="55" s="1"/>
  <c r="AU71" i="55"/>
  <c r="BE71" i="55" s="1"/>
  <c r="AU70" i="55"/>
  <c r="BE70" i="55"/>
  <c r="AU69" i="55"/>
  <c r="BE69" i="55"/>
  <c r="AU68" i="55"/>
  <c r="BE68" i="55" s="1"/>
  <c r="AU67" i="55"/>
  <c r="BE67" i="55" s="1"/>
  <c r="AU48" i="55"/>
  <c r="BE48" i="55" s="1"/>
  <c r="AU47" i="55"/>
  <c r="BE47" i="55" s="1"/>
  <c r="AU46" i="55"/>
  <c r="BE46" i="55" s="1"/>
  <c r="AU45" i="55"/>
  <c r="AU44" i="55"/>
  <c r="V44" i="55" s="1"/>
  <c r="AU43" i="55"/>
  <c r="BE43" i="55" s="1"/>
  <c r="AU42" i="55"/>
  <c r="AU41" i="55"/>
  <c r="BE41" i="55" s="1"/>
  <c r="AU40" i="55"/>
  <c r="BE40" i="55" s="1"/>
  <c r="AU39" i="55"/>
  <c r="BE39" i="55" s="1"/>
  <c r="AU38" i="55"/>
  <c r="BE38" i="55" s="1"/>
  <c r="AU37" i="55"/>
  <c r="BE37" i="55" s="1"/>
  <c r="AU18" i="55"/>
  <c r="BE18" i="55" s="1"/>
  <c r="AU17" i="55"/>
  <c r="AU16" i="55"/>
  <c r="V16" i="55" s="1"/>
  <c r="AU15" i="55"/>
  <c r="AU14" i="55"/>
  <c r="BE14" i="55" s="1"/>
  <c r="AU13" i="55"/>
  <c r="BE13" i="55" s="1"/>
  <c r="AU12" i="55"/>
  <c r="BE12" i="55" s="1"/>
  <c r="AU11" i="55"/>
  <c r="AU10" i="55"/>
  <c r="BE10" i="55" s="1"/>
  <c r="AU9" i="55"/>
  <c r="AU8" i="55"/>
  <c r="BE8" i="55" s="1"/>
  <c r="AU7" i="55"/>
  <c r="BE7" i="55" s="1"/>
  <c r="AU288" i="53"/>
  <c r="AU287" i="53"/>
  <c r="AU286" i="53"/>
  <c r="BE286" i="53" s="1"/>
  <c r="AU285" i="53"/>
  <c r="BE285" i="53" s="1"/>
  <c r="AU284" i="53"/>
  <c r="AU283" i="53"/>
  <c r="BE283" i="53" s="1"/>
  <c r="AU282" i="53"/>
  <c r="BE282" i="53" s="1"/>
  <c r="AU281" i="53"/>
  <c r="BE281" i="53" s="1"/>
  <c r="AU280" i="53"/>
  <c r="BE280" i="53" s="1"/>
  <c r="AU279" i="53"/>
  <c r="BE279" i="53" s="1"/>
  <c r="AU278" i="53"/>
  <c r="BE278" i="53" s="1"/>
  <c r="AU277" i="53"/>
  <c r="BE277" i="53" s="1"/>
  <c r="AU258" i="53"/>
  <c r="BE258" i="53" s="1"/>
  <c r="AU257" i="53"/>
  <c r="BE257" i="53" s="1"/>
  <c r="AU256" i="53"/>
  <c r="AU255" i="53"/>
  <c r="AU254" i="53"/>
  <c r="BE254" i="53" s="1"/>
  <c r="AU253" i="53"/>
  <c r="BE253" i="53" s="1"/>
  <c r="AU252" i="53"/>
  <c r="BE252" i="53" s="1"/>
  <c r="AU251" i="53"/>
  <c r="BE251" i="53" s="1"/>
  <c r="AU250" i="53"/>
  <c r="AU249" i="53"/>
  <c r="BE249" i="53" s="1"/>
  <c r="AU248" i="53"/>
  <c r="AU247" i="53"/>
  <c r="BE247" i="53" s="1"/>
  <c r="AU228" i="53"/>
  <c r="AU227" i="53"/>
  <c r="BE227" i="53" s="1"/>
  <c r="AU226" i="53"/>
  <c r="BE226" i="53" s="1"/>
  <c r="AU225" i="53"/>
  <c r="BE225" i="53" s="1"/>
  <c r="AU224" i="53"/>
  <c r="BE224" i="53" s="1"/>
  <c r="AU223" i="53"/>
  <c r="BE223" i="53" s="1"/>
  <c r="AU222" i="53"/>
  <c r="BE222" i="53" s="1"/>
  <c r="AU221" i="53"/>
  <c r="BE221" i="53" s="1"/>
  <c r="AU220" i="53"/>
  <c r="BE220" i="53" s="1"/>
  <c r="AU219" i="53"/>
  <c r="AU218" i="53"/>
  <c r="BE218" i="53" s="1"/>
  <c r="AU217" i="53"/>
  <c r="AU198" i="53"/>
  <c r="AU197" i="53"/>
  <c r="BE197" i="53" s="1"/>
  <c r="AU196" i="53"/>
  <c r="BE196" i="53" s="1"/>
  <c r="AU195" i="53"/>
  <c r="AU194" i="53"/>
  <c r="BE194" i="53" s="1"/>
  <c r="AU193" i="53"/>
  <c r="BE193" i="53" s="1"/>
  <c r="AU192" i="53"/>
  <c r="BE192" i="53" s="1"/>
  <c r="AU191" i="53"/>
  <c r="BE191" i="53" s="1"/>
  <c r="AU190" i="53"/>
  <c r="AU189" i="53"/>
  <c r="BE189" i="53" s="1"/>
  <c r="AU188" i="53"/>
  <c r="AU187" i="53"/>
  <c r="BE187" i="53" s="1"/>
  <c r="AU168" i="53"/>
  <c r="BE168" i="53" s="1"/>
  <c r="AU167" i="53"/>
  <c r="BE167" i="53" s="1"/>
  <c r="AU166" i="53"/>
  <c r="V166" i="53" s="1"/>
  <c r="AU165" i="53"/>
  <c r="AU164" i="53"/>
  <c r="BE164" i="53"/>
  <c r="AU163" i="53"/>
  <c r="BE163" i="53" s="1"/>
  <c r="AU162" i="53"/>
  <c r="AU161" i="53"/>
  <c r="AU160" i="53"/>
  <c r="BE160" i="53" s="1"/>
  <c r="AU159" i="53"/>
  <c r="BE159" i="53" s="1"/>
  <c r="AU158" i="53"/>
  <c r="BE158" i="53" s="1"/>
  <c r="AU157" i="53"/>
  <c r="BE157" i="53" s="1"/>
  <c r="AU138" i="53"/>
  <c r="AU137" i="53"/>
  <c r="BE137" i="53" s="1"/>
  <c r="AU136" i="53"/>
  <c r="BE136" i="53" s="1"/>
  <c r="AU135" i="53"/>
  <c r="BE135" i="53" s="1"/>
  <c r="AU134" i="53"/>
  <c r="BE134" i="53" s="1"/>
  <c r="AU133" i="53"/>
  <c r="BE133" i="53" s="1"/>
  <c r="AU132" i="53"/>
  <c r="AU131" i="53"/>
  <c r="AU130" i="53"/>
  <c r="BE130" i="53" s="1"/>
  <c r="AU129" i="53"/>
  <c r="BE129" i="53" s="1"/>
  <c r="AU128" i="53"/>
  <c r="BE128" i="53" s="1"/>
  <c r="AU127" i="53"/>
  <c r="BE127" i="53" s="1"/>
  <c r="AU108" i="53"/>
  <c r="BE108" i="53" s="1"/>
  <c r="AU107" i="53"/>
  <c r="AU106" i="53"/>
  <c r="BE106" i="53" s="1"/>
  <c r="AU105" i="53"/>
  <c r="AU104" i="53"/>
  <c r="BE104" i="53" s="1"/>
  <c r="AU103" i="53"/>
  <c r="BE103" i="53" s="1"/>
  <c r="AU102" i="53"/>
  <c r="BE102" i="53" s="1"/>
  <c r="AU101" i="53"/>
  <c r="AU100" i="53"/>
  <c r="BE100" i="53" s="1"/>
  <c r="AU99" i="53"/>
  <c r="AU98" i="53"/>
  <c r="AU97" i="53"/>
  <c r="BE97" i="53" s="1"/>
  <c r="AU78" i="53"/>
  <c r="BE78" i="53" s="1"/>
  <c r="AU77" i="53"/>
  <c r="AU76" i="53"/>
  <c r="BE76" i="53" s="1"/>
  <c r="AU75" i="53"/>
  <c r="BE75" i="53" s="1"/>
  <c r="AU74" i="53"/>
  <c r="BE74" i="53" s="1"/>
  <c r="AU73" i="53"/>
  <c r="BE73" i="53" s="1"/>
  <c r="AU72" i="53"/>
  <c r="BE72" i="53" s="1"/>
  <c r="AU71" i="53"/>
  <c r="AU70" i="53"/>
  <c r="BE70" i="53" s="1"/>
  <c r="AU69" i="53"/>
  <c r="BE69" i="53" s="1"/>
  <c r="AU68" i="53"/>
  <c r="AU67" i="53"/>
  <c r="BE67" i="53" s="1"/>
  <c r="AU48" i="53"/>
  <c r="AU47" i="53"/>
  <c r="AU46" i="53"/>
  <c r="AU45" i="53"/>
  <c r="BE45" i="53" s="1"/>
  <c r="AU44" i="53"/>
  <c r="AU43" i="53"/>
  <c r="BE43" i="53" s="1"/>
  <c r="AU42" i="53"/>
  <c r="BE42" i="53" s="1"/>
  <c r="AU41" i="53"/>
  <c r="BE41" i="53" s="1"/>
  <c r="AU40" i="53"/>
  <c r="AU39" i="53"/>
  <c r="AU38" i="53"/>
  <c r="AU37" i="53"/>
  <c r="BE37" i="53" s="1"/>
  <c r="AU18" i="53"/>
  <c r="BE18" i="53" s="1"/>
  <c r="AU17" i="53"/>
  <c r="BE17" i="53" s="1"/>
  <c r="AU16" i="53"/>
  <c r="BE16" i="53" s="1"/>
  <c r="AU15" i="53"/>
  <c r="BE15" i="53" s="1"/>
  <c r="AU14" i="53"/>
  <c r="BE14" i="53" s="1"/>
  <c r="AU13" i="53"/>
  <c r="BE13" i="53" s="1"/>
  <c r="AU12" i="53"/>
  <c r="AU11" i="53"/>
  <c r="AU10" i="53"/>
  <c r="V10" i="53" s="1"/>
  <c r="AU9" i="53"/>
  <c r="BE9" i="53" s="1"/>
  <c r="AU8" i="53"/>
  <c r="BE8" i="53" s="1"/>
  <c r="AU7" i="53"/>
  <c r="BE7" i="53" s="1"/>
  <c r="AU288" i="52"/>
  <c r="BE288" i="52" s="1"/>
  <c r="AU287" i="52"/>
  <c r="AU286" i="52"/>
  <c r="V286" i="52" s="1"/>
  <c r="AU285" i="52"/>
  <c r="AU284" i="52"/>
  <c r="BE284" i="52" s="1"/>
  <c r="AU283" i="52"/>
  <c r="AU282" i="52"/>
  <c r="BE282" i="52" s="1"/>
  <c r="AU281" i="52"/>
  <c r="V281" i="52" s="1"/>
  <c r="AU280" i="52"/>
  <c r="BE280" i="52" s="1"/>
  <c r="AU279" i="52"/>
  <c r="AU278" i="52"/>
  <c r="AU277" i="52"/>
  <c r="V277" i="52" s="1"/>
  <c r="AU258" i="52"/>
  <c r="AU257" i="52"/>
  <c r="BE257" i="52" s="1"/>
  <c r="AU256" i="52"/>
  <c r="BE256" i="52" s="1"/>
  <c r="AU255" i="52"/>
  <c r="BE255" i="52" s="1"/>
  <c r="AU254" i="52"/>
  <c r="BE254" i="52" s="1"/>
  <c r="AU253" i="52"/>
  <c r="V253" i="52" s="1"/>
  <c r="AU252" i="52"/>
  <c r="BE252" i="52" s="1"/>
  <c r="AU251" i="52"/>
  <c r="AU250" i="52"/>
  <c r="BE250" i="52" s="1"/>
  <c r="AU249" i="52"/>
  <c r="BE249" i="52" s="1"/>
  <c r="AU248" i="52"/>
  <c r="BE248" i="52" s="1"/>
  <c r="AU247" i="52"/>
  <c r="BE247" i="52" s="1"/>
  <c r="AU228" i="52"/>
  <c r="BE228" i="52" s="1"/>
  <c r="AU227" i="52"/>
  <c r="AU226" i="52"/>
  <c r="V226" i="52" s="1"/>
  <c r="AU225" i="52"/>
  <c r="AU224" i="52"/>
  <c r="BE224" i="52" s="1"/>
  <c r="AU223" i="52"/>
  <c r="AU222" i="52"/>
  <c r="AU221" i="52"/>
  <c r="BE221" i="52" s="1"/>
  <c r="AU220" i="52"/>
  <c r="AU219" i="52"/>
  <c r="V219" i="52" s="1"/>
  <c r="AU218" i="52"/>
  <c r="AU217" i="52"/>
  <c r="V217" i="52" s="1"/>
  <c r="AU198" i="52"/>
  <c r="BE198" i="52" s="1"/>
  <c r="AU197" i="52"/>
  <c r="AU196" i="52"/>
  <c r="V196" i="52" s="1"/>
  <c r="AU195" i="52"/>
  <c r="BE195" i="52" s="1"/>
  <c r="AU194" i="52"/>
  <c r="AU193" i="52"/>
  <c r="V193" i="52" s="1"/>
  <c r="AU192" i="52"/>
  <c r="AU191" i="52"/>
  <c r="AU190" i="52"/>
  <c r="BE190" i="52" s="1"/>
  <c r="AU189" i="52"/>
  <c r="BE189" i="52" s="1"/>
  <c r="AU188" i="52"/>
  <c r="BE188" i="52" s="1"/>
  <c r="AU187" i="52"/>
  <c r="AU168" i="52"/>
  <c r="BE168" i="52" s="1"/>
  <c r="AU167" i="52"/>
  <c r="BE167" i="52" s="1"/>
  <c r="AU166" i="52"/>
  <c r="V166" i="52" s="1"/>
  <c r="AU165" i="52"/>
  <c r="BE165" i="52" s="1"/>
  <c r="AU164" i="52"/>
  <c r="BE164" i="52" s="1"/>
  <c r="AU163" i="52"/>
  <c r="BE163" i="52" s="1"/>
  <c r="AU162" i="52"/>
  <c r="BE162" i="52" s="1"/>
  <c r="AU161" i="52"/>
  <c r="AU160" i="52"/>
  <c r="BE160" i="52" s="1"/>
  <c r="AU159" i="52"/>
  <c r="AU158" i="52"/>
  <c r="BE158" i="52" s="1"/>
  <c r="AU157" i="52"/>
  <c r="BE157" i="52" s="1"/>
  <c r="AU138" i="52"/>
  <c r="BE138" i="52" s="1"/>
  <c r="AU137" i="52"/>
  <c r="AU136" i="52"/>
  <c r="BE136" i="52" s="1"/>
  <c r="AU135" i="52"/>
  <c r="AU134" i="52"/>
  <c r="BE134" i="52" s="1"/>
  <c r="AU133" i="52"/>
  <c r="V133" i="52" s="1"/>
  <c r="AU132" i="52"/>
  <c r="BE132" i="52" s="1"/>
  <c r="AU131" i="52"/>
  <c r="V131" i="52" s="1"/>
  <c r="AU130" i="52"/>
  <c r="AU129" i="52"/>
  <c r="BE129" i="52" s="1"/>
  <c r="AU128" i="52"/>
  <c r="AU127" i="52"/>
  <c r="V127" i="52" s="1"/>
  <c r="AU108" i="52"/>
  <c r="BE108" i="52" s="1"/>
  <c r="AU107" i="52"/>
  <c r="AU106" i="52"/>
  <c r="BE106" i="52" s="1"/>
  <c r="AU105" i="52"/>
  <c r="BE105" i="52" s="1"/>
  <c r="AU104" i="52"/>
  <c r="AU103" i="52"/>
  <c r="BE103" i="52" s="1"/>
  <c r="AU102" i="52"/>
  <c r="BE102" i="52" s="1"/>
  <c r="AU101" i="52"/>
  <c r="AU100" i="52"/>
  <c r="BE100" i="52" s="1"/>
  <c r="AU99" i="52"/>
  <c r="AU98" i="52"/>
  <c r="AU97" i="52"/>
  <c r="V97" i="52" s="1"/>
  <c r="AU78" i="52"/>
  <c r="BE78" i="52" s="1"/>
  <c r="AU77" i="52"/>
  <c r="BE77" i="52" s="1"/>
  <c r="AU76" i="52"/>
  <c r="V76" i="52" s="1"/>
  <c r="AU75" i="52"/>
  <c r="BE75" i="52" s="1"/>
  <c r="AU74" i="52"/>
  <c r="BE74" i="52" s="1"/>
  <c r="AU73" i="52"/>
  <c r="BE73" i="52" s="1"/>
  <c r="AU72" i="52"/>
  <c r="BE72" i="52" s="1"/>
  <c r="AU71" i="52"/>
  <c r="AU70" i="52"/>
  <c r="V70" i="52" s="1"/>
  <c r="AU69" i="52"/>
  <c r="BE69" i="52" s="1"/>
  <c r="AU68" i="52"/>
  <c r="BE68" i="52" s="1"/>
  <c r="AU67" i="52"/>
  <c r="BE67" i="52" s="1"/>
  <c r="AU48" i="52"/>
  <c r="BE48" i="52" s="1"/>
  <c r="AU47" i="52"/>
  <c r="BE47" i="52" s="1"/>
  <c r="AU46" i="52"/>
  <c r="AU45" i="52"/>
  <c r="BE45" i="52" s="1"/>
  <c r="AU44" i="52"/>
  <c r="AU43" i="52"/>
  <c r="BE43" i="52" s="1"/>
  <c r="AU42" i="52"/>
  <c r="BE42" i="52" s="1"/>
  <c r="AU41" i="52"/>
  <c r="BE41" i="52" s="1"/>
  <c r="AU40" i="52"/>
  <c r="BE40" i="52" s="1"/>
  <c r="AU39" i="52"/>
  <c r="V39" i="52" s="1"/>
  <c r="AU38" i="52"/>
  <c r="BE38" i="52" s="1"/>
  <c r="AU37" i="52"/>
  <c r="BE37" i="52" s="1"/>
  <c r="AU18" i="52"/>
  <c r="BE18" i="52" s="1"/>
  <c r="AU17" i="52"/>
  <c r="BE17" i="52" s="1"/>
  <c r="AU16" i="52"/>
  <c r="V16" i="52" s="1"/>
  <c r="AU15" i="52"/>
  <c r="AU14" i="52"/>
  <c r="V14" i="52" s="1"/>
  <c r="AU13" i="52"/>
  <c r="V13" i="52" s="1"/>
  <c r="AU12" i="52"/>
  <c r="BE12" i="52" s="1"/>
  <c r="AU11" i="52"/>
  <c r="AU10" i="52"/>
  <c r="AU9" i="52"/>
  <c r="BE9" i="52" s="1"/>
  <c r="AU8" i="52"/>
  <c r="BE8" i="52" s="1"/>
  <c r="AU7" i="52"/>
  <c r="BE7" i="52" s="1"/>
  <c r="AS289" i="59"/>
  <c r="AQ289" i="59"/>
  <c r="R289" i="59" s="1"/>
  <c r="AO289" i="59"/>
  <c r="AM289" i="59"/>
  <c r="N289" i="59" s="1"/>
  <c r="AK289" i="59"/>
  <c r="L289" i="59" s="1"/>
  <c r="AI289" i="59"/>
  <c r="J289" i="59" s="1"/>
  <c r="AG289" i="59"/>
  <c r="H289" i="59" s="1"/>
  <c r="AE289" i="59"/>
  <c r="F289" i="59" s="1"/>
  <c r="AC289" i="59"/>
  <c r="D289" i="59" s="1"/>
  <c r="AS259" i="59"/>
  <c r="AQ259" i="59"/>
  <c r="R259" i="59" s="1"/>
  <c r="AO259" i="59"/>
  <c r="P259" i="59" s="1"/>
  <c r="AM259" i="59"/>
  <c r="N259" i="59" s="1"/>
  <c r="AK259" i="59"/>
  <c r="AI259" i="59"/>
  <c r="AG259" i="59"/>
  <c r="AE259" i="59"/>
  <c r="AC259" i="59"/>
  <c r="D259" i="59" s="1"/>
  <c r="AS229" i="59"/>
  <c r="AQ229" i="59"/>
  <c r="R229" i="59" s="1"/>
  <c r="AO229" i="59"/>
  <c r="AM229" i="59"/>
  <c r="N229" i="59" s="1"/>
  <c r="AK229" i="59"/>
  <c r="L229" i="59" s="1"/>
  <c r="AI229" i="59"/>
  <c r="AG229" i="59"/>
  <c r="H229" i="59" s="1"/>
  <c r="AE229" i="59"/>
  <c r="AC229" i="59"/>
  <c r="D229" i="59" s="1"/>
  <c r="AS199" i="59"/>
  <c r="AQ199" i="59"/>
  <c r="R199" i="59" s="1"/>
  <c r="AO199" i="59"/>
  <c r="P199" i="59" s="1"/>
  <c r="AM199" i="59"/>
  <c r="N199" i="59" s="1"/>
  <c r="AK199" i="59"/>
  <c r="L199" i="59" s="1"/>
  <c r="AI199" i="59"/>
  <c r="AG199" i="59"/>
  <c r="H199" i="59" s="1"/>
  <c r="AE199" i="59"/>
  <c r="F199" i="59" s="1"/>
  <c r="AC199" i="59"/>
  <c r="AS169" i="59"/>
  <c r="T169" i="59" s="1"/>
  <c r="AQ169" i="59"/>
  <c r="R169" i="59" s="1"/>
  <c r="AO169" i="59"/>
  <c r="AM169" i="59"/>
  <c r="AK169" i="59"/>
  <c r="AI169" i="59"/>
  <c r="AG169" i="59"/>
  <c r="H169" i="59" s="1"/>
  <c r="AE169" i="59"/>
  <c r="F169" i="59"/>
  <c r="AC169" i="59"/>
  <c r="D169" i="59" s="1"/>
  <c r="AS139" i="59"/>
  <c r="T139" i="59" s="1"/>
  <c r="AQ139" i="59"/>
  <c r="R139" i="59" s="1"/>
  <c r="AO139" i="59"/>
  <c r="P139" i="59" s="1"/>
  <c r="AM139" i="59"/>
  <c r="N139" i="59" s="1"/>
  <c r="AK139" i="59"/>
  <c r="AI139" i="59"/>
  <c r="J139" i="59" s="1"/>
  <c r="AG139" i="59"/>
  <c r="H139" i="59" s="1"/>
  <c r="AE139" i="59"/>
  <c r="AC139" i="59"/>
  <c r="D139" i="59" s="1"/>
  <c r="AS109" i="59"/>
  <c r="T109" i="59" s="1"/>
  <c r="AQ109" i="59"/>
  <c r="R109" i="59" s="1"/>
  <c r="AO109" i="59"/>
  <c r="P109" i="59"/>
  <c r="AM109" i="59"/>
  <c r="N109" i="59"/>
  <c r="AK109" i="59"/>
  <c r="AI109" i="59"/>
  <c r="AG109" i="59"/>
  <c r="H109" i="59" s="1"/>
  <c r="AE109" i="59"/>
  <c r="F109" i="59" s="1"/>
  <c r="AC109" i="59"/>
  <c r="D109" i="59" s="1"/>
  <c r="AS79" i="59"/>
  <c r="T79" i="59" s="1"/>
  <c r="AQ79" i="59"/>
  <c r="R79" i="59" s="1"/>
  <c r="AO79" i="59"/>
  <c r="AM79" i="59"/>
  <c r="AK79" i="59"/>
  <c r="AI79" i="59"/>
  <c r="AG79" i="59"/>
  <c r="AE79" i="59"/>
  <c r="F79" i="59" s="1"/>
  <c r="AC79" i="59"/>
  <c r="D79" i="59" s="1"/>
  <c r="AS49" i="59"/>
  <c r="T49" i="59" s="1"/>
  <c r="AQ49" i="59"/>
  <c r="R49" i="59" s="1"/>
  <c r="AO49" i="59"/>
  <c r="P49" i="59" s="1"/>
  <c r="AM49" i="59"/>
  <c r="N49" i="59" s="1"/>
  <c r="AK49" i="59"/>
  <c r="L49" i="59" s="1"/>
  <c r="AI49" i="59"/>
  <c r="AG49" i="59"/>
  <c r="H49" i="59" s="1"/>
  <c r="AE49" i="59"/>
  <c r="AC49" i="59"/>
  <c r="D49" i="59" s="1"/>
  <c r="AS19" i="59"/>
  <c r="T19" i="59" s="1"/>
  <c r="AQ19" i="59"/>
  <c r="R19" i="59" s="1"/>
  <c r="AO19" i="59"/>
  <c r="P19" i="59" s="1"/>
  <c r="AM19" i="59"/>
  <c r="AK19" i="59"/>
  <c r="L19" i="59" s="1"/>
  <c r="AI19" i="59"/>
  <c r="J19" i="59"/>
  <c r="AG19" i="59"/>
  <c r="H19" i="59" s="1"/>
  <c r="AE19" i="59"/>
  <c r="F19" i="59" s="1"/>
  <c r="AC19" i="59"/>
  <c r="D19" i="59" s="1"/>
  <c r="AS289" i="58"/>
  <c r="AQ289" i="58"/>
  <c r="AO289" i="58"/>
  <c r="AM289" i="58"/>
  <c r="AK289" i="58"/>
  <c r="AI289" i="58"/>
  <c r="J289" i="58" s="1"/>
  <c r="AG289" i="58"/>
  <c r="H289" i="58" s="1"/>
  <c r="AE289" i="58"/>
  <c r="AC289" i="58"/>
  <c r="AS259" i="58"/>
  <c r="AQ259" i="58"/>
  <c r="R259" i="58" s="1"/>
  <c r="AO259" i="58"/>
  <c r="P259" i="58" s="1"/>
  <c r="AM259" i="58"/>
  <c r="N259" i="58" s="1"/>
  <c r="AK259" i="58"/>
  <c r="AI259" i="58"/>
  <c r="AG259" i="58"/>
  <c r="H259" i="58" s="1"/>
  <c r="AE259" i="58"/>
  <c r="F259" i="58" s="1"/>
  <c r="AC259" i="58"/>
  <c r="D259" i="58" s="1"/>
  <c r="AS229" i="58"/>
  <c r="AQ229" i="58"/>
  <c r="AO229" i="58"/>
  <c r="AM229" i="58"/>
  <c r="N229" i="58" s="1"/>
  <c r="AK229" i="58"/>
  <c r="L229" i="58" s="1"/>
  <c r="AI229" i="58"/>
  <c r="J229" i="58" s="1"/>
  <c r="AG229" i="58"/>
  <c r="H229" i="58" s="1"/>
  <c r="AE229" i="58"/>
  <c r="AC229" i="58"/>
  <c r="D229" i="58" s="1"/>
  <c r="AS199" i="58"/>
  <c r="T199" i="58" s="1"/>
  <c r="AQ199" i="58"/>
  <c r="AO199" i="58"/>
  <c r="AM199" i="58"/>
  <c r="N199" i="58" s="1"/>
  <c r="AK199" i="58"/>
  <c r="AI199" i="58"/>
  <c r="AG199" i="58"/>
  <c r="AE199" i="58"/>
  <c r="AC199" i="58"/>
  <c r="D199" i="58" s="1"/>
  <c r="AS169" i="58"/>
  <c r="T169" i="58" s="1"/>
  <c r="AQ169" i="58"/>
  <c r="R169" i="58" s="1"/>
  <c r="AO169" i="58"/>
  <c r="AM169" i="58"/>
  <c r="AK169" i="58"/>
  <c r="L169" i="58" s="1"/>
  <c r="AI169" i="58"/>
  <c r="AG169" i="58"/>
  <c r="H169" i="58" s="1"/>
  <c r="AE169" i="58"/>
  <c r="AC169" i="58"/>
  <c r="D169" i="58" s="1"/>
  <c r="AS139" i="58"/>
  <c r="AQ139" i="58"/>
  <c r="AO139" i="58"/>
  <c r="AM139" i="58"/>
  <c r="AK139" i="58"/>
  <c r="AI139" i="58"/>
  <c r="AG139" i="58"/>
  <c r="AE139" i="58"/>
  <c r="F139" i="58" s="1"/>
  <c r="AC139" i="58"/>
  <c r="D139" i="58" s="1"/>
  <c r="AS109" i="58"/>
  <c r="T109" i="58" s="1"/>
  <c r="AQ109" i="58"/>
  <c r="R109" i="58" s="1"/>
  <c r="AO109" i="58"/>
  <c r="P109" i="58" s="1"/>
  <c r="AM109" i="58"/>
  <c r="N109" i="58" s="1"/>
  <c r="AK109" i="58"/>
  <c r="AI109" i="58"/>
  <c r="AG109" i="58"/>
  <c r="AE109" i="58"/>
  <c r="F109" i="58" s="1"/>
  <c r="AC109" i="58"/>
  <c r="AS79" i="58"/>
  <c r="T79" i="58" s="1"/>
  <c r="AQ79" i="58"/>
  <c r="AO79" i="58"/>
  <c r="AM79" i="58"/>
  <c r="AK79" i="58"/>
  <c r="AI79" i="58"/>
  <c r="J79" i="58" s="1"/>
  <c r="AG79" i="58"/>
  <c r="H79" i="58" s="1"/>
  <c r="AE79" i="58"/>
  <c r="F79" i="58" s="1"/>
  <c r="AC79" i="58"/>
  <c r="AS49" i="58"/>
  <c r="T49" i="58" s="1"/>
  <c r="AQ49" i="58"/>
  <c r="AO49" i="58"/>
  <c r="AM49" i="58"/>
  <c r="AK49" i="58"/>
  <c r="AI49" i="58"/>
  <c r="J49" i="58" s="1"/>
  <c r="AG49" i="58"/>
  <c r="H49" i="58" s="1"/>
  <c r="AE49" i="58"/>
  <c r="AC49" i="58"/>
  <c r="D49" i="58" s="1"/>
  <c r="AS19" i="58"/>
  <c r="T19" i="58" s="1"/>
  <c r="AQ19" i="58"/>
  <c r="R19" i="58" s="1"/>
  <c r="AO19" i="58"/>
  <c r="AM19" i="58"/>
  <c r="N19" i="58" s="1"/>
  <c r="AK19" i="58"/>
  <c r="L19" i="58" s="1"/>
  <c r="AI19" i="58"/>
  <c r="J19" i="58" s="1"/>
  <c r="AG19" i="58"/>
  <c r="H19" i="58" s="1"/>
  <c r="AE19" i="58"/>
  <c r="AC19" i="58"/>
  <c r="AS289" i="57"/>
  <c r="T289" i="57" s="1"/>
  <c r="AQ289" i="57"/>
  <c r="R289" i="57" s="1"/>
  <c r="AO289" i="57"/>
  <c r="P289" i="57" s="1"/>
  <c r="AM289" i="57"/>
  <c r="N289" i="57" s="1"/>
  <c r="AK289" i="57"/>
  <c r="L289" i="57" s="1"/>
  <c r="AI289" i="57"/>
  <c r="J289" i="57" s="1"/>
  <c r="AG289" i="57"/>
  <c r="AE289" i="57"/>
  <c r="F289" i="57" s="1"/>
  <c r="AC289" i="57"/>
  <c r="D289" i="57" s="1"/>
  <c r="AS259" i="57"/>
  <c r="AQ259" i="57"/>
  <c r="R259" i="57" s="1"/>
  <c r="AO259" i="57"/>
  <c r="P259" i="57" s="1"/>
  <c r="AM259" i="57"/>
  <c r="N259" i="57" s="1"/>
  <c r="AK259" i="57"/>
  <c r="AI259" i="57"/>
  <c r="AG259" i="57"/>
  <c r="H259" i="57" s="1"/>
  <c r="AE259" i="57"/>
  <c r="F259" i="57" s="1"/>
  <c r="AC259" i="57"/>
  <c r="D259" i="57" s="1"/>
  <c r="AS229" i="57"/>
  <c r="T229" i="57" s="1"/>
  <c r="AQ229" i="57"/>
  <c r="R229" i="57" s="1"/>
  <c r="AO229" i="57"/>
  <c r="AM229" i="57"/>
  <c r="N229" i="57" s="1"/>
  <c r="AK229" i="57"/>
  <c r="AI229" i="57"/>
  <c r="J229" i="57" s="1"/>
  <c r="AG229" i="57"/>
  <c r="H229" i="57" s="1"/>
  <c r="AE229" i="57"/>
  <c r="F229" i="57" s="1"/>
  <c r="AC229" i="57"/>
  <c r="D229" i="57" s="1"/>
  <c r="AS199" i="57"/>
  <c r="T199" i="57" s="1"/>
  <c r="AQ199" i="57"/>
  <c r="AO199" i="57"/>
  <c r="AM199" i="57"/>
  <c r="AK199" i="57"/>
  <c r="AI199" i="57"/>
  <c r="J199" i="57" s="1"/>
  <c r="AG199" i="57"/>
  <c r="H199" i="57" s="1"/>
  <c r="AE199" i="57"/>
  <c r="F199" i="57" s="1"/>
  <c r="AC199" i="57"/>
  <c r="D199" i="57" s="1"/>
  <c r="AS169" i="57"/>
  <c r="AQ169" i="57"/>
  <c r="AO169" i="57"/>
  <c r="P169" i="57" s="1"/>
  <c r="AM169" i="57"/>
  <c r="N169" i="57" s="1"/>
  <c r="AK169" i="57"/>
  <c r="AI169" i="57"/>
  <c r="AG169" i="57"/>
  <c r="H169" i="57" s="1"/>
  <c r="AE169" i="57"/>
  <c r="F169" i="57" s="1"/>
  <c r="AC169" i="57"/>
  <c r="D169" i="57" s="1"/>
  <c r="AS139" i="57"/>
  <c r="T139" i="57" s="1"/>
  <c r="AQ139" i="57"/>
  <c r="R139" i="57" s="1"/>
  <c r="AO139" i="57"/>
  <c r="AM139" i="57"/>
  <c r="AK139" i="57"/>
  <c r="L139" i="57" s="1"/>
  <c r="AI139" i="57"/>
  <c r="J139" i="57" s="1"/>
  <c r="AG139" i="57"/>
  <c r="AE139" i="57"/>
  <c r="F139" i="57" s="1"/>
  <c r="AC139" i="57"/>
  <c r="D139" i="57" s="1"/>
  <c r="AS109" i="57"/>
  <c r="T109" i="57" s="1"/>
  <c r="AQ109" i="57"/>
  <c r="AO109" i="57"/>
  <c r="AM109" i="57"/>
  <c r="AK109" i="57"/>
  <c r="L109" i="57" s="1"/>
  <c r="AI109" i="57"/>
  <c r="J109" i="57" s="1"/>
  <c r="AG109" i="57"/>
  <c r="H109" i="57" s="1"/>
  <c r="AE109" i="57"/>
  <c r="AC109" i="57"/>
  <c r="AS79" i="57"/>
  <c r="AQ79" i="57"/>
  <c r="R79" i="57" s="1"/>
  <c r="AO79" i="57"/>
  <c r="P79" i="57" s="1"/>
  <c r="AM79" i="57"/>
  <c r="N79" i="57" s="1"/>
  <c r="AK79" i="57"/>
  <c r="L79" i="57" s="1"/>
  <c r="AI79" i="57"/>
  <c r="AG79" i="57"/>
  <c r="H79" i="57" s="1"/>
  <c r="AE79" i="57"/>
  <c r="F79" i="57" s="1"/>
  <c r="AC79" i="57"/>
  <c r="D79" i="57" s="1"/>
  <c r="AS49" i="57"/>
  <c r="T49" i="57" s="1"/>
  <c r="AQ49" i="57"/>
  <c r="R49" i="57" s="1"/>
  <c r="AO49" i="57"/>
  <c r="P49" i="57" s="1"/>
  <c r="AM49" i="57"/>
  <c r="N49" i="57" s="1"/>
  <c r="AK49" i="57"/>
  <c r="AI49" i="57"/>
  <c r="AG49" i="57"/>
  <c r="AE49" i="57"/>
  <c r="F49" i="57" s="1"/>
  <c r="AC49" i="57"/>
  <c r="D49" i="57" s="1"/>
  <c r="AS19" i="57"/>
  <c r="T19" i="57" s="1"/>
  <c r="AQ19" i="57"/>
  <c r="R19" i="57" s="1"/>
  <c r="AO19" i="57"/>
  <c r="P19" i="57" s="1"/>
  <c r="AM19" i="57"/>
  <c r="AK19" i="57"/>
  <c r="AI19" i="57"/>
  <c r="J19" i="57" s="1"/>
  <c r="AG19" i="57"/>
  <c r="H19" i="57" s="1"/>
  <c r="AE19" i="57"/>
  <c r="F19" i="57" s="1"/>
  <c r="AC19" i="57"/>
  <c r="D19" i="57" s="1"/>
  <c r="AS289" i="55"/>
  <c r="T289" i="55" s="1"/>
  <c r="AQ289" i="55"/>
  <c r="R289" i="55" s="1"/>
  <c r="AO289" i="55"/>
  <c r="P289" i="55" s="1"/>
  <c r="AM289" i="55"/>
  <c r="AK289" i="55"/>
  <c r="L289" i="55" s="1"/>
  <c r="AI289" i="55"/>
  <c r="J289" i="55" s="1"/>
  <c r="AG289" i="55"/>
  <c r="H289" i="55" s="1"/>
  <c r="AE289" i="55"/>
  <c r="AC289" i="55"/>
  <c r="D289" i="55" s="1"/>
  <c r="AS259" i="55"/>
  <c r="T259" i="55" s="1"/>
  <c r="AQ259" i="55"/>
  <c r="R259" i="55" s="1"/>
  <c r="AO259" i="55"/>
  <c r="P259" i="55" s="1"/>
  <c r="AM259" i="55"/>
  <c r="N259" i="55" s="1"/>
  <c r="AK259" i="55"/>
  <c r="AI259" i="55"/>
  <c r="J259" i="55" s="1"/>
  <c r="AG259" i="55"/>
  <c r="AE259" i="55"/>
  <c r="AC259" i="55"/>
  <c r="AS229" i="55"/>
  <c r="T229" i="55" s="1"/>
  <c r="AQ229" i="55"/>
  <c r="R229" i="55" s="1"/>
  <c r="AO229" i="55"/>
  <c r="P229" i="55" s="1"/>
  <c r="AM229" i="55"/>
  <c r="N229" i="55" s="1"/>
  <c r="AK229" i="55"/>
  <c r="L229" i="55" s="1"/>
  <c r="AI229" i="55"/>
  <c r="J229" i="55" s="1"/>
  <c r="AG229" i="55"/>
  <c r="H229" i="55" s="1"/>
  <c r="AE229" i="55"/>
  <c r="F229" i="55" s="1"/>
  <c r="AC229" i="55"/>
  <c r="AS199" i="55"/>
  <c r="T199" i="55" s="1"/>
  <c r="AQ199" i="55"/>
  <c r="AO199" i="55"/>
  <c r="AM199" i="55"/>
  <c r="N199" i="55" s="1"/>
  <c r="AK199" i="55"/>
  <c r="L199" i="55" s="1"/>
  <c r="AI199" i="55"/>
  <c r="J199" i="55" s="1"/>
  <c r="AG199" i="55"/>
  <c r="H199" i="55" s="1"/>
  <c r="AE199" i="55"/>
  <c r="AC199" i="55"/>
  <c r="AS169" i="55"/>
  <c r="T169" i="55" s="1"/>
  <c r="AQ169" i="55"/>
  <c r="R169" i="55" s="1"/>
  <c r="AO169" i="55"/>
  <c r="P169" i="55" s="1"/>
  <c r="AM169" i="55"/>
  <c r="AK169" i="55"/>
  <c r="L169" i="55" s="1"/>
  <c r="AI169" i="55"/>
  <c r="J169" i="55" s="1"/>
  <c r="AG169" i="55"/>
  <c r="H169" i="55" s="1"/>
  <c r="AE169" i="55"/>
  <c r="F169" i="55" s="1"/>
  <c r="AC169" i="55"/>
  <c r="AS139" i="55"/>
  <c r="T139" i="55" s="1"/>
  <c r="AQ139" i="55"/>
  <c r="R139" i="55" s="1"/>
  <c r="AO139" i="55"/>
  <c r="P139" i="55" s="1"/>
  <c r="AM139" i="55"/>
  <c r="N139" i="55" s="1"/>
  <c r="AK139" i="55"/>
  <c r="AI139" i="55"/>
  <c r="J139" i="55" s="1"/>
  <c r="AG139" i="55"/>
  <c r="AE139" i="55"/>
  <c r="F139" i="55" s="1"/>
  <c r="AC139" i="55"/>
  <c r="D139" i="55" s="1"/>
  <c r="AS109" i="55"/>
  <c r="T109" i="55" s="1"/>
  <c r="AQ109" i="55"/>
  <c r="AO109" i="55"/>
  <c r="P109" i="55" s="1"/>
  <c r="AM109" i="55"/>
  <c r="N109" i="55" s="1"/>
  <c r="AK109" i="55"/>
  <c r="L109" i="55" s="1"/>
  <c r="AI109" i="55"/>
  <c r="J109" i="55" s="1"/>
  <c r="AG109" i="55"/>
  <c r="H109" i="55" s="1"/>
  <c r="AE109" i="55"/>
  <c r="F109" i="55" s="1"/>
  <c r="AC109" i="55"/>
  <c r="D109" i="55" s="1"/>
  <c r="AS79" i="55"/>
  <c r="T79" i="55" s="1"/>
  <c r="AQ79" i="55"/>
  <c r="R79" i="55" s="1"/>
  <c r="AO79" i="55"/>
  <c r="P79" i="55" s="1"/>
  <c r="AM79" i="55"/>
  <c r="AK79" i="55"/>
  <c r="L79" i="55" s="1"/>
  <c r="AI79" i="55"/>
  <c r="AG79" i="55"/>
  <c r="AE79" i="55"/>
  <c r="AC79" i="55"/>
  <c r="D79" i="55" s="1"/>
  <c r="AS49" i="55"/>
  <c r="T49" i="55" s="1"/>
  <c r="AQ49" i="55"/>
  <c r="R49" i="55" s="1"/>
  <c r="AO49" i="55"/>
  <c r="P49" i="55" s="1"/>
  <c r="AM49" i="55"/>
  <c r="N49" i="55" s="1"/>
  <c r="AK49" i="55"/>
  <c r="L49" i="55" s="1"/>
  <c r="AI49" i="55"/>
  <c r="J49" i="55" s="1"/>
  <c r="AG49" i="55"/>
  <c r="H49" i="55" s="1"/>
  <c r="AE49" i="55"/>
  <c r="AC49" i="55"/>
  <c r="AS19" i="55"/>
  <c r="AQ19" i="55"/>
  <c r="R19" i="55" s="1"/>
  <c r="AO19" i="55"/>
  <c r="P19" i="55" s="1"/>
  <c r="AM19" i="55"/>
  <c r="N19" i="55" s="1"/>
  <c r="AK19" i="55"/>
  <c r="L19" i="55" s="1"/>
  <c r="AI19" i="55"/>
  <c r="J19" i="55" s="1"/>
  <c r="AG19" i="55"/>
  <c r="AE19" i="55"/>
  <c r="F19" i="55" s="1"/>
  <c r="AC19" i="55"/>
  <c r="D19" i="55" s="1"/>
  <c r="AS289" i="53"/>
  <c r="T289" i="53" s="1"/>
  <c r="AQ289" i="53"/>
  <c r="AO289" i="53"/>
  <c r="P289" i="53" s="1"/>
  <c r="AM289" i="53"/>
  <c r="AK289" i="53"/>
  <c r="L289" i="53" s="1"/>
  <c r="AI289" i="53"/>
  <c r="AG289" i="53"/>
  <c r="AE289" i="53"/>
  <c r="F289" i="53" s="1"/>
  <c r="AC289" i="53"/>
  <c r="D289" i="53" s="1"/>
  <c r="AS259" i="53"/>
  <c r="T259" i="53" s="1"/>
  <c r="AQ259" i="53"/>
  <c r="R259" i="53" s="1"/>
  <c r="AO259" i="53"/>
  <c r="P259" i="53" s="1"/>
  <c r="AM259" i="53"/>
  <c r="AK259" i="53"/>
  <c r="AI259" i="53"/>
  <c r="AG259" i="53"/>
  <c r="H259" i="53" s="1"/>
  <c r="AE259" i="53"/>
  <c r="F259" i="53" s="1"/>
  <c r="AC259" i="53"/>
  <c r="AS229" i="53"/>
  <c r="AQ229" i="53"/>
  <c r="R229" i="53" s="1"/>
  <c r="AO229" i="53"/>
  <c r="AM229" i="53"/>
  <c r="N229" i="53" s="1"/>
  <c r="AK229" i="53"/>
  <c r="L229" i="53" s="1"/>
  <c r="AI229" i="53"/>
  <c r="AG229" i="53"/>
  <c r="AE229" i="53"/>
  <c r="F229" i="53" s="1"/>
  <c r="AC229" i="53"/>
  <c r="AS199" i="53"/>
  <c r="T199" i="53" s="1"/>
  <c r="AQ199" i="53"/>
  <c r="AO199" i="53"/>
  <c r="AM199" i="53"/>
  <c r="AK199" i="53"/>
  <c r="AI199" i="53"/>
  <c r="J199" i="53" s="1"/>
  <c r="AG199" i="53"/>
  <c r="AE199" i="53"/>
  <c r="F199" i="53" s="1"/>
  <c r="AC199" i="53"/>
  <c r="D199" i="53" s="1"/>
  <c r="AS169" i="53"/>
  <c r="T169" i="53" s="1"/>
  <c r="AQ169" i="53"/>
  <c r="AO169" i="53"/>
  <c r="AM169" i="53"/>
  <c r="N169" i="53" s="1"/>
  <c r="AK169" i="53"/>
  <c r="AI169" i="53"/>
  <c r="AG169" i="53"/>
  <c r="AE169" i="53"/>
  <c r="F169" i="53" s="1"/>
  <c r="AC169" i="53"/>
  <c r="D169" i="53" s="1"/>
  <c r="AS139" i="53"/>
  <c r="AQ139" i="53"/>
  <c r="AO139" i="53"/>
  <c r="P139" i="53" s="1"/>
  <c r="AM139" i="53"/>
  <c r="AK139" i="53"/>
  <c r="AI139" i="53"/>
  <c r="J139" i="53" s="1"/>
  <c r="AG139" i="53"/>
  <c r="AE139" i="53"/>
  <c r="F139" i="53" s="1"/>
  <c r="AC139" i="53"/>
  <c r="D139" i="53" s="1"/>
  <c r="AS109" i="53"/>
  <c r="AQ109" i="53"/>
  <c r="R109" i="53" s="1"/>
  <c r="AO109" i="53"/>
  <c r="AM109" i="53"/>
  <c r="AK109" i="53"/>
  <c r="AI109" i="53"/>
  <c r="J109" i="53" s="1"/>
  <c r="AG109" i="53"/>
  <c r="H109" i="53" s="1"/>
  <c r="AE109" i="53"/>
  <c r="AC109" i="53"/>
  <c r="D109" i="53" s="1"/>
  <c r="AS79" i="53"/>
  <c r="T79" i="53" s="1"/>
  <c r="AQ79" i="53"/>
  <c r="AO79" i="53"/>
  <c r="AM79" i="53"/>
  <c r="N79" i="53" s="1"/>
  <c r="AK79" i="53"/>
  <c r="L79" i="53" s="1"/>
  <c r="AI79" i="53"/>
  <c r="J79" i="53" s="1"/>
  <c r="AG79" i="53"/>
  <c r="AE79" i="53"/>
  <c r="F79" i="53" s="1"/>
  <c r="AC79" i="53"/>
  <c r="AS49" i="53"/>
  <c r="AQ49" i="53"/>
  <c r="AO49" i="53"/>
  <c r="AM49" i="53"/>
  <c r="AK49" i="53"/>
  <c r="AI49" i="53"/>
  <c r="AG49" i="53"/>
  <c r="AE49" i="53"/>
  <c r="AC49" i="53"/>
  <c r="AS19" i="53"/>
  <c r="AQ19" i="53"/>
  <c r="AO19" i="53"/>
  <c r="AM19" i="53"/>
  <c r="N19" i="53" s="1"/>
  <c r="AK19" i="53"/>
  <c r="AI19" i="53"/>
  <c r="AG19" i="53"/>
  <c r="H19" i="53" s="1"/>
  <c r="AE19" i="53"/>
  <c r="F19" i="53" s="1"/>
  <c r="AC19" i="53"/>
  <c r="AS289" i="52"/>
  <c r="AQ289" i="52"/>
  <c r="R289" i="52" s="1"/>
  <c r="AO289" i="52"/>
  <c r="P289" i="52" s="1"/>
  <c r="AM289" i="52"/>
  <c r="N289" i="52" s="1"/>
  <c r="AK289" i="52"/>
  <c r="L289" i="52" s="1"/>
  <c r="AI289" i="52"/>
  <c r="J289" i="52" s="1"/>
  <c r="AG289" i="52"/>
  <c r="H289" i="52" s="1"/>
  <c r="AE289" i="52"/>
  <c r="F289" i="52" s="1"/>
  <c r="AC289" i="52"/>
  <c r="AS259" i="52"/>
  <c r="T259" i="52" s="1"/>
  <c r="AQ259" i="52"/>
  <c r="R259" i="52" s="1"/>
  <c r="AO259" i="52"/>
  <c r="P259" i="52" s="1"/>
  <c r="AM259" i="52"/>
  <c r="N259" i="52" s="1"/>
  <c r="AK259" i="52"/>
  <c r="AI259" i="52"/>
  <c r="AG259" i="52"/>
  <c r="H259" i="52" s="1"/>
  <c r="AE259" i="52"/>
  <c r="AC259" i="52"/>
  <c r="AS229" i="52"/>
  <c r="T229" i="52" s="1"/>
  <c r="AQ229" i="52"/>
  <c r="R229" i="52" s="1"/>
  <c r="AO229" i="52"/>
  <c r="P229" i="52" s="1"/>
  <c r="AM229" i="52"/>
  <c r="N229" i="52" s="1"/>
  <c r="AK229" i="52"/>
  <c r="L229" i="52" s="1"/>
  <c r="AI229" i="52"/>
  <c r="J229" i="52" s="1"/>
  <c r="AG229" i="52"/>
  <c r="H229" i="52" s="1"/>
  <c r="AE229" i="52"/>
  <c r="F229" i="52" s="1"/>
  <c r="AC229" i="52"/>
  <c r="AS199" i="52"/>
  <c r="T199" i="52" s="1"/>
  <c r="AQ199" i="52"/>
  <c r="AO199" i="52"/>
  <c r="AM199" i="52"/>
  <c r="AK199" i="52"/>
  <c r="L199" i="52" s="1"/>
  <c r="AI199" i="52"/>
  <c r="AG199" i="52"/>
  <c r="H199" i="52" s="1"/>
  <c r="AE199" i="52"/>
  <c r="F199" i="52" s="1"/>
  <c r="AC199" i="52"/>
  <c r="D199" i="52" s="1"/>
  <c r="AS169" i="52"/>
  <c r="T169" i="52" s="1"/>
  <c r="AQ169" i="52"/>
  <c r="R169" i="52" s="1"/>
  <c r="AO169" i="52"/>
  <c r="P169" i="52" s="1"/>
  <c r="AM169" i="52"/>
  <c r="AK169" i="52"/>
  <c r="AI169" i="52"/>
  <c r="J169" i="52" s="1"/>
  <c r="AG169" i="52"/>
  <c r="H169" i="52" s="1"/>
  <c r="AE169" i="52"/>
  <c r="F169" i="52" s="1"/>
  <c r="AC169" i="52"/>
  <c r="D169" i="52" s="1"/>
  <c r="AS139" i="52"/>
  <c r="T139" i="52" s="1"/>
  <c r="AQ139" i="52"/>
  <c r="R139" i="52" s="1"/>
  <c r="AO139" i="52"/>
  <c r="P139" i="52" s="1"/>
  <c r="AM139" i="52"/>
  <c r="N139" i="52" s="1"/>
  <c r="AK139" i="52"/>
  <c r="L139" i="52" s="1"/>
  <c r="AI139" i="52"/>
  <c r="J139" i="52" s="1"/>
  <c r="AG139" i="52"/>
  <c r="AE139" i="52"/>
  <c r="F139" i="52" s="1"/>
  <c r="AC139" i="52"/>
  <c r="D139" i="52" s="1"/>
  <c r="AS109" i="52"/>
  <c r="T109" i="52" s="1"/>
  <c r="AQ109" i="52"/>
  <c r="R109" i="52" s="1"/>
  <c r="AO109" i="52"/>
  <c r="P109" i="52" s="1"/>
  <c r="AM109" i="52"/>
  <c r="N109" i="52" s="1"/>
  <c r="AK109" i="52"/>
  <c r="L109" i="52" s="1"/>
  <c r="AI109" i="52"/>
  <c r="J109" i="52" s="1"/>
  <c r="AG109" i="52"/>
  <c r="H109" i="52" s="1"/>
  <c r="AE109" i="52"/>
  <c r="F109" i="52" s="1"/>
  <c r="AC109" i="52"/>
  <c r="D109" i="52" s="1"/>
  <c r="AS79" i="52"/>
  <c r="T79" i="52" s="1"/>
  <c r="AQ79" i="52"/>
  <c r="R79" i="52" s="1"/>
  <c r="AO79" i="52"/>
  <c r="P79" i="52" s="1"/>
  <c r="AM79" i="52"/>
  <c r="AK79" i="52"/>
  <c r="L79" i="52" s="1"/>
  <c r="AI79" i="52"/>
  <c r="J79" i="52" s="1"/>
  <c r="AG79" i="52"/>
  <c r="AE79" i="52"/>
  <c r="F79" i="52" s="1"/>
  <c r="AC79" i="52"/>
  <c r="AS49" i="52"/>
  <c r="T49" i="52" s="1"/>
  <c r="AQ49" i="52"/>
  <c r="R49" i="52" s="1"/>
  <c r="AO49" i="52"/>
  <c r="P49" i="52" s="1"/>
  <c r="AM49" i="52"/>
  <c r="N49" i="52" s="1"/>
  <c r="AK49" i="52"/>
  <c r="AI49" i="52"/>
  <c r="J49" i="52" s="1"/>
  <c r="AG49" i="52"/>
  <c r="H49" i="52" s="1"/>
  <c r="AE49" i="52"/>
  <c r="F49" i="52" s="1"/>
  <c r="AC49" i="52"/>
  <c r="AS19" i="52"/>
  <c r="T19" i="52" s="1"/>
  <c r="AQ19" i="52"/>
  <c r="R19" i="52" s="1"/>
  <c r="AO19" i="52"/>
  <c r="P19" i="52" s="1"/>
  <c r="AM19" i="52"/>
  <c r="N19" i="52" s="1"/>
  <c r="AK19" i="52"/>
  <c r="L19" i="52" s="1"/>
  <c r="AI19" i="52"/>
  <c r="J19" i="52" s="1"/>
  <c r="AG19" i="52"/>
  <c r="H19" i="52" s="1"/>
  <c r="AE19" i="52"/>
  <c r="F19" i="52" s="1"/>
  <c r="AC19" i="52"/>
  <c r="A1" i="96"/>
  <c r="T22" i="51"/>
  <c r="R22" i="51"/>
  <c r="P22" i="51"/>
  <c r="N22" i="51"/>
  <c r="L22" i="51"/>
  <c r="L23" i="51" s="1"/>
  <c r="J22" i="51"/>
  <c r="H22" i="51"/>
  <c r="H23" i="51" s="1"/>
  <c r="F22" i="51"/>
  <c r="F23" i="51" s="1"/>
  <c r="D22" i="51"/>
  <c r="D23" i="51" s="1"/>
  <c r="T22" i="50"/>
  <c r="R22" i="50"/>
  <c r="R23" i="50" s="1"/>
  <c r="P22" i="50"/>
  <c r="P23" i="50" s="1"/>
  <c r="N22" i="50"/>
  <c r="N23" i="50" s="1"/>
  <c r="L22" i="50"/>
  <c r="L23" i="50" s="1"/>
  <c r="J22" i="50"/>
  <c r="J23" i="50" s="1"/>
  <c r="H22" i="50"/>
  <c r="H23" i="50" s="1"/>
  <c r="F22" i="50"/>
  <c r="F23" i="50" s="1"/>
  <c r="D22" i="50"/>
  <c r="D23" i="50" s="1"/>
  <c r="T22" i="49"/>
  <c r="T23" i="49" s="1"/>
  <c r="R22" i="49"/>
  <c r="P22" i="49"/>
  <c r="P23" i="49" s="1"/>
  <c r="N22" i="49"/>
  <c r="L22" i="49"/>
  <c r="L23" i="49" s="1"/>
  <c r="J22" i="49"/>
  <c r="J23" i="49" s="1"/>
  <c r="H22" i="49"/>
  <c r="H23" i="49" s="1"/>
  <c r="F22" i="49"/>
  <c r="F23" i="49" s="1"/>
  <c r="D22" i="49"/>
  <c r="D23" i="49" s="1"/>
  <c r="T22" i="46"/>
  <c r="T23" i="46" s="1"/>
  <c r="R22" i="46"/>
  <c r="R23" i="46" s="1"/>
  <c r="P22" i="46"/>
  <c r="P23" i="46" s="1"/>
  <c r="N22" i="46"/>
  <c r="N23" i="46" s="1"/>
  <c r="L22" i="46"/>
  <c r="L23" i="46" s="1"/>
  <c r="J22" i="46"/>
  <c r="H22" i="46"/>
  <c r="F22" i="46"/>
  <c r="F23" i="46" s="1"/>
  <c r="D22" i="46"/>
  <c r="T22" i="45"/>
  <c r="T23" i="45" s="1"/>
  <c r="R22" i="45"/>
  <c r="R23" i="45" s="1"/>
  <c r="P22" i="45"/>
  <c r="P23" i="45" s="1"/>
  <c r="N22" i="45"/>
  <c r="N23" i="45" s="1"/>
  <c r="L22" i="45"/>
  <c r="L23" i="45" s="1"/>
  <c r="J22" i="45"/>
  <c r="H22" i="45"/>
  <c r="H23" i="45" s="1"/>
  <c r="F22" i="45"/>
  <c r="F23" i="45" s="1"/>
  <c r="D22" i="45"/>
  <c r="D23" i="45" s="1"/>
  <c r="F262" i="51"/>
  <c r="F233" i="51"/>
  <c r="F204" i="51"/>
  <c r="F175" i="51"/>
  <c r="F146" i="51"/>
  <c r="F117" i="51"/>
  <c r="F88" i="51"/>
  <c r="F59" i="51"/>
  <c r="B31" i="51"/>
  <c r="F30" i="51"/>
  <c r="F262" i="50"/>
  <c r="F233" i="50"/>
  <c r="F204" i="50"/>
  <c r="F175" i="50"/>
  <c r="F146" i="50"/>
  <c r="F117" i="50"/>
  <c r="F88" i="50"/>
  <c r="F59" i="50"/>
  <c r="B31" i="50"/>
  <c r="F30" i="50"/>
  <c r="F262" i="49"/>
  <c r="F233" i="49"/>
  <c r="F204" i="49"/>
  <c r="F175" i="49"/>
  <c r="F146" i="49"/>
  <c r="F117" i="49"/>
  <c r="F88" i="49"/>
  <c r="F59" i="49"/>
  <c r="B31" i="49"/>
  <c r="T51" i="49" s="1"/>
  <c r="T52" i="49" s="1"/>
  <c r="F30" i="49"/>
  <c r="F262" i="46"/>
  <c r="F233" i="46"/>
  <c r="F204" i="46"/>
  <c r="F175" i="46"/>
  <c r="F146" i="46"/>
  <c r="F117" i="46"/>
  <c r="F88" i="46"/>
  <c r="B31" i="46"/>
  <c r="F59" i="46"/>
  <c r="F30" i="46"/>
  <c r="F262" i="45"/>
  <c r="F233" i="45"/>
  <c r="F204" i="45"/>
  <c r="F175" i="45"/>
  <c r="F146" i="45"/>
  <c r="F117" i="45"/>
  <c r="F88" i="45"/>
  <c r="F59" i="45"/>
  <c r="B31" i="45"/>
  <c r="N51" i="45" s="1"/>
  <c r="N52" i="45" s="1"/>
  <c r="F30" i="45"/>
  <c r="F262" i="41"/>
  <c r="F233" i="41"/>
  <c r="F204" i="41"/>
  <c r="F175" i="41"/>
  <c r="F146" i="41"/>
  <c r="F117" i="41"/>
  <c r="F88" i="41"/>
  <c r="F59" i="41"/>
  <c r="B31" i="41"/>
  <c r="F30" i="41"/>
  <c r="W1" i="16"/>
  <c r="AQ1" i="16" s="1"/>
  <c r="BK1" i="16" s="1"/>
  <c r="CE1" i="16" s="1"/>
  <c r="CY1" i="16" s="1"/>
  <c r="B25" i="16"/>
  <c r="B24" i="16"/>
  <c r="B23" i="16"/>
  <c r="B22" i="16"/>
  <c r="B21" i="16"/>
  <c r="B20" i="16"/>
  <c r="B19" i="16"/>
  <c r="B18" i="16"/>
  <c r="B17" i="16"/>
  <c r="B16" i="16"/>
  <c r="E6" i="92"/>
  <c r="E6" i="93"/>
  <c r="E6" i="94"/>
  <c r="E6" i="91"/>
  <c r="E6" i="90"/>
  <c r="E6" i="89"/>
  <c r="C1" i="88"/>
  <c r="C1" i="87"/>
  <c r="C1" i="86"/>
  <c r="C1" i="85"/>
  <c r="C1" i="84"/>
  <c r="C1" i="83"/>
  <c r="C1" i="82"/>
  <c r="C1" i="81"/>
  <c r="C1" i="80"/>
  <c r="C1" i="79"/>
  <c r="C1" i="78"/>
  <c r="AA284" i="57"/>
  <c r="B284" i="57" s="1"/>
  <c r="AA224" i="55"/>
  <c r="B224" i="55" s="1"/>
  <c r="AA220" i="52"/>
  <c r="B220" i="52" s="1"/>
  <c r="AA67" i="57"/>
  <c r="B67" i="57" s="1"/>
  <c r="AA77" i="52"/>
  <c r="B77" i="52" s="1"/>
  <c r="AA196" i="55"/>
  <c r="B196" i="55" s="1"/>
  <c r="AA196" i="53"/>
  <c r="B196" i="53" s="1"/>
  <c r="AA278" i="55"/>
  <c r="B278" i="55" s="1"/>
  <c r="B1" i="71"/>
  <c r="AA16" i="53" s="1"/>
  <c r="B16" i="53" s="1"/>
  <c r="C1" i="71"/>
  <c r="D1" i="71"/>
  <c r="AA101" i="52"/>
  <c r="B101" i="52" s="1"/>
  <c r="AA106" i="58"/>
  <c r="B106" i="58" s="1"/>
  <c r="AA127" i="58"/>
  <c r="B127" i="58" s="1"/>
  <c r="AA218" i="55"/>
  <c r="B218" i="55" s="1"/>
  <c r="AA219" i="55"/>
  <c r="B219" i="55" s="1"/>
  <c r="AA222" i="55"/>
  <c r="B222" i="55" s="1"/>
  <c r="AA225" i="55"/>
  <c r="B225" i="55" s="1"/>
  <c r="AA227" i="55"/>
  <c r="B227" i="55" s="1"/>
  <c r="AA228" i="55"/>
  <c r="B228" i="55" s="1"/>
  <c r="B3" i="41"/>
  <c r="AA71" i="52"/>
  <c r="B71" i="52" s="1"/>
  <c r="AA104" i="53"/>
  <c r="B104" i="53" s="1"/>
  <c r="AA188" i="52"/>
  <c r="B188" i="52" s="1"/>
  <c r="AA221" i="53"/>
  <c r="B221" i="53" s="1"/>
  <c r="AA220" i="59"/>
  <c r="B220" i="59" s="1"/>
  <c r="AA280" i="59"/>
  <c r="B280" i="59" s="1"/>
  <c r="AA70" i="59"/>
  <c r="B70" i="59" s="1"/>
  <c r="AA286" i="59"/>
  <c r="B286" i="59" s="1"/>
  <c r="DI8" i="16"/>
  <c r="DJ8" i="16"/>
  <c r="DK8" i="16"/>
  <c r="AH94" i="59" s="1"/>
  <c r="DL8" i="16"/>
  <c r="DN8" i="16"/>
  <c r="AN94" i="59" s="1"/>
  <c r="DO8" i="16"/>
  <c r="AP94" i="59" s="1"/>
  <c r="DQ8" i="16"/>
  <c r="DI9" i="16"/>
  <c r="AD124" i="59" s="1"/>
  <c r="DJ9" i="16"/>
  <c r="AF124" i="59" s="1"/>
  <c r="DK9" i="16"/>
  <c r="AH124" i="59" s="1"/>
  <c r="DL9" i="16"/>
  <c r="AJ124" i="59" s="1"/>
  <c r="DM9" i="16"/>
  <c r="DN9" i="16"/>
  <c r="AN124" i="59" s="1"/>
  <c r="DP9" i="16"/>
  <c r="DI10" i="16"/>
  <c r="DJ10" i="16"/>
  <c r="AF154" i="59" s="1"/>
  <c r="DK10" i="16"/>
  <c r="DL10" i="16"/>
  <c r="AJ154" i="59" s="1"/>
  <c r="DM10" i="16"/>
  <c r="AL154" i="59" s="1"/>
  <c r="DN10" i="16"/>
  <c r="DO10" i="16"/>
  <c r="DP10" i="16"/>
  <c r="DQ10" i="16"/>
  <c r="DI11" i="16"/>
  <c r="DJ11" i="16"/>
  <c r="AF184" i="59" s="1"/>
  <c r="DM11" i="16"/>
  <c r="AL184" i="59" s="1"/>
  <c r="DN11" i="16"/>
  <c r="AN184" i="59" s="1"/>
  <c r="DO11" i="16"/>
  <c r="AP184" i="59" s="1"/>
  <c r="DP11" i="16"/>
  <c r="AR184" i="59" s="1"/>
  <c r="DQ11" i="16"/>
  <c r="AT184" i="59" s="1"/>
  <c r="DI12" i="16"/>
  <c r="DJ12" i="16"/>
  <c r="DK12" i="16"/>
  <c r="AH214" i="59" s="1"/>
  <c r="DL12" i="16"/>
  <c r="AJ214" i="59" s="1"/>
  <c r="DM12" i="16"/>
  <c r="DP12" i="16"/>
  <c r="DQ12" i="16"/>
  <c r="AT214" i="59" s="1"/>
  <c r="DI13" i="16"/>
  <c r="AD244" i="59" s="1"/>
  <c r="DJ13" i="16"/>
  <c r="DK13" i="16"/>
  <c r="AH244" i="59" s="1"/>
  <c r="DL13" i="16"/>
  <c r="AJ244" i="59" s="1"/>
  <c r="DM13" i="16"/>
  <c r="AL244" i="59" s="1"/>
  <c r="DN13" i="16"/>
  <c r="AN244" i="59" s="1"/>
  <c r="DO13" i="16"/>
  <c r="DQ13" i="16"/>
  <c r="AT244" i="59" s="1"/>
  <c r="DI14" i="16"/>
  <c r="DJ14" i="16"/>
  <c r="AF274" i="59" s="1"/>
  <c r="DK14" i="16"/>
  <c r="AH274" i="59" s="1"/>
  <c r="DL14" i="16"/>
  <c r="AJ274" i="59" s="1"/>
  <c r="DM14" i="16"/>
  <c r="AL274" i="59" s="1"/>
  <c r="DN14" i="16"/>
  <c r="AN274" i="59" s="1"/>
  <c r="DO14" i="16"/>
  <c r="AP274" i="59" s="1"/>
  <c r="DQ14" i="16"/>
  <c r="AT274" i="59" s="1"/>
  <c r="DK7" i="16"/>
  <c r="AH64" i="59" s="1"/>
  <c r="DL7" i="16"/>
  <c r="AJ64" i="59" s="1"/>
  <c r="DM7" i="16"/>
  <c r="DN7" i="16"/>
  <c r="AN64" i="59" s="1"/>
  <c r="DO7" i="16"/>
  <c r="AP64" i="59" s="1"/>
  <c r="DP7" i="16"/>
  <c r="AR64" i="59" s="1"/>
  <c r="DQ7" i="16"/>
  <c r="CO8" i="16"/>
  <c r="AD94" i="58" s="1"/>
  <c r="CP8" i="16"/>
  <c r="CQ8" i="16"/>
  <c r="CR8" i="16"/>
  <c r="AJ94" i="58" s="1"/>
  <c r="CS8" i="16"/>
  <c r="CT8" i="16"/>
  <c r="CU8" i="16"/>
  <c r="AP94" i="58" s="1"/>
  <c r="CV8" i="16"/>
  <c r="AR94" i="58" s="1"/>
  <c r="CW8" i="16"/>
  <c r="AT94" i="58" s="1"/>
  <c r="CO9" i="16"/>
  <c r="CP9" i="16"/>
  <c r="AF124" i="58" s="1"/>
  <c r="CQ9" i="16"/>
  <c r="CR9" i="16"/>
  <c r="AJ124" i="58" s="1"/>
  <c r="CS9" i="16"/>
  <c r="CT9" i="16"/>
  <c r="CU9" i="16"/>
  <c r="CV9" i="16"/>
  <c r="CW9" i="16"/>
  <c r="CO10" i="16"/>
  <c r="CP10" i="16"/>
  <c r="CQ10" i="16"/>
  <c r="CR10" i="16"/>
  <c r="CS10" i="16"/>
  <c r="AL154" i="58" s="1"/>
  <c r="CT10" i="16"/>
  <c r="AN154" i="58" s="1"/>
  <c r="CU10" i="16"/>
  <c r="CV10" i="16"/>
  <c r="CW10" i="16"/>
  <c r="CO11" i="16"/>
  <c r="AD184" i="58"/>
  <c r="CP11" i="16"/>
  <c r="AF184" i="58" s="1"/>
  <c r="CQ11" i="16"/>
  <c r="AH184" i="58" s="1"/>
  <c r="CR11" i="16"/>
  <c r="AJ184" i="58" s="1"/>
  <c r="CS11" i="16"/>
  <c r="AL184" i="58" s="1"/>
  <c r="CT11" i="16"/>
  <c r="CU11" i="16"/>
  <c r="AP184" i="58" s="1"/>
  <c r="CV11" i="16"/>
  <c r="AR184" i="58" s="1"/>
  <c r="CW11" i="16"/>
  <c r="AT184" i="58" s="1"/>
  <c r="CO12" i="16"/>
  <c r="CP12" i="16"/>
  <c r="AF214" i="58" s="1"/>
  <c r="CQ12" i="16"/>
  <c r="AH214" i="58" s="1"/>
  <c r="CR12" i="16"/>
  <c r="AJ214" i="58" s="1"/>
  <c r="CS12" i="16"/>
  <c r="AL214" i="58" s="1"/>
  <c r="CT12" i="16"/>
  <c r="AN214" i="58" s="1"/>
  <c r="CU12" i="16"/>
  <c r="CV12" i="16"/>
  <c r="AR214" i="58" s="1"/>
  <c r="CW12" i="16"/>
  <c r="AT214" i="58" s="1"/>
  <c r="CO13" i="16"/>
  <c r="CP13" i="16"/>
  <c r="AF244" i="58" s="1"/>
  <c r="CQ13" i="16"/>
  <c r="CR13" i="16"/>
  <c r="AJ244" i="58" s="1"/>
  <c r="CS13" i="16"/>
  <c r="AL244" i="58" s="1"/>
  <c r="CT13" i="16"/>
  <c r="AN244" i="58" s="1"/>
  <c r="CU13" i="16"/>
  <c r="AP244" i="58" s="1"/>
  <c r="CV13" i="16"/>
  <c r="AR244" i="58" s="1"/>
  <c r="CW13" i="16"/>
  <c r="AT244" i="58" s="1"/>
  <c r="CO14" i="16"/>
  <c r="CP14" i="16"/>
  <c r="AF274" i="58" s="1"/>
  <c r="CQ14" i="16"/>
  <c r="CR14" i="16"/>
  <c r="AJ274" i="58" s="1"/>
  <c r="CS14" i="16"/>
  <c r="CT14" i="16"/>
  <c r="AN274" i="58" s="1"/>
  <c r="CU14" i="16"/>
  <c r="CV14" i="16"/>
  <c r="AR274" i="58" s="1"/>
  <c r="CW14" i="16"/>
  <c r="CP7" i="16"/>
  <c r="AF64" i="58" s="1"/>
  <c r="CQ7" i="16"/>
  <c r="CR7" i="16"/>
  <c r="AJ64" i="58" s="1"/>
  <c r="CS7" i="16"/>
  <c r="AL64" i="58" s="1"/>
  <c r="CT7" i="16"/>
  <c r="CU7" i="16"/>
  <c r="AP64" i="58" s="1"/>
  <c r="CV7" i="16"/>
  <c r="CW7" i="16"/>
  <c r="CO7" i="16"/>
  <c r="BX6" i="16"/>
  <c r="AJ34" i="57" s="1"/>
  <c r="CA13" i="16"/>
  <c r="AP244" i="57" s="1"/>
  <c r="BC6" i="16"/>
  <c r="AH34" i="55" s="1"/>
  <c r="BD6" i="16"/>
  <c r="AJ34" i="55" s="1"/>
  <c r="BH6" i="16"/>
  <c r="AR34" i="55" s="1"/>
  <c r="BI6" i="16"/>
  <c r="BA7" i="16"/>
  <c r="BC8" i="16"/>
  <c r="AH94" i="55" s="1"/>
  <c r="BI8" i="16"/>
  <c r="AT94" i="55" s="1"/>
  <c r="BD9" i="16"/>
  <c r="AJ124" i="55" s="1"/>
  <c r="BF9" i="16"/>
  <c r="AN124" i="55" s="1"/>
  <c r="BG10" i="16"/>
  <c r="BH10" i="16"/>
  <c r="AR154" i="55" s="1"/>
  <c r="BG11" i="16"/>
  <c r="AP184" i="55" s="1"/>
  <c r="BA12" i="16"/>
  <c r="BB12" i="16"/>
  <c r="AF214" i="55" s="1"/>
  <c r="BE12" i="16"/>
  <c r="BC13" i="16"/>
  <c r="AH244" i="55" s="1"/>
  <c r="BI13" i="16"/>
  <c r="AT244" i="55" s="1"/>
  <c r="BE14" i="16"/>
  <c r="AL274" i="55" s="1"/>
  <c r="BF14" i="16"/>
  <c r="AN274" i="55" s="1"/>
  <c r="BI14" i="16"/>
  <c r="AT274" i="55" s="1"/>
  <c r="AM6" i="16"/>
  <c r="AP34" i="53" s="1"/>
  <c r="AA288" i="59"/>
  <c r="B288" i="59" s="1"/>
  <c r="AA287" i="59"/>
  <c r="B287" i="59" s="1"/>
  <c r="AA285" i="59"/>
  <c r="B285" i="59" s="1"/>
  <c r="AA284" i="59"/>
  <c r="B284" i="59" s="1"/>
  <c r="AA283" i="59"/>
  <c r="B283" i="59" s="1"/>
  <c r="AA282" i="59"/>
  <c r="B282" i="59" s="1"/>
  <c r="AA281" i="59"/>
  <c r="B281" i="59" s="1"/>
  <c r="AA279" i="59"/>
  <c r="B279" i="59" s="1"/>
  <c r="AA278" i="59"/>
  <c r="B278" i="59" s="1"/>
  <c r="AA277" i="59"/>
  <c r="B277" i="59" s="1"/>
  <c r="AA273" i="59"/>
  <c r="BU277" i="59" s="1"/>
  <c r="BU278" i="59" s="1"/>
  <c r="BU279" i="59" s="1"/>
  <c r="BU280" i="59" s="1"/>
  <c r="BU281" i="59" s="1"/>
  <c r="BU282" i="59" s="1"/>
  <c r="BU283" i="59" s="1"/>
  <c r="BU284" i="59" s="1"/>
  <c r="BU285" i="59" s="1"/>
  <c r="BU286" i="59" s="1"/>
  <c r="BU287" i="59" s="1"/>
  <c r="BU288" i="59" s="1"/>
  <c r="AA258" i="59"/>
  <c r="B258" i="59" s="1"/>
  <c r="AA257" i="59"/>
  <c r="B257" i="59" s="1"/>
  <c r="AA255" i="59"/>
  <c r="B255" i="59" s="1"/>
  <c r="AA253" i="59"/>
  <c r="B253" i="59" s="1"/>
  <c r="AA252" i="59"/>
  <c r="B252" i="59" s="1"/>
  <c r="AA251" i="59"/>
  <c r="B251" i="59" s="1"/>
  <c r="AA249" i="59"/>
  <c r="B249" i="59" s="1"/>
  <c r="AA248" i="59"/>
  <c r="B248" i="59" s="1"/>
  <c r="AA247" i="59"/>
  <c r="B247" i="59" s="1"/>
  <c r="AA243" i="59"/>
  <c r="BU247" i="59" s="1"/>
  <c r="BU248" i="59" s="1"/>
  <c r="BU249" i="59" s="1"/>
  <c r="BU250" i="59" s="1"/>
  <c r="BU251" i="59" s="1"/>
  <c r="BU252" i="59" s="1"/>
  <c r="BU253" i="59" s="1"/>
  <c r="BU254" i="59" s="1"/>
  <c r="BU255" i="59" s="1"/>
  <c r="BU256" i="59" s="1"/>
  <c r="BU257" i="59" s="1"/>
  <c r="BU258" i="59" s="1"/>
  <c r="AA228" i="59"/>
  <c r="B228" i="59" s="1"/>
  <c r="AA227" i="59"/>
  <c r="B227" i="59" s="1"/>
  <c r="AA226" i="59"/>
  <c r="B226" i="59" s="1"/>
  <c r="AA225" i="59"/>
  <c r="B225" i="59" s="1"/>
  <c r="AA224" i="59"/>
  <c r="B224" i="59" s="1"/>
  <c r="AA223" i="59"/>
  <c r="B223" i="59" s="1"/>
  <c r="AA222" i="59"/>
  <c r="B222" i="59" s="1"/>
  <c r="AA221" i="59"/>
  <c r="B221" i="59" s="1"/>
  <c r="AA219" i="59"/>
  <c r="B219" i="59" s="1"/>
  <c r="AA218" i="59"/>
  <c r="B218" i="59" s="1"/>
  <c r="AA213" i="59"/>
  <c r="BU217" i="59" s="1"/>
  <c r="BU218" i="59" s="1"/>
  <c r="BU219" i="59" s="1"/>
  <c r="BU220" i="59" s="1"/>
  <c r="BU221" i="59" s="1"/>
  <c r="BU222" i="59" s="1"/>
  <c r="BU223" i="59" s="1"/>
  <c r="BU224" i="59" s="1"/>
  <c r="BU225" i="59" s="1"/>
  <c r="BU226" i="59" s="1"/>
  <c r="BU227" i="59" s="1"/>
  <c r="BU228" i="59" s="1"/>
  <c r="AA198" i="59"/>
  <c r="B198" i="59" s="1"/>
  <c r="AA197" i="59"/>
  <c r="B197" i="59" s="1"/>
  <c r="AA196" i="59"/>
  <c r="B196" i="59" s="1"/>
  <c r="AA195" i="59"/>
  <c r="B195" i="59" s="1"/>
  <c r="AA194" i="59"/>
  <c r="B194" i="59" s="1"/>
  <c r="AA193" i="59"/>
  <c r="B193" i="59" s="1"/>
  <c r="AA192" i="59"/>
  <c r="B192" i="59" s="1"/>
  <c r="AA191" i="59"/>
  <c r="B191" i="59" s="1"/>
  <c r="AA190" i="59"/>
  <c r="B190" i="59" s="1"/>
  <c r="AA189" i="59"/>
  <c r="B189" i="59" s="1"/>
  <c r="AA188" i="59"/>
  <c r="B188" i="59" s="1"/>
  <c r="AA183" i="59"/>
  <c r="BU187" i="59" s="1"/>
  <c r="BU188" i="59" s="1"/>
  <c r="BU189" i="59" s="1"/>
  <c r="BU190" i="59" s="1"/>
  <c r="BU191" i="59" s="1"/>
  <c r="BU192" i="59" s="1"/>
  <c r="BU193" i="59" s="1"/>
  <c r="BU194" i="59" s="1"/>
  <c r="BU195" i="59" s="1"/>
  <c r="BU196" i="59" s="1"/>
  <c r="BU197" i="59" s="1"/>
  <c r="BU198" i="59" s="1"/>
  <c r="AA168" i="59"/>
  <c r="B168" i="59" s="1"/>
  <c r="AA167" i="59"/>
  <c r="B167" i="59" s="1"/>
  <c r="AA166" i="59"/>
  <c r="B166" i="59" s="1"/>
  <c r="AA165" i="59"/>
  <c r="B165" i="59" s="1"/>
  <c r="AA164" i="59"/>
  <c r="B164" i="59" s="1"/>
  <c r="AA163" i="59"/>
  <c r="B163" i="59" s="1"/>
  <c r="AA162" i="59"/>
  <c r="B162" i="59" s="1"/>
  <c r="AA161" i="59"/>
  <c r="B161" i="59" s="1"/>
  <c r="AA160" i="59"/>
  <c r="B160" i="59" s="1"/>
  <c r="AA159" i="59"/>
  <c r="B159" i="59" s="1"/>
  <c r="AA158" i="59"/>
  <c r="B158" i="59" s="1"/>
  <c r="AA157" i="59"/>
  <c r="B157" i="59" s="1"/>
  <c r="AA153" i="59"/>
  <c r="BU157" i="59" s="1"/>
  <c r="BU158" i="59" s="1"/>
  <c r="BU159" i="59" s="1"/>
  <c r="BU160" i="59" s="1"/>
  <c r="BU161" i="59" s="1"/>
  <c r="BU162" i="59" s="1"/>
  <c r="BU163" i="59" s="1"/>
  <c r="BU164" i="59" s="1"/>
  <c r="BU165" i="59" s="1"/>
  <c r="BU166" i="59" s="1"/>
  <c r="BU167" i="59" s="1"/>
  <c r="BU168" i="59" s="1"/>
  <c r="AA138" i="59"/>
  <c r="B138" i="59" s="1"/>
  <c r="AA137" i="59"/>
  <c r="B137" i="59" s="1"/>
  <c r="AA136" i="59"/>
  <c r="B136" i="59" s="1"/>
  <c r="AA135" i="59"/>
  <c r="B135" i="59" s="1"/>
  <c r="AA134" i="59"/>
  <c r="B134" i="59" s="1"/>
  <c r="AA133" i="59"/>
  <c r="B133" i="59" s="1"/>
  <c r="AA132" i="59"/>
  <c r="B132" i="59" s="1"/>
  <c r="AA131" i="59"/>
  <c r="B131" i="59" s="1"/>
  <c r="AA130" i="59"/>
  <c r="B130" i="59" s="1"/>
  <c r="AA129" i="59"/>
  <c r="B129" i="59" s="1"/>
  <c r="AA128" i="59"/>
  <c r="B128" i="59" s="1"/>
  <c r="AA127" i="59"/>
  <c r="B127" i="59" s="1"/>
  <c r="AA123" i="59"/>
  <c r="BU127" i="59" s="1"/>
  <c r="BU128" i="59" s="1"/>
  <c r="BU129" i="59" s="1"/>
  <c r="BU130" i="59" s="1"/>
  <c r="BU131" i="59" s="1"/>
  <c r="BU132" i="59" s="1"/>
  <c r="BU133" i="59" s="1"/>
  <c r="BU134" i="59" s="1"/>
  <c r="BU135" i="59" s="1"/>
  <c r="BU136" i="59" s="1"/>
  <c r="BU137" i="59" s="1"/>
  <c r="BU138" i="59" s="1"/>
  <c r="AA108" i="59"/>
  <c r="B108" i="59" s="1"/>
  <c r="AA107" i="59"/>
  <c r="B107" i="59" s="1"/>
  <c r="AA106" i="59"/>
  <c r="B106" i="59" s="1"/>
  <c r="AA105" i="59"/>
  <c r="B105" i="59" s="1"/>
  <c r="AA104" i="59"/>
  <c r="B104" i="59" s="1"/>
  <c r="AA103" i="59"/>
  <c r="B103" i="59" s="1"/>
  <c r="AA102" i="59"/>
  <c r="B102" i="59" s="1"/>
  <c r="AA101" i="59"/>
  <c r="B101" i="59" s="1"/>
  <c r="AA100" i="59"/>
  <c r="B100" i="59" s="1"/>
  <c r="AA99" i="59"/>
  <c r="B99" i="59" s="1"/>
  <c r="AA98" i="59"/>
  <c r="B98" i="59" s="1"/>
  <c r="AA97" i="59"/>
  <c r="B97" i="59" s="1"/>
  <c r="AA93" i="59"/>
  <c r="BU97" i="59" s="1"/>
  <c r="BU98" i="59" s="1"/>
  <c r="BU99" i="59" s="1"/>
  <c r="BU100" i="59" s="1"/>
  <c r="BU101" i="59" s="1"/>
  <c r="BU102" i="59" s="1"/>
  <c r="BU103" i="59" s="1"/>
  <c r="BU104" i="59" s="1"/>
  <c r="BU105" i="59" s="1"/>
  <c r="BU106" i="59" s="1"/>
  <c r="BU107" i="59" s="1"/>
  <c r="BU108" i="59" s="1"/>
  <c r="AA78" i="59"/>
  <c r="B78" i="59" s="1"/>
  <c r="AA77" i="59"/>
  <c r="B77" i="59" s="1"/>
  <c r="AA76" i="59"/>
  <c r="B76" i="59" s="1"/>
  <c r="AA75" i="59"/>
  <c r="AA74" i="59"/>
  <c r="B74" i="59" s="1"/>
  <c r="AA73" i="59"/>
  <c r="B73" i="59" s="1"/>
  <c r="AA72" i="59"/>
  <c r="B72" i="59" s="1"/>
  <c r="AA71" i="59"/>
  <c r="B71" i="59" s="1"/>
  <c r="AA69" i="59"/>
  <c r="B69" i="59" s="1"/>
  <c r="AA68" i="59"/>
  <c r="B68" i="59" s="1"/>
  <c r="AA67" i="59"/>
  <c r="B67" i="59" s="1"/>
  <c r="AA63" i="59"/>
  <c r="BU67" i="59" s="1"/>
  <c r="BU68" i="59" s="1"/>
  <c r="BU69" i="59" s="1"/>
  <c r="BU70" i="59" s="1"/>
  <c r="BU71" i="59" s="1"/>
  <c r="BU72" i="59" s="1"/>
  <c r="BU73" i="59" s="1"/>
  <c r="BU74" i="59" s="1"/>
  <c r="BU75" i="59" s="1"/>
  <c r="BU76" i="59" s="1"/>
  <c r="BU77" i="59" s="1"/>
  <c r="BU78" i="59" s="1"/>
  <c r="AA48" i="59"/>
  <c r="B48" i="59" s="1"/>
  <c r="AA46" i="59"/>
  <c r="AA45" i="59"/>
  <c r="B45" i="59" s="1"/>
  <c r="AA44" i="59"/>
  <c r="B44" i="59" s="1"/>
  <c r="AA43" i="59"/>
  <c r="B43" i="59" s="1"/>
  <c r="AA42" i="59"/>
  <c r="B42" i="59" s="1"/>
  <c r="AA41" i="59"/>
  <c r="B41" i="59" s="1"/>
  <c r="AA40" i="59"/>
  <c r="B40" i="59" s="1"/>
  <c r="AA39" i="59"/>
  <c r="B39" i="59" s="1"/>
  <c r="AA38" i="59"/>
  <c r="B38" i="59" s="1"/>
  <c r="AA37" i="59"/>
  <c r="B37" i="59" s="1"/>
  <c r="AA33" i="59"/>
  <c r="BU37" i="59" s="1"/>
  <c r="BU38" i="59" s="1"/>
  <c r="BU39" i="59" s="1"/>
  <c r="BU40" i="59" s="1"/>
  <c r="BU41" i="59" s="1"/>
  <c r="BU42" i="59" s="1"/>
  <c r="BU43" i="59" s="1"/>
  <c r="BU44" i="59" s="1"/>
  <c r="BU45" i="59" s="1"/>
  <c r="BU46" i="59" s="1"/>
  <c r="BU47" i="59" s="1"/>
  <c r="BU48" i="59" s="1"/>
  <c r="AA18" i="59"/>
  <c r="B18" i="59" s="1"/>
  <c r="AA17" i="59"/>
  <c r="B17" i="59" s="1"/>
  <c r="AA16" i="59"/>
  <c r="B16" i="59" s="1"/>
  <c r="AA15" i="59"/>
  <c r="B15" i="59" s="1"/>
  <c r="AA14" i="59"/>
  <c r="B14" i="59" s="1"/>
  <c r="AA13" i="59"/>
  <c r="B13" i="59" s="1"/>
  <c r="AA12" i="59"/>
  <c r="B12" i="59" s="1"/>
  <c r="AA11" i="59"/>
  <c r="AA10" i="59"/>
  <c r="B10" i="59" s="1"/>
  <c r="AA9" i="59"/>
  <c r="B9" i="59" s="1"/>
  <c r="AA8" i="59"/>
  <c r="B8" i="59" s="1"/>
  <c r="AA7" i="59"/>
  <c r="AA288" i="58"/>
  <c r="B288" i="58" s="1"/>
  <c r="AA287" i="58"/>
  <c r="B287" i="58" s="1"/>
  <c r="AA285" i="58"/>
  <c r="B285" i="58" s="1"/>
  <c r="AA282" i="58"/>
  <c r="B282" i="58" s="1"/>
  <c r="AA281" i="58"/>
  <c r="B281" i="58" s="1"/>
  <c r="AA273" i="58"/>
  <c r="BU277" i="58" s="1"/>
  <c r="BU278" i="58" s="1"/>
  <c r="BU279" i="58" s="1"/>
  <c r="BU280" i="58" s="1"/>
  <c r="BU281" i="58" s="1"/>
  <c r="BU282" i="58" s="1"/>
  <c r="BU283" i="58" s="1"/>
  <c r="BU284" i="58" s="1"/>
  <c r="BU285" i="58" s="1"/>
  <c r="BU286" i="58" s="1"/>
  <c r="BU287" i="58" s="1"/>
  <c r="BU288" i="58" s="1"/>
  <c r="AA258" i="58"/>
  <c r="B258" i="58" s="1"/>
  <c r="AA257" i="58"/>
  <c r="B257" i="58" s="1"/>
  <c r="AA255" i="58"/>
  <c r="B255" i="58" s="1"/>
  <c r="AA252" i="58"/>
  <c r="B252" i="58" s="1"/>
  <c r="AA251" i="58"/>
  <c r="B251" i="58" s="1"/>
  <c r="AA249" i="58"/>
  <c r="B249" i="58" s="1"/>
  <c r="AA248" i="58"/>
  <c r="B248" i="58" s="1"/>
  <c r="AA243" i="58"/>
  <c r="BU247" i="58" s="1"/>
  <c r="BU248" i="58" s="1"/>
  <c r="BU249" i="58" s="1"/>
  <c r="BU250" i="58" s="1"/>
  <c r="BU251" i="58" s="1"/>
  <c r="BU252" i="58" s="1"/>
  <c r="BU253" i="58" s="1"/>
  <c r="BU254" i="58" s="1"/>
  <c r="BU255" i="58" s="1"/>
  <c r="BU256" i="58" s="1"/>
  <c r="BU257" i="58" s="1"/>
  <c r="BU258" i="58" s="1"/>
  <c r="AA228" i="58"/>
  <c r="B228" i="58" s="1"/>
  <c r="AA227" i="58"/>
  <c r="B227" i="58" s="1"/>
  <c r="AA225" i="58"/>
  <c r="B225" i="58" s="1"/>
  <c r="AA224" i="58"/>
  <c r="B224" i="58" s="1"/>
  <c r="AA223" i="58"/>
  <c r="B223" i="58" s="1"/>
  <c r="AA222" i="58"/>
  <c r="B222" i="58" s="1"/>
  <c r="AA221" i="58"/>
  <c r="B221" i="58" s="1"/>
  <c r="AA219" i="58"/>
  <c r="B219" i="58" s="1"/>
  <c r="AA218" i="58"/>
  <c r="B218" i="58" s="1"/>
  <c r="AA213" i="58"/>
  <c r="BU217" i="58" s="1"/>
  <c r="BU218" i="58" s="1"/>
  <c r="BU219" i="58" s="1"/>
  <c r="BU220" i="58" s="1"/>
  <c r="BU221" i="58" s="1"/>
  <c r="BU222" i="58" s="1"/>
  <c r="BU223" i="58" s="1"/>
  <c r="BU224" i="58" s="1"/>
  <c r="BU225" i="58" s="1"/>
  <c r="BU226" i="58" s="1"/>
  <c r="BU227" i="58" s="1"/>
  <c r="BU228" i="58" s="1"/>
  <c r="AA198" i="58"/>
  <c r="B198" i="58" s="1"/>
  <c r="AA197" i="58"/>
  <c r="B197" i="58" s="1"/>
  <c r="AA196" i="58"/>
  <c r="B196" i="58" s="1"/>
  <c r="AA195" i="58"/>
  <c r="B195" i="58" s="1"/>
  <c r="AA194" i="58"/>
  <c r="B194" i="58" s="1"/>
  <c r="AA192" i="58"/>
  <c r="B192" i="58" s="1"/>
  <c r="AA191" i="58"/>
  <c r="B191" i="58" s="1"/>
  <c r="AA189" i="58"/>
  <c r="B189" i="58" s="1"/>
  <c r="AA188" i="58"/>
  <c r="B188" i="58" s="1"/>
  <c r="AA183" i="58"/>
  <c r="BU187" i="58" s="1"/>
  <c r="BU188" i="58" s="1"/>
  <c r="BU189" i="58" s="1"/>
  <c r="BU190" i="58" s="1"/>
  <c r="BU191" i="58" s="1"/>
  <c r="BU192" i="58" s="1"/>
  <c r="BU193" i="58" s="1"/>
  <c r="BU194" i="58" s="1"/>
  <c r="BU195" i="58" s="1"/>
  <c r="BU196" i="58" s="1"/>
  <c r="BU197" i="58" s="1"/>
  <c r="BU198" i="58" s="1"/>
  <c r="AA168" i="58"/>
  <c r="B168" i="58" s="1"/>
  <c r="AA167" i="58"/>
  <c r="B167" i="58" s="1"/>
  <c r="AA166" i="58"/>
  <c r="B166" i="58" s="1"/>
  <c r="AA165" i="58"/>
  <c r="B165" i="58" s="1"/>
  <c r="AA164" i="58"/>
  <c r="B164" i="58" s="1"/>
  <c r="AA162" i="58"/>
  <c r="B162" i="58" s="1"/>
  <c r="AA161" i="58"/>
  <c r="B161" i="58" s="1"/>
  <c r="AA159" i="58"/>
  <c r="B159" i="58" s="1"/>
  <c r="AA158" i="58"/>
  <c r="B158" i="58" s="1"/>
  <c r="AA153" i="58"/>
  <c r="AA138" i="58"/>
  <c r="B138" i="58" s="1"/>
  <c r="AA137" i="58"/>
  <c r="B137" i="58" s="1"/>
  <c r="AA135" i="58"/>
  <c r="B135" i="58" s="1"/>
  <c r="AA131" i="58"/>
  <c r="B131" i="58" s="1"/>
  <c r="AA129" i="58"/>
  <c r="B129" i="58" s="1"/>
  <c r="AA128" i="58"/>
  <c r="B128" i="58" s="1"/>
  <c r="AA123" i="58"/>
  <c r="BU127" i="58" s="1"/>
  <c r="BU128" i="58" s="1"/>
  <c r="BU129" i="58" s="1"/>
  <c r="BU130" i="58" s="1"/>
  <c r="BU131" i="58" s="1"/>
  <c r="BU132" i="58" s="1"/>
  <c r="BU133" i="58" s="1"/>
  <c r="BU134" i="58" s="1"/>
  <c r="BU135" i="58" s="1"/>
  <c r="BU136" i="58" s="1"/>
  <c r="BU137" i="58" s="1"/>
  <c r="BU138" i="58" s="1"/>
  <c r="AA108" i="58"/>
  <c r="B108" i="58" s="1"/>
  <c r="AA105" i="58"/>
  <c r="B105" i="58" s="1"/>
  <c r="AA102" i="58"/>
  <c r="B102" i="58" s="1"/>
  <c r="AA101" i="58"/>
  <c r="B101" i="58" s="1"/>
  <c r="AA99" i="58"/>
  <c r="B99" i="58" s="1"/>
  <c r="AA93" i="58"/>
  <c r="BU97" i="58" s="1"/>
  <c r="BU98" i="58" s="1"/>
  <c r="BU99" i="58" s="1"/>
  <c r="BU100" i="58" s="1"/>
  <c r="BU101" i="58" s="1"/>
  <c r="BU102" i="58" s="1"/>
  <c r="BU103" i="58" s="1"/>
  <c r="BU104" i="58" s="1"/>
  <c r="BU105" i="58" s="1"/>
  <c r="BU106" i="58" s="1"/>
  <c r="BU107" i="58" s="1"/>
  <c r="BU108" i="58" s="1"/>
  <c r="AA78" i="58"/>
  <c r="B78" i="58" s="1"/>
  <c r="AA77" i="58"/>
  <c r="B77" i="58" s="1"/>
  <c r="AA75" i="58"/>
  <c r="B75" i="58" s="1"/>
  <c r="AA73" i="58"/>
  <c r="B73" i="58" s="1"/>
  <c r="AA72" i="58"/>
  <c r="B72" i="58" s="1"/>
  <c r="AA71" i="58"/>
  <c r="B71" i="58" s="1"/>
  <c r="AA69" i="58"/>
  <c r="B69" i="58" s="1"/>
  <c r="AA68" i="58"/>
  <c r="B68" i="58" s="1"/>
  <c r="AA67" i="58"/>
  <c r="B67" i="58" s="1"/>
  <c r="AA63" i="58"/>
  <c r="BU67" i="58" s="1"/>
  <c r="BU68" i="58" s="1"/>
  <c r="BU69" i="58" s="1"/>
  <c r="BU70" i="58" s="1"/>
  <c r="BU71" i="58" s="1"/>
  <c r="BU72" i="58" s="1"/>
  <c r="BU73" i="58" s="1"/>
  <c r="BU74" i="58" s="1"/>
  <c r="BU75" i="58" s="1"/>
  <c r="BU76" i="58" s="1"/>
  <c r="BU77" i="58" s="1"/>
  <c r="BU78" i="58" s="1"/>
  <c r="AA48" i="58"/>
  <c r="B48" i="58" s="1"/>
  <c r="AA47" i="58"/>
  <c r="B47" i="58" s="1"/>
  <c r="AA46" i="58"/>
  <c r="B46" i="58" s="1"/>
  <c r="AA45" i="58"/>
  <c r="B45" i="58" s="1"/>
  <c r="AA44" i="58"/>
  <c r="B44" i="58" s="1"/>
  <c r="AA43" i="58"/>
  <c r="B43" i="58" s="1"/>
  <c r="AA42" i="58"/>
  <c r="B42" i="58" s="1"/>
  <c r="AA41" i="58"/>
  <c r="AA39" i="58"/>
  <c r="B39" i="58" s="1"/>
  <c r="AA38" i="58"/>
  <c r="B38" i="58" s="1"/>
  <c r="AA37" i="58"/>
  <c r="B37" i="58" s="1"/>
  <c r="AA33" i="58"/>
  <c r="BU37" i="58" s="1"/>
  <c r="BU38" i="58" s="1"/>
  <c r="BU39" i="58" s="1"/>
  <c r="BU40" i="58" s="1"/>
  <c r="BU41" i="58" s="1"/>
  <c r="BU42" i="58" s="1"/>
  <c r="BU43" i="58" s="1"/>
  <c r="BU44" i="58" s="1"/>
  <c r="BU45" i="58" s="1"/>
  <c r="BU46" i="58" s="1"/>
  <c r="BU47" i="58" s="1"/>
  <c r="BU48" i="58" s="1"/>
  <c r="AA18" i="58"/>
  <c r="B18" i="58" s="1"/>
  <c r="AA16" i="58"/>
  <c r="B16" i="58" s="1"/>
  <c r="AA15" i="58"/>
  <c r="B15" i="58" s="1"/>
  <c r="AA12" i="58"/>
  <c r="B12" i="58" s="1"/>
  <c r="AA10" i="58"/>
  <c r="B10" i="58" s="1"/>
  <c r="AA9" i="58"/>
  <c r="AA8" i="58"/>
  <c r="B8" i="58" s="1"/>
  <c r="AA7" i="58"/>
  <c r="AA288" i="57"/>
  <c r="B288" i="57" s="1"/>
  <c r="AA287" i="57"/>
  <c r="B287" i="57" s="1"/>
  <c r="AA285" i="57"/>
  <c r="B285" i="57" s="1"/>
  <c r="AA282" i="57"/>
  <c r="B282" i="57" s="1"/>
  <c r="AA281" i="57"/>
  <c r="B281" i="57" s="1"/>
  <c r="AA279" i="57"/>
  <c r="B279" i="57" s="1"/>
  <c r="AA273" i="57"/>
  <c r="BU277" i="57" s="1"/>
  <c r="BU278" i="57" s="1"/>
  <c r="BU279" i="57" s="1"/>
  <c r="BU280" i="57" s="1"/>
  <c r="BU281" i="57" s="1"/>
  <c r="BU282" i="57" s="1"/>
  <c r="BU283" i="57" s="1"/>
  <c r="BU284" i="57" s="1"/>
  <c r="BU285" i="57" s="1"/>
  <c r="BU286" i="57" s="1"/>
  <c r="BU287" i="57" s="1"/>
  <c r="BU288" i="57" s="1"/>
  <c r="AA258" i="57"/>
  <c r="B258" i="57" s="1"/>
  <c r="AA257" i="57"/>
  <c r="B257" i="57" s="1"/>
  <c r="AA255" i="57"/>
  <c r="B255" i="57" s="1"/>
  <c r="AA252" i="57"/>
  <c r="B252" i="57" s="1"/>
  <c r="AA249" i="57"/>
  <c r="B249" i="57" s="1"/>
  <c r="AA248" i="57"/>
  <c r="B248" i="57" s="1"/>
  <c r="AA243" i="57"/>
  <c r="BU247" i="57" s="1"/>
  <c r="BU248" i="57" s="1"/>
  <c r="BU249" i="57" s="1"/>
  <c r="BU250" i="57" s="1"/>
  <c r="BU251" i="57" s="1"/>
  <c r="BU252" i="57" s="1"/>
  <c r="BU253" i="57" s="1"/>
  <c r="BU254" i="57" s="1"/>
  <c r="BU255" i="57" s="1"/>
  <c r="BU256" i="57" s="1"/>
  <c r="BU257" i="57" s="1"/>
  <c r="BU258" i="57" s="1"/>
  <c r="AA228" i="57"/>
  <c r="B228" i="57" s="1"/>
  <c r="AA227" i="57"/>
  <c r="B227" i="57" s="1"/>
  <c r="AA225" i="57"/>
  <c r="B225" i="57" s="1"/>
  <c r="AA224" i="57"/>
  <c r="B224" i="57" s="1"/>
  <c r="AA223" i="57"/>
  <c r="B223" i="57" s="1"/>
  <c r="AA222" i="57"/>
  <c r="B222" i="57" s="1"/>
  <c r="AA221" i="57"/>
  <c r="B221" i="57" s="1"/>
  <c r="AA219" i="57"/>
  <c r="B219" i="57" s="1"/>
  <c r="AA218" i="57"/>
  <c r="B218" i="57" s="1"/>
  <c r="AA213" i="57"/>
  <c r="BU217" i="57" s="1"/>
  <c r="BU218" i="57" s="1"/>
  <c r="BU219" i="57" s="1"/>
  <c r="BU220" i="57" s="1"/>
  <c r="BU221" i="57" s="1"/>
  <c r="BU222" i="57" s="1"/>
  <c r="BU223" i="57" s="1"/>
  <c r="BU224" i="57" s="1"/>
  <c r="BU225" i="57" s="1"/>
  <c r="BU226" i="57" s="1"/>
  <c r="BU227" i="57" s="1"/>
  <c r="BU228" i="57" s="1"/>
  <c r="AA198" i="57"/>
  <c r="B198" i="57" s="1"/>
  <c r="AA197" i="57"/>
  <c r="B197" i="57" s="1"/>
  <c r="AA196" i="57"/>
  <c r="B196" i="57" s="1"/>
  <c r="AA195" i="57"/>
  <c r="B195" i="57" s="1"/>
  <c r="AA194" i="57"/>
  <c r="B194" i="57" s="1"/>
  <c r="AA192" i="57"/>
  <c r="B192" i="57" s="1"/>
  <c r="AA191" i="57"/>
  <c r="B191" i="57" s="1"/>
  <c r="AA190" i="57"/>
  <c r="B190" i="57" s="1"/>
  <c r="AA189" i="57"/>
  <c r="B189" i="57" s="1"/>
  <c r="AA188" i="57"/>
  <c r="B188" i="57" s="1"/>
  <c r="AA187" i="57"/>
  <c r="B187" i="57" s="1"/>
  <c r="AA183" i="57"/>
  <c r="BU187" i="57" s="1"/>
  <c r="BU188" i="57" s="1"/>
  <c r="BU189" i="57" s="1"/>
  <c r="BU190" i="57" s="1"/>
  <c r="BU191" i="57" s="1"/>
  <c r="BU192" i="57" s="1"/>
  <c r="BU193" i="57" s="1"/>
  <c r="BU194" i="57" s="1"/>
  <c r="BU195" i="57" s="1"/>
  <c r="BU196" i="57" s="1"/>
  <c r="BU197" i="57" s="1"/>
  <c r="BU198" i="57" s="1"/>
  <c r="AA168" i="57"/>
  <c r="B168" i="57" s="1"/>
  <c r="AA167" i="57"/>
  <c r="B167" i="57" s="1"/>
  <c r="AA166" i="57"/>
  <c r="B166" i="57" s="1"/>
  <c r="AA165" i="57"/>
  <c r="B165" i="57" s="1"/>
  <c r="AA164" i="57"/>
  <c r="B164" i="57" s="1"/>
  <c r="AA162" i="57"/>
  <c r="B162" i="57" s="1"/>
  <c r="AA159" i="57"/>
  <c r="B159" i="57" s="1"/>
  <c r="AA158" i="57"/>
  <c r="B158" i="57" s="1"/>
  <c r="AA153" i="57"/>
  <c r="BU157" i="57" s="1"/>
  <c r="BU158" i="57" s="1"/>
  <c r="BU159" i="57" s="1"/>
  <c r="BU160" i="57" s="1"/>
  <c r="BU161" i="57" s="1"/>
  <c r="BU162" i="57" s="1"/>
  <c r="BU163" i="57" s="1"/>
  <c r="BU164" i="57" s="1"/>
  <c r="BU165" i="57" s="1"/>
  <c r="BU166" i="57" s="1"/>
  <c r="BU167" i="57" s="1"/>
  <c r="BU168" i="57" s="1"/>
  <c r="AA138" i="57"/>
  <c r="B138" i="57" s="1"/>
  <c r="AA137" i="57"/>
  <c r="B137" i="57" s="1"/>
  <c r="AA136" i="57"/>
  <c r="B136" i="57" s="1"/>
  <c r="AA135" i="57"/>
  <c r="B135" i="57" s="1"/>
  <c r="AA132" i="57"/>
  <c r="B132" i="57" s="1"/>
  <c r="AA129" i="57"/>
  <c r="B129" i="57" s="1"/>
  <c r="AA123" i="57"/>
  <c r="AA108" i="57"/>
  <c r="B108" i="57" s="1"/>
  <c r="AA105" i="57"/>
  <c r="B105" i="57" s="1"/>
  <c r="AA104" i="57"/>
  <c r="B104" i="57" s="1"/>
  <c r="AA103" i="57"/>
  <c r="B103" i="57" s="1"/>
  <c r="AA101" i="57"/>
  <c r="B101" i="57" s="1"/>
  <c r="AA99" i="57"/>
  <c r="B99" i="57" s="1"/>
  <c r="AA98" i="57"/>
  <c r="B98" i="57" s="1"/>
  <c r="AA93" i="57"/>
  <c r="BU97" i="57" s="1"/>
  <c r="BU98" i="57" s="1"/>
  <c r="BU99" i="57" s="1"/>
  <c r="BU100" i="57" s="1"/>
  <c r="BU101" i="57" s="1"/>
  <c r="BU102" i="57" s="1"/>
  <c r="BU103" i="57" s="1"/>
  <c r="BU104" i="57" s="1"/>
  <c r="BU105" i="57" s="1"/>
  <c r="BU106" i="57" s="1"/>
  <c r="BU107" i="57" s="1"/>
  <c r="BU108" i="57" s="1"/>
  <c r="AA78" i="57"/>
  <c r="B78" i="57" s="1"/>
  <c r="AA77" i="57"/>
  <c r="B77" i="57" s="1"/>
  <c r="AA75" i="57"/>
  <c r="B75" i="57" s="1"/>
  <c r="AA72" i="57"/>
  <c r="B72" i="57" s="1"/>
  <c r="AA71" i="57"/>
  <c r="B71" i="57" s="1"/>
  <c r="AA69" i="57"/>
  <c r="B69" i="57" s="1"/>
  <c r="AA68" i="57"/>
  <c r="B68" i="57" s="1"/>
  <c r="AA63" i="57"/>
  <c r="BU67" i="57" s="1"/>
  <c r="BU68" i="57" s="1"/>
  <c r="BU69" i="57" s="1"/>
  <c r="BU70" i="57" s="1"/>
  <c r="BU71" i="57" s="1"/>
  <c r="BU72" i="57" s="1"/>
  <c r="BU73" i="57" s="1"/>
  <c r="BU74" i="57" s="1"/>
  <c r="BU75" i="57" s="1"/>
  <c r="BU76" i="57" s="1"/>
  <c r="BU77" i="57" s="1"/>
  <c r="BU78" i="57" s="1"/>
  <c r="AA48" i="57"/>
  <c r="B48" i="57" s="1"/>
  <c r="AA46" i="57"/>
  <c r="B46" i="57" s="1"/>
  <c r="AA45" i="57"/>
  <c r="B45" i="57" s="1"/>
  <c r="AA44" i="57"/>
  <c r="B44" i="57" s="1"/>
  <c r="AA43" i="57"/>
  <c r="B43" i="57" s="1"/>
  <c r="AA42" i="57"/>
  <c r="B42" i="57" s="1"/>
  <c r="AA41" i="57"/>
  <c r="B41" i="57" s="1"/>
  <c r="AA39" i="57"/>
  <c r="B39" i="57" s="1"/>
  <c r="AA33" i="57"/>
  <c r="BU37" i="57" s="1"/>
  <c r="BU38" i="57" s="1"/>
  <c r="BU39" i="57" s="1"/>
  <c r="BU40" i="57" s="1"/>
  <c r="BU41" i="57" s="1"/>
  <c r="BU42" i="57" s="1"/>
  <c r="BU43" i="57" s="1"/>
  <c r="BU44" i="57" s="1"/>
  <c r="BU45" i="57" s="1"/>
  <c r="BU46" i="57" s="1"/>
  <c r="BU47" i="57" s="1"/>
  <c r="BU48" i="57" s="1"/>
  <c r="AA18" i="57"/>
  <c r="B18" i="57" s="1"/>
  <c r="AA17" i="57"/>
  <c r="B17" i="57" s="1"/>
  <c r="AA16" i="57"/>
  <c r="B16" i="57" s="1"/>
  <c r="AA15" i="57"/>
  <c r="B15" i="57" s="1"/>
  <c r="AA14" i="57"/>
  <c r="B14" i="57" s="1"/>
  <c r="AA12" i="57"/>
  <c r="B12" i="57" s="1"/>
  <c r="AA11" i="57"/>
  <c r="AA9" i="57"/>
  <c r="B9" i="57" s="1"/>
  <c r="AA7" i="57"/>
  <c r="B7" i="57" s="1"/>
  <c r="AA288" i="55"/>
  <c r="B288" i="55" s="1"/>
  <c r="AA287" i="55"/>
  <c r="B287" i="55" s="1"/>
  <c r="AA285" i="55"/>
  <c r="B285" i="55" s="1"/>
  <c r="AA284" i="55"/>
  <c r="B284" i="55" s="1"/>
  <c r="AA282" i="55"/>
  <c r="B282" i="55" s="1"/>
  <c r="AA281" i="55"/>
  <c r="B281" i="55" s="1"/>
  <c r="AA279" i="55"/>
  <c r="B279" i="55" s="1"/>
  <c r="AA273" i="55"/>
  <c r="BU277" i="55" s="1"/>
  <c r="BU278" i="55" s="1"/>
  <c r="BU279" i="55" s="1"/>
  <c r="BU280" i="55" s="1"/>
  <c r="BU281" i="55" s="1"/>
  <c r="BU282" i="55" s="1"/>
  <c r="BU283" i="55" s="1"/>
  <c r="BU284" i="55" s="1"/>
  <c r="BU285" i="55" s="1"/>
  <c r="BU286" i="55" s="1"/>
  <c r="BU287" i="55" s="1"/>
  <c r="BU288" i="55" s="1"/>
  <c r="AA258" i="55"/>
  <c r="B258" i="55" s="1"/>
  <c r="AA257" i="55"/>
  <c r="B257" i="55" s="1"/>
  <c r="AA255" i="55"/>
  <c r="B255" i="55" s="1"/>
  <c r="AA254" i="55"/>
  <c r="B254" i="55" s="1"/>
  <c r="AA249" i="55"/>
  <c r="B249" i="55" s="1"/>
  <c r="AA248" i="55"/>
  <c r="B248" i="55" s="1"/>
  <c r="AA243" i="55"/>
  <c r="BU247" i="55" s="1"/>
  <c r="BU248" i="55" s="1"/>
  <c r="BU249" i="55" s="1"/>
  <c r="BU250" i="55" s="1"/>
  <c r="BU251" i="55" s="1"/>
  <c r="BU252" i="55" s="1"/>
  <c r="BU253" i="55" s="1"/>
  <c r="BU254" i="55" s="1"/>
  <c r="BU255" i="55" s="1"/>
  <c r="BU256" i="55" s="1"/>
  <c r="BU257" i="55" s="1"/>
  <c r="BU258" i="55" s="1"/>
  <c r="AA213" i="55"/>
  <c r="BU217" i="55" s="1"/>
  <c r="BU218" i="55" s="1"/>
  <c r="BU219" i="55" s="1"/>
  <c r="BU220" i="55" s="1"/>
  <c r="BU221" i="55" s="1"/>
  <c r="BU222" i="55" s="1"/>
  <c r="BU223" i="55" s="1"/>
  <c r="BU224" i="55" s="1"/>
  <c r="BU225" i="55" s="1"/>
  <c r="BU226" i="55" s="1"/>
  <c r="BU227" i="55" s="1"/>
  <c r="BU228" i="55" s="1"/>
  <c r="AA198" i="55"/>
  <c r="B198" i="55" s="1"/>
  <c r="AA197" i="55"/>
  <c r="B197" i="55" s="1"/>
  <c r="AA195" i="55"/>
  <c r="B195" i="55" s="1"/>
  <c r="AA194" i="55"/>
  <c r="B194" i="55" s="1"/>
  <c r="AA192" i="55"/>
  <c r="B192" i="55" s="1"/>
  <c r="AA191" i="55"/>
  <c r="B191" i="55" s="1"/>
  <c r="AA189" i="55"/>
  <c r="B189" i="55" s="1"/>
  <c r="AA188" i="55"/>
  <c r="B188" i="55" s="1"/>
  <c r="AA183" i="55"/>
  <c r="BU187" i="55" s="1"/>
  <c r="BU188" i="55" s="1"/>
  <c r="BU189" i="55" s="1"/>
  <c r="BU190" i="55" s="1"/>
  <c r="BU191" i="55" s="1"/>
  <c r="BU192" i="55" s="1"/>
  <c r="BU193" i="55" s="1"/>
  <c r="BU194" i="55" s="1"/>
  <c r="BU195" i="55" s="1"/>
  <c r="BU196" i="55" s="1"/>
  <c r="BU197" i="55" s="1"/>
  <c r="BU198" i="55" s="1"/>
  <c r="AA168" i="55"/>
  <c r="B168" i="55" s="1"/>
  <c r="AA166" i="55"/>
  <c r="B166" i="55" s="1"/>
  <c r="AA165" i="55"/>
  <c r="B165" i="55" s="1"/>
  <c r="AA164" i="55"/>
  <c r="B164" i="55" s="1"/>
  <c r="AA162" i="55"/>
  <c r="B162" i="55" s="1"/>
  <c r="AA159" i="55"/>
  <c r="B159" i="55" s="1"/>
  <c r="AA158" i="55"/>
  <c r="B158" i="55" s="1"/>
  <c r="AA153" i="55"/>
  <c r="BU157" i="55" s="1"/>
  <c r="BU158" i="55" s="1"/>
  <c r="BU159" i="55" s="1"/>
  <c r="BU160" i="55" s="1"/>
  <c r="BU161" i="55" s="1"/>
  <c r="BU162" i="55" s="1"/>
  <c r="BU163" i="55" s="1"/>
  <c r="BU164" i="55" s="1"/>
  <c r="BU165" i="55" s="1"/>
  <c r="BU166" i="55" s="1"/>
  <c r="BU167" i="55" s="1"/>
  <c r="BU168" i="55" s="1"/>
  <c r="AA138" i="55"/>
  <c r="B138" i="55" s="1"/>
  <c r="AA137" i="55"/>
  <c r="B137" i="55" s="1"/>
  <c r="AA135" i="55"/>
  <c r="B135" i="55" s="1"/>
  <c r="AA134" i="55"/>
  <c r="B134" i="55" s="1"/>
  <c r="AA132" i="55"/>
  <c r="B132" i="55" s="1"/>
  <c r="AA131" i="55"/>
  <c r="B131" i="55" s="1"/>
  <c r="AA130" i="55"/>
  <c r="B130" i="55" s="1"/>
  <c r="AA129" i="55"/>
  <c r="B129" i="55" s="1"/>
  <c r="AA128" i="55"/>
  <c r="B128" i="55" s="1"/>
  <c r="AA123" i="55"/>
  <c r="BU127" i="55" s="1"/>
  <c r="BU128" i="55" s="1"/>
  <c r="BU129" i="55" s="1"/>
  <c r="BU130" i="55" s="1"/>
  <c r="BU131" i="55" s="1"/>
  <c r="BU132" i="55" s="1"/>
  <c r="BU133" i="55" s="1"/>
  <c r="BU134" i="55" s="1"/>
  <c r="BU135" i="55" s="1"/>
  <c r="BU136" i="55" s="1"/>
  <c r="BU137" i="55" s="1"/>
  <c r="BU138" i="55" s="1"/>
  <c r="AA108" i="55"/>
  <c r="B108" i="55" s="1"/>
  <c r="AA105" i="55"/>
  <c r="B105" i="55" s="1"/>
  <c r="AA104" i="55"/>
  <c r="B104" i="55" s="1"/>
  <c r="AA102" i="55"/>
  <c r="B102" i="55" s="1"/>
  <c r="AA99" i="55"/>
  <c r="B99" i="55" s="1"/>
  <c r="AA98" i="55"/>
  <c r="AA93" i="55"/>
  <c r="BU97" i="55" s="1"/>
  <c r="BU98" i="55" s="1"/>
  <c r="BU99" i="55" s="1"/>
  <c r="BU100" i="55" s="1"/>
  <c r="BU101" i="55" s="1"/>
  <c r="BU102" i="55" s="1"/>
  <c r="BU103" i="55" s="1"/>
  <c r="BU104" i="55" s="1"/>
  <c r="BU105" i="55" s="1"/>
  <c r="BU106" i="55" s="1"/>
  <c r="BU107" i="55" s="1"/>
  <c r="BU108" i="55" s="1"/>
  <c r="AA78" i="55"/>
  <c r="B78" i="55" s="1"/>
  <c r="AA75" i="55"/>
  <c r="B75" i="55" s="1"/>
  <c r="AA74" i="55"/>
  <c r="B74" i="55" s="1"/>
  <c r="AA73" i="55"/>
  <c r="B73" i="55" s="1"/>
  <c r="AA71" i="55"/>
  <c r="B71" i="55" s="1"/>
  <c r="AA69" i="55"/>
  <c r="B69" i="55" s="1"/>
  <c r="AA68" i="55"/>
  <c r="B68" i="55" s="1"/>
  <c r="AA63" i="55"/>
  <c r="BU67" i="55" s="1"/>
  <c r="BU68" i="55" s="1"/>
  <c r="BU69" i="55" s="1"/>
  <c r="BU70" i="55" s="1"/>
  <c r="BU71" i="55" s="1"/>
  <c r="BU72" i="55" s="1"/>
  <c r="BU73" i="55" s="1"/>
  <c r="BU74" i="55" s="1"/>
  <c r="BU75" i="55" s="1"/>
  <c r="BU76" i="55" s="1"/>
  <c r="BU77" i="55" s="1"/>
  <c r="BU78" i="55" s="1"/>
  <c r="AA48" i="55"/>
  <c r="B48" i="55" s="1"/>
  <c r="AA47" i="55"/>
  <c r="B47" i="55" s="1"/>
  <c r="AA46" i="55"/>
  <c r="B46" i="55" s="1"/>
  <c r="AA45" i="55"/>
  <c r="B45" i="55" s="1"/>
  <c r="AA44" i="55"/>
  <c r="B44" i="55" s="1"/>
  <c r="AA43" i="55"/>
  <c r="B43" i="55" s="1"/>
  <c r="AA42" i="55"/>
  <c r="B42" i="55" s="1"/>
  <c r="AA39" i="55"/>
  <c r="B39" i="55" s="1"/>
  <c r="AA38" i="55"/>
  <c r="B38" i="55" s="1"/>
  <c r="AA33" i="55"/>
  <c r="BU37" i="55" s="1"/>
  <c r="BU38" i="55" s="1"/>
  <c r="BU39" i="55" s="1"/>
  <c r="BU40" i="55" s="1"/>
  <c r="BU41" i="55" s="1"/>
  <c r="BU42" i="55" s="1"/>
  <c r="BU43" i="55" s="1"/>
  <c r="BU44" i="55" s="1"/>
  <c r="BU45" i="55" s="1"/>
  <c r="BU46" i="55" s="1"/>
  <c r="BU47" i="55" s="1"/>
  <c r="BU48" i="55" s="1"/>
  <c r="AA18" i="55"/>
  <c r="B18" i="55" s="1"/>
  <c r="AA17" i="55"/>
  <c r="B17" i="55" s="1"/>
  <c r="AA16" i="55"/>
  <c r="B16" i="55" s="1"/>
  <c r="AA15" i="55"/>
  <c r="B15" i="55" s="1"/>
  <c r="AA14" i="55"/>
  <c r="B14" i="55" s="1"/>
  <c r="AA12" i="55"/>
  <c r="B12" i="55" s="1"/>
  <c r="AA11" i="55"/>
  <c r="B11" i="55" s="1"/>
  <c r="AA9" i="55"/>
  <c r="B9" i="55" s="1"/>
  <c r="AA8" i="55"/>
  <c r="B8" i="55" s="1"/>
  <c r="AA7" i="55"/>
  <c r="AA288" i="53"/>
  <c r="B288" i="53" s="1"/>
  <c r="AA285" i="53"/>
  <c r="B285" i="53" s="1"/>
  <c r="AA279" i="53"/>
  <c r="B279" i="53" s="1"/>
  <c r="AA273" i="53"/>
  <c r="BU277" i="53" s="1"/>
  <c r="BU278" i="53" s="1"/>
  <c r="BU279" i="53" s="1"/>
  <c r="BU280" i="53" s="1"/>
  <c r="BU281" i="53" s="1"/>
  <c r="BU282" i="53" s="1"/>
  <c r="BU283" i="53" s="1"/>
  <c r="BU284" i="53" s="1"/>
  <c r="BU285" i="53" s="1"/>
  <c r="BU286" i="53" s="1"/>
  <c r="BU287" i="53" s="1"/>
  <c r="BU288" i="53" s="1"/>
  <c r="AA258" i="53"/>
  <c r="B258" i="53" s="1"/>
  <c r="AA255" i="53"/>
  <c r="B255" i="53" s="1"/>
  <c r="AA252" i="53"/>
  <c r="B252" i="53" s="1"/>
  <c r="AA249" i="53"/>
  <c r="B249" i="53" s="1"/>
  <c r="AA248" i="53"/>
  <c r="B248" i="53" s="1"/>
  <c r="AA243" i="53"/>
  <c r="AA228" i="53"/>
  <c r="B228" i="53" s="1"/>
  <c r="AA227" i="53"/>
  <c r="B227" i="53" s="1"/>
  <c r="AA225" i="53"/>
  <c r="B225" i="53" s="1"/>
  <c r="AA224" i="53"/>
  <c r="B224" i="53" s="1"/>
  <c r="AA222" i="53"/>
  <c r="B222" i="53" s="1"/>
  <c r="AA219" i="53"/>
  <c r="B219" i="53" s="1"/>
  <c r="AA213" i="53"/>
  <c r="BU217" i="53" s="1"/>
  <c r="BU218" i="53" s="1"/>
  <c r="BU219" i="53" s="1"/>
  <c r="BU220" i="53" s="1"/>
  <c r="BU221" i="53" s="1"/>
  <c r="BU222" i="53" s="1"/>
  <c r="BU223" i="53" s="1"/>
  <c r="BU224" i="53" s="1"/>
  <c r="BU225" i="53" s="1"/>
  <c r="BU226" i="53" s="1"/>
  <c r="BU227" i="53" s="1"/>
  <c r="BU228" i="53" s="1"/>
  <c r="AA198" i="53"/>
  <c r="B198" i="53" s="1"/>
  <c r="AA197" i="53"/>
  <c r="B197" i="53" s="1"/>
  <c r="AA195" i="53"/>
  <c r="B195" i="53" s="1"/>
  <c r="AA194" i="53"/>
  <c r="B194" i="53" s="1"/>
  <c r="AA192" i="53"/>
  <c r="B192" i="53" s="1"/>
  <c r="AA189" i="53"/>
  <c r="B189" i="53" s="1"/>
  <c r="AA188" i="53"/>
  <c r="B188" i="53" s="1"/>
  <c r="AA183" i="53"/>
  <c r="BU187" i="53" s="1"/>
  <c r="BU188" i="53" s="1"/>
  <c r="BU189" i="53" s="1"/>
  <c r="BU190" i="53" s="1"/>
  <c r="BU191" i="53" s="1"/>
  <c r="BU192" i="53" s="1"/>
  <c r="BU193" i="53" s="1"/>
  <c r="BU194" i="53" s="1"/>
  <c r="BU195" i="53" s="1"/>
  <c r="BU196" i="53" s="1"/>
  <c r="BU197" i="53" s="1"/>
  <c r="BU198" i="53" s="1"/>
  <c r="AA168" i="53"/>
  <c r="B168" i="53" s="1"/>
  <c r="AA165" i="53"/>
  <c r="B165" i="53" s="1"/>
  <c r="AA162" i="53"/>
  <c r="B162" i="53" s="1"/>
  <c r="AA161" i="53"/>
  <c r="B161" i="53" s="1"/>
  <c r="AA159" i="53"/>
  <c r="B159" i="53" s="1"/>
  <c r="AA153" i="53"/>
  <c r="BU157" i="53" s="1"/>
  <c r="BU158" i="53" s="1"/>
  <c r="BU159" i="53" s="1"/>
  <c r="BU160" i="53" s="1"/>
  <c r="BU161" i="53" s="1"/>
  <c r="BU162" i="53" s="1"/>
  <c r="BU163" i="53" s="1"/>
  <c r="BU164" i="53" s="1"/>
  <c r="BU165" i="53" s="1"/>
  <c r="BU166" i="53" s="1"/>
  <c r="BU167" i="53" s="1"/>
  <c r="BU168" i="53" s="1"/>
  <c r="AA138" i="53"/>
  <c r="B138" i="53" s="1"/>
  <c r="AA137" i="53"/>
  <c r="B137" i="53" s="1"/>
  <c r="AA135" i="53"/>
  <c r="B135" i="53" s="1"/>
  <c r="AA134" i="53"/>
  <c r="B134" i="53" s="1"/>
  <c r="AA132" i="53"/>
  <c r="B132" i="53" s="1"/>
  <c r="AA129" i="53"/>
  <c r="B129" i="53" s="1"/>
  <c r="AA128" i="53"/>
  <c r="B128" i="53" s="1"/>
  <c r="AA123" i="53"/>
  <c r="BU127" i="53" s="1"/>
  <c r="BU128" i="53" s="1"/>
  <c r="BU129" i="53" s="1"/>
  <c r="BU130" i="53" s="1"/>
  <c r="BU131" i="53" s="1"/>
  <c r="BU132" i="53" s="1"/>
  <c r="BU133" i="53" s="1"/>
  <c r="BU134" i="53" s="1"/>
  <c r="BU135" i="53" s="1"/>
  <c r="BU136" i="53" s="1"/>
  <c r="BU137" i="53" s="1"/>
  <c r="BU138" i="53" s="1"/>
  <c r="AA108" i="53"/>
  <c r="B108" i="53" s="1"/>
  <c r="AA105" i="53"/>
  <c r="B105" i="53" s="1"/>
  <c r="AA102" i="53"/>
  <c r="B102" i="53" s="1"/>
  <c r="AA101" i="53"/>
  <c r="B101" i="53" s="1"/>
  <c r="AA99" i="53"/>
  <c r="B99" i="53" s="1"/>
  <c r="AA93" i="53"/>
  <c r="BU97" i="53" s="1"/>
  <c r="BU98" i="53" s="1"/>
  <c r="BU99" i="53" s="1"/>
  <c r="BU100" i="53" s="1"/>
  <c r="BU101" i="53" s="1"/>
  <c r="BU102" i="53" s="1"/>
  <c r="BU103" i="53" s="1"/>
  <c r="BU104" i="53" s="1"/>
  <c r="BU105" i="53" s="1"/>
  <c r="BU106" i="53" s="1"/>
  <c r="BU107" i="53" s="1"/>
  <c r="BU108" i="53" s="1"/>
  <c r="AA78" i="53"/>
  <c r="B78" i="53" s="1"/>
  <c r="AA75" i="53"/>
  <c r="B75" i="53" s="1"/>
  <c r="AA74" i="53"/>
  <c r="B74" i="53" s="1"/>
  <c r="AA72" i="53"/>
  <c r="B72" i="53" s="1"/>
  <c r="AA71" i="53"/>
  <c r="B71" i="53" s="1"/>
  <c r="AA69" i="53"/>
  <c r="B69" i="53" s="1"/>
  <c r="AA68" i="53"/>
  <c r="B68" i="53" s="1"/>
  <c r="AA63" i="53"/>
  <c r="BU67" i="53" s="1"/>
  <c r="BU68" i="53" s="1"/>
  <c r="BU69" i="53" s="1"/>
  <c r="BU70" i="53" s="1"/>
  <c r="BU71" i="53" s="1"/>
  <c r="BU72" i="53" s="1"/>
  <c r="BU73" i="53" s="1"/>
  <c r="BU74" i="53" s="1"/>
  <c r="BU75" i="53" s="1"/>
  <c r="BU76" i="53" s="1"/>
  <c r="BU77" i="53" s="1"/>
  <c r="BU78" i="53" s="1"/>
  <c r="AA48" i="53"/>
  <c r="B48" i="53" s="1"/>
  <c r="AA47" i="53"/>
  <c r="B47" i="53" s="1"/>
  <c r="AA45" i="53"/>
  <c r="B45" i="53" s="1"/>
  <c r="AA44" i="53"/>
  <c r="B44" i="53" s="1"/>
  <c r="AA43" i="53"/>
  <c r="AA42" i="53"/>
  <c r="B42" i="53" s="1"/>
  <c r="AA41" i="53"/>
  <c r="B41" i="53" s="1"/>
  <c r="AA39" i="53"/>
  <c r="B39" i="53" s="1"/>
  <c r="AA33" i="53"/>
  <c r="BU37" i="53" s="1"/>
  <c r="BU38" i="53" s="1"/>
  <c r="BU39" i="53" s="1"/>
  <c r="BU40" i="53" s="1"/>
  <c r="BU41" i="53" s="1"/>
  <c r="BU42" i="53" s="1"/>
  <c r="BU43" i="53" s="1"/>
  <c r="BU44" i="53" s="1"/>
  <c r="BU45" i="53" s="1"/>
  <c r="BU46" i="53" s="1"/>
  <c r="BU47" i="53" s="1"/>
  <c r="BU48" i="53" s="1"/>
  <c r="AA18" i="53"/>
  <c r="B18" i="53" s="1"/>
  <c r="AA17" i="53"/>
  <c r="B17" i="53" s="1"/>
  <c r="AA15" i="53"/>
  <c r="B15" i="53" s="1"/>
  <c r="AA14" i="53"/>
  <c r="B14" i="53" s="1"/>
  <c r="AA12" i="53"/>
  <c r="B12" i="53" s="1"/>
  <c r="AA9" i="53"/>
  <c r="B9" i="53" s="1"/>
  <c r="AA288" i="52"/>
  <c r="B288" i="52" s="1"/>
  <c r="AA285" i="52"/>
  <c r="B285" i="52" s="1"/>
  <c r="AA282" i="52"/>
  <c r="B282" i="52" s="1"/>
  <c r="AA258" i="52"/>
  <c r="B258" i="52" s="1"/>
  <c r="AA257" i="52"/>
  <c r="B257" i="52" s="1"/>
  <c r="AA255" i="52"/>
  <c r="B255" i="52" s="1"/>
  <c r="AA254" i="52"/>
  <c r="B254" i="52" s="1"/>
  <c r="AA252" i="52"/>
  <c r="B252" i="52" s="1"/>
  <c r="AA249" i="52"/>
  <c r="B249" i="52" s="1"/>
  <c r="AA225" i="52"/>
  <c r="B225" i="52" s="1"/>
  <c r="AA222" i="52"/>
  <c r="B222" i="52" s="1"/>
  <c r="AA219" i="52"/>
  <c r="B219" i="52" s="1"/>
  <c r="AA198" i="52"/>
  <c r="B198" i="52" s="1"/>
  <c r="AA195" i="52"/>
  <c r="B195" i="52" s="1"/>
  <c r="AA192" i="52"/>
  <c r="B192" i="52" s="1"/>
  <c r="AA191" i="52"/>
  <c r="B191" i="52" s="1"/>
  <c r="AA189" i="52"/>
  <c r="B189" i="52" s="1"/>
  <c r="AA168" i="52"/>
  <c r="B168" i="52" s="1"/>
  <c r="AA165" i="52"/>
  <c r="B165" i="52" s="1"/>
  <c r="AA164" i="52"/>
  <c r="B164" i="52" s="1"/>
  <c r="AA159" i="52"/>
  <c r="B159" i="52" s="1"/>
  <c r="AA158" i="52"/>
  <c r="B158" i="52" s="1"/>
  <c r="AA138" i="52"/>
  <c r="B138" i="52" s="1"/>
  <c r="AA135" i="52"/>
  <c r="B135" i="52" s="1"/>
  <c r="AA134" i="52"/>
  <c r="B134" i="52" s="1"/>
  <c r="AA132" i="52"/>
  <c r="B132" i="52" s="1"/>
  <c r="AA129" i="52"/>
  <c r="B129" i="52" s="1"/>
  <c r="AA108" i="52"/>
  <c r="B108" i="52" s="1"/>
  <c r="AA105" i="52"/>
  <c r="B105" i="52" s="1"/>
  <c r="AA102" i="52"/>
  <c r="B102" i="52" s="1"/>
  <c r="AA99" i="52"/>
  <c r="B99" i="52" s="1"/>
  <c r="AA78" i="52"/>
  <c r="B78" i="52" s="1"/>
  <c r="AA75" i="52"/>
  <c r="B75" i="52" s="1"/>
  <c r="AA72" i="52"/>
  <c r="B72" i="52" s="1"/>
  <c r="AA69" i="52"/>
  <c r="B69" i="52" s="1"/>
  <c r="AA48" i="52"/>
  <c r="B48" i="52" s="1"/>
  <c r="AA47" i="52"/>
  <c r="B47" i="52" s="1"/>
  <c r="AA45" i="52"/>
  <c r="B45" i="52" s="1"/>
  <c r="AA42" i="52"/>
  <c r="B42" i="52" s="1"/>
  <c r="AA39" i="52"/>
  <c r="B39" i="52" s="1"/>
  <c r="AA18" i="52"/>
  <c r="AA15" i="52"/>
  <c r="B15" i="52" s="1"/>
  <c r="AA14" i="52"/>
  <c r="B14" i="52" s="1"/>
  <c r="AA12" i="52"/>
  <c r="B12" i="52" s="1"/>
  <c r="AA9" i="52"/>
  <c r="B9" i="52" s="1"/>
  <c r="AA8" i="52"/>
  <c r="B8" i="52" s="1"/>
  <c r="AA11" i="53"/>
  <c r="B11" i="53" s="1"/>
  <c r="AA136" i="53"/>
  <c r="B136" i="53" s="1"/>
  <c r="AE1" i="53"/>
  <c r="F1" i="53" s="1"/>
  <c r="AT1" i="53"/>
  <c r="U1" i="53" s="1"/>
  <c r="AE2" i="53"/>
  <c r="A3" i="66" s="1"/>
  <c r="AA3" i="53"/>
  <c r="AC22" i="53"/>
  <c r="AE22" i="53"/>
  <c r="AE23" i="53" s="1"/>
  <c r="F23" i="53" s="1"/>
  <c r="AG22" i="53"/>
  <c r="AI22" i="53"/>
  <c r="J22" i="53" s="1"/>
  <c r="AK22" i="53"/>
  <c r="L22" i="53" s="1"/>
  <c r="AM22" i="53"/>
  <c r="AM23" i="53" s="1"/>
  <c r="N23" i="53" s="1"/>
  <c r="AO22" i="53"/>
  <c r="AQ22" i="53"/>
  <c r="AS22" i="53"/>
  <c r="AE31" i="53"/>
  <c r="F31" i="53" s="1"/>
  <c r="AT31" i="53"/>
  <c r="U31" i="53" s="1"/>
  <c r="AE32" i="53"/>
  <c r="F32" i="53" s="1"/>
  <c r="AC52" i="53"/>
  <c r="AE52" i="53"/>
  <c r="AG52" i="53"/>
  <c r="AG53" i="53" s="1"/>
  <c r="H53" i="53" s="1"/>
  <c r="AI52" i="53"/>
  <c r="AK52" i="53"/>
  <c r="L52" i="53" s="1"/>
  <c r="AM52" i="53"/>
  <c r="N52" i="53" s="1"/>
  <c r="AO52" i="53"/>
  <c r="AO53" i="53" s="1"/>
  <c r="P53" i="53" s="1"/>
  <c r="AQ52" i="53"/>
  <c r="R52" i="53" s="1"/>
  <c r="AS52" i="53"/>
  <c r="AE61" i="53"/>
  <c r="AT61" i="53"/>
  <c r="U61" i="53" s="1"/>
  <c r="AE62" i="53"/>
  <c r="F62" i="53" s="1"/>
  <c r="AC82" i="53"/>
  <c r="AC83" i="53" s="1"/>
  <c r="D83" i="53" s="1"/>
  <c r="AE82" i="53"/>
  <c r="AG82" i="53"/>
  <c r="AG83" i="53" s="1"/>
  <c r="H83" i="53" s="1"/>
  <c r="AI82" i="53"/>
  <c r="AK82" i="53"/>
  <c r="L82" i="53" s="1"/>
  <c r="AM82" i="53"/>
  <c r="AM83" i="53" s="1"/>
  <c r="N83" i="53" s="1"/>
  <c r="AO82" i="53"/>
  <c r="AQ82" i="53"/>
  <c r="AQ83" i="53" s="1"/>
  <c r="R83" i="53" s="1"/>
  <c r="AS82" i="53"/>
  <c r="T82" i="53" s="1"/>
  <c r="AE91" i="53"/>
  <c r="F91" i="53" s="1"/>
  <c r="AT91" i="53"/>
  <c r="U91" i="53" s="1"/>
  <c r="AE92" i="53"/>
  <c r="F92" i="53" s="1"/>
  <c r="V104" i="53"/>
  <c r="AC112" i="53"/>
  <c r="AE112" i="53"/>
  <c r="AG112" i="53"/>
  <c r="AG115" i="53" s="1"/>
  <c r="AI112" i="53"/>
  <c r="AI113" i="53" s="1"/>
  <c r="J113" i="53" s="1"/>
  <c r="AK112" i="53"/>
  <c r="AK113" i="53" s="1"/>
  <c r="L113" i="53" s="1"/>
  <c r="AM112" i="53"/>
  <c r="AO112" i="53"/>
  <c r="AQ112" i="53"/>
  <c r="AS112" i="53"/>
  <c r="T112" i="53" s="1"/>
  <c r="AE121" i="53"/>
  <c r="F121" i="53" s="1"/>
  <c r="AT121" i="53"/>
  <c r="U121" i="53" s="1"/>
  <c r="AE122" i="53"/>
  <c r="F122" i="53" s="1"/>
  <c r="AC142" i="53"/>
  <c r="AC143" i="53" s="1"/>
  <c r="D143" i="53" s="1"/>
  <c r="AE142" i="53"/>
  <c r="AE143" i="53" s="1"/>
  <c r="F143" i="53" s="1"/>
  <c r="AG142" i="53"/>
  <c r="H142" i="53" s="1"/>
  <c r="AI142" i="53"/>
  <c r="AK142" i="53"/>
  <c r="AM142" i="53"/>
  <c r="AO142" i="53"/>
  <c r="P142" i="53" s="1"/>
  <c r="AQ142" i="53"/>
  <c r="AQ143" i="53" s="1"/>
  <c r="R143" i="53" s="1"/>
  <c r="AS142" i="53"/>
  <c r="AE151" i="53"/>
  <c r="F151" i="53" s="1"/>
  <c r="AT151" i="53"/>
  <c r="U151" i="53" s="1"/>
  <c r="AE152" i="53"/>
  <c r="F152" i="53" s="1"/>
  <c r="V168" i="53"/>
  <c r="AC172" i="53"/>
  <c r="D172" i="53" s="1"/>
  <c r="AE172" i="53"/>
  <c r="AG172" i="53"/>
  <c r="H172" i="53" s="1"/>
  <c r="AI172" i="53"/>
  <c r="AI173" i="53" s="1"/>
  <c r="J173" i="53" s="1"/>
  <c r="AK172" i="53"/>
  <c r="AM172" i="53"/>
  <c r="AM173" i="53" s="1"/>
  <c r="N173" i="53" s="1"/>
  <c r="AO172" i="53"/>
  <c r="AQ172" i="53"/>
  <c r="AS172" i="53"/>
  <c r="AE181" i="53"/>
  <c r="F181" i="53" s="1"/>
  <c r="AT181" i="53"/>
  <c r="U181" i="53" s="1"/>
  <c r="AE182" i="53"/>
  <c r="F182" i="53" s="1"/>
  <c r="V187" i="53"/>
  <c r="AC202" i="53"/>
  <c r="AC203" i="53" s="1"/>
  <c r="D203" i="53" s="1"/>
  <c r="AE202" i="53"/>
  <c r="F202" i="53" s="1"/>
  <c r="AG202" i="53"/>
  <c r="AG203" i="53" s="1"/>
  <c r="H203" i="53" s="1"/>
  <c r="AI202" i="53"/>
  <c r="AI206" i="53" s="1"/>
  <c r="AK202" i="53"/>
  <c r="L202" i="53" s="1"/>
  <c r="AM202" i="53"/>
  <c r="AM203" i="53" s="1"/>
  <c r="N203" i="53" s="1"/>
  <c r="AO202" i="53"/>
  <c r="P202" i="53" s="1"/>
  <c r="AQ202" i="53"/>
  <c r="AS202" i="53"/>
  <c r="AS203" i="53" s="1"/>
  <c r="T203" i="53" s="1"/>
  <c r="AE211" i="53"/>
  <c r="F211" i="53" s="1"/>
  <c r="AT211" i="53"/>
  <c r="U211" i="53" s="1"/>
  <c r="AE212" i="53"/>
  <c r="F212" i="53" s="1"/>
  <c r="AC232" i="53"/>
  <c r="AE232" i="53"/>
  <c r="AG232" i="53"/>
  <c r="AI232" i="53"/>
  <c r="J232" i="53" s="1"/>
  <c r="AK232" i="53"/>
  <c r="AK233" i="53" s="1"/>
  <c r="L233" i="53" s="1"/>
  <c r="AM232" i="53"/>
  <c r="N232" i="53" s="1"/>
  <c r="AO232" i="53"/>
  <c r="AO233" i="53" s="1"/>
  <c r="P233" i="53" s="1"/>
  <c r="AQ232" i="53"/>
  <c r="AQ233" i="53" s="1"/>
  <c r="R233" i="53" s="1"/>
  <c r="AS232" i="53"/>
  <c r="T232" i="53" s="1"/>
  <c r="AE241" i="53"/>
  <c r="F241" i="53" s="1"/>
  <c r="AT241" i="53"/>
  <c r="U241" i="53" s="1"/>
  <c r="AE242" i="53"/>
  <c r="F242" i="53" s="1"/>
  <c r="D259" i="53"/>
  <c r="AC262" i="53"/>
  <c r="AC263" i="53" s="1"/>
  <c r="D263" i="53" s="1"/>
  <c r="AE262" i="53"/>
  <c r="AG262" i="53"/>
  <c r="AI262" i="53"/>
  <c r="AI263" i="53" s="1"/>
  <c r="J263" i="53" s="1"/>
  <c r="AK262" i="53"/>
  <c r="L262" i="53" s="1"/>
  <c r="AM262" i="53"/>
  <c r="N262" i="53" s="1"/>
  <c r="AO262" i="53"/>
  <c r="P262" i="53" s="1"/>
  <c r="AQ262" i="53"/>
  <c r="AQ266" i="53" s="1"/>
  <c r="AS262" i="53"/>
  <c r="AE271" i="53"/>
  <c r="F271" i="53" s="1"/>
  <c r="AT271" i="53"/>
  <c r="U271" i="53" s="1"/>
  <c r="AE272" i="53"/>
  <c r="F272" i="53" s="1"/>
  <c r="AC292" i="53"/>
  <c r="D292" i="53" s="1"/>
  <c r="AE292" i="53"/>
  <c r="AE293" i="53" s="1"/>
  <c r="F293" i="53" s="1"/>
  <c r="AG292" i="53"/>
  <c r="AI292" i="53"/>
  <c r="AK292" i="53"/>
  <c r="AM292" i="53"/>
  <c r="AO292" i="53"/>
  <c r="AO293" i="53" s="1"/>
  <c r="P293" i="53" s="1"/>
  <c r="AQ292" i="53"/>
  <c r="AS292" i="53"/>
  <c r="AS293" i="53" s="1"/>
  <c r="T293" i="53" s="1"/>
  <c r="AS292" i="59"/>
  <c r="AS293" i="59" s="1"/>
  <c r="T293" i="59" s="1"/>
  <c r="AQ292" i="59"/>
  <c r="AO292" i="59"/>
  <c r="P292" i="59" s="1"/>
  <c r="AM292" i="59"/>
  <c r="AK292" i="59"/>
  <c r="L292" i="59" s="1"/>
  <c r="AI292" i="59"/>
  <c r="AI293" i="59" s="1"/>
  <c r="J293" i="59" s="1"/>
  <c r="AG292" i="59"/>
  <c r="H292" i="59" s="1"/>
  <c r="AE292" i="59"/>
  <c r="F292" i="59" s="1"/>
  <c r="AC292" i="59"/>
  <c r="AE272" i="59"/>
  <c r="F272" i="59" s="1"/>
  <c r="AT271" i="59"/>
  <c r="U271" i="59" s="1"/>
  <c r="AE271" i="59"/>
  <c r="F271" i="59" s="1"/>
  <c r="AS262" i="59"/>
  <c r="AQ262" i="59"/>
  <c r="R262" i="59" s="1"/>
  <c r="AO262" i="59"/>
  <c r="AM262" i="59"/>
  <c r="AM266" i="59" s="1"/>
  <c r="N266" i="59" s="1"/>
  <c r="AK262" i="59"/>
  <c r="AI262" i="59"/>
  <c r="AG262" i="59"/>
  <c r="AG263" i="59" s="1"/>
  <c r="H263" i="59" s="1"/>
  <c r="AE262" i="59"/>
  <c r="AE263" i="59" s="1"/>
  <c r="F263" i="59" s="1"/>
  <c r="AC262" i="59"/>
  <c r="D262" i="59" s="1"/>
  <c r="AE242" i="59"/>
  <c r="F242" i="59" s="1"/>
  <c r="AT241" i="59"/>
  <c r="U241" i="59" s="1"/>
  <c r="AE241" i="59"/>
  <c r="F241" i="59" s="1"/>
  <c r="T294" i="59"/>
  <c r="R294" i="59"/>
  <c r="P294" i="59"/>
  <c r="N294" i="59"/>
  <c r="L294" i="59"/>
  <c r="J294" i="59"/>
  <c r="H294" i="59"/>
  <c r="F294" i="59"/>
  <c r="D294" i="59"/>
  <c r="V290" i="59"/>
  <c r="R264" i="59"/>
  <c r="N264" i="59"/>
  <c r="J264" i="59"/>
  <c r="F264" i="59"/>
  <c r="V260" i="59"/>
  <c r="AS232" i="59"/>
  <c r="AQ232" i="59"/>
  <c r="AO232" i="59"/>
  <c r="AM232" i="59"/>
  <c r="AK232" i="59"/>
  <c r="AK233" i="59" s="1"/>
  <c r="L233" i="59" s="1"/>
  <c r="AI232" i="59"/>
  <c r="J232" i="59" s="1"/>
  <c r="AG232" i="59"/>
  <c r="AG233" i="59" s="1"/>
  <c r="H233" i="59" s="1"/>
  <c r="AE232" i="59"/>
  <c r="AC232" i="59"/>
  <c r="AC233" i="59" s="1"/>
  <c r="D233" i="59" s="1"/>
  <c r="AE212" i="59"/>
  <c r="F212" i="59" s="1"/>
  <c r="AT211" i="59"/>
  <c r="U211" i="59" s="1"/>
  <c r="AE211" i="59"/>
  <c r="F211" i="59" s="1"/>
  <c r="AS202" i="59"/>
  <c r="AS203" i="59" s="1"/>
  <c r="T203" i="59" s="1"/>
  <c r="AQ202" i="59"/>
  <c r="AO202" i="59"/>
  <c r="AO203" i="59" s="1"/>
  <c r="P203" i="59" s="1"/>
  <c r="AM202" i="59"/>
  <c r="AK202" i="59"/>
  <c r="AI202" i="59"/>
  <c r="AG202" i="59"/>
  <c r="AE202" i="59"/>
  <c r="AE203" i="59" s="1"/>
  <c r="F203" i="59" s="1"/>
  <c r="AC202" i="59"/>
  <c r="AC207" i="59" s="1"/>
  <c r="AE182" i="59"/>
  <c r="F182" i="59" s="1"/>
  <c r="AT181" i="59"/>
  <c r="U181" i="59" s="1"/>
  <c r="AE181" i="59"/>
  <c r="F181" i="59" s="1"/>
  <c r="AS172" i="59"/>
  <c r="T172" i="59" s="1"/>
  <c r="AQ172" i="59"/>
  <c r="AO172" i="59"/>
  <c r="P172" i="59" s="1"/>
  <c r="AM172" i="59"/>
  <c r="N172" i="59" s="1"/>
  <c r="AK172" i="59"/>
  <c r="AK173" i="59" s="1"/>
  <c r="L173" i="59" s="1"/>
  <c r="AI172" i="59"/>
  <c r="AG172" i="59"/>
  <c r="AE172" i="59"/>
  <c r="AC172" i="59"/>
  <c r="AC173" i="59" s="1"/>
  <c r="D173" i="59" s="1"/>
  <c r="AE152" i="59"/>
  <c r="F152" i="59" s="1"/>
  <c r="AT151" i="59"/>
  <c r="U151" i="59" s="1"/>
  <c r="AE151" i="59"/>
  <c r="F151" i="59" s="1"/>
  <c r="AS142" i="59"/>
  <c r="AQ142" i="59"/>
  <c r="R142" i="59" s="1"/>
  <c r="AO142" i="59"/>
  <c r="AM142" i="59"/>
  <c r="AM143" i="59" s="1"/>
  <c r="N143" i="59" s="1"/>
  <c r="AK142" i="59"/>
  <c r="L142" i="59" s="1"/>
  <c r="AI142" i="59"/>
  <c r="AG142" i="59"/>
  <c r="AG148" i="59" s="1"/>
  <c r="H148" i="59" s="1"/>
  <c r="AE142" i="59"/>
  <c r="F142" i="59" s="1"/>
  <c r="AC142" i="59"/>
  <c r="D142" i="59" s="1"/>
  <c r="V135" i="59"/>
  <c r="V132" i="59"/>
  <c r="AE122" i="59"/>
  <c r="F122" i="59" s="1"/>
  <c r="AT121" i="59"/>
  <c r="U121" i="59" s="1"/>
  <c r="AE121" i="59"/>
  <c r="F121" i="59" s="1"/>
  <c r="AS112" i="59"/>
  <c r="AS113" i="59" s="1"/>
  <c r="T113" i="59" s="1"/>
  <c r="AQ112" i="59"/>
  <c r="AQ113" i="59" s="1"/>
  <c r="R113" i="59" s="1"/>
  <c r="AO112" i="59"/>
  <c r="AM112" i="59"/>
  <c r="AK112" i="59"/>
  <c r="AI112" i="59"/>
  <c r="AG112" i="59"/>
  <c r="H112" i="59" s="1"/>
  <c r="AE112" i="59"/>
  <c r="AE113" i="59" s="1"/>
  <c r="F113" i="59" s="1"/>
  <c r="AC112" i="59"/>
  <c r="D112" i="59" s="1"/>
  <c r="AE92" i="59"/>
  <c r="F92" i="59" s="1"/>
  <c r="AT91" i="59"/>
  <c r="U91" i="59" s="1"/>
  <c r="AE91" i="59"/>
  <c r="F91" i="59" s="1"/>
  <c r="AS82" i="59"/>
  <c r="AQ82" i="59"/>
  <c r="AQ83" i="59" s="1"/>
  <c r="R83" i="59" s="1"/>
  <c r="AO82" i="59"/>
  <c r="AO83" i="59" s="1"/>
  <c r="P83" i="59" s="1"/>
  <c r="AM82" i="59"/>
  <c r="N82" i="59" s="1"/>
  <c r="AK82" i="59"/>
  <c r="AK83" i="59" s="1"/>
  <c r="L83" i="59" s="1"/>
  <c r="AI82" i="59"/>
  <c r="AI87" i="59" s="1"/>
  <c r="AJ73" i="59" s="1"/>
  <c r="K73" i="59" s="1"/>
  <c r="AG82" i="59"/>
  <c r="AE82" i="59"/>
  <c r="F82" i="59" s="1"/>
  <c r="AC82" i="59"/>
  <c r="AE62" i="59"/>
  <c r="F62" i="59" s="1"/>
  <c r="AT61" i="59"/>
  <c r="U61" i="59" s="1"/>
  <c r="AE61" i="59"/>
  <c r="F61" i="59" s="1"/>
  <c r="AS52" i="59"/>
  <c r="AS55" i="59" s="1"/>
  <c r="AQ52" i="59"/>
  <c r="AQ53" i="59" s="1"/>
  <c r="R53" i="59" s="1"/>
  <c r="AO52" i="59"/>
  <c r="AM52" i="59"/>
  <c r="AK52" i="59"/>
  <c r="L52" i="59" s="1"/>
  <c r="AI52" i="59"/>
  <c r="AG52" i="59"/>
  <c r="AG53" i="59" s="1"/>
  <c r="H53" i="59" s="1"/>
  <c r="AE52" i="59"/>
  <c r="AC52" i="59"/>
  <c r="AC53" i="59" s="1"/>
  <c r="D53" i="59" s="1"/>
  <c r="AE32" i="59"/>
  <c r="F32" i="59" s="1"/>
  <c r="AT31" i="59"/>
  <c r="U31" i="59" s="1"/>
  <c r="AE31" i="59"/>
  <c r="F31" i="59" s="1"/>
  <c r="R204" i="59"/>
  <c r="N204" i="59"/>
  <c r="J204" i="59"/>
  <c r="F204" i="59"/>
  <c r="V200" i="59"/>
  <c r="T174" i="59"/>
  <c r="P174" i="59"/>
  <c r="L174" i="59"/>
  <c r="H174" i="59"/>
  <c r="D174" i="59"/>
  <c r="R174" i="59"/>
  <c r="N174" i="59"/>
  <c r="J174" i="59"/>
  <c r="F174" i="59"/>
  <c r="V170" i="59"/>
  <c r="T144" i="59"/>
  <c r="P144" i="59"/>
  <c r="L144" i="59"/>
  <c r="H144" i="59"/>
  <c r="D144" i="59"/>
  <c r="R144" i="59"/>
  <c r="N144" i="59"/>
  <c r="J144" i="59"/>
  <c r="F144" i="59"/>
  <c r="V140" i="59"/>
  <c r="T114" i="59"/>
  <c r="P114" i="59"/>
  <c r="L114" i="59"/>
  <c r="H114" i="59"/>
  <c r="D114" i="59"/>
  <c r="R114" i="59"/>
  <c r="N114" i="59"/>
  <c r="J114" i="59"/>
  <c r="F114" i="59"/>
  <c r="V110" i="59"/>
  <c r="AS22" i="59"/>
  <c r="T22" i="59" s="1"/>
  <c r="AQ22" i="59"/>
  <c r="AQ23" i="59" s="1"/>
  <c r="R23" i="59" s="1"/>
  <c r="AO22" i="59"/>
  <c r="P22" i="59" s="1"/>
  <c r="AM22" i="59"/>
  <c r="AK22" i="59"/>
  <c r="AI22" i="59"/>
  <c r="AG22" i="59"/>
  <c r="H22" i="59" s="1"/>
  <c r="AE22" i="59"/>
  <c r="AE23" i="59" s="1"/>
  <c r="F23" i="59" s="1"/>
  <c r="AC22" i="59"/>
  <c r="D22" i="59" s="1"/>
  <c r="U299" i="59"/>
  <c r="S299" i="59"/>
  <c r="Q299" i="59"/>
  <c r="O299" i="59"/>
  <c r="M299" i="59"/>
  <c r="K299" i="59"/>
  <c r="I299" i="59"/>
  <c r="G299" i="59"/>
  <c r="E299" i="59"/>
  <c r="C299" i="59"/>
  <c r="B299" i="59"/>
  <c r="U298" i="59"/>
  <c r="S298" i="59"/>
  <c r="Q298" i="59"/>
  <c r="O298" i="59"/>
  <c r="M298" i="59"/>
  <c r="K298" i="59"/>
  <c r="I298" i="59"/>
  <c r="G298" i="59"/>
  <c r="E298" i="59"/>
  <c r="C298" i="59"/>
  <c r="B298" i="59"/>
  <c r="U297" i="59"/>
  <c r="S297" i="59"/>
  <c r="Q297" i="59"/>
  <c r="O297" i="59"/>
  <c r="M297" i="59"/>
  <c r="K297" i="59"/>
  <c r="I297" i="59"/>
  <c r="G297" i="59"/>
  <c r="E297" i="59"/>
  <c r="C297" i="59"/>
  <c r="B297" i="59"/>
  <c r="U296" i="59"/>
  <c r="S296" i="59"/>
  <c r="Q296" i="59"/>
  <c r="O296" i="59"/>
  <c r="M296" i="59"/>
  <c r="K296" i="59"/>
  <c r="I296" i="59"/>
  <c r="G296" i="59"/>
  <c r="E296" i="59"/>
  <c r="C296" i="59"/>
  <c r="B296" i="59"/>
  <c r="U295" i="59"/>
  <c r="S295" i="59"/>
  <c r="Q295" i="59"/>
  <c r="O295" i="59"/>
  <c r="M295" i="59"/>
  <c r="K295" i="59"/>
  <c r="I295" i="59"/>
  <c r="G295" i="59"/>
  <c r="E295" i="59"/>
  <c r="C295" i="59"/>
  <c r="B295" i="59"/>
  <c r="U294" i="59"/>
  <c r="S294" i="59"/>
  <c r="Q294" i="59"/>
  <c r="O294" i="59"/>
  <c r="M294" i="59"/>
  <c r="K294" i="59"/>
  <c r="I294" i="59"/>
  <c r="G294" i="59"/>
  <c r="E294" i="59"/>
  <c r="C294" i="59"/>
  <c r="B294" i="59"/>
  <c r="U293" i="59"/>
  <c r="S293" i="59"/>
  <c r="Q293" i="59"/>
  <c r="O293" i="59"/>
  <c r="M293" i="59"/>
  <c r="K293" i="59"/>
  <c r="I293" i="59"/>
  <c r="G293" i="59"/>
  <c r="E293" i="59"/>
  <c r="C293" i="59"/>
  <c r="B293" i="59"/>
  <c r="U292" i="59"/>
  <c r="S292" i="59"/>
  <c r="Q292" i="59"/>
  <c r="O292" i="59"/>
  <c r="M292" i="59"/>
  <c r="K292" i="59"/>
  <c r="I292" i="59"/>
  <c r="G292" i="59"/>
  <c r="E292" i="59"/>
  <c r="C292" i="59"/>
  <c r="B292" i="59"/>
  <c r="T290" i="59"/>
  <c r="R290" i="59"/>
  <c r="P290" i="59"/>
  <c r="N290" i="59"/>
  <c r="L290" i="59"/>
  <c r="J290" i="59"/>
  <c r="H290" i="59"/>
  <c r="F290" i="59"/>
  <c r="D290" i="59"/>
  <c r="C290" i="59"/>
  <c r="B290" i="59"/>
  <c r="C289" i="59"/>
  <c r="B289" i="59"/>
  <c r="T288" i="59"/>
  <c r="R288" i="59"/>
  <c r="P288" i="59"/>
  <c r="N288" i="59"/>
  <c r="L288" i="59"/>
  <c r="J288" i="59"/>
  <c r="H288" i="59"/>
  <c r="F288" i="59"/>
  <c r="D288" i="59"/>
  <c r="C288" i="59"/>
  <c r="T287" i="59"/>
  <c r="R287" i="59"/>
  <c r="P287" i="59"/>
  <c r="N287" i="59"/>
  <c r="L287" i="59"/>
  <c r="J287" i="59"/>
  <c r="H287" i="59"/>
  <c r="F287" i="59"/>
  <c r="D287" i="59"/>
  <c r="C287" i="59"/>
  <c r="F286" i="59"/>
  <c r="D286" i="59"/>
  <c r="C286" i="59"/>
  <c r="T285" i="59"/>
  <c r="R285" i="59"/>
  <c r="P285" i="59"/>
  <c r="N285" i="59"/>
  <c r="L285" i="59"/>
  <c r="J285" i="59"/>
  <c r="H285" i="59"/>
  <c r="F285" i="59"/>
  <c r="D285" i="59"/>
  <c r="C285" i="59"/>
  <c r="T284" i="59"/>
  <c r="R284" i="59"/>
  <c r="P284" i="59"/>
  <c r="N284" i="59"/>
  <c r="L284" i="59"/>
  <c r="J284" i="59"/>
  <c r="H284" i="59"/>
  <c r="F284" i="59"/>
  <c r="D284" i="59"/>
  <c r="C284" i="59"/>
  <c r="F283" i="59"/>
  <c r="D283" i="59"/>
  <c r="C283" i="59"/>
  <c r="T282" i="59"/>
  <c r="R282" i="59"/>
  <c r="P282" i="59"/>
  <c r="N282" i="59"/>
  <c r="L282" i="59"/>
  <c r="J282" i="59"/>
  <c r="H282" i="59"/>
  <c r="F282" i="59"/>
  <c r="D282" i="59"/>
  <c r="C282" i="59"/>
  <c r="T281" i="59"/>
  <c r="R281" i="59"/>
  <c r="P281" i="59"/>
  <c r="N281" i="59"/>
  <c r="L281" i="59"/>
  <c r="J281" i="59"/>
  <c r="H281" i="59"/>
  <c r="F281" i="59"/>
  <c r="D281" i="59"/>
  <c r="C281" i="59"/>
  <c r="F280" i="59"/>
  <c r="D280" i="59"/>
  <c r="C280" i="59"/>
  <c r="T279" i="59"/>
  <c r="R279" i="59"/>
  <c r="P279" i="59"/>
  <c r="N279" i="59"/>
  <c r="L279" i="59"/>
  <c r="J279" i="59"/>
  <c r="H279" i="59"/>
  <c r="F279" i="59"/>
  <c r="D279" i="59"/>
  <c r="C279" i="59"/>
  <c r="T278" i="59"/>
  <c r="R278" i="59"/>
  <c r="P278" i="59"/>
  <c r="N278" i="59"/>
  <c r="L278" i="59"/>
  <c r="J278" i="59"/>
  <c r="H278" i="59"/>
  <c r="F278" i="59"/>
  <c r="D278" i="59"/>
  <c r="C278" i="59"/>
  <c r="F277" i="59"/>
  <c r="D277" i="59"/>
  <c r="C277" i="59"/>
  <c r="T272" i="59"/>
  <c r="B272" i="59"/>
  <c r="B273" i="59" s="1"/>
  <c r="D271" i="59"/>
  <c r="B271" i="59"/>
  <c r="U269" i="59"/>
  <c r="S269" i="59"/>
  <c r="Q269" i="59"/>
  <c r="O269" i="59"/>
  <c r="M269" i="59"/>
  <c r="K269" i="59"/>
  <c r="I269" i="59"/>
  <c r="G269" i="59"/>
  <c r="E269" i="59"/>
  <c r="C269" i="59"/>
  <c r="B269" i="59"/>
  <c r="U268" i="59"/>
  <c r="S268" i="59"/>
  <c r="Q268" i="59"/>
  <c r="O268" i="59"/>
  <c r="M268" i="59"/>
  <c r="K268" i="59"/>
  <c r="I268" i="59"/>
  <c r="G268" i="59"/>
  <c r="E268" i="59"/>
  <c r="C268" i="59"/>
  <c r="B268" i="59"/>
  <c r="U267" i="59"/>
  <c r="S267" i="59"/>
  <c r="Q267" i="59"/>
  <c r="O267" i="59"/>
  <c r="M267" i="59"/>
  <c r="K267" i="59"/>
  <c r="I267" i="59"/>
  <c r="G267" i="59"/>
  <c r="E267" i="59"/>
  <c r="C267" i="59"/>
  <c r="B267" i="59"/>
  <c r="U266" i="59"/>
  <c r="S266" i="59"/>
  <c r="Q266" i="59"/>
  <c r="O266" i="59"/>
  <c r="M266" i="59"/>
  <c r="K266" i="59"/>
  <c r="I266" i="59"/>
  <c r="G266" i="59"/>
  <c r="E266" i="59"/>
  <c r="C266" i="59"/>
  <c r="B266" i="59"/>
  <c r="U265" i="59"/>
  <c r="S265" i="59"/>
  <c r="Q265" i="59"/>
  <c r="O265" i="59"/>
  <c r="M265" i="59"/>
  <c r="K265" i="59"/>
  <c r="I265" i="59"/>
  <c r="G265" i="59"/>
  <c r="E265" i="59"/>
  <c r="C265" i="59"/>
  <c r="B265" i="59"/>
  <c r="U264" i="59"/>
  <c r="T264" i="59"/>
  <c r="S264" i="59"/>
  <c r="Q264" i="59"/>
  <c r="P264" i="59"/>
  <c r="O264" i="59"/>
  <c r="M264" i="59"/>
  <c r="L264" i="59"/>
  <c r="K264" i="59"/>
  <c r="I264" i="59"/>
  <c r="H264" i="59"/>
  <c r="G264" i="59"/>
  <c r="E264" i="59"/>
  <c r="D264" i="59"/>
  <c r="C264" i="59"/>
  <c r="B264" i="59"/>
  <c r="U263" i="59"/>
  <c r="S263" i="59"/>
  <c r="Q263" i="59"/>
  <c r="O263" i="59"/>
  <c r="M263" i="59"/>
  <c r="K263" i="59"/>
  <c r="I263" i="59"/>
  <c r="G263" i="59"/>
  <c r="E263" i="59"/>
  <c r="C263" i="59"/>
  <c r="B263" i="59"/>
  <c r="U262" i="59"/>
  <c r="S262" i="59"/>
  <c r="Q262" i="59"/>
  <c r="O262" i="59"/>
  <c r="M262" i="59"/>
  <c r="K262" i="59"/>
  <c r="I262" i="59"/>
  <c r="G262" i="59"/>
  <c r="E262" i="59"/>
  <c r="C262" i="59"/>
  <c r="B262" i="59"/>
  <c r="T260" i="59"/>
  <c r="R260" i="59"/>
  <c r="P260" i="59"/>
  <c r="N260" i="59"/>
  <c r="L260" i="59"/>
  <c r="J260" i="59"/>
  <c r="H260" i="59"/>
  <c r="F260" i="59"/>
  <c r="D260" i="59"/>
  <c r="C260" i="59"/>
  <c r="B260" i="59"/>
  <c r="C259" i="59"/>
  <c r="B259" i="59"/>
  <c r="T258" i="59"/>
  <c r="R258" i="59"/>
  <c r="P258" i="59"/>
  <c r="N258" i="59"/>
  <c r="L258" i="59"/>
  <c r="J258" i="59"/>
  <c r="H258" i="59"/>
  <c r="F258" i="59"/>
  <c r="D258" i="59"/>
  <c r="C258" i="59"/>
  <c r="T257" i="59"/>
  <c r="R257" i="59"/>
  <c r="P257" i="59"/>
  <c r="N257" i="59"/>
  <c r="L257" i="59"/>
  <c r="J257" i="59"/>
  <c r="H257" i="59"/>
  <c r="F257" i="59"/>
  <c r="D257" i="59"/>
  <c r="C257" i="59"/>
  <c r="F256" i="59"/>
  <c r="D256" i="59"/>
  <c r="C256" i="59"/>
  <c r="T255" i="59"/>
  <c r="R255" i="59"/>
  <c r="P255" i="59"/>
  <c r="N255" i="59"/>
  <c r="L255" i="59"/>
  <c r="J255" i="59"/>
  <c r="H255" i="59"/>
  <c r="F255" i="59"/>
  <c r="D255" i="59"/>
  <c r="C255" i="59"/>
  <c r="T254" i="59"/>
  <c r="R254" i="59"/>
  <c r="P254" i="59"/>
  <c r="N254" i="59"/>
  <c r="L254" i="59"/>
  <c r="J254" i="59"/>
  <c r="H254" i="59"/>
  <c r="F254" i="59"/>
  <c r="D254" i="59"/>
  <c r="C254" i="59"/>
  <c r="F253" i="59"/>
  <c r="D253" i="59"/>
  <c r="C253" i="59"/>
  <c r="T252" i="59"/>
  <c r="R252" i="59"/>
  <c r="P252" i="59"/>
  <c r="N252" i="59"/>
  <c r="L252" i="59"/>
  <c r="J252" i="59"/>
  <c r="H252" i="59"/>
  <c r="F252" i="59"/>
  <c r="D252" i="59"/>
  <c r="C252" i="59"/>
  <c r="T251" i="59"/>
  <c r="R251" i="59"/>
  <c r="P251" i="59"/>
  <c r="N251" i="59"/>
  <c r="L251" i="59"/>
  <c r="J251" i="59"/>
  <c r="H251" i="59"/>
  <c r="F251" i="59"/>
  <c r="D251" i="59"/>
  <c r="C251" i="59"/>
  <c r="F250" i="59"/>
  <c r="D250" i="59"/>
  <c r="C250" i="59"/>
  <c r="T249" i="59"/>
  <c r="R249" i="59"/>
  <c r="P249" i="59"/>
  <c r="N249" i="59"/>
  <c r="L249" i="59"/>
  <c r="J249" i="59"/>
  <c r="H249" i="59"/>
  <c r="F249" i="59"/>
  <c r="D249" i="59"/>
  <c r="C249" i="59"/>
  <c r="T248" i="59"/>
  <c r="R248" i="59"/>
  <c r="P248" i="59"/>
  <c r="N248" i="59"/>
  <c r="L248" i="59"/>
  <c r="J248" i="59"/>
  <c r="H248" i="59"/>
  <c r="F248" i="59"/>
  <c r="D248" i="59"/>
  <c r="C248" i="59"/>
  <c r="H247" i="59"/>
  <c r="F247" i="59"/>
  <c r="D247" i="59"/>
  <c r="C247" i="59"/>
  <c r="T242" i="59"/>
  <c r="B242" i="59"/>
  <c r="B243" i="59" s="1"/>
  <c r="D241" i="59"/>
  <c r="B241" i="59"/>
  <c r="U239" i="59"/>
  <c r="S239" i="59"/>
  <c r="Q239" i="59"/>
  <c r="O239" i="59"/>
  <c r="M239" i="59"/>
  <c r="K239" i="59"/>
  <c r="I239" i="59"/>
  <c r="G239" i="59"/>
  <c r="E239" i="59"/>
  <c r="C239" i="59"/>
  <c r="B239" i="59"/>
  <c r="U238" i="59"/>
  <c r="S238" i="59"/>
  <c r="Q238" i="59"/>
  <c r="O238" i="59"/>
  <c r="M238" i="59"/>
  <c r="K238" i="59"/>
  <c r="I238" i="59"/>
  <c r="G238" i="59"/>
  <c r="E238" i="59"/>
  <c r="C238" i="59"/>
  <c r="B238" i="59"/>
  <c r="U237" i="59"/>
  <c r="S237" i="59"/>
  <c r="Q237" i="59"/>
  <c r="O237" i="59"/>
  <c r="M237" i="59"/>
  <c r="K237" i="59"/>
  <c r="I237" i="59"/>
  <c r="G237" i="59"/>
  <c r="E237" i="59"/>
  <c r="C237" i="59"/>
  <c r="B237" i="59"/>
  <c r="U236" i="59"/>
  <c r="S236" i="59"/>
  <c r="Q236" i="59"/>
  <c r="O236" i="59"/>
  <c r="M236" i="59"/>
  <c r="K236" i="59"/>
  <c r="I236" i="59"/>
  <c r="G236" i="59"/>
  <c r="E236" i="59"/>
  <c r="C236" i="59"/>
  <c r="B236" i="59"/>
  <c r="U235" i="59"/>
  <c r="S235" i="59"/>
  <c r="Q235" i="59"/>
  <c r="O235" i="59"/>
  <c r="M235" i="59"/>
  <c r="K235" i="59"/>
  <c r="I235" i="59"/>
  <c r="G235" i="59"/>
  <c r="E235" i="59"/>
  <c r="C235" i="59"/>
  <c r="B235" i="59"/>
  <c r="U234" i="59"/>
  <c r="T234" i="59"/>
  <c r="S234" i="59"/>
  <c r="R234" i="59"/>
  <c r="Q234" i="59"/>
  <c r="P234" i="59"/>
  <c r="O234" i="59"/>
  <c r="N234" i="59"/>
  <c r="M234" i="59"/>
  <c r="L234" i="59"/>
  <c r="K234" i="59"/>
  <c r="J234" i="59"/>
  <c r="I234" i="59"/>
  <c r="H234" i="59"/>
  <c r="G234" i="59"/>
  <c r="F234" i="59"/>
  <c r="E234" i="59"/>
  <c r="D234" i="59"/>
  <c r="C234" i="59"/>
  <c r="B234" i="59"/>
  <c r="U233" i="59"/>
  <c r="S233" i="59"/>
  <c r="Q233" i="59"/>
  <c r="O233" i="59"/>
  <c r="M233" i="59"/>
  <c r="K233" i="59"/>
  <c r="I233" i="59"/>
  <c r="G233" i="59"/>
  <c r="E233" i="59"/>
  <c r="C233" i="59"/>
  <c r="B233" i="59"/>
  <c r="U232" i="59"/>
  <c r="S232" i="59"/>
  <c r="Q232" i="59"/>
  <c r="O232" i="59"/>
  <c r="M232" i="59"/>
  <c r="K232" i="59"/>
  <c r="I232" i="59"/>
  <c r="G232" i="59"/>
  <c r="E232" i="59"/>
  <c r="C232" i="59"/>
  <c r="B232" i="59"/>
  <c r="V230" i="59"/>
  <c r="T230" i="59"/>
  <c r="R230" i="59"/>
  <c r="P230" i="59"/>
  <c r="N230" i="59"/>
  <c r="L230" i="59"/>
  <c r="J230" i="59"/>
  <c r="H230" i="59"/>
  <c r="F230" i="59"/>
  <c r="D230" i="59"/>
  <c r="C230" i="59"/>
  <c r="B230" i="59"/>
  <c r="C229" i="59"/>
  <c r="B229" i="59"/>
  <c r="T228" i="59"/>
  <c r="R228" i="59"/>
  <c r="P228" i="59"/>
  <c r="N228" i="59"/>
  <c r="L228" i="59"/>
  <c r="J228" i="59"/>
  <c r="H228" i="59"/>
  <c r="F228" i="59"/>
  <c r="D228" i="59"/>
  <c r="C228" i="59"/>
  <c r="T227" i="59"/>
  <c r="R227" i="59"/>
  <c r="P227" i="59"/>
  <c r="N227" i="59"/>
  <c r="L227" i="59"/>
  <c r="J227" i="59"/>
  <c r="H227" i="59"/>
  <c r="F227" i="59"/>
  <c r="D227" i="59"/>
  <c r="C227" i="59"/>
  <c r="F226" i="59"/>
  <c r="D226" i="59"/>
  <c r="C226" i="59"/>
  <c r="T225" i="59"/>
  <c r="R225" i="59"/>
  <c r="P225" i="59"/>
  <c r="N225" i="59"/>
  <c r="L225" i="59"/>
  <c r="J225" i="59"/>
  <c r="H225" i="59"/>
  <c r="F225" i="59"/>
  <c r="D225" i="59"/>
  <c r="C225" i="59"/>
  <c r="T224" i="59"/>
  <c r="R224" i="59"/>
  <c r="P224" i="59"/>
  <c r="N224" i="59"/>
  <c r="L224" i="59"/>
  <c r="J224" i="59"/>
  <c r="H224" i="59"/>
  <c r="F224" i="59"/>
  <c r="D224" i="59"/>
  <c r="C224" i="59"/>
  <c r="F223" i="59"/>
  <c r="D223" i="59"/>
  <c r="C223" i="59"/>
  <c r="T222" i="59"/>
  <c r="R222" i="59"/>
  <c r="P222" i="59"/>
  <c r="N222" i="59"/>
  <c r="L222" i="59"/>
  <c r="J222" i="59"/>
  <c r="H222" i="59"/>
  <c r="F222" i="59"/>
  <c r="D222" i="59"/>
  <c r="C222" i="59"/>
  <c r="T221" i="59"/>
  <c r="R221" i="59"/>
  <c r="P221" i="59"/>
  <c r="N221" i="59"/>
  <c r="L221" i="59"/>
  <c r="J221" i="59"/>
  <c r="H221" i="59"/>
  <c r="F221" i="59"/>
  <c r="D221" i="59"/>
  <c r="C221" i="59"/>
  <c r="F220" i="59"/>
  <c r="D220" i="59"/>
  <c r="C220" i="59"/>
  <c r="T219" i="59"/>
  <c r="R219" i="59"/>
  <c r="P219" i="59"/>
  <c r="N219" i="59"/>
  <c r="L219" i="59"/>
  <c r="J219" i="59"/>
  <c r="H219" i="59"/>
  <c r="F219" i="59"/>
  <c r="D219" i="59"/>
  <c r="C219" i="59"/>
  <c r="T218" i="59"/>
  <c r="R218" i="59"/>
  <c r="P218" i="59"/>
  <c r="N218" i="59"/>
  <c r="L218" i="59"/>
  <c r="J218" i="59"/>
  <c r="H218" i="59"/>
  <c r="F218" i="59"/>
  <c r="D218" i="59"/>
  <c r="C218" i="59"/>
  <c r="H217" i="59"/>
  <c r="F217" i="59"/>
  <c r="D217" i="59"/>
  <c r="C217" i="59"/>
  <c r="T212" i="59"/>
  <c r="B212" i="59"/>
  <c r="B213" i="59" s="1"/>
  <c r="D211" i="59"/>
  <c r="B211" i="59"/>
  <c r="U209" i="59"/>
  <c r="S209" i="59"/>
  <c r="Q209" i="59"/>
  <c r="O209" i="59"/>
  <c r="M209" i="59"/>
  <c r="K209" i="59"/>
  <c r="I209" i="59"/>
  <c r="G209" i="59"/>
  <c r="E209" i="59"/>
  <c r="C209" i="59"/>
  <c r="B209" i="59"/>
  <c r="U208" i="59"/>
  <c r="S208" i="59"/>
  <c r="Q208" i="59"/>
  <c r="O208" i="59"/>
  <c r="M208" i="59"/>
  <c r="K208" i="59"/>
  <c r="I208" i="59"/>
  <c r="G208" i="59"/>
  <c r="E208" i="59"/>
  <c r="C208" i="59"/>
  <c r="B208" i="59"/>
  <c r="U207" i="59"/>
  <c r="S207" i="59"/>
  <c r="Q207" i="59"/>
  <c r="O207" i="59"/>
  <c r="M207" i="59"/>
  <c r="K207" i="59"/>
  <c r="I207" i="59"/>
  <c r="G207" i="59"/>
  <c r="E207" i="59"/>
  <c r="C207" i="59"/>
  <c r="B207" i="59"/>
  <c r="U206" i="59"/>
  <c r="S206" i="59"/>
  <c r="Q206" i="59"/>
  <c r="O206" i="59"/>
  <c r="M206" i="59"/>
  <c r="K206" i="59"/>
  <c r="I206" i="59"/>
  <c r="G206" i="59"/>
  <c r="E206" i="59"/>
  <c r="C206" i="59"/>
  <c r="B206" i="59"/>
  <c r="U205" i="59"/>
  <c r="S205" i="59"/>
  <c r="Q205" i="59"/>
  <c r="O205" i="59"/>
  <c r="M205" i="59"/>
  <c r="K205" i="59"/>
  <c r="I205" i="59"/>
  <c r="G205" i="59"/>
  <c r="E205" i="59"/>
  <c r="C205" i="59"/>
  <c r="B205" i="59"/>
  <c r="U204" i="59"/>
  <c r="T204" i="59"/>
  <c r="S204" i="59"/>
  <c r="Q204" i="59"/>
  <c r="P204" i="59"/>
  <c r="O204" i="59"/>
  <c r="M204" i="59"/>
  <c r="L204" i="59"/>
  <c r="K204" i="59"/>
  <c r="I204" i="59"/>
  <c r="H204" i="59"/>
  <c r="G204" i="59"/>
  <c r="E204" i="59"/>
  <c r="D204" i="59"/>
  <c r="C204" i="59"/>
  <c r="B204" i="59"/>
  <c r="U203" i="59"/>
  <c r="S203" i="59"/>
  <c r="Q203" i="59"/>
  <c r="O203" i="59"/>
  <c r="M203" i="59"/>
  <c r="K203" i="59"/>
  <c r="I203" i="59"/>
  <c r="G203" i="59"/>
  <c r="E203" i="59"/>
  <c r="C203" i="59"/>
  <c r="B203" i="59"/>
  <c r="U202" i="59"/>
  <c r="S202" i="59"/>
  <c r="Q202" i="59"/>
  <c r="O202" i="59"/>
  <c r="M202" i="59"/>
  <c r="K202" i="59"/>
  <c r="I202" i="59"/>
  <c r="G202" i="59"/>
  <c r="E202" i="59"/>
  <c r="C202" i="59"/>
  <c r="B202" i="59"/>
  <c r="T200" i="59"/>
  <c r="R200" i="59"/>
  <c r="P200" i="59"/>
  <c r="N200" i="59"/>
  <c r="L200" i="59"/>
  <c r="J200" i="59"/>
  <c r="H200" i="59"/>
  <c r="F200" i="59"/>
  <c r="D200" i="59"/>
  <c r="C200" i="59"/>
  <c r="B200" i="59"/>
  <c r="C199" i="59"/>
  <c r="B199" i="59"/>
  <c r="T198" i="59"/>
  <c r="R198" i="59"/>
  <c r="P198" i="59"/>
  <c r="N198" i="59"/>
  <c r="L198" i="59"/>
  <c r="J198" i="59"/>
  <c r="H198" i="59"/>
  <c r="F198" i="59"/>
  <c r="D198" i="59"/>
  <c r="C198" i="59"/>
  <c r="V197" i="59"/>
  <c r="T197" i="59"/>
  <c r="R197" i="59"/>
  <c r="P197" i="59"/>
  <c r="N197" i="59"/>
  <c r="L197" i="59"/>
  <c r="J197" i="59"/>
  <c r="H197" i="59"/>
  <c r="F197" i="59"/>
  <c r="D197" i="59"/>
  <c r="C197" i="59"/>
  <c r="F196" i="59"/>
  <c r="D196" i="59"/>
  <c r="C196" i="59"/>
  <c r="T195" i="59"/>
  <c r="R195" i="59"/>
  <c r="P195" i="59"/>
  <c r="N195" i="59"/>
  <c r="L195" i="59"/>
  <c r="J195" i="59"/>
  <c r="H195" i="59"/>
  <c r="F195" i="59"/>
  <c r="D195" i="59"/>
  <c r="C195" i="59"/>
  <c r="T194" i="59"/>
  <c r="R194" i="59"/>
  <c r="P194" i="59"/>
  <c r="N194" i="59"/>
  <c r="L194" i="59"/>
  <c r="J194" i="59"/>
  <c r="H194" i="59"/>
  <c r="F194" i="59"/>
  <c r="D194" i="59"/>
  <c r="C194" i="59"/>
  <c r="F193" i="59"/>
  <c r="D193" i="59"/>
  <c r="C193" i="59"/>
  <c r="T192" i="59"/>
  <c r="R192" i="59"/>
  <c r="P192" i="59"/>
  <c r="N192" i="59"/>
  <c r="L192" i="59"/>
  <c r="J192" i="59"/>
  <c r="H192" i="59"/>
  <c r="F192" i="59"/>
  <c r="D192" i="59"/>
  <c r="C192" i="59"/>
  <c r="T191" i="59"/>
  <c r="R191" i="59"/>
  <c r="P191" i="59"/>
  <c r="N191" i="59"/>
  <c r="L191" i="59"/>
  <c r="J191" i="59"/>
  <c r="H191" i="59"/>
  <c r="F191" i="59"/>
  <c r="D191" i="59"/>
  <c r="C191" i="59"/>
  <c r="F190" i="59"/>
  <c r="D190" i="59"/>
  <c r="C190" i="59"/>
  <c r="T189" i="59"/>
  <c r="R189" i="59"/>
  <c r="P189" i="59"/>
  <c r="N189" i="59"/>
  <c r="L189" i="59"/>
  <c r="J189" i="59"/>
  <c r="H189" i="59"/>
  <c r="F189" i="59"/>
  <c r="D189" i="59"/>
  <c r="C189" i="59"/>
  <c r="T188" i="59"/>
  <c r="R188" i="59"/>
  <c r="P188" i="59"/>
  <c r="N188" i="59"/>
  <c r="L188" i="59"/>
  <c r="J188" i="59"/>
  <c r="H188" i="59"/>
  <c r="F188" i="59"/>
  <c r="D188" i="59"/>
  <c r="C188" i="59"/>
  <c r="F187" i="59"/>
  <c r="D187" i="59"/>
  <c r="C187" i="59"/>
  <c r="T182" i="59"/>
  <c r="B182" i="59"/>
  <c r="B183" i="59" s="1"/>
  <c r="D181" i="59"/>
  <c r="B181" i="59"/>
  <c r="U179" i="59"/>
  <c r="S179" i="59"/>
  <c r="Q179" i="59"/>
  <c r="O179" i="59"/>
  <c r="M179" i="59"/>
  <c r="K179" i="59"/>
  <c r="I179" i="59"/>
  <c r="G179" i="59"/>
  <c r="E179" i="59"/>
  <c r="C179" i="59"/>
  <c r="B179" i="59"/>
  <c r="U178" i="59"/>
  <c r="S178" i="59"/>
  <c r="Q178" i="59"/>
  <c r="O178" i="59"/>
  <c r="M178" i="59"/>
  <c r="K178" i="59"/>
  <c r="I178" i="59"/>
  <c r="G178" i="59"/>
  <c r="E178" i="59"/>
  <c r="C178" i="59"/>
  <c r="B178" i="59"/>
  <c r="U177" i="59"/>
  <c r="S177" i="59"/>
  <c r="Q177" i="59"/>
  <c r="O177" i="59"/>
  <c r="M177" i="59"/>
  <c r="K177" i="59"/>
  <c r="I177" i="59"/>
  <c r="G177" i="59"/>
  <c r="E177" i="59"/>
  <c r="C177" i="59"/>
  <c r="B177" i="59"/>
  <c r="U176" i="59"/>
  <c r="S176" i="59"/>
  <c r="Q176" i="59"/>
  <c r="O176" i="59"/>
  <c r="M176" i="59"/>
  <c r="K176" i="59"/>
  <c r="I176" i="59"/>
  <c r="G176" i="59"/>
  <c r="E176" i="59"/>
  <c r="C176" i="59"/>
  <c r="B176" i="59"/>
  <c r="U175" i="59"/>
  <c r="S175" i="59"/>
  <c r="Q175" i="59"/>
  <c r="O175" i="59"/>
  <c r="M175" i="59"/>
  <c r="K175" i="59"/>
  <c r="I175" i="59"/>
  <c r="G175" i="59"/>
  <c r="E175" i="59"/>
  <c r="C175" i="59"/>
  <c r="B175" i="59"/>
  <c r="U174" i="59"/>
  <c r="S174" i="59"/>
  <c r="Q174" i="59"/>
  <c r="O174" i="59"/>
  <c r="M174" i="59"/>
  <c r="K174" i="59"/>
  <c r="I174" i="59"/>
  <c r="G174" i="59"/>
  <c r="E174" i="59"/>
  <c r="C174" i="59"/>
  <c r="B174" i="59"/>
  <c r="U173" i="59"/>
  <c r="S173" i="59"/>
  <c r="Q173" i="59"/>
  <c r="O173" i="59"/>
  <c r="M173" i="59"/>
  <c r="K173" i="59"/>
  <c r="I173" i="59"/>
  <c r="G173" i="59"/>
  <c r="E173" i="59"/>
  <c r="C173" i="59"/>
  <c r="B173" i="59"/>
  <c r="U172" i="59"/>
  <c r="S172" i="59"/>
  <c r="Q172" i="59"/>
  <c r="O172" i="59"/>
  <c r="M172" i="59"/>
  <c r="K172" i="59"/>
  <c r="I172" i="59"/>
  <c r="G172" i="59"/>
  <c r="E172" i="59"/>
  <c r="C172" i="59"/>
  <c r="B172" i="59"/>
  <c r="T170" i="59"/>
  <c r="R170" i="59"/>
  <c r="P170" i="59"/>
  <c r="N170" i="59"/>
  <c r="L170" i="59"/>
  <c r="J170" i="59"/>
  <c r="H170" i="59"/>
  <c r="F170" i="59"/>
  <c r="D170" i="59"/>
  <c r="C170" i="59"/>
  <c r="B170" i="59"/>
  <c r="C169" i="59"/>
  <c r="B169" i="59"/>
  <c r="T168" i="59"/>
  <c r="R168" i="59"/>
  <c r="P168" i="59"/>
  <c r="N168" i="59"/>
  <c r="L168" i="59"/>
  <c r="J168" i="59"/>
  <c r="H168" i="59"/>
  <c r="F168" i="59"/>
  <c r="D168" i="59"/>
  <c r="C168" i="59"/>
  <c r="T167" i="59"/>
  <c r="R167" i="59"/>
  <c r="P167" i="59"/>
  <c r="N167" i="59"/>
  <c r="L167" i="59"/>
  <c r="J167" i="59"/>
  <c r="H167" i="59"/>
  <c r="F167" i="59"/>
  <c r="D167" i="59"/>
  <c r="C167" i="59"/>
  <c r="F166" i="59"/>
  <c r="D166" i="59"/>
  <c r="C166" i="59"/>
  <c r="T165" i="59"/>
  <c r="R165" i="59"/>
  <c r="P165" i="59"/>
  <c r="N165" i="59"/>
  <c r="L165" i="59"/>
  <c r="J165" i="59"/>
  <c r="H165" i="59"/>
  <c r="F165" i="59"/>
  <c r="D165" i="59"/>
  <c r="C165" i="59"/>
  <c r="T164" i="59"/>
  <c r="R164" i="59"/>
  <c r="P164" i="59"/>
  <c r="N164" i="59"/>
  <c r="L164" i="59"/>
  <c r="J164" i="59"/>
  <c r="H164" i="59"/>
  <c r="F164" i="59"/>
  <c r="D164" i="59"/>
  <c r="C164" i="59"/>
  <c r="F163" i="59"/>
  <c r="D163" i="59"/>
  <c r="C163" i="59"/>
  <c r="T162" i="59"/>
  <c r="R162" i="59"/>
  <c r="P162" i="59"/>
  <c r="N162" i="59"/>
  <c r="L162" i="59"/>
  <c r="J162" i="59"/>
  <c r="H162" i="59"/>
  <c r="F162" i="59"/>
  <c r="D162" i="59"/>
  <c r="C162" i="59"/>
  <c r="T161" i="59"/>
  <c r="R161" i="59"/>
  <c r="P161" i="59"/>
  <c r="N161" i="59"/>
  <c r="L161" i="59"/>
  <c r="J161" i="59"/>
  <c r="H161" i="59"/>
  <c r="F161" i="59"/>
  <c r="D161" i="59"/>
  <c r="C161" i="59"/>
  <c r="F160" i="59"/>
  <c r="D160" i="59"/>
  <c r="C160" i="59"/>
  <c r="T159" i="59"/>
  <c r="R159" i="59"/>
  <c r="P159" i="59"/>
  <c r="N159" i="59"/>
  <c r="L159" i="59"/>
  <c r="J159" i="59"/>
  <c r="H159" i="59"/>
  <c r="F159" i="59"/>
  <c r="D159" i="59"/>
  <c r="C159" i="59"/>
  <c r="V158" i="59"/>
  <c r="T158" i="59"/>
  <c r="R158" i="59"/>
  <c r="P158" i="59"/>
  <c r="N158" i="59"/>
  <c r="L158" i="59"/>
  <c r="J158" i="59"/>
  <c r="H158" i="59"/>
  <c r="F158" i="59"/>
  <c r="D158" i="59"/>
  <c r="C158" i="59"/>
  <c r="F157" i="59"/>
  <c r="D157" i="59"/>
  <c r="C157" i="59"/>
  <c r="T152" i="59"/>
  <c r="B152" i="59"/>
  <c r="B153" i="59" s="1"/>
  <c r="D151" i="59"/>
  <c r="B151" i="59"/>
  <c r="U149" i="59"/>
  <c r="S149" i="59"/>
  <c r="Q149" i="59"/>
  <c r="O149" i="59"/>
  <c r="M149" i="59"/>
  <c r="K149" i="59"/>
  <c r="I149" i="59"/>
  <c r="G149" i="59"/>
  <c r="E149" i="59"/>
  <c r="C149" i="59"/>
  <c r="B149" i="59"/>
  <c r="U148" i="59"/>
  <c r="S148" i="59"/>
  <c r="Q148" i="59"/>
  <c r="O148" i="59"/>
  <c r="M148" i="59"/>
  <c r="K148" i="59"/>
  <c r="I148" i="59"/>
  <c r="G148" i="59"/>
  <c r="E148" i="59"/>
  <c r="C148" i="59"/>
  <c r="B148" i="59"/>
  <c r="U147" i="59"/>
  <c r="S147" i="59"/>
  <c r="Q147" i="59"/>
  <c r="O147" i="59"/>
  <c r="M147" i="59"/>
  <c r="K147" i="59"/>
  <c r="I147" i="59"/>
  <c r="G147" i="59"/>
  <c r="E147" i="59"/>
  <c r="C147" i="59"/>
  <c r="B147" i="59"/>
  <c r="U146" i="59"/>
  <c r="S146" i="59"/>
  <c r="Q146" i="59"/>
  <c r="O146" i="59"/>
  <c r="M146" i="59"/>
  <c r="K146" i="59"/>
  <c r="I146" i="59"/>
  <c r="G146" i="59"/>
  <c r="E146" i="59"/>
  <c r="C146" i="59"/>
  <c r="B146" i="59"/>
  <c r="U145" i="59"/>
  <c r="S145" i="59"/>
  <c r="Q145" i="59"/>
  <c r="O145" i="59"/>
  <c r="M145" i="59"/>
  <c r="K145" i="59"/>
  <c r="I145" i="59"/>
  <c r="G145" i="59"/>
  <c r="E145" i="59"/>
  <c r="C145" i="59"/>
  <c r="B145" i="59"/>
  <c r="U144" i="59"/>
  <c r="S144" i="59"/>
  <c r="Q144" i="59"/>
  <c r="O144" i="59"/>
  <c r="M144" i="59"/>
  <c r="K144" i="59"/>
  <c r="I144" i="59"/>
  <c r="G144" i="59"/>
  <c r="E144" i="59"/>
  <c r="C144" i="59"/>
  <c r="B144" i="59"/>
  <c r="U143" i="59"/>
  <c r="S143" i="59"/>
  <c r="Q143" i="59"/>
  <c r="O143" i="59"/>
  <c r="M143" i="59"/>
  <c r="K143" i="59"/>
  <c r="I143" i="59"/>
  <c r="G143" i="59"/>
  <c r="E143" i="59"/>
  <c r="C143" i="59"/>
  <c r="B143" i="59"/>
  <c r="U142" i="59"/>
  <c r="S142" i="59"/>
  <c r="Q142" i="59"/>
  <c r="O142" i="59"/>
  <c r="M142" i="59"/>
  <c r="K142" i="59"/>
  <c r="I142" i="59"/>
  <c r="G142" i="59"/>
  <c r="E142" i="59"/>
  <c r="C142" i="59"/>
  <c r="B142" i="59"/>
  <c r="T140" i="59"/>
  <c r="R140" i="59"/>
  <c r="P140" i="59"/>
  <c r="N140" i="59"/>
  <c r="L140" i="59"/>
  <c r="J140" i="59"/>
  <c r="H140" i="59"/>
  <c r="F140" i="59"/>
  <c r="D140" i="59"/>
  <c r="C140" i="59"/>
  <c r="B140" i="59"/>
  <c r="F139" i="59"/>
  <c r="C139" i="59"/>
  <c r="B139" i="59"/>
  <c r="T138" i="59"/>
  <c r="R138" i="59"/>
  <c r="P138" i="59"/>
  <c r="N138" i="59"/>
  <c r="L138" i="59"/>
  <c r="J138" i="59"/>
  <c r="H138" i="59"/>
  <c r="F138" i="59"/>
  <c r="D138" i="59"/>
  <c r="C138" i="59"/>
  <c r="T137" i="59"/>
  <c r="R137" i="59"/>
  <c r="P137" i="59"/>
  <c r="N137" i="59"/>
  <c r="L137" i="59"/>
  <c r="J137" i="59"/>
  <c r="H137" i="59"/>
  <c r="F137" i="59"/>
  <c r="D137" i="59"/>
  <c r="C137" i="59"/>
  <c r="F136" i="59"/>
  <c r="D136" i="59"/>
  <c r="C136" i="59"/>
  <c r="T135" i="59"/>
  <c r="R135" i="59"/>
  <c r="P135" i="59"/>
  <c r="N135" i="59"/>
  <c r="L135" i="59"/>
  <c r="J135" i="59"/>
  <c r="H135" i="59"/>
  <c r="F135" i="59"/>
  <c r="D135" i="59"/>
  <c r="C135" i="59"/>
  <c r="T134" i="59"/>
  <c r="R134" i="59"/>
  <c r="P134" i="59"/>
  <c r="N134" i="59"/>
  <c r="L134" i="59"/>
  <c r="J134" i="59"/>
  <c r="H134" i="59"/>
  <c r="F134" i="59"/>
  <c r="D134" i="59"/>
  <c r="C134" i="59"/>
  <c r="H133" i="59"/>
  <c r="F133" i="59"/>
  <c r="D133" i="59"/>
  <c r="C133" i="59"/>
  <c r="T132" i="59"/>
  <c r="R132" i="59"/>
  <c r="P132" i="59"/>
  <c r="N132" i="59"/>
  <c r="L132" i="59"/>
  <c r="J132" i="59"/>
  <c r="H132" i="59"/>
  <c r="F132" i="59"/>
  <c r="D132" i="59"/>
  <c r="C132" i="59"/>
  <c r="T131" i="59"/>
  <c r="R131" i="59"/>
  <c r="P131" i="59"/>
  <c r="N131" i="59"/>
  <c r="L131" i="59"/>
  <c r="J131" i="59"/>
  <c r="H131" i="59"/>
  <c r="F131" i="59"/>
  <c r="D131" i="59"/>
  <c r="C131" i="59"/>
  <c r="H130" i="59"/>
  <c r="F130" i="59"/>
  <c r="D130" i="59"/>
  <c r="C130" i="59"/>
  <c r="T129" i="59"/>
  <c r="R129" i="59"/>
  <c r="P129" i="59"/>
  <c r="N129" i="59"/>
  <c r="L129" i="59"/>
  <c r="J129" i="59"/>
  <c r="H129" i="59"/>
  <c r="F129" i="59"/>
  <c r="D129" i="59"/>
  <c r="C129" i="59"/>
  <c r="T128" i="59"/>
  <c r="R128" i="59"/>
  <c r="P128" i="59"/>
  <c r="N128" i="59"/>
  <c r="L128" i="59"/>
  <c r="J128" i="59"/>
  <c r="H128" i="59"/>
  <c r="F128" i="59"/>
  <c r="D128" i="59"/>
  <c r="C128" i="59"/>
  <c r="H127" i="59"/>
  <c r="F127" i="59"/>
  <c r="D127" i="59"/>
  <c r="C127" i="59"/>
  <c r="T122" i="59"/>
  <c r="B122" i="59"/>
  <c r="B123" i="59" s="1"/>
  <c r="D121" i="59"/>
  <c r="B121" i="59"/>
  <c r="U119" i="59"/>
  <c r="S119" i="59"/>
  <c r="Q119" i="59"/>
  <c r="O119" i="59"/>
  <c r="M119" i="59"/>
  <c r="K119" i="59"/>
  <c r="I119" i="59"/>
  <c r="G119" i="59"/>
  <c r="E119" i="59"/>
  <c r="C119" i="59"/>
  <c r="B119" i="59"/>
  <c r="U118" i="59"/>
  <c r="S118" i="59"/>
  <c r="Q118" i="59"/>
  <c r="O118" i="59"/>
  <c r="M118" i="59"/>
  <c r="K118" i="59"/>
  <c r="I118" i="59"/>
  <c r="G118" i="59"/>
  <c r="E118" i="59"/>
  <c r="C118" i="59"/>
  <c r="B118" i="59"/>
  <c r="U117" i="59"/>
  <c r="S117" i="59"/>
  <c r="Q117" i="59"/>
  <c r="O117" i="59"/>
  <c r="M117" i="59"/>
  <c r="K117" i="59"/>
  <c r="I117" i="59"/>
  <c r="G117" i="59"/>
  <c r="E117" i="59"/>
  <c r="C117" i="59"/>
  <c r="B117" i="59"/>
  <c r="U116" i="59"/>
  <c r="S116" i="59"/>
  <c r="Q116" i="59"/>
  <c r="O116" i="59"/>
  <c r="M116" i="59"/>
  <c r="K116" i="59"/>
  <c r="I116" i="59"/>
  <c r="G116" i="59"/>
  <c r="E116" i="59"/>
  <c r="C116" i="59"/>
  <c r="B116" i="59"/>
  <c r="U115" i="59"/>
  <c r="S115" i="59"/>
  <c r="Q115" i="59"/>
  <c r="O115" i="59"/>
  <c r="M115" i="59"/>
  <c r="K115" i="59"/>
  <c r="I115" i="59"/>
  <c r="G115" i="59"/>
  <c r="E115" i="59"/>
  <c r="C115" i="59"/>
  <c r="B115" i="59"/>
  <c r="U114" i="59"/>
  <c r="S114" i="59"/>
  <c r="Q114" i="59"/>
  <c r="O114" i="59"/>
  <c r="M114" i="59"/>
  <c r="K114" i="59"/>
  <c r="I114" i="59"/>
  <c r="G114" i="59"/>
  <c r="E114" i="59"/>
  <c r="C114" i="59"/>
  <c r="B114" i="59"/>
  <c r="U113" i="59"/>
  <c r="S113" i="59"/>
  <c r="Q113" i="59"/>
  <c r="O113" i="59"/>
  <c r="M113" i="59"/>
  <c r="K113" i="59"/>
  <c r="I113" i="59"/>
  <c r="G113" i="59"/>
  <c r="E113" i="59"/>
  <c r="C113" i="59"/>
  <c r="B113" i="59"/>
  <c r="U112" i="59"/>
  <c r="S112" i="59"/>
  <c r="Q112" i="59"/>
  <c r="O112" i="59"/>
  <c r="M112" i="59"/>
  <c r="K112" i="59"/>
  <c r="I112" i="59"/>
  <c r="G112" i="59"/>
  <c r="E112" i="59"/>
  <c r="C112" i="59"/>
  <c r="B112" i="59"/>
  <c r="T110" i="59"/>
  <c r="R110" i="59"/>
  <c r="P110" i="59"/>
  <c r="N110" i="59"/>
  <c r="L110" i="59"/>
  <c r="J110" i="59"/>
  <c r="H110" i="59"/>
  <c r="F110" i="59"/>
  <c r="D110" i="59"/>
  <c r="C110" i="59"/>
  <c r="B110" i="59"/>
  <c r="C109" i="59"/>
  <c r="B109" i="59"/>
  <c r="T108" i="59"/>
  <c r="R108" i="59"/>
  <c r="P108" i="59"/>
  <c r="N108" i="59"/>
  <c r="L108" i="59"/>
  <c r="J108" i="59"/>
  <c r="H108" i="59"/>
  <c r="F108" i="59"/>
  <c r="D108" i="59"/>
  <c r="C108" i="59"/>
  <c r="T107" i="59"/>
  <c r="R107" i="59"/>
  <c r="P107" i="59"/>
  <c r="N107" i="59"/>
  <c r="L107" i="59"/>
  <c r="J107" i="59"/>
  <c r="H107" i="59"/>
  <c r="F107" i="59"/>
  <c r="D107" i="59"/>
  <c r="C107" i="59"/>
  <c r="F106" i="59"/>
  <c r="D106" i="59"/>
  <c r="C106" i="59"/>
  <c r="T105" i="59"/>
  <c r="R105" i="59"/>
  <c r="P105" i="59"/>
  <c r="N105" i="59"/>
  <c r="L105" i="59"/>
  <c r="J105" i="59"/>
  <c r="H105" i="59"/>
  <c r="F105" i="59"/>
  <c r="D105" i="59"/>
  <c r="C105" i="59"/>
  <c r="T104" i="59"/>
  <c r="R104" i="59"/>
  <c r="P104" i="59"/>
  <c r="N104" i="59"/>
  <c r="L104" i="59"/>
  <c r="J104" i="59"/>
  <c r="H104" i="59"/>
  <c r="F104" i="59"/>
  <c r="D104" i="59"/>
  <c r="C104" i="59"/>
  <c r="F103" i="59"/>
  <c r="D103" i="59"/>
  <c r="C103" i="59"/>
  <c r="T102" i="59"/>
  <c r="R102" i="59"/>
  <c r="P102" i="59"/>
  <c r="N102" i="59"/>
  <c r="L102" i="59"/>
  <c r="J102" i="59"/>
  <c r="H102" i="59"/>
  <c r="F102" i="59"/>
  <c r="D102" i="59"/>
  <c r="C102" i="59"/>
  <c r="T101" i="59"/>
  <c r="R101" i="59"/>
  <c r="P101" i="59"/>
  <c r="N101" i="59"/>
  <c r="L101" i="59"/>
  <c r="J101" i="59"/>
  <c r="H101" i="59"/>
  <c r="F101" i="59"/>
  <c r="D101" i="59"/>
  <c r="C101" i="59"/>
  <c r="H100" i="59"/>
  <c r="F100" i="59"/>
  <c r="D100" i="59"/>
  <c r="C100" i="59"/>
  <c r="T99" i="59"/>
  <c r="R99" i="59"/>
  <c r="P99" i="59"/>
  <c r="N99" i="59"/>
  <c r="L99" i="59"/>
  <c r="J99" i="59"/>
  <c r="H99" i="59"/>
  <c r="F99" i="59"/>
  <c r="D99" i="59"/>
  <c r="C99" i="59"/>
  <c r="T98" i="59"/>
  <c r="R98" i="59"/>
  <c r="P98" i="59"/>
  <c r="N98" i="59"/>
  <c r="L98" i="59"/>
  <c r="J98" i="59"/>
  <c r="H98" i="59"/>
  <c r="F98" i="59"/>
  <c r="D98" i="59"/>
  <c r="C98" i="59"/>
  <c r="F97" i="59"/>
  <c r="D97" i="59"/>
  <c r="C97" i="59"/>
  <c r="T92" i="59"/>
  <c r="B92" i="59"/>
  <c r="B93" i="59" s="1"/>
  <c r="D91" i="59"/>
  <c r="B91" i="59"/>
  <c r="U89" i="59"/>
  <c r="S89" i="59"/>
  <c r="Q89" i="59"/>
  <c r="O89" i="59"/>
  <c r="M89" i="59"/>
  <c r="K89" i="59"/>
  <c r="I89" i="59"/>
  <c r="G89" i="59"/>
  <c r="E89" i="59"/>
  <c r="C89" i="59"/>
  <c r="B89" i="59"/>
  <c r="U88" i="59"/>
  <c r="S88" i="59"/>
  <c r="Q88" i="59"/>
  <c r="O88" i="59"/>
  <c r="M88" i="59"/>
  <c r="K88" i="59"/>
  <c r="I88" i="59"/>
  <c r="G88" i="59"/>
  <c r="E88" i="59"/>
  <c r="C88" i="59"/>
  <c r="B88" i="59"/>
  <c r="U87" i="59"/>
  <c r="S87" i="59"/>
  <c r="Q87" i="59"/>
  <c r="O87" i="59"/>
  <c r="M87" i="59"/>
  <c r="K87" i="59"/>
  <c r="I87" i="59"/>
  <c r="G87" i="59"/>
  <c r="E87" i="59"/>
  <c r="C87" i="59"/>
  <c r="B87" i="59"/>
  <c r="U86" i="59"/>
  <c r="S86" i="59"/>
  <c r="Q86" i="59"/>
  <c r="O86" i="59"/>
  <c r="M86" i="59"/>
  <c r="K86" i="59"/>
  <c r="I86" i="59"/>
  <c r="G86" i="59"/>
  <c r="E86" i="59"/>
  <c r="C86" i="59"/>
  <c r="B86" i="59"/>
  <c r="U85" i="59"/>
  <c r="S85" i="59"/>
  <c r="Q85" i="59"/>
  <c r="O85" i="59"/>
  <c r="M85" i="59"/>
  <c r="K85" i="59"/>
  <c r="I85" i="59"/>
  <c r="G85" i="59"/>
  <c r="E85" i="59"/>
  <c r="C85" i="59"/>
  <c r="B85" i="59"/>
  <c r="U84" i="59"/>
  <c r="T84" i="59"/>
  <c r="S84" i="59"/>
  <c r="R84" i="59"/>
  <c r="Q84" i="59"/>
  <c r="P84" i="59"/>
  <c r="O84" i="59"/>
  <c r="N84" i="59"/>
  <c r="M84" i="59"/>
  <c r="L84" i="59"/>
  <c r="K84" i="59"/>
  <c r="J84" i="59"/>
  <c r="I84" i="59"/>
  <c r="H84" i="59"/>
  <c r="G84" i="59"/>
  <c r="F84" i="59"/>
  <c r="E84" i="59"/>
  <c r="D84" i="59"/>
  <c r="C84" i="59"/>
  <c r="B84" i="59"/>
  <c r="U83" i="59"/>
  <c r="S83" i="59"/>
  <c r="Q83" i="59"/>
  <c r="O83" i="59"/>
  <c r="M83" i="59"/>
  <c r="K83" i="59"/>
  <c r="I83" i="59"/>
  <c r="G83" i="59"/>
  <c r="E83" i="59"/>
  <c r="C83" i="59"/>
  <c r="B83" i="59"/>
  <c r="U82" i="59"/>
  <c r="S82" i="59"/>
  <c r="Q82" i="59"/>
  <c r="O82" i="59"/>
  <c r="M82" i="59"/>
  <c r="K82" i="59"/>
  <c r="I82" i="59"/>
  <c r="G82" i="59"/>
  <c r="E82" i="59"/>
  <c r="C82" i="59"/>
  <c r="B82" i="59"/>
  <c r="V80" i="59"/>
  <c r="T80" i="59"/>
  <c r="R80" i="59"/>
  <c r="P80" i="59"/>
  <c r="N80" i="59"/>
  <c r="L80" i="59"/>
  <c r="J80" i="59"/>
  <c r="H80" i="59"/>
  <c r="F80" i="59"/>
  <c r="D80" i="59"/>
  <c r="C80" i="59"/>
  <c r="B80" i="59"/>
  <c r="C79" i="59"/>
  <c r="B79" i="59"/>
  <c r="T78" i="59"/>
  <c r="R78" i="59"/>
  <c r="P78" i="59"/>
  <c r="N78" i="59"/>
  <c r="L78" i="59"/>
  <c r="J78" i="59"/>
  <c r="H78" i="59"/>
  <c r="F78" i="59"/>
  <c r="D78" i="59"/>
  <c r="C78" i="59"/>
  <c r="T77" i="59"/>
  <c r="R77" i="59"/>
  <c r="P77" i="59"/>
  <c r="N77" i="59"/>
  <c r="L77" i="59"/>
  <c r="J77" i="59"/>
  <c r="H77" i="59"/>
  <c r="F77" i="59"/>
  <c r="D77" i="59"/>
  <c r="C77" i="59"/>
  <c r="F76" i="59"/>
  <c r="D76" i="59"/>
  <c r="C76" i="59"/>
  <c r="T75" i="59"/>
  <c r="R75" i="59"/>
  <c r="P75" i="59"/>
  <c r="N75" i="59"/>
  <c r="L75" i="59"/>
  <c r="J75" i="59"/>
  <c r="H75" i="59"/>
  <c r="F75" i="59"/>
  <c r="D75" i="59"/>
  <c r="C75" i="59"/>
  <c r="T74" i="59"/>
  <c r="R74" i="59"/>
  <c r="P74" i="59"/>
  <c r="N74" i="59"/>
  <c r="L74" i="59"/>
  <c r="J74" i="59"/>
  <c r="H74" i="59"/>
  <c r="F74" i="59"/>
  <c r="D74" i="59"/>
  <c r="C74" i="59"/>
  <c r="F73" i="59"/>
  <c r="D73" i="59"/>
  <c r="C73" i="59"/>
  <c r="T72" i="59"/>
  <c r="R72" i="59"/>
  <c r="P72" i="59"/>
  <c r="N72" i="59"/>
  <c r="L72" i="59"/>
  <c r="J72" i="59"/>
  <c r="H72" i="59"/>
  <c r="F72" i="59"/>
  <c r="D72" i="59"/>
  <c r="C72" i="59"/>
  <c r="T71" i="59"/>
  <c r="R71" i="59"/>
  <c r="P71" i="59"/>
  <c r="N71" i="59"/>
  <c r="L71" i="59"/>
  <c r="J71" i="59"/>
  <c r="H71" i="59"/>
  <c r="F71" i="59"/>
  <c r="D71" i="59"/>
  <c r="C71" i="59"/>
  <c r="H70" i="59"/>
  <c r="F70" i="59"/>
  <c r="D70" i="59"/>
  <c r="C70" i="59"/>
  <c r="T69" i="59"/>
  <c r="R69" i="59"/>
  <c r="P69" i="59"/>
  <c r="N69" i="59"/>
  <c r="L69" i="59"/>
  <c r="J69" i="59"/>
  <c r="H69" i="59"/>
  <c r="F69" i="59"/>
  <c r="D69" i="59"/>
  <c r="C69" i="59"/>
  <c r="T68" i="59"/>
  <c r="R68" i="59"/>
  <c r="P68" i="59"/>
  <c r="N68" i="59"/>
  <c r="L68" i="59"/>
  <c r="J68" i="59"/>
  <c r="H68" i="59"/>
  <c r="F68" i="59"/>
  <c r="D68" i="59"/>
  <c r="C68" i="59"/>
  <c r="H67" i="59"/>
  <c r="F67" i="59"/>
  <c r="D67" i="59"/>
  <c r="C67" i="59"/>
  <c r="T62" i="59"/>
  <c r="B62" i="59"/>
  <c r="B63" i="59"/>
  <c r="D61" i="59"/>
  <c r="B61" i="59"/>
  <c r="U59" i="59"/>
  <c r="S59" i="59"/>
  <c r="Q59" i="59"/>
  <c r="O59" i="59"/>
  <c r="M59" i="59"/>
  <c r="K59" i="59"/>
  <c r="I59" i="59"/>
  <c r="G59" i="59"/>
  <c r="E59" i="59"/>
  <c r="C59" i="59"/>
  <c r="B59" i="59"/>
  <c r="U58" i="59"/>
  <c r="S58" i="59"/>
  <c r="Q58" i="59"/>
  <c r="O58" i="59"/>
  <c r="M58" i="59"/>
  <c r="K58" i="59"/>
  <c r="I58" i="59"/>
  <c r="G58" i="59"/>
  <c r="E58" i="59"/>
  <c r="C58" i="59"/>
  <c r="B58" i="59"/>
  <c r="U57" i="59"/>
  <c r="S57" i="59"/>
  <c r="Q57" i="59"/>
  <c r="O57" i="59"/>
  <c r="M57" i="59"/>
  <c r="K57" i="59"/>
  <c r="I57" i="59"/>
  <c r="G57" i="59"/>
  <c r="E57" i="59"/>
  <c r="C57" i="59"/>
  <c r="B57" i="59"/>
  <c r="U56" i="59"/>
  <c r="S56" i="59"/>
  <c r="Q56" i="59"/>
  <c r="O56" i="59"/>
  <c r="M56" i="59"/>
  <c r="K56" i="59"/>
  <c r="I56" i="59"/>
  <c r="G56" i="59"/>
  <c r="E56" i="59"/>
  <c r="C56" i="59"/>
  <c r="B56" i="59"/>
  <c r="U55" i="59"/>
  <c r="S55" i="59"/>
  <c r="Q55" i="59"/>
  <c r="O55" i="59"/>
  <c r="M55" i="59"/>
  <c r="K55" i="59"/>
  <c r="I55" i="59"/>
  <c r="G55" i="59"/>
  <c r="E55" i="59"/>
  <c r="C55" i="59"/>
  <c r="B55" i="59"/>
  <c r="U54" i="59"/>
  <c r="T54" i="59"/>
  <c r="S54" i="59"/>
  <c r="R54" i="59"/>
  <c r="Q54" i="59"/>
  <c r="P54" i="59"/>
  <c r="O54" i="59"/>
  <c r="N54" i="59"/>
  <c r="M54" i="59"/>
  <c r="L54" i="59"/>
  <c r="K54" i="59"/>
  <c r="J54" i="59"/>
  <c r="I54" i="59"/>
  <c r="H54" i="59"/>
  <c r="G54" i="59"/>
  <c r="F54" i="59"/>
  <c r="E54" i="59"/>
  <c r="D54" i="59"/>
  <c r="C54" i="59"/>
  <c r="B54" i="59"/>
  <c r="U53" i="59"/>
  <c r="S53" i="59"/>
  <c r="Q53" i="59"/>
  <c r="O53" i="59"/>
  <c r="M53" i="59"/>
  <c r="K53" i="59"/>
  <c r="I53" i="59"/>
  <c r="G53" i="59"/>
  <c r="E53" i="59"/>
  <c r="C53" i="59"/>
  <c r="B53" i="59"/>
  <c r="U52" i="59"/>
  <c r="S52" i="59"/>
  <c r="Q52" i="59"/>
  <c r="O52" i="59"/>
  <c r="M52" i="59"/>
  <c r="K52" i="59"/>
  <c r="I52" i="59"/>
  <c r="G52" i="59"/>
  <c r="E52" i="59"/>
  <c r="C52" i="59"/>
  <c r="B52" i="59"/>
  <c r="V50" i="59"/>
  <c r="T50" i="59"/>
  <c r="R50" i="59"/>
  <c r="P50" i="59"/>
  <c r="N50" i="59"/>
  <c r="L50" i="59"/>
  <c r="J50" i="59"/>
  <c r="H50" i="59"/>
  <c r="F50" i="59"/>
  <c r="D50" i="59"/>
  <c r="C50" i="59"/>
  <c r="B50" i="59"/>
  <c r="C49" i="59"/>
  <c r="B49" i="59"/>
  <c r="V48" i="59"/>
  <c r="T48" i="59"/>
  <c r="R48" i="59"/>
  <c r="P48" i="59"/>
  <c r="N48" i="59"/>
  <c r="L48" i="59"/>
  <c r="J48" i="59"/>
  <c r="H48" i="59"/>
  <c r="F48" i="59"/>
  <c r="D48" i="59"/>
  <c r="C48" i="59"/>
  <c r="T47" i="59"/>
  <c r="R47" i="59"/>
  <c r="P47" i="59"/>
  <c r="N47" i="59"/>
  <c r="L47" i="59"/>
  <c r="J47" i="59"/>
  <c r="H47" i="59"/>
  <c r="F47" i="59"/>
  <c r="D47" i="59"/>
  <c r="C47" i="59"/>
  <c r="F46" i="59"/>
  <c r="D46" i="59"/>
  <c r="C46" i="59"/>
  <c r="T45" i="59"/>
  <c r="R45" i="59"/>
  <c r="P45" i="59"/>
  <c r="N45" i="59"/>
  <c r="L45" i="59"/>
  <c r="J45" i="59"/>
  <c r="H45" i="59"/>
  <c r="F45" i="59"/>
  <c r="D45" i="59"/>
  <c r="C45" i="59"/>
  <c r="T44" i="59"/>
  <c r="R44" i="59"/>
  <c r="P44" i="59"/>
  <c r="N44" i="59"/>
  <c r="L44" i="59"/>
  <c r="J44" i="59"/>
  <c r="H44" i="59"/>
  <c r="F44" i="59"/>
  <c r="D44" i="59"/>
  <c r="C44" i="59"/>
  <c r="F43" i="59"/>
  <c r="D43" i="59"/>
  <c r="C43" i="59"/>
  <c r="T42" i="59"/>
  <c r="R42" i="59"/>
  <c r="P42" i="59"/>
  <c r="N42" i="59"/>
  <c r="L42" i="59"/>
  <c r="J42" i="59"/>
  <c r="H42" i="59"/>
  <c r="F42" i="59"/>
  <c r="D42" i="59"/>
  <c r="C42" i="59"/>
  <c r="T41" i="59"/>
  <c r="R41" i="59"/>
  <c r="P41" i="59"/>
  <c r="N41" i="59"/>
  <c r="L41" i="59"/>
  <c r="J41" i="59"/>
  <c r="H41" i="59"/>
  <c r="F41" i="59"/>
  <c r="D41" i="59"/>
  <c r="C41" i="59"/>
  <c r="F40" i="59"/>
  <c r="D40" i="59"/>
  <c r="C40" i="59"/>
  <c r="T39" i="59"/>
  <c r="R39" i="59"/>
  <c r="P39" i="59"/>
  <c r="N39" i="59"/>
  <c r="L39" i="59"/>
  <c r="J39" i="59"/>
  <c r="H39" i="59"/>
  <c r="F39" i="59"/>
  <c r="D39" i="59"/>
  <c r="C39" i="59"/>
  <c r="T38" i="59"/>
  <c r="R38" i="59"/>
  <c r="P38" i="59"/>
  <c r="N38" i="59"/>
  <c r="L38" i="59"/>
  <c r="J38" i="59"/>
  <c r="H38" i="59"/>
  <c r="F38" i="59"/>
  <c r="D38" i="59"/>
  <c r="C38" i="59"/>
  <c r="F37" i="59"/>
  <c r="D37" i="59"/>
  <c r="C37" i="59"/>
  <c r="T32" i="59"/>
  <c r="B32" i="59"/>
  <c r="B33" i="59" s="1"/>
  <c r="D31" i="59"/>
  <c r="B31" i="59"/>
  <c r="U29" i="59"/>
  <c r="S29" i="59"/>
  <c r="Q29" i="59"/>
  <c r="O29" i="59"/>
  <c r="M29" i="59"/>
  <c r="K29" i="59"/>
  <c r="I29" i="59"/>
  <c r="G29" i="59"/>
  <c r="E29" i="59"/>
  <c r="C29" i="59"/>
  <c r="B29" i="59"/>
  <c r="U28" i="59"/>
  <c r="S28" i="59"/>
  <c r="Q28" i="59"/>
  <c r="O28" i="59"/>
  <c r="M28" i="59"/>
  <c r="K28" i="59"/>
  <c r="I28" i="59"/>
  <c r="G28" i="59"/>
  <c r="E28" i="59"/>
  <c r="C28" i="59"/>
  <c r="B28" i="59"/>
  <c r="U27" i="59"/>
  <c r="S27" i="59"/>
  <c r="Q27" i="59"/>
  <c r="O27" i="59"/>
  <c r="M27" i="59"/>
  <c r="K27" i="59"/>
  <c r="I27" i="59"/>
  <c r="G27" i="59"/>
  <c r="E27" i="59"/>
  <c r="C27" i="59"/>
  <c r="B27" i="59"/>
  <c r="U26" i="59"/>
  <c r="S26" i="59"/>
  <c r="Q26" i="59"/>
  <c r="O26" i="59"/>
  <c r="M26" i="59"/>
  <c r="K26" i="59"/>
  <c r="I26" i="59"/>
  <c r="G26" i="59"/>
  <c r="E26" i="59"/>
  <c r="C26" i="59"/>
  <c r="B26" i="59"/>
  <c r="U25" i="59"/>
  <c r="S25" i="59"/>
  <c r="Q25" i="59"/>
  <c r="O25" i="59"/>
  <c r="M25" i="59"/>
  <c r="K25" i="59"/>
  <c r="I25" i="59"/>
  <c r="G25" i="59"/>
  <c r="E25" i="59"/>
  <c r="C25" i="59"/>
  <c r="B25" i="59"/>
  <c r="U24" i="59"/>
  <c r="T24" i="59"/>
  <c r="S24" i="59"/>
  <c r="R24" i="59"/>
  <c r="Q24" i="59"/>
  <c r="P24" i="59"/>
  <c r="O24" i="59"/>
  <c r="N24" i="59"/>
  <c r="M24" i="59"/>
  <c r="L24" i="59"/>
  <c r="K24" i="59"/>
  <c r="J24" i="59"/>
  <c r="I24" i="59"/>
  <c r="H24" i="59"/>
  <c r="G24" i="59"/>
  <c r="F24" i="59"/>
  <c r="E24" i="59"/>
  <c r="D24" i="59"/>
  <c r="C24" i="59"/>
  <c r="B24" i="59"/>
  <c r="U23" i="59"/>
  <c r="S23" i="59"/>
  <c r="Q23" i="59"/>
  <c r="O23" i="59"/>
  <c r="M23" i="59"/>
  <c r="K23" i="59"/>
  <c r="I23" i="59"/>
  <c r="G23" i="59"/>
  <c r="E23" i="59"/>
  <c r="C23" i="59"/>
  <c r="B23" i="59"/>
  <c r="U22" i="59"/>
  <c r="S22" i="59"/>
  <c r="Q22" i="59"/>
  <c r="O22" i="59"/>
  <c r="M22" i="59"/>
  <c r="K22" i="59"/>
  <c r="I22" i="59"/>
  <c r="G22" i="59"/>
  <c r="E22" i="59"/>
  <c r="C22" i="59"/>
  <c r="B22" i="59"/>
  <c r="V20" i="59"/>
  <c r="T20" i="59"/>
  <c r="R20" i="59"/>
  <c r="P20" i="59"/>
  <c r="N20" i="59"/>
  <c r="L20" i="59"/>
  <c r="J20" i="59"/>
  <c r="H20" i="59"/>
  <c r="F20" i="59"/>
  <c r="D20" i="59"/>
  <c r="C20" i="59"/>
  <c r="B20" i="59"/>
  <c r="C19" i="59"/>
  <c r="B19" i="59"/>
  <c r="V18" i="59"/>
  <c r="T18" i="59"/>
  <c r="R18" i="59"/>
  <c r="P18" i="59"/>
  <c r="N18" i="59"/>
  <c r="L18" i="59"/>
  <c r="J18" i="59"/>
  <c r="H18" i="59"/>
  <c r="F18" i="59"/>
  <c r="D18" i="59"/>
  <c r="C18" i="59"/>
  <c r="T17" i="59"/>
  <c r="R17" i="59"/>
  <c r="P17" i="59"/>
  <c r="N17" i="59"/>
  <c r="L17" i="59"/>
  <c r="J17" i="59"/>
  <c r="H17" i="59"/>
  <c r="F17" i="59"/>
  <c r="D17" i="59"/>
  <c r="C17" i="59"/>
  <c r="F16" i="59"/>
  <c r="D16" i="59"/>
  <c r="C16" i="59"/>
  <c r="T15" i="59"/>
  <c r="R15" i="59"/>
  <c r="P15" i="59"/>
  <c r="N15" i="59"/>
  <c r="L15" i="59"/>
  <c r="J15" i="59"/>
  <c r="H15" i="59"/>
  <c r="F15" i="59"/>
  <c r="D15" i="59"/>
  <c r="C15" i="59"/>
  <c r="T14" i="59"/>
  <c r="R14" i="59"/>
  <c r="P14" i="59"/>
  <c r="N14" i="59"/>
  <c r="L14" i="59"/>
  <c r="J14" i="59"/>
  <c r="H14" i="59"/>
  <c r="F14" i="59"/>
  <c r="D14" i="59"/>
  <c r="C14" i="59"/>
  <c r="F13" i="59"/>
  <c r="D13" i="59"/>
  <c r="C13" i="59"/>
  <c r="T12" i="59"/>
  <c r="R12" i="59"/>
  <c r="P12" i="59"/>
  <c r="N12" i="59"/>
  <c r="L12" i="59"/>
  <c r="J12" i="59"/>
  <c r="H12" i="59"/>
  <c r="F12" i="59"/>
  <c r="D12" i="59"/>
  <c r="C12" i="59"/>
  <c r="T11" i="59"/>
  <c r="R11" i="59"/>
  <c r="P11" i="59"/>
  <c r="N11" i="59"/>
  <c r="L11" i="59"/>
  <c r="J11" i="59"/>
  <c r="H11" i="59"/>
  <c r="F11" i="59"/>
  <c r="D11" i="59"/>
  <c r="C11" i="59"/>
  <c r="T10" i="59"/>
  <c r="F10" i="59"/>
  <c r="D10" i="59"/>
  <c r="C10" i="59"/>
  <c r="V9" i="59"/>
  <c r="T9" i="59"/>
  <c r="R9" i="59"/>
  <c r="P9" i="59"/>
  <c r="N9" i="59"/>
  <c r="L9" i="59"/>
  <c r="J9" i="59"/>
  <c r="H9" i="59"/>
  <c r="F9" i="59"/>
  <c r="D9" i="59"/>
  <c r="C9" i="59"/>
  <c r="V8" i="59"/>
  <c r="T8" i="59"/>
  <c r="R8" i="59"/>
  <c r="P8" i="59"/>
  <c r="N8" i="59"/>
  <c r="L8" i="59"/>
  <c r="J8" i="59"/>
  <c r="H8" i="59"/>
  <c r="F8" i="59"/>
  <c r="D8" i="59"/>
  <c r="C8" i="59"/>
  <c r="F7" i="59"/>
  <c r="D7" i="59"/>
  <c r="C7" i="59"/>
  <c r="AA3" i="59"/>
  <c r="AE2" i="59"/>
  <c r="T2" i="59"/>
  <c r="B2" i="59"/>
  <c r="AT1" i="59"/>
  <c r="A2" i="77" s="1"/>
  <c r="AE1" i="59"/>
  <c r="F1" i="59" s="1"/>
  <c r="D1" i="59"/>
  <c r="B1" i="59"/>
  <c r="AS292" i="58"/>
  <c r="T292" i="58" s="1"/>
  <c r="AQ292" i="58"/>
  <c r="AQ293" i="58" s="1"/>
  <c r="R293" i="58" s="1"/>
  <c r="AO292" i="58"/>
  <c r="AM292" i="58"/>
  <c r="AM293" i="58" s="1"/>
  <c r="N293" i="58" s="1"/>
  <c r="AK292" i="58"/>
  <c r="AK293" i="58" s="1"/>
  <c r="L293" i="58" s="1"/>
  <c r="AI292" i="58"/>
  <c r="AI293" i="58" s="1"/>
  <c r="J293" i="58" s="1"/>
  <c r="AG292" i="58"/>
  <c r="AG295" i="58" s="1"/>
  <c r="AE292" i="58"/>
  <c r="F292" i="58" s="1"/>
  <c r="AC292" i="58"/>
  <c r="D292" i="58" s="1"/>
  <c r="AE272" i="58"/>
  <c r="F272" i="58" s="1"/>
  <c r="AT271" i="58"/>
  <c r="U271" i="58" s="1"/>
  <c r="AE271" i="58"/>
  <c r="F271" i="58" s="1"/>
  <c r="AS262" i="58"/>
  <c r="AS263" i="58" s="1"/>
  <c r="T263" i="58" s="1"/>
  <c r="AQ262" i="58"/>
  <c r="R262" i="58" s="1"/>
  <c r="AO262" i="58"/>
  <c r="AO263" i="58" s="1"/>
  <c r="P263" i="58" s="1"/>
  <c r="AM262" i="58"/>
  <c r="AK262" i="58"/>
  <c r="AK263" i="58" s="1"/>
  <c r="L263" i="58" s="1"/>
  <c r="AI262" i="58"/>
  <c r="AG262" i="58"/>
  <c r="AG263" i="58" s="1"/>
  <c r="H263" i="58" s="1"/>
  <c r="AE262" i="58"/>
  <c r="F262" i="58" s="1"/>
  <c r="AC262" i="58"/>
  <c r="AC263" i="58" s="1"/>
  <c r="D263" i="58" s="1"/>
  <c r="AE242" i="58"/>
  <c r="F242" i="58" s="1"/>
  <c r="AT241" i="58"/>
  <c r="U241" i="58" s="1"/>
  <c r="AE241" i="58"/>
  <c r="F241" i="58" s="1"/>
  <c r="AS232" i="58"/>
  <c r="AQ232" i="58"/>
  <c r="AO232" i="58"/>
  <c r="AM232" i="58"/>
  <c r="AM233" i="58" s="1"/>
  <c r="N233" i="58" s="1"/>
  <c r="AK232" i="58"/>
  <c r="AK233" i="58" s="1"/>
  <c r="L233" i="58" s="1"/>
  <c r="AI232" i="58"/>
  <c r="J232" i="58" s="1"/>
  <c r="AG232" i="58"/>
  <c r="AG233" i="58" s="1"/>
  <c r="H233" i="58" s="1"/>
  <c r="AE232" i="58"/>
  <c r="AC232" i="58"/>
  <c r="D232" i="58" s="1"/>
  <c r="AE212" i="58"/>
  <c r="F212" i="58" s="1"/>
  <c r="AT211" i="58"/>
  <c r="U211" i="58" s="1"/>
  <c r="AE211" i="58"/>
  <c r="F211" i="58" s="1"/>
  <c r="AS202" i="58"/>
  <c r="AS207" i="58" s="1"/>
  <c r="AQ202" i="58"/>
  <c r="AQ203" i="58" s="1"/>
  <c r="R203" i="58" s="1"/>
  <c r="AO202" i="58"/>
  <c r="AM202" i="58"/>
  <c r="AM203" i="58" s="1"/>
  <c r="N203" i="58" s="1"/>
  <c r="AK202" i="58"/>
  <c r="AI202" i="58"/>
  <c r="AG202" i="58"/>
  <c r="H202" i="58" s="1"/>
  <c r="AE202" i="58"/>
  <c r="AE203" i="58" s="1"/>
  <c r="F203" i="58" s="1"/>
  <c r="AC202" i="58"/>
  <c r="AE182" i="58"/>
  <c r="F182" i="58" s="1"/>
  <c r="AT181" i="58"/>
  <c r="U181" i="58" s="1"/>
  <c r="AE181" i="58"/>
  <c r="F181" i="58" s="1"/>
  <c r="AS172" i="58"/>
  <c r="T172" i="58" s="1"/>
  <c r="AQ172" i="58"/>
  <c r="AO172" i="58"/>
  <c r="AM172" i="58"/>
  <c r="AK172" i="58"/>
  <c r="AI172" i="58"/>
  <c r="AI173" i="58" s="1"/>
  <c r="J173" i="58" s="1"/>
  <c r="AG172" i="58"/>
  <c r="AE172" i="58"/>
  <c r="AC172" i="58"/>
  <c r="AE152" i="58"/>
  <c r="F152" i="58" s="1"/>
  <c r="AT151" i="58"/>
  <c r="U151" i="58" s="1"/>
  <c r="AE151" i="58"/>
  <c r="F151" i="58" s="1"/>
  <c r="AS142" i="58"/>
  <c r="AQ142" i="58"/>
  <c r="R142" i="58" s="1"/>
  <c r="AO142" i="58"/>
  <c r="AM142" i="58"/>
  <c r="AK142" i="58"/>
  <c r="AK143" i="58" s="1"/>
  <c r="L143" i="58" s="1"/>
  <c r="AI142" i="58"/>
  <c r="AG142" i="58"/>
  <c r="AG143" i="58" s="1"/>
  <c r="H143" i="58" s="1"/>
  <c r="AE142" i="58"/>
  <c r="F142" i="58" s="1"/>
  <c r="AC142" i="58"/>
  <c r="AC143" i="58" s="1"/>
  <c r="D143" i="58" s="1"/>
  <c r="AE122" i="58"/>
  <c r="F122" i="58" s="1"/>
  <c r="AT121" i="58"/>
  <c r="U121" i="58" s="1"/>
  <c r="AE121" i="58"/>
  <c r="F121" i="58" s="1"/>
  <c r="AS112" i="58"/>
  <c r="T112" i="58" s="1"/>
  <c r="AQ112" i="58"/>
  <c r="R112" i="58" s="1"/>
  <c r="AO112" i="58"/>
  <c r="AO113" i="58" s="1"/>
  <c r="P113" i="58" s="1"/>
  <c r="AM112" i="58"/>
  <c r="AM113" i="58" s="1"/>
  <c r="N113" i="58" s="1"/>
  <c r="AK112" i="58"/>
  <c r="AI112" i="58"/>
  <c r="AI113" i="58" s="1"/>
  <c r="J113" i="58" s="1"/>
  <c r="AG112" i="58"/>
  <c r="AE112" i="58"/>
  <c r="AE113" i="58" s="1"/>
  <c r="F113" i="58" s="1"/>
  <c r="AC112" i="58"/>
  <c r="AC113" i="58" s="1"/>
  <c r="D113" i="58" s="1"/>
  <c r="AE92" i="58"/>
  <c r="F92" i="58" s="1"/>
  <c r="AT91" i="58"/>
  <c r="U91" i="58" s="1"/>
  <c r="AE91" i="58"/>
  <c r="F91" i="58" s="1"/>
  <c r="AS82" i="58"/>
  <c r="AQ82" i="58"/>
  <c r="AO82" i="58"/>
  <c r="AM82" i="58"/>
  <c r="AM83" i="58" s="1"/>
  <c r="N83" i="58" s="1"/>
  <c r="AK82" i="58"/>
  <c r="L82" i="58" s="1"/>
  <c r="AI82" i="58"/>
  <c r="J82" i="58" s="1"/>
  <c r="AG82" i="58"/>
  <c r="H82" i="58" s="1"/>
  <c r="AE82" i="58"/>
  <c r="AE83" i="58" s="1"/>
  <c r="F83" i="58" s="1"/>
  <c r="AC82" i="58"/>
  <c r="AE62" i="58"/>
  <c r="F62" i="58" s="1"/>
  <c r="AT61" i="58"/>
  <c r="U61" i="58" s="1"/>
  <c r="AE61" i="58"/>
  <c r="F61" i="58" s="1"/>
  <c r="AS52" i="58"/>
  <c r="AQ52" i="58"/>
  <c r="AO52" i="58"/>
  <c r="AO53" i="58" s="1"/>
  <c r="P53" i="58" s="1"/>
  <c r="AM52" i="58"/>
  <c r="AK52" i="58"/>
  <c r="AI52" i="58"/>
  <c r="AG52" i="58"/>
  <c r="H52" i="58" s="1"/>
  <c r="AE52" i="58"/>
  <c r="AC52" i="58"/>
  <c r="AC56" i="58" s="1"/>
  <c r="AE32" i="58"/>
  <c r="F32" i="58" s="1"/>
  <c r="AT31" i="58"/>
  <c r="U31" i="58" s="1"/>
  <c r="AE31" i="58"/>
  <c r="F31" i="58" s="1"/>
  <c r="AS22" i="58"/>
  <c r="T22" i="58" s="1"/>
  <c r="AQ22" i="58"/>
  <c r="R22" i="58" s="1"/>
  <c r="AO22" i="58"/>
  <c r="AM22" i="58"/>
  <c r="AK22" i="58"/>
  <c r="AK23" i="58" s="1"/>
  <c r="L23" i="58" s="1"/>
  <c r="AI22" i="58"/>
  <c r="AI23" i="58" s="1"/>
  <c r="J23" i="58" s="1"/>
  <c r="AG22" i="58"/>
  <c r="H22" i="58" s="1"/>
  <c r="AE22" i="58"/>
  <c r="AC22" i="58"/>
  <c r="U299" i="58"/>
  <c r="S299" i="58"/>
  <c r="Q299" i="58"/>
  <c r="O299" i="58"/>
  <c r="M299" i="58"/>
  <c r="K299" i="58"/>
  <c r="I299" i="58"/>
  <c r="G299" i="58"/>
  <c r="E299" i="58"/>
  <c r="C299" i="58"/>
  <c r="B299" i="58"/>
  <c r="U298" i="58"/>
  <c r="S298" i="58"/>
  <c r="Q298" i="58"/>
  <c r="O298" i="58"/>
  <c r="M298" i="58"/>
  <c r="K298" i="58"/>
  <c r="I298" i="58"/>
  <c r="G298" i="58"/>
  <c r="E298" i="58"/>
  <c r="C298" i="58"/>
  <c r="B298" i="58"/>
  <c r="U297" i="58"/>
  <c r="S297" i="58"/>
  <c r="Q297" i="58"/>
  <c r="O297" i="58"/>
  <c r="M297" i="58"/>
  <c r="K297" i="58"/>
  <c r="I297" i="58"/>
  <c r="G297" i="58"/>
  <c r="E297" i="58"/>
  <c r="C297" i="58"/>
  <c r="B297" i="58"/>
  <c r="U296" i="58"/>
  <c r="S296" i="58"/>
  <c r="Q296" i="58"/>
  <c r="O296" i="58"/>
  <c r="M296" i="58"/>
  <c r="K296" i="58"/>
  <c r="I296" i="58"/>
  <c r="G296" i="58"/>
  <c r="E296" i="58"/>
  <c r="C296" i="58"/>
  <c r="B296" i="58"/>
  <c r="U295" i="58"/>
  <c r="S295" i="58"/>
  <c r="Q295" i="58"/>
  <c r="O295" i="58"/>
  <c r="M295" i="58"/>
  <c r="K295" i="58"/>
  <c r="I295" i="58"/>
  <c r="G295" i="58"/>
  <c r="E295" i="58"/>
  <c r="C295" i="58"/>
  <c r="B295" i="58"/>
  <c r="U294" i="58"/>
  <c r="T294" i="58"/>
  <c r="S294" i="58"/>
  <c r="R294" i="58"/>
  <c r="Q294" i="58"/>
  <c r="P294" i="58"/>
  <c r="O294" i="58"/>
  <c r="N294" i="58"/>
  <c r="M294" i="58"/>
  <c r="L294" i="58"/>
  <c r="K294" i="58"/>
  <c r="J294" i="58"/>
  <c r="I294" i="58"/>
  <c r="H294" i="58"/>
  <c r="G294" i="58"/>
  <c r="F294" i="58"/>
  <c r="E294" i="58"/>
  <c r="D294" i="58"/>
  <c r="C294" i="58"/>
  <c r="B294" i="58"/>
  <c r="U293" i="58"/>
  <c r="S293" i="58"/>
  <c r="Q293" i="58"/>
  <c r="O293" i="58"/>
  <c r="M293" i="58"/>
  <c r="K293" i="58"/>
  <c r="I293" i="58"/>
  <c r="G293" i="58"/>
  <c r="E293" i="58"/>
  <c r="C293" i="58"/>
  <c r="B293" i="58"/>
  <c r="U292" i="58"/>
  <c r="S292" i="58"/>
  <c r="Q292" i="58"/>
  <c r="O292" i="58"/>
  <c r="M292" i="58"/>
  <c r="K292" i="58"/>
  <c r="I292" i="58"/>
  <c r="G292" i="58"/>
  <c r="E292" i="58"/>
  <c r="C292" i="58"/>
  <c r="B292" i="58"/>
  <c r="V290" i="58"/>
  <c r="T290" i="58"/>
  <c r="R290" i="58"/>
  <c r="P290" i="58"/>
  <c r="N290" i="58"/>
  <c r="L290" i="58"/>
  <c r="J290" i="58"/>
  <c r="H290" i="58"/>
  <c r="F290" i="58"/>
  <c r="D290" i="58"/>
  <c r="C290" i="58"/>
  <c r="B290" i="58"/>
  <c r="C289" i="58"/>
  <c r="B289" i="58"/>
  <c r="T288" i="58"/>
  <c r="R288" i="58"/>
  <c r="P288" i="58"/>
  <c r="N288" i="58"/>
  <c r="L288" i="58"/>
  <c r="J288" i="58"/>
  <c r="H288" i="58"/>
  <c r="F288" i="58"/>
  <c r="D288" i="58"/>
  <c r="C288" i="58"/>
  <c r="T287" i="58"/>
  <c r="R287" i="58"/>
  <c r="P287" i="58"/>
  <c r="N287" i="58"/>
  <c r="L287" i="58"/>
  <c r="J287" i="58"/>
  <c r="H287" i="58"/>
  <c r="F287" i="58"/>
  <c r="D287" i="58"/>
  <c r="C287" i="58"/>
  <c r="F286" i="58"/>
  <c r="D286" i="58"/>
  <c r="C286" i="58"/>
  <c r="T285" i="58"/>
  <c r="R285" i="58"/>
  <c r="P285" i="58"/>
  <c r="N285" i="58"/>
  <c r="L285" i="58"/>
  <c r="J285" i="58"/>
  <c r="H285" i="58"/>
  <c r="F285" i="58"/>
  <c r="D285" i="58"/>
  <c r="C285" i="58"/>
  <c r="T284" i="58"/>
  <c r="R284" i="58"/>
  <c r="P284" i="58"/>
  <c r="N284" i="58"/>
  <c r="L284" i="58"/>
  <c r="J284" i="58"/>
  <c r="H284" i="58"/>
  <c r="F284" i="58"/>
  <c r="D284" i="58"/>
  <c r="C284" i="58"/>
  <c r="N283" i="58"/>
  <c r="L283" i="58"/>
  <c r="F283" i="58"/>
  <c r="D283" i="58"/>
  <c r="C283" i="58"/>
  <c r="T282" i="58"/>
  <c r="R282" i="58"/>
  <c r="P282" i="58"/>
  <c r="N282" i="58"/>
  <c r="L282" i="58"/>
  <c r="J282" i="58"/>
  <c r="H282" i="58"/>
  <c r="F282" i="58"/>
  <c r="D282" i="58"/>
  <c r="C282" i="58"/>
  <c r="T281" i="58"/>
  <c r="R281" i="58"/>
  <c r="P281" i="58"/>
  <c r="N281" i="58"/>
  <c r="L281" i="58"/>
  <c r="J281" i="58"/>
  <c r="H281" i="58"/>
  <c r="F281" i="58"/>
  <c r="D281" i="58"/>
  <c r="C281" i="58"/>
  <c r="F280" i="58"/>
  <c r="D280" i="58"/>
  <c r="C280" i="58"/>
  <c r="T279" i="58"/>
  <c r="R279" i="58"/>
  <c r="P279" i="58"/>
  <c r="N279" i="58"/>
  <c r="L279" i="58"/>
  <c r="J279" i="58"/>
  <c r="H279" i="58"/>
  <c r="F279" i="58"/>
  <c r="D279" i="58"/>
  <c r="C279" i="58"/>
  <c r="T278" i="58"/>
  <c r="R278" i="58"/>
  <c r="P278" i="58"/>
  <c r="N278" i="58"/>
  <c r="L278" i="58"/>
  <c r="J278" i="58"/>
  <c r="H278" i="58"/>
  <c r="F278" i="58"/>
  <c r="D278" i="58"/>
  <c r="C278" i="58"/>
  <c r="F277" i="58"/>
  <c r="D277" i="58"/>
  <c r="C277" i="58"/>
  <c r="T272" i="58"/>
  <c r="B272" i="58"/>
  <c r="B273" i="58" s="1"/>
  <c r="D271" i="58"/>
  <c r="B271" i="58"/>
  <c r="U269" i="58"/>
  <c r="S269" i="58"/>
  <c r="Q269" i="58"/>
  <c r="O269" i="58"/>
  <c r="M269" i="58"/>
  <c r="K269" i="58"/>
  <c r="I269" i="58"/>
  <c r="G269" i="58"/>
  <c r="E269" i="58"/>
  <c r="C269" i="58"/>
  <c r="B269" i="58"/>
  <c r="U268" i="58"/>
  <c r="S268" i="58"/>
  <c r="Q268" i="58"/>
  <c r="O268" i="58"/>
  <c r="M268" i="58"/>
  <c r="K268" i="58"/>
  <c r="I268" i="58"/>
  <c r="G268" i="58"/>
  <c r="E268" i="58"/>
  <c r="C268" i="58"/>
  <c r="B268" i="58"/>
  <c r="U267" i="58"/>
  <c r="S267" i="58"/>
  <c r="Q267" i="58"/>
  <c r="O267" i="58"/>
  <c r="M267" i="58"/>
  <c r="K267" i="58"/>
  <c r="I267" i="58"/>
  <c r="G267" i="58"/>
  <c r="E267" i="58"/>
  <c r="C267" i="58"/>
  <c r="B267" i="58"/>
  <c r="U266" i="58"/>
  <c r="S266" i="58"/>
  <c r="Q266" i="58"/>
  <c r="O266" i="58"/>
  <c r="M266" i="58"/>
  <c r="K266" i="58"/>
  <c r="I266" i="58"/>
  <c r="G266" i="58"/>
  <c r="E266" i="58"/>
  <c r="C266" i="58"/>
  <c r="B266" i="58"/>
  <c r="U265" i="58"/>
  <c r="S265" i="58"/>
  <c r="Q265" i="58"/>
  <c r="O265" i="58"/>
  <c r="M265" i="58"/>
  <c r="K265" i="58"/>
  <c r="I265" i="58"/>
  <c r="G265" i="58"/>
  <c r="E265" i="58"/>
  <c r="C265" i="58"/>
  <c r="B265" i="58"/>
  <c r="U264" i="58"/>
  <c r="T264" i="58"/>
  <c r="S264" i="58"/>
  <c r="R264" i="58"/>
  <c r="Q264" i="58"/>
  <c r="P264" i="58"/>
  <c r="O264" i="58"/>
  <c r="N264" i="58"/>
  <c r="M264" i="58"/>
  <c r="L264" i="58"/>
  <c r="K264" i="58"/>
  <c r="J264" i="58"/>
  <c r="I264" i="58"/>
  <c r="H264" i="58"/>
  <c r="G264" i="58"/>
  <c r="F264" i="58"/>
  <c r="E264" i="58"/>
  <c r="D264" i="58"/>
  <c r="C264" i="58"/>
  <c r="B264" i="58"/>
  <c r="U263" i="58"/>
  <c r="S263" i="58"/>
  <c r="Q263" i="58"/>
  <c r="O263" i="58"/>
  <c r="M263" i="58"/>
  <c r="K263" i="58"/>
  <c r="I263" i="58"/>
  <c r="G263" i="58"/>
  <c r="E263" i="58"/>
  <c r="C263" i="58"/>
  <c r="B263" i="58"/>
  <c r="U262" i="58"/>
  <c r="S262" i="58"/>
  <c r="Q262" i="58"/>
  <c r="O262" i="58"/>
  <c r="M262" i="58"/>
  <c r="K262" i="58"/>
  <c r="I262" i="58"/>
  <c r="G262" i="58"/>
  <c r="E262" i="58"/>
  <c r="C262" i="58"/>
  <c r="B262" i="58"/>
  <c r="V260" i="58"/>
  <c r="T260" i="58"/>
  <c r="R260" i="58"/>
  <c r="P260" i="58"/>
  <c r="N260" i="58"/>
  <c r="L260" i="58"/>
  <c r="J260" i="58"/>
  <c r="H260" i="58"/>
  <c r="F260" i="58"/>
  <c r="D260" i="58"/>
  <c r="C260" i="58"/>
  <c r="B260" i="58"/>
  <c r="C259" i="58"/>
  <c r="B259" i="58"/>
  <c r="T258" i="58"/>
  <c r="R258" i="58"/>
  <c r="P258" i="58"/>
  <c r="N258" i="58"/>
  <c r="L258" i="58"/>
  <c r="J258" i="58"/>
  <c r="H258" i="58"/>
  <c r="F258" i="58"/>
  <c r="D258" i="58"/>
  <c r="C258" i="58"/>
  <c r="T257" i="58"/>
  <c r="R257" i="58"/>
  <c r="P257" i="58"/>
  <c r="N257" i="58"/>
  <c r="L257" i="58"/>
  <c r="J257" i="58"/>
  <c r="H257" i="58"/>
  <c r="F257" i="58"/>
  <c r="D257" i="58"/>
  <c r="C257" i="58"/>
  <c r="T256" i="58"/>
  <c r="R256" i="58"/>
  <c r="P256" i="58"/>
  <c r="N256" i="58"/>
  <c r="L256" i="58"/>
  <c r="H256" i="58"/>
  <c r="F256" i="58"/>
  <c r="D256" i="58"/>
  <c r="C256" i="58"/>
  <c r="V255" i="58"/>
  <c r="T255" i="58"/>
  <c r="R255" i="58"/>
  <c r="P255" i="58"/>
  <c r="N255" i="58"/>
  <c r="L255" i="58"/>
  <c r="J255" i="58"/>
  <c r="H255" i="58"/>
  <c r="F255" i="58"/>
  <c r="D255" i="58"/>
  <c r="C255" i="58"/>
  <c r="T254" i="58"/>
  <c r="R254" i="58"/>
  <c r="P254" i="58"/>
  <c r="N254" i="58"/>
  <c r="L254" i="58"/>
  <c r="J254" i="58"/>
  <c r="H254" i="58"/>
  <c r="F254" i="58"/>
  <c r="D254" i="58"/>
  <c r="C254" i="58"/>
  <c r="T253" i="58"/>
  <c r="R253" i="58"/>
  <c r="P253" i="58"/>
  <c r="N253" i="58"/>
  <c r="L253" i="58"/>
  <c r="J253" i="58"/>
  <c r="H253" i="58"/>
  <c r="F253" i="58"/>
  <c r="D253" i="58"/>
  <c r="C253" i="58"/>
  <c r="T252" i="58"/>
  <c r="R252" i="58"/>
  <c r="P252" i="58"/>
  <c r="N252" i="58"/>
  <c r="L252" i="58"/>
  <c r="J252" i="58"/>
  <c r="H252" i="58"/>
  <c r="F252" i="58"/>
  <c r="D252" i="58"/>
  <c r="C252" i="58"/>
  <c r="T251" i="58"/>
  <c r="R251" i="58"/>
  <c r="P251" i="58"/>
  <c r="N251" i="58"/>
  <c r="L251" i="58"/>
  <c r="J251" i="58"/>
  <c r="H251" i="58"/>
  <c r="F251" i="58"/>
  <c r="D251" i="58"/>
  <c r="C251" i="58"/>
  <c r="T250" i="58"/>
  <c r="R250" i="58"/>
  <c r="P250" i="58"/>
  <c r="N250" i="58"/>
  <c r="L250" i="58"/>
  <c r="J250" i="58"/>
  <c r="H250" i="58"/>
  <c r="F250" i="58"/>
  <c r="D250" i="58"/>
  <c r="C250" i="58"/>
  <c r="T249" i="58"/>
  <c r="R249" i="58"/>
  <c r="P249" i="58"/>
  <c r="N249" i="58"/>
  <c r="L249" i="58"/>
  <c r="J249" i="58"/>
  <c r="H249" i="58"/>
  <c r="F249" i="58"/>
  <c r="D249" i="58"/>
  <c r="C249" i="58"/>
  <c r="T248" i="58"/>
  <c r="R248" i="58"/>
  <c r="P248" i="58"/>
  <c r="N248" i="58"/>
  <c r="L248" i="58"/>
  <c r="J248" i="58"/>
  <c r="H248" i="58"/>
  <c r="F248" i="58"/>
  <c r="D248" i="58"/>
  <c r="C248" i="58"/>
  <c r="H247" i="58"/>
  <c r="F247" i="58"/>
  <c r="D247" i="58"/>
  <c r="C247" i="58"/>
  <c r="T242" i="58"/>
  <c r="B242" i="58"/>
  <c r="B243" i="58" s="1"/>
  <c r="D241" i="58"/>
  <c r="B241" i="58"/>
  <c r="U239" i="58"/>
  <c r="S239" i="58"/>
  <c r="Q239" i="58"/>
  <c r="O239" i="58"/>
  <c r="M239" i="58"/>
  <c r="K239" i="58"/>
  <c r="I239" i="58"/>
  <c r="G239" i="58"/>
  <c r="E239" i="58"/>
  <c r="C239" i="58"/>
  <c r="B239" i="58"/>
  <c r="U238" i="58"/>
  <c r="S238" i="58"/>
  <c r="Q238" i="58"/>
  <c r="O238" i="58"/>
  <c r="M238" i="58"/>
  <c r="K238" i="58"/>
  <c r="I238" i="58"/>
  <c r="G238" i="58"/>
  <c r="E238" i="58"/>
  <c r="C238" i="58"/>
  <c r="B238" i="58"/>
  <c r="U237" i="58"/>
  <c r="S237" i="58"/>
  <c r="Q237" i="58"/>
  <c r="O237" i="58"/>
  <c r="M237" i="58"/>
  <c r="K237" i="58"/>
  <c r="I237" i="58"/>
  <c r="G237" i="58"/>
  <c r="E237" i="58"/>
  <c r="C237" i="58"/>
  <c r="B237" i="58"/>
  <c r="U236" i="58"/>
  <c r="S236" i="58"/>
  <c r="Q236" i="58"/>
  <c r="O236" i="58"/>
  <c r="M236" i="58"/>
  <c r="K236" i="58"/>
  <c r="I236" i="58"/>
  <c r="G236" i="58"/>
  <c r="E236" i="58"/>
  <c r="C236" i="58"/>
  <c r="B236" i="58"/>
  <c r="U235" i="58"/>
  <c r="S235" i="58"/>
  <c r="Q235" i="58"/>
  <c r="O235" i="58"/>
  <c r="M235" i="58"/>
  <c r="K235" i="58"/>
  <c r="I235" i="58"/>
  <c r="G235" i="58"/>
  <c r="E235" i="58"/>
  <c r="C235" i="58"/>
  <c r="B235" i="58"/>
  <c r="U234" i="58"/>
  <c r="T234" i="58"/>
  <c r="S234" i="58"/>
  <c r="R234" i="58"/>
  <c r="Q234" i="58"/>
  <c r="P234" i="58"/>
  <c r="O234" i="58"/>
  <c r="N234" i="58"/>
  <c r="M234" i="58"/>
  <c r="L234" i="58"/>
  <c r="K234" i="58"/>
  <c r="J234" i="58"/>
  <c r="I234" i="58"/>
  <c r="H234" i="58"/>
  <c r="G234" i="58"/>
  <c r="F234" i="58"/>
  <c r="E234" i="58"/>
  <c r="D234" i="58"/>
  <c r="C234" i="58"/>
  <c r="B234" i="58"/>
  <c r="U233" i="58"/>
  <c r="S233" i="58"/>
  <c r="Q233" i="58"/>
  <c r="O233" i="58"/>
  <c r="M233" i="58"/>
  <c r="K233" i="58"/>
  <c r="I233" i="58"/>
  <c r="G233" i="58"/>
  <c r="E233" i="58"/>
  <c r="C233" i="58"/>
  <c r="B233" i="58"/>
  <c r="U232" i="58"/>
  <c r="S232" i="58"/>
  <c r="Q232" i="58"/>
  <c r="O232" i="58"/>
  <c r="M232" i="58"/>
  <c r="K232" i="58"/>
  <c r="I232" i="58"/>
  <c r="G232" i="58"/>
  <c r="E232" i="58"/>
  <c r="C232" i="58"/>
  <c r="B232" i="58"/>
  <c r="V230" i="58"/>
  <c r="T230" i="58"/>
  <c r="R230" i="58"/>
  <c r="P230" i="58"/>
  <c r="N230" i="58"/>
  <c r="L230" i="58"/>
  <c r="J230" i="58"/>
  <c r="H230" i="58"/>
  <c r="F230" i="58"/>
  <c r="D230" i="58"/>
  <c r="C230" i="58"/>
  <c r="B230" i="58"/>
  <c r="C229" i="58"/>
  <c r="B229" i="58"/>
  <c r="T228" i="58"/>
  <c r="R228" i="58"/>
  <c r="P228" i="58"/>
  <c r="N228" i="58"/>
  <c r="L228" i="58"/>
  <c r="J228" i="58"/>
  <c r="H228" i="58"/>
  <c r="F228" i="58"/>
  <c r="D228" i="58"/>
  <c r="C228" i="58"/>
  <c r="T227" i="58"/>
  <c r="R227" i="58"/>
  <c r="P227" i="58"/>
  <c r="N227" i="58"/>
  <c r="L227" i="58"/>
  <c r="J227" i="58"/>
  <c r="H227" i="58"/>
  <c r="F227" i="58"/>
  <c r="D227" i="58"/>
  <c r="C227" i="58"/>
  <c r="F226" i="58"/>
  <c r="D226" i="58"/>
  <c r="C226" i="58"/>
  <c r="T225" i="58"/>
  <c r="R225" i="58"/>
  <c r="P225" i="58"/>
  <c r="N225" i="58"/>
  <c r="L225" i="58"/>
  <c r="J225" i="58"/>
  <c r="H225" i="58"/>
  <c r="F225" i="58"/>
  <c r="D225" i="58"/>
  <c r="C225" i="58"/>
  <c r="P224" i="58"/>
  <c r="N224" i="58"/>
  <c r="L224" i="58"/>
  <c r="J224" i="58"/>
  <c r="H224" i="58"/>
  <c r="F224" i="58"/>
  <c r="D224" i="58"/>
  <c r="C224" i="58"/>
  <c r="P223" i="58"/>
  <c r="N223" i="58"/>
  <c r="L223" i="58"/>
  <c r="F223" i="58"/>
  <c r="D223" i="58"/>
  <c r="C223" i="58"/>
  <c r="T222" i="58"/>
  <c r="R222" i="58"/>
  <c r="P222" i="58"/>
  <c r="N222" i="58"/>
  <c r="L222" i="58"/>
  <c r="J222" i="58"/>
  <c r="H222" i="58"/>
  <c r="F222" i="58"/>
  <c r="D222" i="58"/>
  <c r="C222" i="58"/>
  <c r="L221" i="58"/>
  <c r="J221" i="58"/>
  <c r="H221" i="58"/>
  <c r="F221" i="58"/>
  <c r="D221" i="58"/>
  <c r="C221" i="58"/>
  <c r="T220" i="58"/>
  <c r="R220" i="58"/>
  <c r="P220" i="58"/>
  <c r="N220" i="58"/>
  <c r="L220" i="58"/>
  <c r="J220" i="58"/>
  <c r="F220" i="58"/>
  <c r="D220" i="58"/>
  <c r="C220" i="58"/>
  <c r="T219" i="58"/>
  <c r="R219" i="58"/>
  <c r="P219" i="58"/>
  <c r="N219" i="58"/>
  <c r="L219" i="58"/>
  <c r="J219" i="58"/>
  <c r="H219" i="58"/>
  <c r="F219" i="58"/>
  <c r="D219" i="58"/>
  <c r="C219" i="58"/>
  <c r="T218" i="58"/>
  <c r="R218" i="58"/>
  <c r="P218" i="58"/>
  <c r="N218" i="58"/>
  <c r="L218" i="58"/>
  <c r="J218" i="58"/>
  <c r="H218" i="58"/>
  <c r="F218" i="58"/>
  <c r="D218" i="58"/>
  <c r="C218" i="58"/>
  <c r="F217" i="58"/>
  <c r="D217" i="58"/>
  <c r="C217" i="58"/>
  <c r="T212" i="58"/>
  <c r="B212" i="58"/>
  <c r="B213" i="58" s="1"/>
  <c r="D211" i="58"/>
  <c r="B211" i="58"/>
  <c r="U209" i="58"/>
  <c r="S209" i="58"/>
  <c r="Q209" i="58"/>
  <c r="O209" i="58"/>
  <c r="M209" i="58"/>
  <c r="K209" i="58"/>
  <c r="I209" i="58"/>
  <c r="G209" i="58"/>
  <c r="E209" i="58"/>
  <c r="C209" i="58"/>
  <c r="B209" i="58"/>
  <c r="U208" i="58"/>
  <c r="S208" i="58"/>
  <c r="Q208" i="58"/>
  <c r="O208" i="58"/>
  <c r="M208" i="58"/>
  <c r="K208" i="58"/>
  <c r="I208" i="58"/>
  <c r="G208" i="58"/>
  <c r="E208" i="58"/>
  <c r="C208" i="58"/>
  <c r="B208" i="58"/>
  <c r="U207" i="58"/>
  <c r="S207" i="58"/>
  <c r="Q207" i="58"/>
  <c r="O207" i="58"/>
  <c r="M207" i="58"/>
  <c r="K207" i="58"/>
  <c r="I207" i="58"/>
  <c r="G207" i="58"/>
  <c r="E207" i="58"/>
  <c r="C207" i="58"/>
  <c r="B207" i="58"/>
  <c r="U206" i="58"/>
  <c r="S206" i="58"/>
  <c r="Q206" i="58"/>
  <c r="O206" i="58"/>
  <c r="M206" i="58"/>
  <c r="K206" i="58"/>
  <c r="I206" i="58"/>
  <c r="G206" i="58"/>
  <c r="E206" i="58"/>
  <c r="C206" i="58"/>
  <c r="B206" i="58"/>
  <c r="U205" i="58"/>
  <c r="S205" i="58"/>
  <c r="Q205" i="58"/>
  <c r="O205" i="58"/>
  <c r="M205" i="58"/>
  <c r="K205" i="58"/>
  <c r="I205" i="58"/>
  <c r="G205" i="58"/>
  <c r="E205" i="58"/>
  <c r="C205" i="58"/>
  <c r="B205" i="58"/>
  <c r="U204" i="58"/>
  <c r="T204" i="58"/>
  <c r="S204" i="58"/>
  <c r="R204" i="58"/>
  <c r="Q204" i="58"/>
  <c r="P204" i="58"/>
  <c r="O204" i="58"/>
  <c r="N204" i="58"/>
  <c r="M204" i="58"/>
  <c r="L204" i="58"/>
  <c r="K204" i="58"/>
  <c r="J204" i="58"/>
  <c r="I204" i="58"/>
  <c r="H204" i="58"/>
  <c r="G204" i="58"/>
  <c r="F204" i="58"/>
  <c r="E204" i="58"/>
  <c r="D204" i="58"/>
  <c r="C204" i="58"/>
  <c r="B204" i="58"/>
  <c r="U203" i="58"/>
  <c r="S203" i="58"/>
  <c r="Q203" i="58"/>
  <c r="O203" i="58"/>
  <c r="M203" i="58"/>
  <c r="K203" i="58"/>
  <c r="I203" i="58"/>
  <c r="G203" i="58"/>
  <c r="E203" i="58"/>
  <c r="C203" i="58"/>
  <c r="B203" i="58"/>
  <c r="U202" i="58"/>
  <c r="S202" i="58"/>
  <c r="Q202" i="58"/>
  <c r="O202" i="58"/>
  <c r="M202" i="58"/>
  <c r="K202" i="58"/>
  <c r="I202" i="58"/>
  <c r="G202" i="58"/>
  <c r="E202" i="58"/>
  <c r="C202" i="58"/>
  <c r="B202" i="58"/>
  <c r="V200" i="58"/>
  <c r="T200" i="58"/>
  <c r="R200" i="58"/>
  <c r="P200" i="58"/>
  <c r="N200" i="58"/>
  <c r="L200" i="58"/>
  <c r="J200" i="58"/>
  <c r="H200" i="58"/>
  <c r="F200" i="58"/>
  <c r="D200" i="58"/>
  <c r="C200" i="58"/>
  <c r="B200" i="58"/>
  <c r="C199" i="58"/>
  <c r="B199" i="58"/>
  <c r="T198" i="58"/>
  <c r="R198" i="58"/>
  <c r="P198" i="58"/>
  <c r="N198" i="58"/>
  <c r="L198" i="58"/>
  <c r="J198" i="58"/>
  <c r="H198" i="58"/>
  <c r="F198" i="58"/>
  <c r="D198" i="58"/>
  <c r="C198" i="58"/>
  <c r="T197" i="58"/>
  <c r="R197" i="58"/>
  <c r="P197" i="58"/>
  <c r="N197" i="58"/>
  <c r="L197" i="58"/>
  <c r="J197" i="58"/>
  <c r="H197" i="58"/>
  <c r="F197" i="58"/>
  <c r="D197" i="58"/>
  <c r="C197" i="58"/>
  <c r="F196" i="58"/>
  <c r="D196" i="58"/>
  <c r="C196" i="58"/>
  <c r="T195" i="58"/>
  <c r="R195" i="58"/>
  <c r="P195" i="58"/>
  <c r="N195" i="58"/>
  <c r="L195" i="58"/>
  <c r="J195" i="58"/>
  <c r="H195" i="58"/>
  <c r="F195" i="58"/>
  <c r="D195" i="58"/>
  <c r="C195" i="58"/>
  <c r="T194" i="58"/>
  <c r="R194" i="58"/>
  <c r="P194" i="58"/>
  <c r="N194" i="58"/>
  <c r="L194" i="58"/>
  <c r="J194" i="58"/>
  <c r="H194" i="58"/>
  <c r="F194" i="58"/>
  <c r="D194" i="58"/>
  <c r="C194" i="58"/>
  <c r="F193" i="58"/>
  <c r="D193" i="58"/>
  <c r="C193" i="58"/>
  <c r="T192" i="58"/>
  <c r="R192" i="58"/>
  <c r="P192" i="58"/>
  <c r="N192" i="58"/>
  <c r="L192" i="58"/>
  <c r="J192" i="58"/>
  <c r="H192" i="58"/>
  <c r="F192" i="58"/>
  <c r="D192" i="58"/>
  <c r="C192" i="58"/>
  <c r="T191" i="58"/>
  <c r="R191" i="58"/>
  <c r="P191" i="58"/>
  <c r="N191" i="58"/>
  <c r="L191" i="58"/>
  <c r="J191" i="58"/>
  <c r="H191" i="58"/>
  <c r="F191" i="58"/>
  <c r="D191" i="58"/>
  <c r="C191" i="58"/>
  <c r="T190" i="58"/>
  <c r="R190" i="58"/>
  <c r="F190" i="58"/>
  <c r="D190" i="58"/>
  <c r="C190" i="58"/>
  <c r="T189" i="58"/>
  <c r="R189" i="58"/>
  <c r="P189" i="58"/>
  <c r="N189" i="58"/>
  <c r="L189" i="58"/>
  <c r="J189" i="58"/>
  <c r="H189" i="58"/>
  <c r="F189" i="58"/>
  <c r="D189" i="58"/>
  <c r="C189" i="58"/>
  <c r="T188" i="58"/>
  <c r="R188" i="58"/>
  <c r="P188" i="58"/>
  <c r="N188" i="58"/>
  <c r="L188" i="58"/>
  <c r="J188" i="58"/>
  <c r="H188" i="58"/>
  <c r="F188" i="58"/>
  <c r="D188" i="58"/>
  <c r="C188" i="58"/>
  <c r="J187" i="58"/>
  <c r="H187" i="58"/>
  <c r="F187" i="58"/>
  <c r="D187" i="58"/>
  <c r="C187" i="58"/>
  <c r="T182" i="58"/>
  <c r="B182" i="58"/>
  <c r="B183" i="58" s="1"/>
  <c r="D181" i="58"/>
  <c r="B181" i="58"/>
  <c r="U179" i="58"/>
  <c r="S179" i="58"/>
  <c r="Q179" i="58"/>
  <c r="O179" i="58"/>
  <c r="M179" i="58"/>
  <c r="K179" i="58"/>
  <c r="I179" i="58"/>
  <c r="G179" i="58"/>
  <c r="E179" i="58"/>
  <c r="C179" i="58"/>
  <c r="B179" i="58"/>
  <c r="U178" i="58"/>
  <c r="S178" i="58"/>
  <c r="Q178" i="58"/>
  <c r="O178" i="58"/>
  <c r="M178" i="58"/>
  <c r="K178" i="58"/>
  <c r="I178" i="58"/>
  <c r="G178" i="58"/>
  <c r="E178" i="58"/>
  <c r="C178" i="58"/>
  <c r="B178" i="58"/>
  <c r="U177" i="58"/>
  <c r="S177" i="58"/>
  <c r="Q177" i="58"/>
  <c r="O177" i="58"/>
  <c r="M177" i="58"/>
  <c r="K177" i="58"/>
  <c r="I177" i="58"/>
  <c r="G177" i="58"/>
  <c r="E177" i="58"/>
  <c r="C177" i="58"/>
  <c r="B177" i="58"/>
  <c r="U176" i="58"/>
  <c r="S176" i="58"/>
  <c r="Q176" i="58"/>
  <c r="O176" i="58"/>
  <c r="M176" i="58"/>
  <c r="K176" i="58"/>
  <c r="I176" i="58"/>
  <c r="G176" i="58"/>
  <c r="E176" i="58"/>
  <c r="C176" i="58"/>
  <c r="B176" i="58"/>
  <c r="U175" i="58"/>
  <c r="S175" i="58"/>
  <c r="Q175" i="58"/>
  <c r="O175" i="58"/>
  <c r="M175" i="58"/>
  <c r="K175" i="58"/>
  <c r="I175" i="58"/>
  <c r="G175" i="58"/>
  <c r="E175" i="58"/>
  <c r="C175" i="58"/>
  <c r="B175" i="58"/>
  <c r="U174" i="58"/>
  <c r="T174" i="58"/>
  <c r="S174" i="58"/>
  <c r="R174" i="58"/>
  <c r="Q174" i="58"/>
  <c r="P174" i="58"/>
  <c r="O174" i="58"/>
  <c r="N174" i="58"/>
  <c r="M174" i="58"/>
  <c r="L174" i="58"/>
  <c r="K174" i="58"/>
  <c r="J174" i="58"/>
  <c r="I174" i="58"/>
  <c r="H174" i="58"/>
  <c r="G174" i="58"/>
  <c r="F174" i="58"/>
  <c r="E174" i="58"/>
  <c r="D174" i="58"/>
  <c r="C174" i="58"/>
  <c r="B174" i="58"/>
  <c r="U173" i="58"/>
  <c r="S173" i="58"/>
  <c r="Q173" i="58"/>
  <c r="O173" i="58"/>
  <c r="M173" i="58"/>
  <c r="K173" i="58"/>
  <c r="I173" i="58"/>
  <c r="G173" i="58"/>
  <c r="E173" i="58"/>
  <c r="C173" i="58"/>
  <c r="B173" i="58"/>
  <c r="U172" i="58"/>
  <c r="S172" i="58"/>
  <c r="Q172" i="58"/>
  <c r="O172" i="58"/>
  <c r="M172" i="58"/>
  <c r="K172" i="58"/>
  <c r="I172" i="58"/>
  <c r="G172" i="58"/>
  <c r="E172" i="58"/>
  <c r="C172" i="58"/>
  <c r="B172" i="58"/>
  <c r="V170" i="58"/>
  <c r="T170" i="58"/>
  <c r="R170" i="58"/>
  <c r="P170" i="58"/>
  <c r="N170" i="58"/>
  <c r="L170" i="58"/>
  <c r="J170" i="58"/>
  <c r="H170" i="58"/>
  <c r="F170" i="58"/>
  <c r="D170" i="58"/>
  <c r="C170" i="58"/>
  <c r="B170" i="58"/>
  <c r="C169" i="58"/>
  <c r="B169" i="58"/>
  <c r="T168" i="58"/>
  <c r="R168" i="58"/>
  <c r="P168" i="58"/>
  <c r="N168" i="58"/>
  <c r="L168" i="58"/>
  <c r="J168" i="58"/>
  <c r="H168" i="58"/>
  <c r="F168" i="58"/>
  <c r="D168" i="58"/>
  <c r="C168" i="58"/>
  <c r="V167" i="58"/>
  <c r="T167" i="58"/>
  <c r="R167" i="58"/>
  <c r="P167" i="58"/>
  <c r="N167" i="58"/>
  <c r="L167" i="58"/>
  <c r="J167" i="58"/>
  <c r="H167" i="58"/>
  <c r="F167" i="58"/>
  <c r="D167" i="58"/>
  <c r="C167" i="58"/>
  <c r="T166" i="58"/>
  <c r="R166" i="58"/>
  <c r="P166" i="58"/>
  <c r="N166" i="58"/>
  <c r="H166" i="58"/>
  <c r="F166" i="58"/>
  <c r="D166" i="58"/>
  <c r="C166" i="58"/>
  <c r="T165" i="58"/>
  <c r="R165" i="58"/>
  <c r="P165" i="58"/>
  <c r="N165" i="58"/>
  <c r="L165" i="58"/>
  <c r="J165" i="58"/>
  <c r="H165" i="58"/>
  <c r="F165" i="58"/>
  <c r="D165" i="58"/>
  <c r="C165" i="58"/>
  <c r="T164" i="58"/>
  <c r="R164" i="58"/>
  <c r="P164" i="58"/>
  <c r="N164" i="58"/>
  <c r="L164" i="58"/>
  <c r="J164" i="58"/>
  <c r="H164" i="58"/>
  <c r="F164" i="58"/>
  <c r="D164" i="58"/>
  <c r="C164" i="58"/>
  <c r="F163" i="58"/>
  <c r="D163" i="58"/>
  <c r="C163" i="58"/>
  <c r="T162" i="58"/>
  <c r="R162" i="58"/>
  <c r="P162" i="58"/>
  <c r="N162" i="58"/>
  <c r="L162" i="58"/>
  <c r="J162" i="58"/>
  <c r="H162" i="58"/>
  <c r="F162" i="58"/>
  <c r="D162" i="58"/>
  <c r="C162" i="58"/>
  <c r="T161" i="58"/>
  <c r="R161" i="58"/>
  <c r="P161" i="58"/>
  <c r="N161" i="58"/>
  <c r="L161" i="58"/>
  <c r="J161" i="58"/>
  <c r="H161" i="58"/>
  <c r="F161" i="58"/>
  <c r="D161" i="58"/>
  <c r="C161" i="58"/>
  <c r="F160" i="58"/>
  <c r="D160" i="58"/>
  <c r="C160" i="58"/>
  <c r="T159" i="58"/>
  <c r="R159" i="58"/>
  <c r="P159" i="58"/>
  <c r="N159" i="58"/>
  <c r="L159" i="58"/>
  <c r="J159" i="58"/>
  <c r="H159" i="58"/>
  <c r="F159" i="58"/>
  <c r="D159" i="58"/>
  <c r="C159" i="58"/>
  <c r="T158" i="58"/>
  <c r="R158" i="58"/>
  <c r="P158" i="58"/>
  <c r="N158" i="58"/>
  <c r="L158" i="58"/>
  <c r="J158" i="58"/>
  <c r="H158" i="58"/>
  <c r="F158" i="58"/>
  <c r="D158" i="58"/>
  <c r="C158" i="58"/>
  <c r="R157" i="58"/>
  <c r="P157" i="58"/>
  <c r="F157" i="58"/>
  <c r="D157" i="58"/>
  <c r="C157" i="58"/>
  <c r="T152" i="58"/>
  <c r="B152" i="58"/>
  <c r="B153" i="58" s="1"/>
  <c r="D151" i="58"/>
  <c r="B151" i="58"/>
  <c r="U149" i="58"/>
  <c r="S149" i="58"/>
  <c r="Q149" i="58"/>
  <c r="O149" i="58"/>
  <c r="M149" i="58"/>
  <c r="K149" i="58"/>
  <c r="I149" i="58"/>
  <c r="G149" i="58"/>
  <c r="E149" i="58"/>
  <c r="C149" i="58"/>
  <c r="B149" i="58"/>
  <c r="U148" i="58"/>
  <c r="S148" i="58"/>
  <c r="Q148" i="58"/>
  <c r="O148" i="58"/>
  <c r="M148" i="58"/>
  <c r="K148" i="58"/>
  <c r="I148" i="58"/>
  <c r="G148" i="58"/>
  <c r="E148" i="58"/>
  <c r="C148" i="58"/>
  <c r="B148" i="58"/>
  <c r="U147" i="58"/>
  <c r="S147" i="58"/>
  <c r="Q147" i="58"/>
  <c r="O147" i="58"/>
  <c r="M147" i="58"/>
  <c r="K147" i="58"/>
  <c r="I147" i="58"/>
  <c r="G147" i="58"/>
  <c r="E147" i="58"/>
  <c r="C147" i="58"/>
  <c r="B147" i="58"/>
  <c r="U146" i="58"/>
  <c r="S146" i="58"/>
  <c r="Q146" i="58"/>
  <c r="O146" i="58"/>
  <c r="M146" i="58"/>
  <c r="K146" i="58"/>
  <c r="I146" i="58"/>
  <c r="G146" i="58"/>
  <c r="E146" i="58"/>
  <c r="C146" i="58"/>
  <c r="B146" i="58"/>
  <c r="U145" i="58"/>
  <c r="S145" i="58"/>
  <c r="Q145" i="58"/>
  <c r="O145" i="58"/>
  <c r="M145" i="58"/>
  <c r="K145" i="58"/>
  <c r="I145" i="58"/>
  <c r="G145" i="58"/>
  <c r="E145" i="58"/>
  <c r="C145" i="58"/>
  <c r="B145" i="58"/>
  <c r="U144" i="58"/>
  <c r="T144" i="58"/>
  <c r="S144" i="58"/>
  <c r="R144" i="58"/>
  <c r="Q144" i="58"/>
  <c r="P144" i="58"/>
  <c r="O144" i="58"/>
  <c r="N144" i="58"/>
  <c r="M144" i="58"/>
  <c r="L144" i="58"/>
  <c r="K144" i="58"/>
  <c r="J144" i="58"/>
  <c r="I144" i="58"/>
  <c r="H144" i="58"/>
  <c r="G144" i="58"/>
  <c r="F144" i="58"/>
  <c r="E144" i="58"/>
  <c r="D144" i="58"/>
  <c r="C144" i="58"/>
  <c r="B144" i="58"/>
  <c r="U143" i="58"/>
  <c r="S143" i="58"/>
  <c r="Q143" i="58"/>
  <c r="O143" i="58"/>
  <c r="M143" i="58"/>
  <c r="K143" i="58"/>
  <c r="I143" i="58"/>
  <c r="G143" i="58"/>
  <c r="E143" i="58"/>
  <c r="C143" i="58"/>
  <c r="B143" i="58"/>
  <c r="U142" i="58"/>
  <c r="S142" i="58"/>
  <c r="Q142" i="58"/>
  <c r="O142" i="58"/>
  <c r="M142" i="58"/>
  <c r="K142" i="58"/>
  <c r="I142" i="58"/>
  <c r="G142" i="58"/>
  <c r="E142" i="58"/>
  <c r="C142" i="58"/>
  <c r="B142" i="58"/>
  <c r="V140" i="58"/>
  <c r="T140" i="58"/>
  <c r="R140" i="58"/>
  <c r="P140" i="58"/>
  <c r="N140" i="58"/>
  <c r="L140" i="58"/>
  <c r="J140" i="58"/>
  <c r="H140" i="58"/>
  <c r="F140" i="58"/>
  <c r="D140" i="58"/>
  <c r="C140" i="58"/>
  <c r="B140" i="58"/>
  <c r="C139" i="58"/>
  <c r="B139" i="58"/>
  <c r="T138" i="58"/>
  <c r="R138" i="58"/>
  <c r="P138" i="58"/>
  <c r="N138" i="58"/>
  <c r="L138" i="58"/>
  <c r="J138" i="58"/>
  <c r="H138" i="58"/>
  <c r="F138" i="58"/>
  <c r="D138" i="58"/>
  <c r="C138" i="58"/>
  <c r="T137" i="58"/>
  <c r="R137" i="58"/>
  <c r="P137" i="58"/>
  <c r="N137" i="58"/>
  <c r="L137" i="58"/>
  <c r="J137" i="58"/>
  <c r="H137" i="58"/>
  <c r="F137" i="58"/>
  <c r="D137" i="58"/>
  <c r="C137" i="58"/>
  <c r="F136" i="58"/>
  <c r="D136" i="58"/>
  <c r="C136" i="58"/>
  <c r="T135" i="58"/>
  <c r="R135" i="58"/>
  <c r="P135" i="58"/>
  <c r="N135" i="58"/>
  <c r="L135" i="58"/>
  <c r="J135" i="58"/>
  <c r="H135" i="58"/>
  <c r="F135" i="58"/>
  <c r="D135" i="58"/>
  <c r="C135" i="58"/>
  <c r="T134" i="58"/>
  <c r="R134" i="58"/>
  <c r="P134" i="58"/>
  <c r="N134" i="58"/>
  <c r="L134" i="58"/>
  <c r="J134" i="58"/>
  <c r="H134" i="58"/>
  <c r="F134" i="58"/>
  <c r="D134" i="58"/>
  <c r="C134" i="58"/>
  <c r="H133" i="58"/>
  <c r="F133" i="58"/>
  <c r="D133" i="58"/>
  <c r="C133" i="58"/>
  <c r="T132" i="58"/>
  <c r="R132" i="58"/>
  <c r="P132" i="58"/>
  <c r="N132" i="58"/>
  <c r="L132" i="58"/>
  <c r="J132" i="58"/>
  <c r="H132" i="58"/>
  <c r="F132" i="58"/>
  <c r="D132" i="58"/>
  <c r="C132" i="58"/>
  <c r="T131" i="58"/>
  <c r="R131" i="58"/>
  <c r="P131" i="58"/>
  <c r="N131" i="58"/>
  <c r="L131" i="58"/>
  <c r="J131" i="58"/>
  <c r="H131" i="58"/>
  <c r="F131" i="58"/>
  <c r="D131" i="58"/>
  <c r="C131" i="58"/>
  <c r="H130" i="58"/>
  <c r="F130" i="58"/>
  <c r="D130" i="58"/>
  <c r="C130" i="58"/>
  <c r="T129" i="58"/>
  <c r="R129" i="58"/>
  <c r="P129" i="58"/>
  <c r="N129" i="58"/>
  <c r="L129" i="58"/>
  <c r="J129" i="58"/>
  <c r="H129" i="58"/>
  <c r="F129" i="58"/>
  <c r="D129" i="58"/>
  <c r="C129" i="58"/>
  <c r="T128" i="58"/>
  <c r="R128" i="58"/>
  <c r="P128" i="58"/>
  <c r="N128" i="58"/>
  <c r="L128" i="58"/>
  <c r="J128" i="58"/>
  <c r="H128" i="58"/>
  <c r="F128" i="58"/>
  <c r="D128" i="58"/>
  <c r="C128" i="58"/>
  <c r="F127" i="58"/>
  <c r="D127" i="58"/>
  <c r="C127" i="58"/>
  <c r="T122" i="58"/>
  <c r="B122" i="58"/>
  <c r="B123" i="58" s="1"/>
  <c r="D121" i="58"/>
  <c r="B121" i="58"/>
  <c r="U119" i="58"/>
  <c r="S119" i="58"/>
  <c r="Q119" i="58"/>
  <c r="O119" i="58"/>
  <c r="M119" i="58"/>
  <c r="K119" i="58"/>
  <c r="I119" i="58"/>
  <c r="G119" i="58"/>
  <c r="E119" i="58"/>
  <c r="C119" i="58"/>
  <c r="B119" i="58"/>
  <c r="U118" i="58"/>
  <c r="S118" i="58"/>
  <c r="Q118" i="58"/>
  <c r="O118" i="58"/>
  <c r="M118" i="58"/>
  <c r="K118" i="58"/>
  <c r="I118" i="58"/>
  <c r="G118" i="58"/>
  <c r="E118" i="58"/>
  <c r="C118" i="58"/>
  <c r="B118" i="58"/>
  <c r="U117" i="58"/>
  <c r="S117" i="58"/>
  <c r="Q117" i="58"/>
  <c r="O117" i="58"/>
  <c r="M117" i="58"/>
  <c r="K117" i="58"/>
  <c r="I117" i="58"/>
  <c r="G117" i="58"/>
  <c r="E117" i="58"/>
  <c r="C117" i="58"/>
  <c r="B117" i="58"/>
  <c r="U116" i="58"/>
  <c r="S116" i="58"/>
  <c r="Q116" i="58"/>
  <c r="O116" i="58"/>
  <c r="M116" i="58"/>
  <c r="K116" i="58"/>
  <c r="I116" i="58"/>
  <c r="G116" i="58"/>
  <c r="E116" i="58"/>
  <c r="C116" i="58"/>
  <c r="B116" i="58"/>
  <c r="U115" i="58"/>
  <c r="S115" i="58"/>
  <c r="Q115" i="58"/>
  <c r="O115" i="58"/>
  <c r="M115" i="58"/>
  <c r="K115" i="58"/>
  <c r="I115" i="58"/>
  <c r="G115" i="58"/>
  <c r="E115" i="58"/>
  <c r="C115" i="58"/>
  <c r="B115" i="58"/>
  <c r="U114" i="58"/>
  <c r="T114" i="58"/>
  <c r="S114" i="58"/>
  <c r="R114" i="58"/>
  <c r="Q114" i="58"/>
  <c r="P114" i="58"/>
  <c r="O114" i="58"/>
  <c r="N114" i="58"/>
  <c r="M114" i="58"/>
  <c r="L114" i="58"/>
  <c r="K114" i="58"/>
  <c r="J114" i="58"/>
  <c r="I114" i="58"/>
  <c r="H114" i="58"/>
  <c r="G114" i="58"/>
  <c r="F114" i="58"/>
  <c r="E114" i="58"/>
  <c r="D114" i="58"/>
  <c r="C114" i="58"/>
  <c r="B114" i="58"/>
  <c r="U113" i="58"/>
  <c r="S113" i="58"/>
  <c r="Q113" i="58"/>
  <c r="O113" i="58"/>
  <c r="M113" i="58"/>
  <c r="K113" i="58"/>
  <c r="I113" i="58"/>
  <c r="G113" i="58"/>
  <c r="E113" i="58"/>
  <c r="C113" i="58"/>
  <c r="B113" i="58"/>
  <c r="U112" i="58"/>
  <c r="S112" i="58"/>
  <c r="Q112" i="58"/>
  <c r="O112" i="58"/>
  <c r="M112" i="58"/>
  <c r="K112" i="58"/>
  <c r="I112" i="58"/>
  <c r="G112" i="58"/>
  <c r="E112" i="58"/>
  <c r="C112" i="58"/>
  <c r="B112" i="58"/>
  <c r="V110" i="58"/>
  <c r="T110" i="58"/>
  <c r="R110" i="58"/>
  <c r="P110" i="58"/>
  <c r="N110" i="58"/>
  <c r="L110" i="58"/>
  <c r="J110" i="58"/>
  <c r="H110" i="58"/>
  <c r="F110" i="58"/>
  <c r="D110" i="58"/>
  <c r="C110" i="58"/>
  <c r="B110" i="58"/>
  <c r="D109" i="58"/>
  <c r="C109" i="58"/>
  <c r="B109" i="58"/>
  <c r="T108" i="58"/>
  <c r="R108" i="58"/>
  <c r="P108" i="58"/>
  <c r="N108" i="58"/>
  <c r="L108" i="58"/>
  <c r="J108" i="58"/>
  <c r="H108" i="58"/>
  <c r="F108" i="58"/>
  <c r="D108" i="58"/>
  <c r="C108" i="58"/>
  <c r="T107" i="58"/>
  <c r="R107" i="58"/>
  <c r="P107" i="58"/>
  <c r="N107" i="58"/>
  <c r="L107" i="58"/>
  <c r="J107" i="58"/>
  <c r="H107" i="58"/>
  <c r="F107" i="58"/>
  <c r="D107" i="58"/>
  <c r="C107" i="58"/>
  <c r="T106" i="58"/>
  <c r="H106" i="58"/>
  <c r="F106" i="58"/>
  <c r="D106" i="58"/>
  <c r="C106" i="58"/>
  <c r="T105" i="58"/>
  <c r="R105" i="58"/>
  <c r="P105" i="58"/>
  <c r="N105" i="58"/>
  <c r="L105" i="58"/>
  <c r="J105" i="58"/>
  <c r="H105" i="58"/>
  <c r="F105" i="58"/>
  <c r="D105" i="58"/>
  <c r="C105" i="58"/>
  <c r="T104" i="58"/>
  <c r="R104" i="58"/>
  <c r="P104" i="58"/>
  <c r="N104" i="58"/>
  <c r="L104" i="58"/>
  <c r="J104" i="58"/>
  <c r="H104" i="58"/>
  <c r="F104" i="58"/>
  <c r="D104" i="58"/>
  <c r="C104" i="58"/>
  <c r="T103" i="58"/>
  <c r="R103" i="58"/>
  <c r="H103" i="58"/>
  <c r="F103" i="58"/>
  <c r="D103" i="58"/>
  <c r="C103" i="58"/>
  <c r="T102" i="58"/>
  <c r="R102" i="58"/>
  <c r="P102" i="58"/>
  <c r="N102" i="58"/>
  <c r="L102" i="58"/>
  <c r="J102" i="58"/>
  <c r="H102" i="58"/>
  <c r="F102" i="58"/>
  <c r="D102" i="58"/>
  <c r="C102" i="58"/>
  <c r="T101" i="58"/>
  <c r="R101" i="58"/>
  <c r="P101" i="58"/>
  <c r="N101" i="58"/>
  <c r="L101" i="58"/>
  <c r="J101" i="58"/>
  <c r="H101" i="58"/>
  <c r="F101" i="58"/>
  <c r="D101" i="58"/>
  <c r="C101" i="58"/>
  <c r="T100" i="58"/>
  <c r="F100" i="58"/>
  <c r="D100" i="58"/>
  <c r="C100" i="58"/>
  <c r="T99" i="58"/>
  <c r="R99" i="58"/>
  <c r="P99" i="58"/>
  <c r="N99" i="58"/>
  <c r="L99" i="58"/>
  <c r="J99" i="58"/>
  <c r="H99" i="58"/>
  <c r="F99" i="58"/>
  <c r="D99" i="58"/>
  <c r="C99" i="58"/>
  <c r="T98" i="58"/>
  <c r="R98" i="58"/>
  <c r="P98" i="58"/>
  <c r="N98" i="58"/>
  <c r="L98" i="58"/>
  <c r="J98" i="58"/>
  <c r="H98" i="58"/>
  <c r="F98" i="58"/>
  <c r="D98" i="58"/>
  <c r="C98" i="58"/>
  <c r="T97" i="58"/>
  <c r="F97" i="58"/>
  <c r="D97" i="58"/>
  <c r="C97" i="58"/>
  <c r="T92" i="58"/>
  <c r="B92" i="58"/>
  <c r="B93" i="58" s="1"/>
  <c r="D91" i="58"/>
  <c r="B91" i="58"/>
  <c r="U89" i="58"/>
  <c r="S89" i="58"/>
  <c r="Q89" i="58"/>
  <c r="O89" i="58"/>
  <c r="M89" i="58"/>
  <c r="K89" i="58"/>
  <c r="I89" i="58"/>
  <c r="G89" i="58"/>
  <c r="E89" i="58"/>
  <c r="C89" i="58"/>
  <c r="B89" i="58"/>
  <c r="U88" i="58"/>
  <c r="S88" i="58"/>
  <c r="Q88" i="58"/>
  <c r="O88" i="58"/>
  <c r="M88" i="58"/>
  <c r="K88" i="58"/>
  <c r="I88" i="58"/>
  <c r="G88" i="58"/>
  <c r="E88" i="58"/>
  <c r="C88" i="58"/>
  <c r="B88" i="58"/>
  <c r="U87" i="58"/>
  <c r="S87" i="58"/>
  <c r="Q87" i="58"/>
  <c r="O87" i="58"/>
  <c r="M87" i="58"/>
  <c r="K87" i="58"/>
  <c r="I87" i="58"/>
  <c r="G87" i="58"/>
  <c r="E87" i="58"/>
  <c r="C87" i="58"/>
  <c r="B87" i="58"/>
  <c r="U86" i="58"/>
  <c r="S86" i="58"/>
  <c r="Q86" i="58"/>
  <c r="O86" i="58"/>
  <c r="M86" i="58"/>
  <c r="K86" i="58"/>
  <c r="I86" i="58"/>
  <c r="G86" i="58"/>
  <c r="E86" i="58"/>
  <c r="C86" i="58"/>
  <c r="B86" i="58"/>
  <c r="U85" i="58"/>
  <c r="S85" i="58"/>
  <c r="Q85" i="58"/>
  <c r="O85" i="58"/>
  <c r="M85" i="58"/>
  <c r="K85" i="58"/>
  <c r="I85" i="58"/>
  <c r="G85" i="58"/>
  <c r="E85" i="58"/>
  <c r="C85" i="58"/>
  <c r="B85" i="58"/>
  <c r="U84" i="58"/>
  <c r="T84" i="58"/>
  <c r="S84" i="58"/>
  <c r="R84" i="58"/>
  <c r="Q84" i="58"/>
  <c r="P84" i="58"/>
  <c r="O84" i="58"/>
  <c r="N84" i="58"/>
  <c r="M84" i="58"/>
  <c r="L84" i="58"/>
  <c r="K84" i="58"/>
  <c r="J84" i="58"/>
  <c r="I84" i="58"/>
  <c r="H84" i="58"/>
  <c r="G84" i="58"/>
  <c r="F84" i="58"/>
  <c r="E84" i="58"/>
  <c r="D84" i="58"/>
  <c r="C84" i="58"/>
  <c r="B84" i="58"/>
  <c r="U83" i="58"/>
  <c r="S83" i="58"/>
  <c r="Q83" i="58"/>
  <c r="O83" i="58"/>
  <c r="M83" i="58"/>
  <c r="K83" i="58"/>
  <c r="I83" i="58"/>
  <c r="G83" i="58"/>
  <c r="E83" i="58"/>
  <c r="C83" i="58"/>
  <c r="B83" i="58"/>
  <c r="U82" i="58"/>
  <c r="S82" i="58"/>
  <c r="Q82" i="58"/>
  <c r="O82" i="58"/>
  <c r="M82" i="58"/>
  <c r="K82" i="58"/>
  <c r="I82" i="58"/>
  <c r="G82" i="58"/>
  <c r="E82" i="58"/>
  <c r="C82" i="58"/>
  <c r="B82" i="58"/>
  <c r="V80" i="58"/>
  <c r="T80" i="58"/>
  <c r="R80" i="58"/>
  <c r="P80" i="58"/>
  <c r="N80" i="58"/>
  <c r="L80" i="58"/>
  <c r="J80" i="58"/>
  <c r="H80" i="58"/>
  <c r="F80" i="58"/>
  <c r="D80" i="58"/>
  <c r="C80" i="58"/>
  <c r="B80" i="58"/>
  <c r="D79" i="58"/>
  <c r="C79" i="58"/>
  <c r="B79" i="58"/>
  <c r="T78" i="58"/>
  <c r="R78" i="58"/>
  <c r="P78" i="58"/>
  <c r="N78" i="58"/>
  <c r="L78" i="58"/>
  <c r="J78" i="58"/>
  <c r="H78" i="58"/>
  <c r="F78" i="58"/>
  <c r="D78" i="58"/>
  <c r="C78" i="58"/>
  <c r="T77" i="58"/>
  <c r="R77" i="58"/>
  <c r="P77" i="58"/>
  <c r="N77" i="58"/>
  <c r="L77" i="58"/>
  <c r="J77" i="58"/>
  <c r="H77" i="58"/>
  <c r="F77" i="58"/>
  <c r="D77" i="58"/>
  <c r="C77" i="58"/>
  <c r="F76" i="58"/>
  <c r="D76" i="58"/>
  <c r="C76" i="58"/>
  <c r="T75" i="58"/>
  <c r="R75" i="58"/>
  <c r="P75" i="58"/>
  <c r="N75" i="58"/>
  <c r="L75" i="58"/>
  <c r="J75" i="58"/>
  <c r="H75" i="58"/>
  <c r="F75" i="58"/>
  <c r="D75" i="58"/>
  <c r="C75" i="58"/>
  <c r="T74" i="58"/>
  <c r="R74" i="58"/>
  <c r="P74" i="58"/>
  <c r="N74" i="58"/>
  <c r="L74" i="58"/>
  <c r="J74" i="58"/>
  <c r="H74" i="58"/>
  <c r="F74" i="58"/>
  <c r="D74" i="58"/>
  <c r="C74" i="58"/>
  <c r="F73" i="58"/>
  <c r="D73" i="58"/>
  <c r="C73" i="58"/>
  <c r="T72" i="58"/>
  <c r="R72" i="58"/>
  <c r="P72" i="58"/>
  <c r="N72" i="58"/>
  <c r="L72" i="58"/>
  <c r="J72" i="58"/>
  <c r="H72" i="58"/>
  <c r="F72" i="58"/>
  <c r="D72" i="58"/>
  <c r="C72" i="58"/>
  <c r="T71" i="58"/>
  <c r="R71" i="58"/>
  <c r="P71" i="58"/>
  <c r="N71" i="58"/>
  <c r="L71" i="58"/>
  <c r="J71" i="58"/>
  <c r="H71" i="58"/>
  <c r="F71" i="58"/>
  <c r="D71" i="58"/>
  <c r="C71" i="58"/>
  <c r="H70" i="58"/>
  <c r="F70" i="58"/>
  <c r="D70" i="58"/>
  <c r="C70" i="58"/>
  <c r="T69" i="58"/>
  <c r="R69" i="58"/>
  <c r="P69" i="58"/>
  <c r="N69" i="58"/>
  <c r="L69" i="58"/>
  <c r="J69" i="58"/>
  <c r="H69" i="58"/>
  <c r="F69" i="58"/>
  <c r="D69" i="58"/>
  <c r="C69" i="58"/>
  <c r="T68" i="58"/>
  <c r="R68" i="58"/>
  <c r="P68" i="58"/>
  <c r="N68" i="58"/>
  <c r="L68" i="58"/>
  <c r="J68" i="58"/>
  <c r="H68" i="58"/>
  <c r="F68" i="58"/>
  <c r="D68" i="58"/>
  <c r="C68" i="58"/>
  <c r="F67" i="58"/>
  <c r="D67" i="58"/>
  <c r="C67" i="58"/>
  <c r="T62" i="58"/>
  <c r="B62" i="58"/>
  <c r="B63" i="58" s="1"/>
  <c r="D61" i="58"/>
  <c r="B61" i="58"/>
  <c r="U59" i="58"/>
  <c r="S59" i="58"/>
  <c r="Q59" i="58"/>
  <c r="O59" i="58"/>
  <c r="M59" i="58"/>
  <c r="K59" i="58"/>
  <c r="I59" i="58"/>
  <c r="G59" i="58"/>
  <c r="E59" i="58"/>
  <c r="C59" i="58"/>
  <c r="B59" i="58"/>
  <c r="U58" i="58"/>
  <c r="S58" i="58"/>
  <c r="Q58" i="58"/>
  <c r="O58" i="58"/>
  <c r="M58" i="58"/>
  <c r="K58" i="58"/>
  <c r="I58" i="58"/>
  <c r="G58" i="58"/>
  <c r="E58" i="58"/>
  <c r="C58" i="58"/>
  <c r="B58" i="58"/>
  <c r="U57" i="58"/>
  <c r="S57" i="58"/>
  <c r="Q57" i="58"/>
  <c r="O57" i="58"/>
  <c r="M57" i="58"/>
  <c r="K57" i="58"/>
  <c r="I57" i="58"/>
  <c r="G57" i="58"/>
  <c r="E57" i="58"/>
  <c r="C57" i="58"/>
  <c r="B57" i="58"/>
  <c r="U56" i="58"/>
  <c r="S56" i="58"/>
  <c r="Q56" i="58"/>
  <c r="O56" i="58"/>
  <c r="M56" i="58"/>
  <c r="K56" i="58"/>
  <c r="I56" i="58"/>
  <c r="G56" i="58"/>
  <c r="E56" i="58"/>
  <c r="C56" i="58"/>
  <c r="B56" i="58"/>
  <c r="U55" i="58"/>
  <c r="S55" i="58"/>
  <c r="Q55" i="58"/>
  <c r="O55" i="58"/>
  <c r="M55" i="58"/>
  <c r="K55" i="58"/>
  <c r="I55" i="58"/>
  <c r="G55" i="58"/>
  <c r="E55" i="58"/>
  <c r="C55" i="58"/>
  <c r="B55" i="58"/>
  <c r="U54" i="58"/>
  <c r="T54" i="58"/>
  <c r="S54" i="58"/>
  <c r="R54" i="58"/>
  <c r="Q54" i="58"/>
  <c r="P54" i="58"/>
  <c r="O54" i="58"/>
  <c r="N54" i="58"/>
  <c r="M54" i="58"/>
  <c r="L54" i="58"/>
  <c r="K54" i="58"/>
  <c r="J54" i="58"/>
  <c r="I54" i="58"/>
  <c r="H54" i="58"/>
  <c r="G54" i="58"/>
  <c r="F54" i="58"/>
  <c r="E54" i="58"/>
  <c r="D54" i="58"/>
  <c r="C54" i="58"/>
  <c r="B54" i="58"/>
  <c r="U53" i="58"/>
  <c r="S53" i="58"/>
  <c r="Q53" i="58"/>
  <c r="O53" i="58"/>
  <c r="M53" i="58"/>
  <c r="K53" i="58"/>
  <c r="I53" i="58"/>
  <c r="G53" i="58"/>
  <c r="E53" i="58"/>
  <c r="C53" i="58"/>
  <c r="B53" i="58"/>
  <c r="U52" i="58"/>
  <c r="S52" i="58"/>
  <c r="Q52" i="58"/>
  <c r="O52" i="58"/>
  <c r="M52" i="58"/>
  <c r="K52" i="58"/>
  <c r="I52" i="58"/>
  <c r="G52" i="58"/>
  <c r="E52" i="58"/>
  <c r="C52" i="58"/>
  <c r="B52" i="58"/>
  <c r="V50" i="58"/>
  <c r="T50" i="58"/>
  <c r="R50" i="58"/>
  <c r="P50" i="58"/>
  <c r="N50" i="58"/>
  <c r="L50" i="58"/>
  <c r="J50" i="58"/>
  <c r="H50" i="58"/>
  <c r="F50" i="58"/>
  <c r="D50" i="58"/>
  <c r="C50" i="58"/>
  <c r="B50" i="58"/>
  <c r="C49" i="58"/>
  <c r="B49" i="58"/>
  <c r="T48" i="58"/>
  <c r="R48" i="58"/>
  <c r="P48" i="58"/>
  <c r="N48" i="58"/>
  <c r="L48" i="58"/>
  <c r="J48" i="58"/>
  <c r="H48" i="58"/>
  <c r="F48" i="58"/>
  <c r="D48" i="58"/>
  <c r="C48" i="58"/>
  <c r="T47" i="58"/>
  <c r="R47" i="58"/>
  <c r="P47" i="58"/>
  <c r="N47" i="58"/>
  <c r="L47" i="58"/>
  <c r="J47" i="58"/>
  <c r="H47" i="58"/>
  <c r="F47" i="58"/>
  <c r="D47" i="58"/>
  <c r="C47" i="58"/>
  <c r="F46" i="58"/>
  <c r="D46" i="58"/>
  <c r="C46" i="58"/>
  <c r="T45" i="58"/>
  <c r="R45" i="58"/>
  <c r="P45" i="58"/>
  <c r="N45" i="58"/>
  <c r="L45" i="58"/>
  <c r="J45" i="58"/>
  <c r="H45" i="58"/>
  <c r="F45" i="58"/>
  <c r="D45" i="58"/>
  <c r="C45" i="58"/>
  <c r="T44" i="58"/>
  <c r="R44" i="58"/>
  <c r="P44" i="58"/>
  <c r="N44" i="58"/>
  <c r="L44" i="58"/>
  <c r="J44" i="58"/>
  <c r="H44" i="58"/>
  <c r="F44" i="58"/>
  <c r="D44" i="58"/>
  <c r="C44" i="58"/>
  <c r="F43" i="58"/>
  <c r="D43" i="58"/>
  <c r="C43" i="58"/>
  <c r="T42" i="58"/>
  <c r="R42" i="58"/>
  <c r="P42" i="58"/>
  <c r="N42" i="58"/>
  <c r="L42" i="58"/>
  <c r="J42" i="58"/>
  <c r="H42" i="58"/>
  <c r="F42" i="58"/>
  <c r="D42" i="58"/>
  <c r="C42" i="58"/>
  <c r="T41" i="58"/>
  <c r="R41" i="58"/>
  <c r="P41" i="58"/>
  <c r="N41" i="58"/>
  <c r="L41" i="58"/>
  <c r="J41" i="58"/>
  <c r="H41" i="58"/>
  <c r="F41" i="58"/>
  <c r="D41" i="58"/>
  <c r="C41" i="58"/>
  <c r="F40" i="58"/>
  <c r="D40" i="58"/>
  <c r="C40" i="58"/>
  <c r="T39" i="58"/>
  <c r="R39" i="58"/>
  <c r="P39" i="58"/>
  <c r="N39" i="58"/>
  <c r="L39" i="58"/>
  <c r="J39" i="58"/>
  <c r="H39" i="58"/>
  <c r="F39" i="58"/>
  <c r="D39" i="58"/>
  <c r="C39" i="58"/>
  <c r="T38" i="58"/>
  <c r="R38" i="58"/>
  <c r="P38" i="58"/>
  <c r="N38" i="58"/>
  <c r="L38" i="58"/>
  <c r="J38" i="58"/>
  <c r="H38" i="58"/>
  <c r="F38" i="58"/>
  <c r="D38" i="58"/>
  <c r="C38" i="58"/>
  <c r="T37" i="58"/>
  <c r="R37" i="58"/>
  <c r="F37" i="58"/>
  <c r="D37" i="58"/>
  <c r="C37" i="58"/>
  <c r="T32" i="58"/>
  <c r="B32" i="58"/>
  <c r="B33" i="58" s="1"/>
  <c r="D31" i="58"/>
  <c r="B31" i="58"/>
  <c r="U29" i="58"/>
  <c r="S29" i="58"/>
  <c r="Q29" i="58"/>
  <c r="O29" i="58"/>
  <c r="M29" i="58"/>
  <c r="K29" i="58"/>
  <c r="I29" i="58"/>
  <c r="G29" i="58"/>
  <c r="E29" i="58"/>
  <c r="C29" i="58"/>
  <c r="B29" i="58"/>
  <c r="U28" i="58"/>
  <c r="S28" i="58"/>
  <c r="Q28" i="58"/>
  <c r="O28" i="58"/>
  <c r="M28" i="58"/>
  <c r="K28" i="58"/>
  <c r="I28" i="58"/>
  <c r="G28" i="58"/>
  <c r="E28" i="58"/>
  <c r="C28" i="58"/>
  <c r="B28" i="58"/>
  <c r="U27" i="58"/>
  <c r="S27" i="58"/>
  <c r="Q27" i="58"/>
  <c r="O27" i="58"/>
  <c r="M27" i="58"/>
  <c r="K27" i="58"/>
  <c r="I27" i="58"/>
  <c r="G27" i="58"/>
  <c r="E27" i="58"/>
  <c r="C27" i="58"/>
  <c r="B27" i="58"/>
  <c r="U26" i="58"/>
  <c r="S26" i="58"/>
  <c r="Q26" i="58"/>
  <c r="O26" i="58"/>
  <c r="M26" i="58"/>
  <c r="K26" i="58"/>
  <c r="I26" i="58"/>
  <c r="G26" i="58"/>
  <c r="E26" i="58"/>
  <c r="C26" i="58"/>
  <c r="B26" i="58"/>
  <c r="U25" i="58"/>
  <c r="S25" i="58"/>
  <c r="Q25" i="58"/>
  <c r="O25" i="58"/>
  <c r="M25" i="58"/>
  <c r="K25" i="58"/>
  <c r="I25" i="58"/>
  <c r="G25" i="58"/>
  <c r="E25" i="58"/>
  <c r="C25" i="58"/>
  <c r="B25" i="58"/>
  <c r="U24" i="58"/>
  <c r="T24" i="58"/>
  <c r="S24" i="58"/>
  <c r="R24" i="58"/>
  <c r="Q24" i="58"/>
  <c r="P24" i="58"/>
  <c r="O24" i="58"/>
  <c r="N24" i="58"/>
  <c r="M24" i="58"/>
  <c r="L24" i="58"/>
  <c r="K24" i="58"/>
  <c r="J24" i="58"/>
  <c r="I24" i="58"/>
  <c r="H24" i="58"/>
  <c r="G24" i="58"/>
  <c r="F24" i="58"/>
  <c r="E24" i="58"/>
  <c r="D24" i="58"/>
  <c r="C24" i="58"/>
  <c r="B24" i="58"/>
  <c r="U23" i="58"/>
  <c r="S23" i="58"/>
  <c r="Q23" i="58"/>
  <c r="O23" i="58"/>
  <c r="M23" i="58"/>
  <c r="K23" i="58"/>
  <c r="I23" i="58"/>
  <c r="G23" i="58"/>
  <c r="E23" i="58"/>
  <c r="C23" i="58"/>
  <c r="B23" i="58"/>
  <c r="U22" i="58"/>
  <c r="S22" i="58"/>
  <c r="Q22" i="58"/>
  <c r="O22" i="58"/>
  <c r="M22" i="58"/>
  <c r="K22" i="58"/>
  <c r="I22" i="58"/>
  <c r="G22" i="58"/>
  <c r="E22" i="58"/>
  <c r="C22" i="58"/>
  <c r="B22" i="58"/>
  <c r="V20" i="58"/>
  <c r="T20" i="58"/>
  <c r="R20" i="58"/>
  <c r="P20" i="58"/>
  <c r="N20" i="58"/>
  <c r="L20" i="58"/>
  <c r="J20" i="58"/>
  <c r="H20" i="58"/>
  <c r="F20" i="58"/>
  <c r="D20" i="58"/>
  <c r="C20" i="58"/>
  <c r="B20" i="58"/>
  <c r="C19" i="58"/>
  <c r="B19" i="58"/>
  <c r="T18" i="58"/>
  <c r="R18" i="58"/>
  <c r="P18" i="58"/>
  <c r="N18" i="58"/>
  <c r="L18" i="58"/>
  <c r="J18" i="58"/>
  <c r="H18" i="58"/>
  <c r="F18" i="58"/>
  <c r="D18" i="58"/>
  <c r="C18" i="58"/>
  <c r="T17" i="58"/>
  <c r="R17" i="58"/>
  <c r="P17" i="58"/>
  <c r="N17" i="58"/>
  <c r="L17" i="58"/>
  <c r="J17" i="58"/>
  <c r="H17" i="58"/>
  <c r="F17" i="58"/>
  <c r="D17" i="58"/>
  <c r="C17" i="58"/>
  <c r="H16" i="58"/>
  <c r="F16" i="58"/>
  <c r="D16" i="58"/>
  <c r="C16" i="58"/>
  <c r="T15" i="58"/>
  <c r="R15" i="58"/>
  <c r="P15" i="58"/>
  <c r="N15" i="58"/>
  <c r="L15" i="58"/>
  <c r="J15" i="58"/>
  <c r="H15" i="58"/>
  <c r="F15" i="58"/>
  <c r="D15" i="58"/>
  <c r="C15" i="58"/>
  <c r="T14" i="58"/>
  <c r="R14" i="58"/>
  <c r="P14" i="58"/>
  <c r="N14" i="58"/>
  <c r="L14" i="58"/>
  <c r="J14" i="58"/>
  <c r="H14" i="58"/>
  <c r="F14" i="58"/>
  <c r="D14" i="58"/>
  <c r="C14" i="58"/>
  <c r="N13" i="58"/>
  <c r="L13" i="58"/>
  <c r="F13" i="58"/>
  <c r="D13" i="58"/>
  <c r="C13" i="58"/>
  <c r="T12" i="58"/>
  <c r="R12" i="58"/>
  <c r="P12" i="58"/>
  <c r="N12" i="58"/>
  <c r="L12" i="58"/>
  <c r="J12" i="58"/>
  <c r="H12" i="58"/>
  <c r="F12" i="58"/>
  <c r="D12" i="58"/>
  <c r="C12" i="58"/>
  <c r="H11" i="58"/>
  <c r="F11" i="58"/>
  <c r="D11" i="58"/>
  <c r="C11" i="58"/>
  <c r="T10" i="58"/>
  <c r="R10" i="58"/>
  <c r="P10" i="58"/>
  <c r="N10" i="58"/>
  <c r="L10" i="58"/>
  <c r="J10" i="58"/>
  <c r="H10" i="58"/>
  <c r="F10" i="58"/>
  <c r="D10" i="58"/>
  <c r="C10" i="58"/>
  <c r="T9" i="58"/>
  <c r="R9" i="58"/>
  <c r="P9" i="58"/>
  <c r="N9" i="58"/>
  <c r="L9" i="58"/>
  <c r="J9" i="58"/>
  <c r="H9" i="58"/>
  <c r="F9" i="58"/>
  <c r="D9" i="58"/>
  <c r="C9" i="58"/>
  <c r="V8" i="58"/>
  <c r="T8" i="58"/>
  <c r="R8" i="58"/>
  <c r="P8" i="58"/>
  <c r="N8" i="58"/>
  <c r="L8" i="58"/>
  <c r="J8" i="58"/>
  <c r="H8" i="58"/>
  <c r="F8" i="58"/>
  <c r="D8" i="58"/>
  <c r="C8" i="58"/>
  <c r="H7" i="58"/>
  <c r="F7" i="58"/>
  <c r="D7" i="58"/>
  <c r="C7" i="58"/>
  <c r="AA3" i="58"/>
  <c r="AE2" i="58"/>
  <c r="A3" i="68" s="1"/>
  <c r="T2" i="58"/>
  <c r="B2" i="58"/>
  <c r="AT1" i="58"/>
  <c r="AE1" i="58"/>
  <c r="F1" i="58" s="1"/>
  <c r="D1" i="58"/>
  <c r="B1" i="58"/>
  <c r="AS292" i="57"/>
  <c r="AS293" i="57" s="1"/>
  <c r="T293" i="57" s="1"/>
  <c r="AQ292" i="57"/>
  <c r="AO292" i="57"/>
  <c r="AM292" i="57"/>
  <c r="AM293" i="57" s="1"/>
  <c r="N293" i="57" s="1"/>
  <c r="AK292" i="57"/>
  <c r="AK293" i="57" s="1"/>
  <c r="L293" i="57" s="1"/>
  <c r="AI292" i="57"/>
  <c r="J292" i="57" s="1"/>
  <c r="AG292" i="57"/>
  <c r="AG293" i="57" s="1"/>
  <c r="H293" i="57" s="1"/>
  <c r="AE292" i="57"/>
  <c r="AC292" i="57"/>
  <c r="D292" i="57" s="1"/>
  <c r="AE272" i="57"/>
  <c r="F272" i="57" s="1"/>
  <c r="AT271" i="57"/>
  <c r="U271" i="57" s="1"/>
  <c r="AE271" i="57"/>
  <c r="F271" i="57" s="1"/>
  <c r="AS262" i="57"/>
  <c r="AQ262" i="57"/>
  <c r="AO262" i="57"/>
  <c r="P262" i="57" s="1"/>
  <c r="AM262" i="57"/>
  <c r="N262" i="57" s="1"/>
  <c r="AK262" i="57"/>
  <c r="AK263" i="57" s="1"/>
  <c r="L263" i="57" s="1"/>
  <c r="AI262" i="57"/>
  <c r="J262" i="57" s="1"/>
  <c r="AG262" i="57"/>
  <c r="AE262" i="57"/>
  <c r="AE267" i="57" s="1"/>
  <c r="AF253" i="57" s="1"/>
  <c r="G253" i="57" s="1"/>
  <c r="AC262" i="57"/>
  <c r="AC263" i="57" s="1"/>
  <c r="D263" i="57" s="1"/>
  <c r="AE242" i="57"/>
  <c r="F242" i="57" s="1"/>
  <c r="AT241" i="57"/>
  <c r="U241" i="57" s="1"/>
  <c r="AE241" i="57"/>
  <c r="F241" i="57" s="1"/>
  <c r="AS232" i="57"/>
  <c r="T232" i="57" s="1"/>
  <c r="AQ232" i="57"/>
  <c r="AO232" i="57"/>
  <c r="AO233" i="57" s="1"/>
  <c r="P233" i="57" s="1"/>
  <c r="AM232" i="57"/>
  <c r="AM233" i="57" s="1"/>
  <c r="N233" i="57" s="1"/>
  <c r="AK232" i="57"/>
  <c r="AI232" i="57"/>
  <c r="AG232" i="57"/>
  <c r="H232" i="57" s="1"/>
  <c r="AE232" i="57"/>
  <c r="AE233" i="57" s="1"/>
  <c r="F233" i="57" s="1"/>
  <c r="AC232" i="57"/>
  <c r="D232" i="57" s="1"/>
  <c r="AE212" i="57"/>
  <c r="F212" i="57" s="1"/>
  <c r="AT211" i="57"/>
  <c r="U211" i="57" s="1"/>
  <c r="AE211" i="57"/>
  <c r="F211" i="57" s="1"/>
  <c r="AS202" i="57"/>
  <c r="AQ202" i="57"/>
  <c r="AQ203" i="57" s="1"/>
  <c r="R203" i="57" s="1"/>
  <c r="AO202" i="57"/>
  <c r="P202" i="57" s="1"/>
  <c r="AM202" i="57"/>
  <c r="N202" i="57" s="1"/>
  <c r="AK202" i="57"/>
  <c r="AK203" i="57" s="1"/>
  <c r="L203" i="57" s="1"/>
  <c r="AI202" i="57"/>
  <c r="AI203" i="57" s="1"/>
  <c r="J203" i="57" s="1"/>
  <c r="AG202" i="57"/>
  <c r="AG203" i="57" s="1"/>
  <c r="H203" i="57" s="1"/>
  <c r="AE202" i="57"/>
  <c r="F202" i="57" s="1"/>
  <c r="AC202" i="57"/>
  <c r="AE182" i="57"/>
  <c r="F182" i="57" s="1"/>
  <c r="AT181" i="57"/>
  <c r="U181" i="57" s="1"/>
  <c r="AE181" i="57"/>
  <c r="F181" i="57" s="1"/>
  <c r="AS172" i="57"/>
  <c r="AQ172" i="57"/>
  <c r="AO172" i="57"/>
  <c r="P172" i="57" s="1"/>
  <c r="AM172" i="57"/>
  <c r="N172" i="57" s="1"/>
  <c r="AK172" i="57"/>
  <c r="AK177" i="57" s="1"/>
  <c r="L177" i="57" s="1"/>
  <c r="AI172" i="57"/>
  <c r="AI173" i="57" s="1"/>
  <c r="J173" i="57" s="1"/>
  <c r="AG172" i="57"/>
  <c r="AG173" i="57" s="1"/>
  <c r="H173" i="57" s="1"/>
  <c r="AE172" i="57"/>
  <c r="AE173" i="57" s="1"/>
  <c r="F173" i="57" s="1"/>
  <c r="AC172" i="57"/>
  <c r="AE152" i="57"/>
  <c r="F152" i="57" s="1"/>
  <c r="AT151" i="57"/>
  <c r="U151" i="57" s="1"/>
  <c r="AE151" i="57"/>
  <c r="F151" i="57" s="1"/>
  <c r="AS142" i="57"/>
  <c r="AS148" i="57" s="1"/>
  <c r="AQ142" i="57"/>
  <c r="R142" i="57" s="1"/>
  <c r="AO142" i="57"/>
  <c r="P142" i="57" s="1"/>
  <c r="AM142" i="57"/>
  <c r="AK142" i="57"/>
  <c r="AK143" i="57" s="1"/>
  <c r="L143" i="57" s="1"/>
  <c r="AI142" i="57"/>
  <c r="AI143" i="57" s="1"/>
  <c r="J143" i="57" s="1"/>
  <c r="AG142" i="57"/>
  <c r="H142" i="57" s="1"/>
  <c r="AE142" i="57"/>
  <c r="AE143" i="57" s="1"/>
  <c r="F143" i="57" s="1"/>
  <c r="AC142" i="57"/>
  <c r="D142" i="57" s="1"/>
  <c r="V132" i="57"/>
  <c r="AE122" i="57"/>
  <c r="F122" i="57" s="1"/>
  <c r="AT121" i="57"/>
  <c r="U121" i="57" s="1"/>
  <c r="AE121" i="57"/>
  <c r="F121" i="57" s="1"/>
  <c r="AS112" i="57"/>
  <c r="AQ112" i="57"/>
  <c r="AO112" i="57"/>
  <c r="P112" i="57" s="1"/>
  <c r="AM112" i="57"/>
  <c r="N112" i="57" s="1"/>
  <c r="AK112" i="57"/>
  <c r="AI112" i="57"/>
  <c r="AI115" i="57" s="1"/>
  <c r="J115" i="57" s="1"/>
  <c r="AG112" i="57"/>
  <c r="H112" i="57" s="1"/>
  <c r="AE112" i="57"/>
  <c r="AC112" i="57"/>
  <c r="AC113" i="57" s="1"/>
  <c r="D113" i="57" s="1"/>
  <c r="AE92" i="57"/>
  <c r="F92" i="57" s="1"/>
  <c r="AT91" i="57"/>
  <c r="U91" i="57" s="1"/>
  <c r="AE91" i="57"/>
  <c r="F91" i="57" s="1"/>
  <c r="AS82" i="57"/>
  <c r="AQ82" i="57"/>
  <c r="AQ83" i="57" s="1"/>
  <c r="R83" i="57" s="1"/>
  <c r="AO82" i="57"/>
  <c r="P82" i="57" s="1"/>
  <c r="AM82" i="57"/>
  <c r="AK82" i="57"/>
  <c r="AI82" i="57"/>
  <c r="AI83" i="57" s="1"/>
  <c r="J83" i="57" s="1"/>
  <c r="AG82" i="57"/>
  <c r="AG83" i="57" s="1"/>
  <c r="H83" i="57" s="1"/>
  <c r="AE82" i="57"/>
  <c r="AC82" i="57"/>
  <c r="AE62" i="57"/>
  <c r="F62" i="57" s="1"/>
  <c r="AT61" i="57"/>
  <c r="U61" i="57" s="1"/>
  <c r="AE61" i="57"/>
  <c r="F61" i="57" s="1"/>
  <c r="AS52" i="57"/>
  <c r="AQ52" i="57"/>
  <c r="AQ53" i="57" s="1"/>
  <c r="R53" i="57" s="1"/>
  <c r="AO52" i="57"/>
  <c r="P52" i="57" s="1"/>
  <c r="AM52" i="57"/>
  <c r="AK52" i="57"/>
  <c r="AI52" i="57"/>
  <c r="J52" i="57" s="1"/>
  <c r="AG52" i="57"/>
  <c r="AE52" i="57"/>
  <c r="AC52" i="57"/>
  <c r="D52" i="57" s="1"/>
  <c r="AE32" i="57"/>
  <c r="F32" i="57" s="1"/>
  <c r="AT31" i="57"/>
  <c r="U31" i="57" s="1"/>
  <c r="AE31" i="57"/>
  <c r="F31" i="57" s="1"/>
  <c r="AS22" i="57"/>
  <c r="T22" i="57" s="1"/>
  <c r="AQ22" i="57"/>
  <c r="AQ23" i="57" s="1"/>
  <c r="R23" i="57" s="1"/>
  <c r="AO22" i="57"/>
  <c r="AM22" i="57"/>
  <c r="AK22" i="57"/>
  <c r="L22" i="57" s="1"/>
  <c r="AI22" i="57"/>
  <c r="AI23" i="57" s="1"/>
  <c r="J23" i="57" s="1"/>
  <c r="AG22" i="57"/>
  <c r="AG23" i="57" s="1"/>
  <c r="H23" i="57" s="1"/>
  <c r="AE22" i="57"/>
  <c r="F22" i="57" s="1"/>
  <c r="AC22" i="57"/>
  <c r="AC23" i="57" s="1"/>
  <c r="D23" i="57" s="1"/>
  <c r="U299" i="57"/>
  <c r="S299" i="57"/>
  <c r="Q299" i="57"/>
  <c r="O299" i="57"/>
  <c r="M299" i="57"/>
  <c r="K299" i="57"/>
  <c r="I299" i="57"/>
  <c r="G299" i="57"/>
  <c r="E299" i="57"/>
  <c r="C299" i="57"/>
  <c r="B299" i="57"/>
  <c r="U298" i="57"/>
  <c r="S298" i="57"/>
  <c r="Q298" i="57"/>
  <c r="O298" i="57"/>
  <c r="M298" i="57"/>
  <c r="K298" i="57"/>
  <c r="I298" i="57"/>
  <c r="G298" i="57"/>
  <c r="E298" i="57"/>
  <c r="C298" i="57"/>
  <c r="B298" i="57"/>
  <c r="U297" i="57"/>
  <c r="S297" i="57"/>
  <c r="Q297" i="57"/>
  <c r="O297" i="57"/>
  <c r="M297" i="57"/>
  <c r="K297" i="57"/>
  <c r="I297" i="57"/>
  <c r="G297" i="57"/>
  <c r="E297" i="57"/>
  <c r="C297" i="57"/>
  <c r="B297" i="57"/>
  <c r="U296" i="57"/>
  <c r="S296" i="57"/>
  <c r="Q296" i="57"/>
  <c r="O296" i="57"/>
  <c r="M296" i="57"/>
  <c r="K296" i="57"/>
  <c r="I296" i="57"/>
  <c r="G296" i="57"/>
  <c r="E296" i="57"/>
  <c r="C296" i="57"/>
  <c r="B296" i="57"/>
  <c r="U295" i="57"/>
  <c r="S295" i="57"/>
  <c r="Q295" i="57"/>
  <c r="O295" i="57"/>
  <c r="M295" i="57"/>
  <c r="K295" i="57"/>
  <c r="I295" i="57"/>
  <c r="G295" i="57"/>
  <c r="E295" i="57"/>
  <c r="C295" i="57"/>
  <c r="B295" i="57"/>
  <c r="U294" i="57"/>
  <c r="T294" i="57"/>
  <c r="S294" i="57"/>
  <c r="R294" i="57"/>
  <c r="Q294" i="57"/>
  <c r="P294" i="57"/>
  <c r="O294" i="57"/>
  <c r="N294" i="57"/>
  <c r="M294" i="57"/>
  <c r="L294" i="57"/>
  <c r="K294" i="57"/>
  <c r="J294" i="57"/>
  <c r="I294" i="57"/>
  <c r="H294" i="57"/>
  <c r="G294" i="57"/>
  <c r="F294" i="57"/>
  <c r="E294" i="57"/>
  <c r="D294" i="57"/>
  <c r="C294" i="57"/>
  <c r="B294" i="57"/>
  <c r="U293" i="57"/>
  <c r="S293" i="57"/>
  <c r="Q293" i="57"/>
  <c r="O293" i="57"/>
  <c r="M293" i="57"/>
  <c r="K293" i="57"/>
  <c r="I293" i="57"/>
  <c r="G293" i="57"/>
  <c r="E293" i="57"/>
  <c r="C293" i="57"/>
  <c r="B293" i="57"/>
  <c r="U292" i="57"/>
  <c r="S292" i="57"/>
  <c r="Q292" i="57"/>
  <c r="O292" i="57"/>
  <c r="M292" i="57"/>
  <c r="K292" i="57"/>
  <c r="I292" i="57"/>
  <c r="G292" i="57"/>
  <c r="E292" i="57"/>
  <c r="C292" i="57"/>
  <c r="B292" i="57"/>
  <c r="V290" i="57"/>
  <c r="T290" i="57"/>
  <c r="R290" i="57"/>
  <c r="P290" i="57"/>
  <c r="N290" i="57"/>
  <c r="L290" i="57"/>
  <c r="J290" i="57"/>
  <c r="H290" i="57"/>
  <c r="F290" i="57"/>
  <c r="D290" i="57"/>
  <c r="C290" i="57"/>
  <c r="B290" i="57"/>
  <c r="H289" i="57"/>
  <c r="C289" i="57"/>
  <c r="B289" i="57"/>
  <c r="T288" i="57"/>
  <c r="R288" i="57"/>
  <c r="P288" i="57"/>
  <c r="N288" i="57"/>
  <c r="L288" i="57"/>
  <c r="J288" i="57"/>
  <c r="H288" i="57"/>
  <c r="F288" i="57"/>
  <c r="D288" i="57"/>
  <c r="C288" i="57"/>
  <c r="T287" i="57"/>
  <c r="R287" i="57"/>
  <c r="P287" i="57"/>
  <c r="N287" i="57"/>
  <c r="L287" i="57"/>
  <c r="J287" i="57"/>
  <c r="H287" i="57"/>
  <c r="F287" i="57"/>
  <c r="D287" i="57"/>
  <c r="C287" i="57"/>
  <c r="T286" i="57"/>
  <c r="R286" i="57"/>
  <c r="P286" i="57"/>
  <c r="N286" i="57"/>
  <c r="L286" i="57"/>
  <c r="J286" i="57"/>
  <c r="H286" i="57"/>
  <c r="F286" i="57"/>
  <c r="D286" i="57"/>
  <c r="C286" i="57"/>
  <c r="T285" i="57"/>
  <c r="R285" i="57"/>
  <c r="P285" i="57"/>
  <c r="N285" i="57"/>
  <c r="L285" i="57"/>
  <c r="J285" i="57"/>
  <c r="H285" i="57"/>
  <c r="F285" i="57"/>
  <c r="D285" i="57"/>
  <c r="C285" i="57"/>
  <c r="T284" i="57"/>
  <c r="R284" i="57"/>
  <c r="P284" i="57"/>
  <c r="N284" i="57"/>
  <c r="L284" i="57"/>
  <c r="J284" i="57"/>
  <c r="H284" i="57"/>
  <c r="F284" i="57"/>
  <c r="D284" i="57"/>
  <c r="C284" i="57"/>
  <c r="T283" i="57"/>
  <c r="R283" i="57"/>
  <c r="P283" i="57"/>
  <c r="N283" i="57"/>
  <c r="L283" i="57"/>
  <c r="J283" i="57"/>
  <c r="H283" i="57"/>
  <c r="F283" i="57"/>
  <c r="D283" i="57"/>
  <c r="C283" i="57"/>
  <c r="T282" i="57"/>
  <c r="R282" i="57"/>
  <c r="P282" i="57"/>
  <c r="N282" i="57"/>
  <c r="L282" i="57"/>
  <c r="J282" i="57"/>
  <c r="H282" i="57"/>
  <c r="F282" i="57"/>
  <c r="D282" i="57"/>
  <c r="C282" i="57"/>
  <c r="T281" i="57"/>
  <c r="R281" i="57"/>
  <c r="P281" i="57"/>
  <c r="N281" i="57"/>
  <c r="L281" i="57"/>
  <c r="J281" i="57"/>
  <c r="H281" i="57"/>
  <c r="F281" i="57"/>
  <c r="D281" i="57"/>
  <c r="C281" i="57"/>
  <c r="T280" i="57"/>
  <c r="R280" i="57"/>
  <c r="P280" i="57"/>
  <c r="N280" i="57"/>
  <c r="L280" i="57"/>
  <c r="J280" i="57"/>
  <c r="H280" i="57"/>
  <c r="F280" i="57"/>
  <c r="D280" i="57"/>
  <c r="C280" i="57"/>
  <c r="T279" i="57"/>
  <c r="R279" i="57"/>
  <c r="P279" i="57"/>
  <c r="N279" i="57"/>
  <c r="L279" i="57"/>
  <c r="J279" i="57"/>
  <c r="H279" i="57"/>
  <c r="F279" i="57"/>
  <c r="D279" i="57"/>
  <c r="C279" i="57"/>
  <c r="T278" i="57"/>
  <c r="R278" i="57"/>
  <c r="P278" i="57"/>
  <c r="N278" i="57"/>
  <c r="L278" i="57"/>
  <c r="J278" i="57"/>
  <c r="H278" i="57"/>
  <c r="F278" i="57"/>
  <c r="D278" i="57"/>
  <c r="C278" i="57"/>
  <c r="T277" i="57"/>
  <c r="R277" i="57"/>
  <c r="P277" i="57"/>
  <c r="N277" i="57"/>
  <c r="L277" i="57"/>
  <c r="J277" i="57"/>
  <c r="H277" i="57"/>
  <c r="F277" i="57"/>
  <c r="D277" i="57"/>
  <c r="C277" i="57"/>
  <c r="T272" i="57"/>
  <c r="B272" i="57"/>
  <c r="B273" i="57" s="1"/>
  <c r="D271" i="57"/>
  <c r="B271" i="57"/>
  <c r="U269" i="57"/>
  <c r="S269" i="57"/>
  <c r="Q269" i="57"/>
  <c r="O269" i="57"/>
  <c r="M269" i="57"/>
  <c r="K269" i="57"/>
  <c r="I269" i="57"/>
  <c r="G269" i="57"/>
  <c r="E269" i="57"/>
  <c r="C269" i="57"/>
  <c r="B269" i="57"/>
  <c r="U268" i="57"/>
  <c r="S268" i="57"/>
  <c r="Q268" i="57"/>
  <c r="O268" i="57"/>
  <c r="M268" i="57"/>
  <c r="K268" i="57"/>
  <c r="I268" i="57"/>
  <c r="G268" i="57"/>
  <c r="E268" i="57"/>
  <c r="C268" i="57"/>
  <c r="B268" i="57"/>
  <c r="U267" i="57"/>
  <c r="S267" i="57"/>
  <c r="Q267" i="57"/>
  <c r="O267" i="57"/>
  <c r="M267" i="57"/>
  <c r="K267" i="57"/>
  <c r="I267" i="57"/>
  <c r="G267" i="57"/>
  <c r="E267" i="57"/>
  <c r="C267" i="57"/>
  <c r="B267" i="57"/>
  <c r="U266" i="57"/>
  <c r="S266" i="57"/>
  <c r="Q266" i="57"/>
  <c r="O266" i="57"/>
  <c r="M266" i="57"/>
  <c r="K266" i="57"/>
  <c r="I266" i="57"/>
  <c r="G266" i="57"/>
  <c r="E266" i="57"/>
  <c r="C266" i="57"/>
  <c r="B266" i="57"/>
  <c r="U265" i="57"/>
  <c r="S265" i="57"/>
  <c r="Q265" i="57"/>
  <c r="O265" i="57"/>
  <c r="M265" i="57"/>
  <c r="K265" i="57"/>
  <c r="I265" i="57"/>
  <c r="G265" i="57"/>
  <c r="E265" i="57"/>
  <c r="C265" i="57"/>
  <c r="B265" i="57"/>
  <c r="U264" i="57"/>
  <c r="T264" i="57"/>
  <c r="S264" i="57"/>
  <c r="R264" i="57"/>
  <c r="Q264" i="57"/>
  <c r="P264" i="57"/>
  <c r="O264" i="57"/>
  <c r="N264" i="57"/>
  <c r="M264" i="57"/>
  <c r="L264" i="57"/>
  <c r="K264" i="57"/>
  <c r="J264" i="57"/>
  <c r="I264" i="57"/>
  <c r="H264" i="57"/>
  <c r="G264" i="57"/>
  <c r="F264" i="57"/>
  <c r="E264" i="57"/>
  <c r="D264" i="57"/>
  <c r="C264" i="57"/>
  <c r="B264" i="57"/>
  <c r="U263" i="57"/>
  <c r="S263" i="57"/>
  <c r="Q263" i="57"/>
  <c r="O263" i="57"/>
  <c r="M263" i="57"/>
  <c r="K263" i="57"/>
  <c r="I263" i="57"/>
  <c r="G263" i="57"/>
  <c r="E263" i="57"/>
  <c r="C263" i="57"/>
  <c r="B263" i="57"/>
  <c r="U262" i="57"/>
  <c r="S262" i="57"/>
  <c r="Q262" i="57"/>
  <c r="O262" i="57"/>
  <c r="M262" i="57"/>
  <c r="K262" i="57"/>
  <c r="I262" i="57"/>
  <c r="G262" i="57"/>
  <c r="E262" i="57"/>
  <c r="C262" i="57"/>
  <c r="B262" i="57"/>
  <c r="V260" i="57"/>
  <c r="T260" i="57"/>
  <c r="R260" i="57"/>
  <c r="P260" i="57"/>
  <c r="N260" i="57"/>
  <c r="L260" i="57"/>
  <c r="J260" i="57"/>
  <c r="H260" i="57"/>
  <c r="F260" i="57"/>
  <c r="D260" i="57"/>
  <c r="C260" i="57"/>
  <c r="B260" i="57"/>
  <c r="C259" i="57"/>
  <c r="B259" i="57"/>
  <c r="T258" i="57"/>
  <c r="R258" i="57"/>
  <c r="P258" i="57"/>
  <c r="N258" i="57"/>
  <c r="L258" i="57"/>
  <c r="J258" i="57"/>
  <c r="H258" i="57"/>
  <c r="F258" i="57"/>
  <c r="D258" i="57"/>
  <c r="C258" i="57"/>
  <c r="T257" i="57"/>
  <c r="R257" i="57"/>
  <c r="P257" i="57"/>
  <c r="N257" i="57"/>
  <c r="L257" i="57"/>
  <c r="J257" i="57"/>
  <c r="H257" i="57"/>
  <c r="F257" i="57"/>
  <c r="D257" i="57"/>
  <c r="C257" i="57"/>
  <c r="F256" i="57"/>
  <c r="D256" i="57"/>
  <c r="C256" i="57"/>
  <c r="T255" i="57"/>
  <c r="R255" i="57"/>
  <c r="P255" i="57"/>
  <c r="N255" i="57"/>
  <c r="L255" i="57"/>
  <c r="J255" i="57"/>
  <c r="H255" i="57"/>
  <c r="F255" i="57"/>
  <c r="D255" i="57"/>
  <c r="C255" i="57"/>
  <c r="T254" i="57"/>
  <c r="R254" i="57"/>
  <c r="P254" i="57"/>
  <c r="N254" i="57"/>
  <c r="L254" i="57"/>
  <c r="J254" i="57"/>
  <c r="H254" i="57"/>
  <c r="F254" i="57"/>
  <c r="D254" i="57"/>
  <c r="C254" i="57"/>
  <c r="H253" i="57"/>
  <c r="F253" i="57"/>
  <c r="D253" i="57"/>
  <c r="C253" i="57"/>
  <c r="T252" i="57"/>
  <c r="R252" i="57"/>
  <c r="P252" i="57"/>
  <c r="N252" i="57"/>
  <c r="L252" i="57"/>
  <c r="J252" i="57"/>
  <c r="H252" i="57"/>
  <c r="F252" i="57"/>
  <c r="D252" i="57"/>
  <c r="C252" i="57"/>
  <c r="T251" i="57"/>
  <c r="R251" i="57"/>
  <c r="P251" i="57"/>
  <c r="N251" i="57"/>
  <c r="L251" i="57"/>
  <c r="J251" i="57"/>
  <c r="H251" i="57"/>
  <c r="F251" i="57"/>
  <c r="D251" i="57"/>
  <c r="C251" i="57"/>
  <c r="F250" i="57"/>
  <c r="D250" i="57"/>
  <c r="C250" i="57"/>
  <c r="V249" i="57"/>
  <c r="T249" i="57"/>
  <c r="R249" i="57"/>
  <c r="P249" i="57"/>
  <c r="N249" i="57"/>
  <c r="L249" i="57"/>
  <c r="J249" i="57"/>
  <c r="H249" i="57"/>
  <c r="F249" i="57"/>
  <c r="D249" i="57"/>
  <c r="C249" i="57"/>
  <c r="T248" i="57"/>
  <c r="R248" i="57"/>
  <c r="P248" i="57"/>
  <c r="N248" i="57"/>
  <c r="L248" i="57"/>
  <c r="J248" i="57"/>
  <c r="H248" i="57"/>
  <c r="F248" i="57"/>
  <c r="D248" i="57"/>
  <c r="C248" i="57"/>
  <c r="F247" i="57"/>
  <c r="D247" i="57"/>
  <c r="C247" i="57"/>
  <c r="T242" i="57"/>
  <c r="B242" i="57"/>
  <c r="B243" i="57" s="1"/>
  <c r="D241" i="57"/>
  <c r="B241" i="57"/>
  <c r="U239" i="57"/>
  <c r="S239" i="57"/>
  <c r="Q239" i="57"/>
  <c r="O239" i="57"/>
  <c r="M239" i="57"/>
  <c r="K239" i="57"/>
  <c r="I239" i="57"/>
  <c r="G239" i="57"/>
  <c r="E239" i="57"/>
  <c r="C239" i="57"/>
  <c r="B239" i="57"/>
  <c r="U238" i="57"/>
  <c r="S238" i="57"/>
  <c r="Q238" i="57"/>
  <c r="O238" i="57"/>
  <c r="M238" i="57"/>
  <c r="K238" i="57"/>
  <c r="I238" i="57"/>
  <c r="G238" i="57"/>
  <c r="E238" i="57"/>
  <c r="C238" i="57"/>
  <c r="B238" i="57"/>
  <c r="U237" i="57"/>
  <c r="S237" i="57"/>
  <c r="Q237" i="57"/>
  <c r="O237" i="57"/>
  <c r="M237" i="57"/>
  <c r="K237" i="57"/>
  <c r="I237" i="57"/>
  <c r="G237" i="57"/>
  <c r="E237" i="57"/>
  <c r="C237" i="57"/>
  <c r="B237" i="57"/>
  <c r="U236" i="57"/>
  <c r="S236" i="57"/>
  <c r="Q236" i="57"/>
  <c r="O236" i="57"/>
  <c r="M236" i="57"/>
  <c r="K236" i="57"/>
  <c r="I236" i="57"/>
  <c r="G236" i="57"/>
  <c r="E236" i="57"/>
  <c r="C236" i="57"/>
  <c r="B236" i="57"/>
  <c r="U235" i="57"/>
  <c r="S235" i="57"/>
  <c r="Q235" i="57"/>
  <c r="O235" i="57"/>
  <c r="M235" i="57"/>
  <c r="K235" i="57"/>
  <c r="I235" i="57"/>
  <c r="G235" i="57"/>
  <c r="E235" i="57"/>
  <c r="C235" i="57"/>
  <c r="B235" i="57"/>
  <c r="U234" i="57"/>
  <c r="T234" i="57"/>
  <c r="S234" i="57"/>
  <c r="R234" i="57"/>
  <c r="Q234" i="57"/>
  <c r="P234" i="57"/>
  <c r="O234" i="57"/>
  <c r="N234" i="57"/>
  <c r="M234" i="57"/>
  <c r="L234" i="57"/>
  <c r="K234" i="57"/>
  <c r="J234" i="57"/>
  <c r="I234" i="57"/>
  <c r="H234" i="57"/>
  <c r="G234" i="57"/>
  <c r="F234" i="57"/>
  <c r="E234" i="57"/>
  <c r="D234" i="57"/>
  <c r="C234" i="57"/>
  <c r="B234" i="57"/>
  <c r="U233" i="57"/>
  <c r="S233" i="57"/>
  <c r="Q233" i="57"/>
  <c r="O233" i="57"/>
  <c r="M233" i="57"/>
  <c r="K233" i="57"/>
  <c r="I233" i="57"/>
  <c r="G233" i="57"/>
  <c r="E233" i="57"/>
  <c r="C233" i="57"/>
  <c r="B233" i="57"/>
  <c r="U232" i="57"/>
  <c r="S232" i="57"/>
  <c r="Q232" i="57"/>
  <c r="O232" i="57"/>
  <c r="M232" i="57"/>
  <c r="K232" i="57"/>
  <c r="I232" i="57"/>
  <c r="G232" i="57"/>
  <c r="E232" i="57"/>
  <c r="C232" i="57"/>
  <c r="B232" i="57"/>
  <c r="V230" i="57"/>
  <c r="T230" i="57"/>
  <c r="R230" i="57"/>
  <c r="P230" i="57"/>
  <c r="N230" i="57"/>
  <c r="L230" i="57"/>
  <c r="J230" i="57"/>
  <c r="H230" i="57"/>
  <c r="F230" i="57"/>
  <c r="D230" i="57"/>
  <c r="C230" i="57"/>
  <c r="B230" i="57"/>
  <c r="C229" i="57"/>
  <c r="B229" i="57"/>
  <c r="T228" i="57"/>
  <c r="R228" i="57"/>
  <c r="P228" i="57"/>
  <c r="N228" i="57"/>
  <c r="L228" i="57"/>
  <c r="J228" i="57"/>
  <c r="H228" i="57"/>
  <c r="F228" i="57"/>
  <c r="D228" i="57"/>
  <c r="C228" i="57"/>
  <c r="T227" i="57"/>
  <c r="R227" i="57"/>
  <c r="P227" i="57"/>
  <c r="N227" i="57"/>
  <c r="L227" i="57"/>
  <c r="J227" i="57"/>
  <c r="H227" i="57"/>
  <c r="F227" i="57"/>
  <c r="D227" i="57"/>
  <c r="C227" i="57"/>
  <c r="F226" i="57"/>
  <c r="D226" i="57"/>
  <c r="C226" i="57"/>
  <c r="T225" i="57"/>
  <c r="R225" i="57"/>
  <c r="P225" i="57"/>
  <c r="N225" i="57"/>
  <c r="L225" i="57"/>
  <c r="J225" i="57"/>
  <c r="H225" i="57"/>
  <c r="F225" i="57"/>
  <c r="D225" i="57"/>
  <c r="C225" i="57"/>
  <c r="T224" i="57"/>
  <c r="R224" i="57"/>
  <c r="P224" i="57"/>
  <c r="N224" i="57"/>
  <c r="L224" i="57"/>
  <c r="J224" i="57"/>
  <c r="H224" i="57"/>
  <c r="F224" i="57"/>
  <c r="D224" i="57"/>
  <c r="C224" i="57"/>
  <c r="F223" i="57"/>
  <c r="D223" i="57"/>
  <c r="C223" i="57"/>
  <c r="T222" i="57"/>
  <c r="R222" i="57"/>
  <c r="P222" i="57"/>
  <c r="N222" i="57"/>
  <c r="L222" i="57"/>
  <c r="J222" i="57"/>
  <c r="H222" i="57"/>
  <c r="F222" i="57"/>
  <c r="D222" i="57"/>
  <c r="C222" i="57"/>
  <c r="T221" i="57"/>
  <c r="R221" i="57"/>
  <c r="P221" i="57"/>
  <c r="N221" i="57"/>
  <c r="L221" i="57"/>
  <c r="J221" i="57"/>
  <c r="H221" i="57"/>
  <c r="F221" i="57"/>
  <c r="D221" i="57"/>
  <c r="C221" i="57"/>
  <c r="F220" i="57"/>
  <c r="D220" i="57"/>
  <c r="C220" i="57"/>
  <c r="T219" i="57"/>
  <c r="R219" i="57"/>
  <c r="P219" i="57"/>
  <c r="N219" i="57"/>
  <c r="L219" i="57"/>
  <c r="J219" i="57"/>
  <c r="H219" i="57"/>
  <c r="F219" i="57"/>
  <c r="D219" i="57"/>
  <c r="C219" i="57"/>
  <c r="T218" i="57"/>
  <c r="R218" i="57"/>
  <c r="P218" i="57"/>
  <c r="N218" i="57"/>
  <c r="L218" i="57"/>
  <c r="J218" i="57"/>
  <c r="H218" i="57"/>
  <c r="F218" i="57"/>
  <c r="D218" i="57"/>
  <c r="C218" i="57"/>
  <c r="F217" i="57"/>
  <c r="D217" i="57"/>
  <c r="C217" i="57"/>
  <c r="T212" i="57"/>
  <c r="B212" i="57"/>
  <c r="B213" i="57" s="1"/>
  <c r="D211" i="57"/>
  <c r="B211" i="57"/>
  <c r="U209" i="57"/>
  <c r="S209" i="57"/>
  <c r="Q209" i="57"/>
  <c r="O209" i="57"/>
  <c r="M209" i="57"/>
  <c r="K209" i="57"/>
  <c r="I209" i="57"/>
  <c r="G209" i="57"/>
  <c r="E209" i="57"/>
  <c r="C209" i="57"/>
  <c r="B209" i="57"/>
  <c r="U208" i="57"/>
  <c r="S208" i="57"/>
  <c r="Q208" i="57"/>
  <c r="O208" i="57"/>
  <c r="M208" i="57"/>
  <c r="K208" i="57"/>
  <c r="I208" i="57"/>
  <c r="G208" i="57"/>
  <c r="E208" i="57"/>
  <c r="C208" i="57"/>
  <c r="B208" i="57"/>
  <c r="U207" i="57"/>
  <c r="S207" i="57"/>
  <c r="Q207" i="57"/>
  <c r="O207" i="57"/>
  <c r="M207" i="57"/>
  <c r="K207" i="57"/>
  <c r="I207" i="57"/>
  <c r="G207" i="57"/>
  <c r="E207" i="57"/>
  <c r="C207" i="57"/>
  <c r="B207" i="57"/>
  <c r="U206" i="57"/>
  <c r="S206" i="57"/>
  <c r="Q206" i="57"/>
  <c r="O206" i="57"/>
  <c r="M206" i="57"/>
  <c r="K206" i="57"/>
  <c r="I206" i="57"/>
  <c r="G206" i="57"/>
  <c r="E206" i="57"/>
  <c r="C206" i="57"/>
  <c r="B206" i="57"/>
  <c r="U205" i="57"/>
  <c r="S205" i="57"/>
  <c r="Q205" i="57"/>
  <c r="O205" i="57"/>
  <c r="M205" i="57"/>
  <c r="K205" i="57"/>
  <c r="I205" i="57"/>
  <c r="G205" i="57"/>
  <c r="E205" i="57"/>
  <c r="C205" i="57"/>
  <c r="B205" i="57"/>
  <c r="U204" i="57"/>
  <c r="T204" i="57"/>
  <c r="S204" i="57"/>
  <c r="R204" i="57"/>
  <c r="Q204" i="57"/>
  <c r="P204" i="57"/>
  <c r="O204" i="57"/>
  <c r="N204" i="57"/>
  <c r="M204" i="57"/>
  <c r="L204" i="57"/>
  <c r="K204" i="57"/>
  <c r="J204" i="57"/>
  <c r="I204" i="57"/>
  <c r="H204" i="57"/>
  <c r="G204" i="57"/>
  <c r="F204" i="57"/>
  <c r="E204" i="57"/>
  <c r="D204" i="57"/>
  <c r="C204" i="57"/>
  <c r="B204" i="57"/>
  <c r="U203" i="57"/>
  <c r="S203" i="57"/>
  <c r="Q203" i="57"/>
  <c r="O203" i="57"/>
  <c r="M203" i="57"/>
  <c r="K203" i="57"/>
  <c r="I203" i="57"/>
  <c r="G203" i="57"/>
  <c r="E203" i="57"/>
  <c r="C203" i="57"/>
  <c r="B203" i="57"/>
  <c r="U202" i="57"/>
  <c r="S202" i="57"/>
  <c r="Q202" i="57"/>
  <c r="O202" i="57"/>
  <c r="M202" i="57"/>
  <c r="K202" i="57"/>
  <c r="I202" i="57"/>
  <c r="G202" i="57"/>
  <c r="E202" i="57"/>
  <c r="C202" i="57"/>
  <c r="B202" i="57"/>
  <c r="V200" i="57"/>
  <c r="T200" i="57"/>
  <c r="R200" i="57"/>
  <c r="P200" i="57"/>
  <c r="N200" i="57"/>
  <c r="L200" i="57"/>
  <c r="J200" i="57"/>
  <c r="H200" i="57"/>
  <c r="F200" i="57"/>
  <c r="D200" i="57"/>
  <c r="C200" i="57"/>
  <c r="B200" i="57"/>
  <c r="C199" i="57"/>
  <c r="B199" i="57"/>
  <c r="T198" i="57"/>
  <c r="R198" i="57"/>
  <c r="P198" i="57"/>
  <c r="N198" i="57"/>
  <c r="L198" i="57"/>
  <c r="J198" i="57"/>
  <c r="H198" i="57"/>
  <c r="F198" i="57"/>
  <c r="D198" i="57"/>
  <c r="C198" i="57"/>
  <c r="T197" i="57"/>
  <c r="R197" i="57"/>
  <c r="P197" i="57"/>
  <c r="N197" i="57"/>
  <c r="L197" i="57"/>
  <c r="J197" i="57"/>
  <c r="H197" i="57"/>
  <c r="F197" i="57"/>
  <c r="D197" i="57"/>
  <c r="C197" i="57"/>
  <c r="F196" i="57"/>
  <c r="D196" i="57"/>
  <c r="C196" i="57"/>
  <c r="T195" i="57"/>
  <c r="R195" i="57"/>
  <c r="P195" i="57"/>
  <c r="N195" i="57"/>
  <c r="L195" i="57"/>
  <c r="J195" i="57"/>
  <c r="H195" i="57"/>
  <c r="F195" i="57"/>
  <c r="D195" i="57"/>
  <c r="C195" i="57"/>
  <c r="T194" i="57"/>
  <c r="R194" i="57"/>
  <c r="P194" i="57"/>
  <c r="N194" i="57"/>
  <c r="L194" i="57"/>
  <c r="J194" i="57"/>
  <c r="H194" i="57"/>
  <c r="F194" i="57"/>
  <c r="D194" i="57"/>
  <c r="C194" i="57"/>
  <c r="F193" i="57"/>
  <c r="D193" i="57"/>
  <c r="C193" i="57"/>
  <c r="V192" i="57"/>
  <c r="T192" i="57"/>
  <c r="R192" i="57"/>
  <c r="P192" i="57"/>
  <c r="N192" i="57"/>
  <c r="L192" i="57"/>
  <c r="J192" i="57"/>
  <c r="H192" i="57"/>
  <c r="F192" i="57"/>
  <c r="D192" i="57"/>
  <c r="C192" i="57"/>
  <c r="T191" i="57"/>
  <c r="R191" i="57"/>
  <c r="P191" i="57"/>
  <c r="N191" i="57"/>
  <c r="L191" i="57"/>
  <c r="J191" i="57"/>
  <c r="H191" i="57"/>
  <c r="F191" i="57"/>
  <c r="D191" i="57"/>
  <c r="C191" i="57"/>
  <c r="F190" i="57"/>
  <c r="D190" i="57"/>
  <c r="C190" i="57"/>
  <c r="T189" i="57"/>
  <c r="R189" i="57"/>
  <c r="P189" i="57"/>
  <c r="N189" i="57"/>
  <c r="L189" i="57"/>
  <c r="J189" i="57"/>
  <c r="H189" i="57"/>
  <c r="F189" i="57"/>
  <c r="D189" i="57"/>
  <c r="C189" i="57"/>
  <c r="T188" i="57"/>
  <c r="R188" i="57"/>
  <c r="P188" i="57"/>
  <c r="N188" i="57"/>
  <c r="L188" i="57"/>
  <c r="J188" i="57"/>
  <c r="H188" i="57"/>
  <c r="F188" i="57"/>
  <c r="D188" i="57"/>
  <c r="C188" i="57"/>
  <c r="H187" i="57"/>
  <c r="F187" i="57"/>
  <c r="D187" i="57"/>
  <c r="C187" i="57"/>
  <c r="T182" i="57"/>
  <c r="B182" i="57"/>
  <c r="B183" i="57" s="1"/>
  <c r="D181" i="57"/>
  <c r="B181" i="57"/>
  <c r="U179" i="57"/>
  <c r="S179" i="57"/>
  <c r="Q179" i="57"/>
  <c r="O179" i="57"/>
  <c r="M179" i="57"/>
  <c r="K179" i="57"/>
  <c r="I179" i="57"/>
  <c r="G179" i="57"/>
  <c r="E179" i="57"/>
  <c r="C179" i="57"/>
  <c r="B179" i="57"/>
  <c r="U178" i="57"/>
  <c r="S178" i="57"/>
  <c r="Q178" i="57"/>
  <c r="O178" i="57"/>
  <c r="M178" i="57"/>
  <c r="K178" i="57"/>
  <c r="I178" i="57"/>
  <c r="G178" i="57"/>
  <c r="E178" i="57"/>
  <c r="C178" i="57"/>
  <c r="B178" i="57"/>
  <c r="U177" i="57"/>
  <c r="S177" i="57"/>
  <c r="Q177" i="57"/>
  <c r="O177" i="57"/>
  <c r="M177" i="57"/>
  <c r="K177" i="57"/>
  <c r="I177" i="57"/>
  <c r="G177" i="57"/>
  <c r="E177" i="57"/>
  <c r="C177" i="57"/>
  <c r="B177" i="57"/>
  <c r="U176" i="57"/>
  <c r="S176" i="57"/>
  <c r="Q176" i="57"/>
  <c r="O176" i="57"/>
  <c r="M176" i="57"/>
  <c r="K176" i="57"/>
  <c r="I176" i="57"/>
  <c r="G176" i="57"/>
  <c r="E176" i="57"/>
  <c r="C176" i="57"/>
  <c r="B176" i="57"/>
  <c r="U175" i="57"/>
  <c r="S175" i="57"/>
  <c r="Q175" i="57"/>
  <c r="O175" i="57"/>
  <c r="M175" i="57"/>
  <c r="K175" i="57"/>
  <c r="I175" i="57"/>
  <c r="G175" i="57"/>
  <c r="E175" i="57"/>
  <c r="C175" i="57"/>
  <c r="B175" i="57"/>
  <c r="U174" i="57"/>
  <c r="T174" i="57"/>
  <c r="S174" i="57"/>
  <c r="R174" i="57"/>
  <c r="Q174" i="57"/>
  <c r="P174" i="57"/>
  <c r="O174" i="57"/>
  <c r="N174" i="57"/>
  <c r="M174" i="57"/>
  <c r="L174" i="57"/>
  <c r="K174" i="57"/>
  <c r="J174" i="57"/>
  <c r="I174" i="57"/>
  <c r="H174" i="57"/>
  <c r="G174" i="57"/>
  <c r="F174" i="57"/>
  <c r="E174" i="57"/>
  <c r="D174" i="57"/>
  <c r="C174" i="57"/>
  <c r="B174" i="57"/>
  <c r="U173" i="57"/>
  <c r="S173" i="57"/>
  <c r="Q173" i="57"/>
  <c r="O173" i="57"/>
  <c r="M173" i="57"/>
  <c r="K173" i="57"/>
  <c r="I173" i="57"/>
  <c r="G173" i="57"/>
  <c r="E173" i="57"/>
  <c r="C173" i="57"/>
  <c r="B173" i="57"/>
  <c r="U172" i="57"/>
  <c r="S172" i="57"/>
  <c r="Q172" i="57"/>
  <c r="O172" i="57"/>
  <c r="M172" i="57"/>
  <c r="K172" i="57"/>
  <c r="I172" i="57"/>
  <c r="G172" i="57"/>
  <c r="E172" i="57"/>
  <c r="C172" i="57"/>
  <c r="B172" i="57"/>
  <c r="V170" i="57"/>
  <c r="T170" i="57"/>
  <c r="R170" i="57"/>
  <c r="P170" i="57"/>
  <c r="N170" i="57"/>
  <c r="L170" i="57"/>
  <c r="J170" i="57"/>
  <c r="H170" i="57"/>
  <c r="F170" i="57"/>
  <c r="D170" i="57"/>
  <c r="C170" i="57"/>
  <c r="B170" i="57"/>
  <c r="C169" i="57"/>
  <c r="B169" i="57"/>
  <c r="T168" i="57"/>
  <c r="R168" i="57"/>
  <c r="P168" i="57"/>
  <c r="N168" i="57"/>
  <c r="L168" i="57"/>
  <c r="J168" i="57"/>
  <c r="H168" i="57"/>
  <c r="F168" i="57"/>
  <c r="D168" i="57"/>
  <c r="C168" i="57"/>
  <c r="T167" i="57"/>
  <c r="R167" i="57"/>
  <c r="P167" i="57"/>
  <c r="N167" i="57"/>
  <c r="L167" i="57"/>
  <c r="J167" i="57"/>
  <c r="H167" i="57"/>
  <c r="F167" i="57"/>
  <c r="D167" i="57"/>
  <c r="C167" i="57"/>
  <c r="T166" i="57"/>
  <c r="R166" i="57"/>
  <c r="P166" i="57"/>
  <c r="N166" i="57"/>
  <c r="L166" i="57"/>
  <c r="J166" i="57"/>
  <c r="H166" i="57"/>
  <c r="F166" i="57"/>
  <c r="D166" i="57"/>
  <c r="C166" i="57"/>
  <c r="T165" i="57"/>
  <c r="R165" i="57"/>
  <c r="P165" i="57"/>
  <c r="N165" i="57"/>
  <c r="L165" i="57"/>
  <c r="J165" i="57"/>
  <c r="H165" i="57"/>
  <c r="F165" i="57"/>
  <c r="D165" i="57"/>
  <c r="C165" i="57"/>
  <c r="T164" i="57"/>
  <c r="R164" i="57"/>
  <c r="P164" i="57"/>
  <c r="N164" i="57"/>
  <c r="L164" i="57"/>
  <c r="J164" i="57"/>
  <c r="H164" i="57"/>
  <c r="F164" i="57"/>
  <c r="D164" i="57"/>
  <c r="C164" i="57"/>
  <c r="F163" i="57"/>
  <c r="D163" i="57"/>
  <c r="C163" i="57"/>
  <c r="T162" i="57"/>
  <c r="R162" i="57"/>
  <c r="P162" i="57"/>
  <c r="N162" i="57"/>
  <c r="L162" i="57"/>
  <c r="J162" i="57"/>
  <c r="H162" i="57"/>
  <c r="F162" i="57"/>
  <c r="D162" i="57"/>
  <c r="C162" i="57"/>
  <c r="T161" i="57"/>
  <c r="R161" i="57"/>
  <c r="P161" i="57"/>
  <c r="N161" i="57"/>
  <c r="L161" i="57"/>
  <c r="J161" i="57"/>
  <c r="H161" i="57"/>
  <c r="F161" i="57"/>
  <c r="D161" i="57"/>
  <c r="C161" i="57"/>
  <c r="T160" i="57"/>
  <c r="R160" i="57"/>
  <c r="H160" i="57"/>
  <c r="F160" i="57"/>
  <c r="D160" i="57"/>
  <c r="C160" i="57"/>
  <c r="T159" i="57"/>
  <c r="R159" i="57"/>
  <c r="P159" i="57"/>
  <c r="N159" i="57"/>
  <c r="L159" i="57"/>
  <c r="J159" i="57"/>
  <c r="H159" i="57"/>
  <c r="F159" i="57"/>
  <c r="D159" i="57"/>
  <c r="C159" i="57"/>
  <c r="T158" i="57"/>
  <c r="R158" i="57"/>
  <c r="P158" i="57"/>
  <c r="N158" i="57"/>
  <c r="L158" i="57"/>
  <c r="J158" i="57"/>
  <c r="H158" i="57"/>
  <c r="F158" i="57"/>
  <c r="D158" i="57"/>
  <c r="C158" i="57"/>
  <c r="T157" i="57"/>
  <c r="R157" i="57"/>
  <c r="P157" i="57"/>
  <c r="N157" i="57"/>
  <c r="L157" i="57"/>
  <c r="J157" i="57"/>
  <c r="H157" i="57"/>
  <c r="F157" i="57"/>
  <c r="D157" i="57"/>
  <c r="C157" i="57"/>
  <c r="T152" i="57"/>
  <c r="B152" i="57"/>
  <c r="B153" i="57" s="1"/>
  <c r="D151" i="57"/>
  <c r="B151" i="57"/>
  <c r="U149" i="57"/>
  <c r="S149" i="57"/>
  <c r="Q149" i="57"/>
  <c r="O149" i="57"/>
  <c r="M149" i="57"/>
  <c r="K149" i="57"/>
  <c r="I149" i="57"/>
  <c r="G149" i="57"/>
  <c r="E149" i="57"/>
  <c r="C149" i="57"/>
  <c r="B149" i="57"/>
  <c r="U148" i="57"/>
  <c r="S148" i="57"/>
  <c r="Q148" i="57"/>
  <c r="O148" i="57"/>
  <c r="M148" i="57"/>
  <c r="K148" i="57"/>
  <c r="I148" i="57"/>
  <c r="G148" i="57"/>
  <c r="E148" i="57"/>
  <c r="C148" i="57"/>
  <c r="B148" i="57"/>
  <c r="U147" i="57"/>
  <c r="S147" i="57"/>
  <c r="Q147" i="57"/>
  <c r="O147" i="57"/>
  <c r="M147" i="57"/>
  <c r="K147" i="57"/>
  <c r="I147" i="57"/>
  <c r="G147" i="57"/>
  <c r="E147" i="57"/>
  <c r="C147" i="57"/>
  <c r="B147" i="57"/>
  <c r="U146" i="57"/>
  <c r="S146" i="57"/>
  <c r="Q146" i="57"/>
  <c r="O146" i="57"/>
  <c r="M146" i="57"/>
  <c r="K146" i="57"/>
  <c r="I146" i="57"/>
  <c r="G146" i="57"/>
  <c r="E146" i="57"/>
  <c r="C146" i="57"/>
  <c r="B146" i="57"/>
  <c r="U145" i="57"/>
  <c r="S145" i="57"/>
  <c r="Q145" i="57"/>
  <c r="O145" i="57"/>
  <c r="M145" i="57"/>
  <c r="K145" i="57"/>
  <c r="I145" i="57"/>
  <c r="G145" i="57"/>
  <c r="E145" i="57"/>
  <c r="C145" i="57"/>
  <c r="B145" i="57"/>
  <c r="U144" i="57"/>
  <c r="T144" i="57"/>
  <c r="S144" i="57"/>
  <c r="R144" i="57"/>
  <c r="Q144" i="57"/>
  <c r="P144" i="57"/>
  <c r="O144" i="57"/>
  <c r="N144" i="57"/>
  <c r="M144" i="57"/>
  <c r="L144" i="57"/>
  <c r="K144" i="57"/>
  <c r="J144" i="57"/>
  <c r="I144" i="57"/>
  <c r="H144" i="57"/>
  <c r="G144" i="57"/>
  <c r="F144" i="57"/>
  <c r="E144" i="57"/>
  <c r="D144" i="57"/>
  <c r="C144" i="57"/>
  <c r="B144" i="57"/>
  <c r="U143" i="57"/>
  <c r="S143" i="57"/>
  <c r="Q143" i="57"/>
  <c r="O143" i="57"/>
  <c r="M143" i="57"/>
  <c r="K143" i="57"/>
  <c r="I143" i="57"/>
  <c r="G143" i="57"/>
  <c r="E143" i="57"/>
  <c r="C143" i="57"/>
  <c r="B143" i="57"/>
  <c r="U142" i="57"/>
  <c r="S142" i="57"/>
  <c r="Q142" i="57"/>
  <c r="O142" i="57"/>
  <c r="M142" i="57"/>
  <c r="K142" i="57"/>
  <c r="I142" i="57"/>
  <c r="G142" i="57"/>
  <c r="E142" i="57"/>
  <c r="C142" i="57"/>
  <c r="B142" i="57"/>
  <c r="V140" i="57"/>
  <c r="T140" i="57"/>
  <c r="R140" i="57"/>
  <c r="P140" i="57"/>
  <c r="N140" i="57"/>
  <c r="L140" i="57"/>
  <c r="J140" i="57"/>
  <c r="H140" i="57"/>
  <c r="F140" i="57"/>
  <c r="D140" i="57"/>
  <c r="C140" i="57"/>
  <c r="B140" i="57"/>
  <c r="C139" i="57"/>
  <c r="B139" i="57"/>
  <c r="T138" i="57"/>
  <c r="R138" i="57"/>
  <c r="P138" i="57"/>
  <c r="N138" i="57"/>
  <c r="L138" i="57"/>
  <c r="J138" i="57"/>
  <c r="H138" i="57"/>
  <c r="F138" i="57"/>
  <c r="D138" i="57"/>
  <c r="C138" i="57"/>
  <c r="T137" i="57"/>
  <c r="R137" i="57"/>
  <c r="P137" i="57"/>
  <c r="N137" i="57"/>
  <c r="L137" i="57"/>
  <c r="J137" i="57"/>
  <c r="H137" i="57"/>
  <c r="F137" i="57"/>
  <c r="D137" i="57"/>
  <c r="C137" i="57"/>
  <c r="H136" i="57"/>
  <c r="F136" i="57"/>
  <c r="D136" i="57"/>
  <c r="C136" i="57"/>
  <c r="T135" i="57"/>
  <c r="R135" i="57"/>
  <c r="P135" i="57"/>
  <c r="N135" i="57"/>
  <c r="L135" i="57"/>
  <c r="J135" i="57"/>
  <c r="H135" i="57"/>
  <c r="F135" i="57"/>
  <c r="D135" i="57"/>
  <c r="C135" i="57"/>
  <c r="T134" i="57"/>
  <c r="R134" i="57"/>
  <c r="P134" i="57"/>
  <c r="N134" i="57"/>
  <c r="L134" i="57"/>
  <c r="J134" i="57"/>
  <c r="H134" i="57"/>
  <c r="F134" i="57"/>
  <c r="D134" i="57"/>
  <c r="C134" i="57"/>
  <c r="F133" i="57"/>
  <c r="D133" i="57"/>
  <c r="C133" i="57"/>
  <c r="T132" i="57"/>
  <c r="R132" i="57"/>
  <c r="P132" i="57"/>
  <c r="N132" i="57"/>
  <c r="L132" i="57"/>
  <c r="J132" i="57"/>
  <c r="H132" i="57"/>
  <c r="F132" i="57"/>
  <c r="D132" i="57"/>
  <c r="C132" i="57"/>
  <c r="T131" i="57"/>
  <c r="R131" i="57"/>
  <c r="P131" i="57"/>
  <c r="N131" i="57"/>
  <c r="L131" i="57"/>
  <c r="J131" i="57"/>
  <c r="H131" i="57"/>
  <c r="F131" i="57"/>
  <c r="D131" i="57"/>
  <c r="C131" i="57"/>
  <c r="F130" i="57"/>
  <c r="D130" i="57"/>
  <c r="C130" i="57"/>
  <c r="T129" i="57"/>
  <c r="R129" i="57"/>
  <c r="P129" i="57"/>
  <c r="N129" i="57"/>
  <c r="L129" i="57"/>
  <c r="J129" i="57"/>
  <c r="H129" i="57"/>
  <c r="F129" i="57"/>
  <c r="D129" i="57"/>
  <c r="C129" i="57"/>
  <c r="T128" i="57"/>
  <c r="R128" i="57"/>
  <c r="P128" i="57"/>
  <c r="N128" i="57"/>
  <c r="L128" i="57"/>
  <c r="J128" i="57"/>
  <c r="H128" i="57"/>
  <c r="F128" i="57"/>
  <c r="D128" i="57"/>
  <c r="C128" i="57"/>
  <c r="F127" i="57"/>
  <c r="D127" i="57"/>
  <c r="C127" i="57"/>
  <c r="T122" i="57"/>
  <c r="B122" i="57"/>
  <c r="B123" i="57"/>
  <c r="D121" i="57"/>
  <c r="B121" i="57"/>
  <c r="U119" i="57"/>
  <c r="S119" i="57"/>
  <c r="Q119" i="57"/>
  <c r="O119" i="57"/>
  <c r="M119" i="57"/>
  <c r="K119" i="57"/>
  <c r="I119" i="57"/>
  <c r="G119" i="57"/>
  <c r="E119" i="57"/>
  <c r="C119" i="57"/>
  <c r="B119" i="57"/>
  <c r="U118" i="57"/>
  <c r="S118" i="57"/>
  <c r="Q118" i="57"/>
  <c r="O118" i="57"/>
  <c r="M118" i="57"/>
  <c r="K118" i="57"/>
  <c r="I118" i="57"/>
  <c r="G118" i="57"/>
  <c r="E118" i="57"/>
  <c r="C118" i="57"/>
  <c r="B118" i="57"/>
  <c r="U117" i="57"/>
  <c r="S117" i="57"/>
  <c r="Q117" i="57"/>
  <c r="O117" i="57"/>
  <c r="M117" i="57"/>
  <c r="K117" i="57"/>
  <c r="I117" i="57"/>
  <c r="G117" i="57"/>
  <c r="E117" i="57"/>
  <c r="C117" i="57"/>
  <c r="B117" i="57"/>
  <c r="U116" i="57"/>
  <c r="S116" i="57"/>
  <c r="Q116" i="57"/>
  <c r="O116" i="57"/>
  <c r="M116" i="57"/>
  <c r="K116" i="57"/>
  <c r="I116" i="57"/>
  <c r="G116" i="57"/>
  <c r="E116" i="57"/>
  <c r="C116" i="57"/>
  <c r="B116" i="57"/>
  <c r="U115" i="57"/>
  <c r="S115" i="57"/>
  <c r="Q115" i="57"/>
  <c r="O115" i="57"/>
  <c r="M115" i="57"/>
  <c r="K115" i="57"/>
  <c r="I115" i="57"/>
  <c r="G115" i="57"/>
  <c r="E115" i="57"/>
  <c r="C115" i="57"/>
  <c r="B115" i="57"/>
  <c r="U114" i="57"/>
  <c r="T114" i="57"/>
  <c r="S114" i="57"/>
  <c r="R114" i="57"/>
  <c r="Q114" i="57"/>
  <c r="P114" i="57"/>
  <c r="O114" i="57"/>
  <c r="N114" i="57"/>
  <c r="M114" i="57"/>
  <c r="L114" i="57"/>
  <c r="K114" i="57"/>
  <c r="J114" i="57"/>
  <c r="I114" i="57"/>
  <c r="H114" i="57"/>
  <c r="G114" i="57"/>
  <c r="F114" i="57"/>
  <c r="E114" i="57"/>
  <c r="D114" i="57"/>
  <c r="C114" i="57"/>
  <c r="B114" i="57"/>
  <c r="U113" i="57"/>
  <c r="S113" i="57"/>
  <c r="Q113" i="57"/>
  <c r="O113" i="57"/>
  <c r="M113" i="57"/>
  <c r="K113" i="57"/>
  <c r="I113" i="57"/>
  <c r="G113" i="57"/>
  <c r="E113" i="57"/>
  <c r="C113" i="57"/>
  <c r="B113" i="57"/>
  <c r="U112" i="57"/>
  <c r="S112" i="57"/>
  <c r="Q112" i="57"/>
  <c r="O112" i="57"/>
  <c r="M112" i="57"/>
  <c r="K112" i="57"/>
  <c r="I112" i="57"/>
  <c r="G112" i="57"/>
  <c r="E112" i="57"/>
  <c r="C112" i="57"/>
  <c r="B112" i="57"/>
  <c r="V110" i="57"/>
  <c r="T110" i="57"/>
  <c r="R110" i="57"/>
  <c r="P110" i="57"/>
  <c r="N110" i="57"/>
  <c r="L110" i="57"/>
  <c r="J110" i="57"/>
  <c r="H110" i="57"/>
  <c r="F110" i="57"/>
  <c r="D110" i="57"/>
  <c r="C110" i="57"/>
  <c r="B110" i="57"/>
  <c r="D109" i="57"/>
  <c r="C109" i="57"/>
  <c r="B109" i="57"/>
  <c r="T108" i="57"/>
  <c r="R108" i="57"/>
  <c r="P108" i="57"/>
  <c r="N108" i="57"/>
  <c r="L108" i="57"/>
  <c r="J108" i="57"/>
  <c r="H108" i="57"/>
  <c r="F108" i="57"/>
  <c r="D108" i="57"/>
  <c r="C108" i="57"/>
  <c r="T107" i="57"/>
  <c r="R107" i="57"/>
  <c r="P107" i="57"/>
  <c r="N107" i="57"/>
  <c r="L107" i="57"/>
  <c r="J107" i="57"/>
  <c r="H107" i="57"/>
  <c r="F107" i="57"/>
  <c r="D107" i="57"/>
  <c r="C107" i="57"/>
  <c r="F106" i="57"/>
  <c r="D106" i="57"/>
  <c r="C106" i="57"/>
  <c r="T105" i="57"/>
  <c r="R105" i="57"/>
  <c r="P105" i="57"/>
  <c r="N105" i="57"/>
  <c r="L105" i="57"/>
  <c r="J105" i="57"/>
  <c r="H105" i="57"/>
  <c r="F105" i="57"/>
  <c r="D105" i="57"/>
  <c r="C105" i="57"/>
  <c r="T104" i="57"/>
  <c r="R104" i="57"/>
  <c r="P104" i="57"/>
  <c r="N104" i="57"/>
  <c r="L104" i="57"/>
  <c r="J104" i="57"/>
  <c r="H104" i="57"/>
  <c r="F104" i="57"/>
  <c r="D104" i="57"/>
  <c r="C104" i="57"/>
  <c r="T103" i="57"/>
  <c r="R103" i="57"/>
  <c r="F103" i="57"/>
  <c r="D103" i="57"/>
  <c r="C103" i="57"/>
  <c r="T102" i="57"/>
  <c r="R102" i="57"/>
  <c r="P102" i="57"/>
  <c r="N102" i="57"/>
  <c r="L102" i="57"/>
  <c r="J102" i="57"/>
  <c r="H102" i="57"/>
  <c r="F102" i="57"/>
  <c r="D102" i="57"/>
  <c r="C102" i="57"/>
  <c r="T101" i="57"/>
  <c r="R101" i="57"/>
  <c r="P101" i="57"/>
  <c r="N101" i="57"/>
  <c r="L101" i="57"/>
  <c r="J101" i="57"/>
  <c r="H101" i="57"/>
  <c r="F101" i="57"/>
  <c r="D101" i="57"/>
  <c r="C101" i="57"/>
  <c r="F100" i="57"/>
  <c r="D100" i="57"/>
  <c r="C100" i="57"/>
  <c r="T99" i="57"/>
  <c r="R99" i="57"/>
  <c r="P99" i="57"/>
  <c r="N99" i="57"/>
  <c r="L99" i="57"/>
  <c r="J99" i="57"/>
  <c r="H99" i="57"/>
  <c r="F99" i="57"/>
  <c r="D99" i="57"/>
  <c r="C99" i="57"/>
  <c r="L98" i="57"/>
  <c r="J98" i="57"/>
  <c r="H98" i="57"/>
  <c r="F98" i="57"/>
  <c r="D98" i="57"/>
  <c r="C98" i="57"/>
  <c r="T97" i="57"/>
  <c r="R97" i="57"/>
  <c r="P97" i="57"/>
  <c r="N97" i="57"/>
  <c r="L97" i="57"/>
  <c r="J97" i="57"/>
  <c r="H97" i="57"/>
  <c r="F97" i="57"/>
  <c r="D97" i="57"/>
  <c r="C97" i="57"/>
  <c r="T92" i="57"/>
  <c r="B92" i="57"/>
  <c r="B93" i="57" s="1"/>
  <c r="D91" i="57"/>
  <c r="B91" i="57"/>
  <c r="U89" i="57"/>
  <c r="S89" i="57"/>
  <c r="Q89" i="57"/>
  <c r="O89" i="57"/>
  <c r="M89" i="57"/>
  <c r="K89" i="57"/>
  <c r="I89" i="57"/>
  <c r="G89" i="57"/>
  <c r="E89" i="57"/>
  <c r="C89" i="57"/>
  <c r="B89" i="57"/>
  <c r="U88" i="57"/>
  <c r="S88" i="57"/>
  <c r="Q88" i="57"/>
  <c r="O88" i="57"/>
  <c r="M88" i="57"/>
  <c r="K88" i="57"/>
  <c r="I88" i="57"/>
  <c r="G88" i="57"/>
  <c r="E88" i="57"/>
  <c r="C88" i="57"/>
  <c r="B88" i="57"/>
  <c r="U87" i="57"/>
  <c r="S87" i="57"/>
  <c r="Q87" i="57"/>
  <c r="O87" i="57"/>
  <c r="M87" i="57"/>
  <c r="K87" i="57"/>
  <c r="I87" i="57"/>
  <c r="G87" i="57"/>
  <c r="E87" i="57"/>
  <c r="C87" i="57"/>
  <c r="B87" i="57"/>
  <c r="U86" i="57"/>
  <c r="S86" i="57"/>
  <c r="Q86" i="57"/>
  <c r="O86" i="57"/>
  <c r="M86" i="57"/>
  <c r="K86" i="57"/>
  <c r="I86" i="57"/>
  <c r="G86" i="57"/>
  <c r="E86" i="57"/>
  <c r="C86" i="57"/>
  <c r="B86" i="57"/>
  <c r="U85" i="57"/>
  <c r="S85" i="57"/>
  <c r="Q85" i="57"/>
  <c r="O85" i="57"/>
  <c r="M85" i="57"/>
  <c r="K85" i="57"/>
  <c r="I85" i="57"/>
  <c r="G85" i="57"/>
  <c r="E85" i="57"/>
  <c r="C85" i="57"/>
  <c r="B85" i="57"/>
  <c r="U84" i="57"/>
  <c r="T84" i="57"/>
  <c r="S84" i="57"/>
  <c r="R84" i="57"/>
  <c r="Q84" i="57"/>
  <c r="P84" i="57"/>
  <c r="O84" i="57"/>
  <c r="N84" i="57"/>
  <c r="M84" i="57"/>
  <c r="L84" i="57"/>
  <c r="K84" i="57"/>
  <c r="J84" i="57"/>
  <c r="I84" i="57"/>
  <c r="H84" i="57"/>
  <c r="G84" i="57"/>
  <c r="F84" i="57"/>
  <c r="E84" i="57"/>
  <c r="D84" i="57"/>
  <c r="C84" i="57"/>
  <c r="B84" i="57"/>
  <c r="U83" i="57"/>
  <c r="S83" i="57"/>
  <c r="Q83" i="57"/>
  <c r="O83" i="57"/>
  <c r="M83" i="57"/>
  <c r="K83" i="57"/>
  <c r="I83" i="57"/>
  <c r="G83" i="57"/>
  <c r="E83" i="57"/>
  <c r="C83" i="57"/>
  <c r="B83" i="57"/>
  <c r="U82" i="57"/>
  <c r="S82" i="57"/>
  <c r="Q82" i="57"/>
  <c r="O82" i="57"/>
  <c r="M82" i="57"/>
  <c r="K82" i="57"/>
  <c r="I82" i="57"/>
  <c r="G82" i="57"/>
  <c r="E82" i="57"/>
  <c r="C82" i="57"/>
  <c r="B82" i="57"/>
  <c r="V80" i="57"/>
  <c r="T80" i="57"/>
  <c r="R80" i="57"/>
  <c r="P80" i="57"/>
  <c r="N80" i="57"/>
  <c r="L80" i="57"/>
  <c r="J80" i="57"/>
  <c r="H80" i="57"/>
  <c r="F80" i="57"/>
  <c r="D80" i="57"/>
  <c r="C80" i="57"/>
  <c r="B80" i="57"/>
  <c r="C79" i="57"/>
  <c r="B79" i="57"/>
  <c r="T78" i="57"/>
  <c r="R78" i="57"/>
  <c r="P78" i="57"/>
  <c r="N78" i="57"/>
  <c r="L78" i="57"/>
  <c r="J78" i="57"/>
  <c r="H78" i="57"/>
  <c r="F78" i="57"/>
  <c r="D78" i="57"/>
  <c r="C78" i="57"/>
  <c r="R77" i="57"/>
  <c r="P77" i="57"/>
  <c r="N77" i="57"/>
  <c r="L77" i="57"/>
  <c r="J77" i="57"/>
  <c r="H77" i="57"/>
  <c r="F77" i="57"/>
  <c r="D77" i="57"/>
  <c r="C77" i="57"/>
  <c r="T76" i="57"/>
  <c r="R76" i="57"/>
  <c r="P76" i="57"/>
  <c r="N76" i="57"/>
  <c r="H76" i="57"/>
  <c r="F76" i="57"/>
  <c r="D76" i="57"/>
  <c r="C76" i="57"/>
  <c r="T75" i="57"/>
  <c r="R75" i="57"/>
  <c r="P75" i="57"/>
  <c r="N75" i="57"/>
  <c r="L75" i="57"/>
  <c r="J75" i="57"/>
  <c r="H75" i="57"/>
  <c r="F75" i="57"/>
  <c r="D75" i="57"/>
  <c r="C75" i="57"/>
  <c r="T74" i="57"/>
  <c r="R74" i="57"/>
  <c r="P74" i="57"/>
  <c r="N74" i="57"/>
  <c r="L74" i="57"/>
  <c r="J74" i="57"/>
  <c r="H74" i="57"/>
  <c r="F74" i="57"/>
  <c r="D74" i="57"/>
  <c r="C74" i="57"/>
  <c r="F73" i="57"/>
  <c r="D73" i="57"/>
  <c r="C73" i="57"/>
  <c r="T72" i="57"/>
  <c r="R72" i="57"/>
  <c r="P72" i="57"/>
  <c r="N72" i="57"/>
  <c r="L72" i="57"/>
  <c r="J72" i="57"/>
  <c r="H72" i="57"/>
  <c r="F72" i="57"/>
  <c r="D72" i="57"/>
  <c r="C72" i="57"/>
  <c r="T71" i="57"/>
  <c r="R71" i="57"/>
  <c r="P71" i="57"/>
  <c r="N71" i="57"/>
  <c r="L71" i="57"/>
  <c r="J71" i="57"/>
  <c r="H71" i="57"/>
  <c r="F71" i="57"/>
  <c r="D71" i="57"/>
  <c r="C71" i="57"/>
  <c r="F70" i="57"/>
  <c r="D70" i="57"/>
  <c r="C70" i="57"/>
  <c r="T69" i="57"/>
  <c r="R69" i="57"/>
  <c r="P69" i="57"/>
  <c r="N69" i="57"/>
  <c r="L69" i="57"/>
  <c r="J69" i="57"/>
  <c r="H69" i="57"/>
  <c r="F69" i="57"/>
  <c r="D69" i="57"/>
  <c r="C69" i="57"/>
  <c r="T68" i="57"/>
  <c r="R68" i="57"/>
  <c r="P68" i="57"/>
  <c r="N68" i="57"/>
  <c r="L68" i="57"/>
  <c r="J68" i="57"/>
  <c r="H68" i="57"/>
  <c r="F68" i="57"/>
  <c r="D68" i="57"/>
  <c r="C68" i="57"/>
  <c r="T67" i="57"/>
  <c r="R67" i="57"/>
  <c r="F67" i="57"/>
  <c r="D67" i="57"/>
  <c r="C67" i="57"/>
  <c r="T62" i="57"/>
  <c r="B62" i="57"/>
  <c r="B63" i="57" s="1"/>
  <c r="D61" i="57"/>
  <c r="B61" i="57"/>
  <c r="U59" i="57"/>
  <c r="S59" i="57"/>
  <c r="Q59" i="57"/>
  <c r="O59" i="57"/>
  <c r="M59" i="57"/>
  <c r="K59" i="57"/>
  <c r="I59" i="57"/>
  <c r="G59" i="57"/>
  <c r="E59" i="57"/>
  <c r="C59" i="57"/>
  <c r="B59" i="57"/>
  <c r="U58" i="57"/>
  <c r="S58" i="57"/>
  <c r="Q58" i="57"/>
  <c r="O58" i="57"/>
  <c r="M58" i="57"/>
  <c r="K58" i="57"/>
  <c r="I58" i="57"/>
  <c r="G58" i="57"/>
  <c r="E58" i="57"/>
  <c r="C58" i="57"/>
  <c r="B58" i="57"/>
  <c r="U57" i="57"/>
  <c r="S57" i="57"/>
  <c r="Q57" i="57"/>
  <c r="O57" i="57"/>
  <c r="M57" i="57"/>
  <c r="K57" i="57"/>
  <c r="I57" i="57"/>
  <c r="G57" i="57"/>
  <c r="E57" i="57"/>
  <c r="C57" i="57"/>
  <c r="B57" i="57"/>
  <c r="U56" i="57"/>
  <c r="S56" i="57"/>
  <c r="Q56" i="57"/>
  <c r="O56" i="57"/>
  <c r="M56" i="57"/>
  <c r="K56" i="57"/>
  <c r="I56" i="57"/>
  <c r="G56" i="57"/>
  <c r="E56" i="57"/>
  <c r="C56" i="57"/>
  <c r="B56" i="57"/>
  <c r="U55" i="57"/>
  <c r="S55" i="57"/>
  <c r="Q55" i="57"/>
  <c r="O55" i="57"/>
  <c r="M55" i="57"/>
  <c r="K55" i="57"/>
  <c r="I55" i="57"/>
  <c r="G55" i="57"/>
  <c r="E55" i="57"/>
  <c r="C55" i="57"/>
  <c r="B55" i="57"/>
  <c r="U54" i="57"/>
  <c r="T54" i="57"/>
  <c r="S54" i="57"/>
  <c r="R54" i="57"/>
  <c r="Q54" i="57"/>
  <c r="P54" i="57"/>
  <c r="O54" i="57"/>
  <c r="N54" i="57"/>
  <c r="M54" i="57"/>
  <c r="L54" i="57"/>
  <c r="K54" i="57"/>
  <c r="J54" i="57"/>
  <c r="I54" i="57"/>
  <c r="H54" i="57"/>
  <c r="G54" i="57"/>
  <c r="F54" i="57"/>
  <c r="E54" i="57"/>
  <c r="D54" i="57"/>
  <c r="C54" i="57"/>
  <c r="B54" i="57"/>
  <c r="U53" i="57"/>
  <c r="S53" i="57"/>
  <c r="Q53" i="57"/>
  <c r="O53" i="57"/>
  <c r="M53" i="57"/>
  <c r="K53" i="57"/>
  <c r="I53" i="57"/>
  <c r="G53" i="57"/>
  <c r="E53" i="57"/>
  <c r="C53" i="57"/>
  <c r="B53" i="57"/>
  <c r="U52" i="57"/>
  <c r="S52" i="57"/>
  <c r="Q52" i="57"/>
  <c r="O52" i="57"/>
  <c r="M52" i="57"/>
  <c r="K52" i="57"/>
  <c r="I52" i="57"/>
  <c r="G52" i="57"/>
  <c r="E52" i="57"/>
  <c r="C52" i="57"/>
  <c r="B52" i="57"/>
  <c r="V50" i="57"/>
  <c r="T50" i="57"/>
  <c r="R50" i="57"/>
  <c r="P50" i="57"/>
  <c r="N50" i="57"/>
  <c r="L50" i="57"/>
  <c r="J50" i="57"/>
  <c r="H50" i="57"/>
  <c r="F50" i="57"/>
  <c r="D50" i="57"/>
  <c r="C50" i="57"/>
  <c r="B50" i="57"/>
  <c r="C49" i="57"/>
  <c r="B49" i="57"/>
  <c r="T48" i="57"/>
  <c r="R48" i="57"/>
  <c r="P48" i="57"/>
  <c r="N48" i="57"/>
  <c r="L48" i="57"/>
  <c r="J48" i="57"/>
  <c r="H48" i="57"/>
  <c r="F48" i="57"/>
  <c r="D48" i="57"/>
  <c r="C48" i="57"/>
  <c r="T47" i="57"/>
  <c r="R47" i="57"/>
  <c r="P47" i="57"/>
  <c r="N47" i="57"/>
  <c r="L47" i="57"/>
  <c r="J47" i="57"/>
  <c r="H47" i="57"/>
  <c r="F47" i="57"/>
  <c r="D47" i="57"/>
  <c r="C47" i="57"/>
  <c r="F46" i="57"/>
  <c r="D46" i="57"/>
  <c r="C46" i="57"/>
  <c r="T45" i="57"/>
  <c r="R45" i="57"/>
  <c r="P45" i="57"/>
  <c r="N45" i="57"/>
  <c r="L45" i="57"/>
  <c r="J45" i="57"/>
  <c r="H45" i="57"/>
  <c r="F45" i="57"/>
  <c r="D45" i="57"/>
  <c r="C45" i="57"/>
  <c r="T44" i="57"/>
  <c r="R44" i="57"/>
  <c r="P44" i="57"/>
  <c r="N44" i="57"/>
  <c r="L44" i="57"/>
  <c r="J44" i="57"/>
  <c r="H44" i="57"/>
  <c r="F44" i="57"/>
  <c r="D44" i="57"/>
  <c r="C44" i="57"/>
  <c r="F43" i="57"/>
  <c r="D43" i="57"/>
  <c r="C43" i="57"/>
  <c r="T42" i="57"/>
  <c r="R42" i="57"/>
  <c r="P42" i="57"/>
  <c r="N42" i="57"/>
  <c r="L42" i="57"/>
  <c r="J42" i="57"/>
  <c r="H42" i="57"/>
  <c r="F42" i="57"/>
  <c r="D42" i="57"/>
  <c r="C42" i="57"/>
  <c r="T41" i="57"/>
  <c r="R41" i="57"/>
  <c r="P41" i="57"/>
  <c r="N41" i="57"/>
  <c r="L41" i="57"/>
  <c r="J41" i="57"/>
  <c r="H41" i="57"/>
  <c r="F41" i="57"/>
  <c r="D41" i="57"/>
  <c r="C41" i="57"/>
  <c r="F40" i="57"/>
  <c r="D40" i="57"/>
  <c r="C40" i="57"/>
  <c r="T39" i="57"/>
  <c r="R39" i="57"/>
  <c r="P39" i="57"/>
  <c r="N39" i="57"/>
  <c r="L39" i="57"/>
  <c r="J39" i="57"/>
  <c r="H39" i="57"/>
  <c r="F39" i="57"/>
  <c r="D39" i="57"/>
  <c r="C39" i="57"/>
  <c r="T38" i="57"/>
  <c r="R38" i="57"/>
  <c r="P38" i="57"/>
  <c r="N38" i="57"/>
  <c r="L38" i="57"/>
  <c r="J38" i="57"/>
  <c r="H38" i="57"/>
  <c r="F38" i="57"/>
  <c r="D38" i="57"/>
  <c r="C38" i="57"/>
  <c r="T37" i="57"/>
  <c r="R37" i="57"/>
  <c r="H37" i="57"/>
  <c r="F37" i="57"/>
  <c r="D37" i="57"/>
  <c r="C37" i="57"/>
  <c r="T32" i="57"/>
  <c r="B32" i="57"/>
  <c r="B33" i="57" s="1"/>
  <c r="D31" i="57"/>
  <c r="B31" i="57"/>
  <c r="U29" i="57"/>
  <c r="S29" i="57"/>
  <c r="Q29" i="57"/>
  <c r="O29" i="57"/>
  <c r="M29" i="57"/>
  <c r="K29" i="57"/>
  <c r="I29" i="57"/>
  <c r="G29" i="57"/>
  <c r="E29" i="57"/>
  <c r="C29" i="57"/>
  <c r="B29" i="57"/>
  <c r="U28" i="57"/>
  <c r="S28" i="57"/>
  <c r="Q28" i="57"/>
  <c r="O28" i="57"/>
  <c r="M28" i="57"/>
  <c r="K28" i="57"/>
  <c r="I28" i="57"/>
  <c r="G28" i="57"/>
  <c r="E28" i="57"/>
  <c r="C28" i="57"/>
  <c r="B28" i="57"/>
  <c r="U27" i="57"/>
  <c r="S27" i="57"/>
  <c r="Q27" i="57"/>
  <c r="O27" i="57"/>
  <c r="M27" i="57"/>
  <c r="K27" i="57"/>
  <c r="I27" i="57"/>
  <c r="G27" i="57"/>
  <c r="E27" i="57"/>
  <c r="C27" i="57"/>
  <c r="B27" i="57"/>
  <c r="U26" i="57"/>
  <c r="S26" i="57"/>
  <c r="Q26" i="57"/>
  <c r="O26" i="57"/>
  <c r="M26" i="57"/>
  <c r="K26" i="57"/>
  <c r="I26" i="57"/>
  <c r="G26" i="57"/>
  <c r="E26" i="57"/>
  <c r="C26" i="57"/>
  <c r="B26" i="57"/>
  <c r="U25" i="57"/>
  <c r="S25" i="57"/>
  <c r="Q25" i="57"/>
  <c r="O25" i="57"/>
  <c r="M25" i="57"/>
  <c r="K25" i="57"/>
  <c r="I25" i="57"/>
  <c r="G25" i="57"/>
  <c r="E25" i="57"/>
  <c r="C25" i="57"/>
  <c r="B25" i="57"/>
  <c r="U24" i="57"/>
  <c r="T24" i="57"/>
  <c r="S24" i="57"/>
  <c r="R24" i="57"/>
  <c r="Q24" i="57"/>
  <c r="P24" i="57"/>
  <c r="O24" i="57"/>
  <c r="N24" i="57"/>
  <c r="M24" i="57"/>
  <c r="L24" i="57"/>
  <c r="K24" i="57"/>
  <c r="J24" i="57"/>
  <c r="I24" i="57"/>
  <c r="H24" i="57"/>
  <c r="G24" i="57"/>
  <c r="F24" i="57"/>
  <c r="E24" i="57"/>
  <c r="D24" i="57"/>
  <c r="C24" i="57"/>
  <c r="B24" i="57"/>
  <c r="U23" i="57"/>
  <c r="S23" i="57"/>
  <c r="Q23" i="57"/>
  <c r="O23" i="57"/>
  <c r="M23" i="57"/>
  <c r="K23" i="57"/>
  <c r="I23" i="57"/>
  <c r="G23" i="57"/>
  <c r="E23" i="57"/>
  <c r="C23" i="57"/>
  <c r="B23" i="57"/>
  <c r="U22" i="57"/>
  <c r="S22" i="57"/>
  <c r="Q22" i="57"/>
  <c r="O22" i="57"/>
  <c r="M22" i="57"/>
  <c r="K22" i="57"/>
  <c r="I22" i="57"/>
  <c r="G22" i="57"/>
  <c r="E22" i="57"/>
  <c r="C22" i="57"/>
  <c r="B22" i="57"/>
  <c r="V20" i="57"/>
  <c r="T20" i="57"/>
  <c r="R20" i="57"/>
  <c r="P20" i="57"/>
  <c r="N20" i="57"/>
  <c r="L20" i="57"/>
  <c r="J20" i="57"/>
  <c r="H20" i="57"/>
  <c r="F20" i="57"/>
  <c r="D20" i="57"/>
  <c r="C20" i="57"/>
  <c r="B20" i="57"/>
  <c r="C19" i="57"/>
  <c r="B19" i="57"/>
  <c r="T18" i="57"/>
  <c r="R18" i="57"/>
  <c r="P18" i="57"/>
  <c r="N18" i="57"/>
  <c r="L18" i="57"/>
  <c r="J18" i="57"/>
  <c r="H18" i="57"/>
  <c r="F18" i="57"/>
  <c r="D18" i="57"/>
  <c r="C18" i="57"/>
  <c r="T17" i="57"/>
  <c r="R17" i="57"/>
  <c r="P17" i="57"/>
  <c r="N17" i="57"/>
  <c r="L17" i="57"/>
  <c r="J17" i="57"/>
  <c r="H17" i="57"/>
  <c r="F17" i="57"/>
  <c r="D17" i="57"/>
  <c r="C17" i="57"/>
  <c r="F16" i="57"/>
  <c r="D16" i="57"/>
  <c r="C16" i="57"/>
  <c r="T15" i="57"/>
  <c r="R15" i="57"/>
  <c r="P15" i="57"/>
  <c r="N15" i="57"/>
  <c r="L15" i="57"/>
  <c r="J15" i="57"/>
  <c r="H15" i="57"/>
  <c r="F15" i="57"/>
  <c r="D15" i="57"/>
  <c r="C15" i="57"/>
  <c r="T14" i="57"/>
  <c r="R14" i="57"/>
  <c r="P14" i="57"/>
  <c r="N14" i="57"/>
  <c r="L14" i="57"/>
  <c r="J14" i="57"/>
  <c r="H14" i="57"/>
  <c r="F14" i="57"/>
  <c r="D14" i="57"/>
  <c r="C14" i="57"/>
  <c r="F13" i="57"/>
  <c r="D13" i="57"/>
  <c r="C13" i="57"/>
  <c r="T12" i="57"/>
  <c r="R12" i="57"/>
  <c r="P12" i="57"/>
  <c r="N12" i="57"/>
  <c r="L12" i="57"/>
  <c r="J12" i="57"/>
  <c r="H12" i="57"/>
  <c r="F12" i="57"/>
  <c r="D12" i="57"/>
  <c r="C12" i="57"/>
  <c r="P11" i="57"/>
  <c r="N11" i="57"/>
  <c r="L11" i="57"/>
  <c r="J11" i="57"/>
  <c r="H11" i="57"/>
  <c r="F11" i="57"/>
  <c r="D11" i="57"/>
  <c r="C11" i="57"/>
  <c r="T10" i="57"/>
  <c r="R10" i="57"/>
  <c r="P10" i="57"/>
  <c r="N10" i="57"/>
  <c r="F10" i="57"/>
  <c r="D10" i="57"/>
  <c r="C10" i="57"/>
  <c r="T9" i="57"/>
  <c r="R9" i="57"/>
  <c r="P9" i="57"/>
  <c r="N9" i="57"/>
  <c r="L9" i="57"/>
  <c r="J9" i="57"/>
  <c r="H9" i="57"/>
  <c r="F9" i="57"/>
  <c r="D9" i="57"/>
  <c r="C9" i="57"/>
  <c r="V8" i="57"/>
  <c r="T8" i="57"/>
  <c r="R8" i="57"/>
  <c r="P8" i="57"/>
  <c r="N8" i="57"/>
  <c r="L8" i="57"/>
  <c r="J8" i="57"/>
  <c r="H8" i="57"/>
  <c r="F8" i="57"/>
  <c r="D8" i="57"/>
  <c r="C8" i="57"/>
  <c r="H7" i="57"/>
  <c r="F7" i="57"/>
  <c r="D7" i="57"/>
  <c r="C7" i="57"/>
  <c r="AA3" i="57"/>
  <c r="AE2" i="57"/>
  <c r="A3" i="70" s="1"/>
  <c r="T2" i="57"/>
  <c r="B2" i="57"/>
  <c r="B3" i="57" s="1"/>
  <c r="AT1" i="57"/>
  <c r="A2" i="70" s="1"/>
  <c r="AE1" i="57"/>
  <c r="F1" i="57" s="1"/>
  <c r="D1" i="57"/>
  <c r="B1" i="57"/>
  <c r="AS292" i="55"/>
  <c r="AS293" i="55" s="1"/>
  <c r="T293" i="55" s="1"/>
  <c r="AQ292" i="55"/>
  <c r="R292" i="55" s="1"/>
  <c r="AO292" i="55"/>
  <c r="AM292" i="55"/>
  <c r="AK292" i="55"/>
  <c r="L292" i="55" s="1"/>
  <c r="AI292" i="55"/>
  <c r="AG292" i="55"/>
  <c r="AE292" i="55"/>
  <c r="AC292" i="55"/>
  <c r="D292" i="55" s="1"/>
  <c r="AE272" i="55"/>
  <c r="F272" i="55" s="1"/>
  <c r="AT271" i="55"/>
  <c r="U271" i="55" s="1"/>
  <c r="AE271" i="55"/>
  <c r="F271" i="55" s="1"/>
  <c r="AS262" i="55"/>
  <c r="AQ262" i="55"/>
  <c r="AO262" i="55"/>
  <c r="P262" i="55" s="1"/>
  <c r="AM262" i="55"/>
  <c r="N262" i="55" s="1"/>
  <c r="AK262" i="55"/>
  <c r="L262" i="55" s="1"/>
  <c r="AI262" i="55"/>
  <c r="AG262" i="55"/>
  <c r="AE262" i="55"/>
  <c r="AE263" i="55" s="1"/>
  <c r="F263" i="55" s="1"/>
  <c r="AC262" i="55"/>
  <c r="AC263" i="55" s="1"/>
  <c r="D263" i="55" s="1"/>
  <c r="V255" i="55"/>
  <c r="V253" i="55"/>
  <c r="AE242" i="55"/>
  <c r="F242" i="55" s="1"/>
  <c r="AT241" i="55"/>
  <c r="U241" i="55" s="1"/>
  <c r="AE241" i="55"/>
  <c r="F241" i="55" s="1"/>
  <c r="AS232" i="55"/>
  <c r="AS233" i="55" s="1"/>
  <c r="T233" i="55" s="1"/>
  <c r="AQ232" i="55"/>
  <c r="R232" i="55" s="1"/>
  <c r="AO232" i="55"/>
  <c r="AO233" i="55" s="1"/>
  <c r="P233" i="55" s="1"/>
  <c r="AM232" i="55"/>
  <c r="AM233" i="55" s="1"/>
  <c r="N233" i="55" s="1"/>
  <c r="AK232" i="55"/>
  <c r="L232" i="55" s="1"/>
  <c r="AI232" i="55"/>
  <c r="AG232" i="55"/>
  <c r="AG233" i="55" s="1"/>
  <c r="H233" i="55" s="1"/>
  <c r="AE232" i="55"/>
  <c r="F232" i="55" s="1"/>
  <c r="AC232" i="55"/>
  <c r="AE212" i="55"/>
  <c r="F212" i="55" s="1"/>
  <c r="AT211" i="55"/>
  <c r="U211" i="55" s="1"/>
  <c r="AE211" i="55"/>
  <c r="F211" i="55" s="1"/>
  <c r="AS202" i="55"/>
  <c r="AQ202" i="55"/>
  <c r="AO202" i="55"/>
  <c r="AO206" i="55" s="1"/>
  <c r="AP190" i="55" s="1"/>
  <c r="Q190" i="55" s="1"/>
  <c r="AM202" i="55"/>
  <c r="N202" i="55" s="1"/>
  <c r="AK202" i="55"/>
  <c r="AI202" i="55"/>
  <c r="AI203" i="55" s="1"/>
  <c r="J203" i="55" s="1"/>
  <c r="AG202" i="55"/>
  <c r="AG203" i="55" s="1"/>
  <c r="H203" i="55" s="1"/>
  <c r="AE202" i="55"/>
  <c r="F202" i="55" s="1"/>
  <c r="AC202" i="55"/>
  <c r="V194" i="55"/>
  <c r="AE182" i="55"/>
  <c r="F182" i="55" s="1"/>
  <c r="AT181" i="55"/>
  <c r="U181" i="55" s="1"/>
  <c r="AE181" i="55"/>
  <c r="F181" i="55" s="1"/>
  <c r="AS172" i="55"/>
  <c r="T172" i="55" s="1"/>
  <c r="AQ172" i="55"/>
  <c r="AQ173" i="55" s="1"/>
  <c r="R173" i="55" s="1"/>
  <c r="AO172" i="55"/>
  <c r="AM172" i="55"/>
  <c r="N172" i="55" s="1"/>
  <c r="AK172" i="55"/>
  <c r="AK177" i="55" s="1"/>
  <c r="AL163" i="55" s="1"/>
  <c r="M163" i="55" s="1"/>
  <c r="AI172" i="55"/>
  <c r="AI173" i="55" s="1"/>
  <c r="J173" i="55" s="1"/>
  <c r="AG172" i="55"/>
  <c r="AG173" i="55" s="1"/>
  <c r="H173" i="55" s="1"/>
  <c r="AE172" i="55"/>
  <c r="AC172" i="55"/>
  <c r="D172" i="55" s="1"/>
  <c r="AE152" i="55"/>
  <c r="F152" i="55" s="1"/>
  <c r="AT151" i="55"/>
  <c r="U151" i="55" s="1"/>
  <c r="AE151" i="55"/>
  <c r="F151" i="55" s="1"/>
  <c r="AS142" i="55"/>
  <c r="AS143" i="55" s="1"/>
  <c r="T143" i="55" s="1"/>
  <c r="AQ142" i="55"/>
  <c r="R142" i="55" s="1"/>
  <c r="AO142" i="55"/>
  <c r="P142" i="55" s="1"/>
  <c r="AM142" i="55"/>
  <c r="N142" i="55" s="1"/>
  <c r="AK142" i="55"/>
  <c r="AK143" i="55" s="1"/>
  <c r="L143" i="55" s="1"/>
  <c r="AI142" i="55"/>
  <c r="AG142" i="55"/>
  <c r="H142" i="55" s="1"/>
  <c r="AE142" i="55"/>
  <c r="AC142" i="55"/>
  <c r="V134" i="55"/>
  <c r="V132" i="55"/>
  <c r="AE122" i="55"/>
  <c r="F122" i="55" s="1"/>
  <c r="AT121" i="55"/>
  <c r="U121" i="55" s="1"/>
  <c r="AE121" i="55"/>
  <c r="F121" i="55" s="1"/>
  <c r="AS112" i="55"/>
  <c r="AQ112" i="55"/>
  <c r="AO112" i="55"/>
  <c r="AO113" i="55" s="1"/>
  <c r="P113" i="55" s="1"/>
  <c r="AM112" i="55"/>
  <c r="AM116" i="55" s="1"/>
  <c r="N116" i="55" s="1"/>
  <c r="AK112" i="55"/>
  <c r="AK113" i="55" s="1"/>
  <c r="L113" i="55" s="1"/>
  <c r="AI112" i="55"/>
  <c r="J112" i="55" s="1"/>
  <c r="AG112" i="55"/>
  <c r="H112" i="55" s="1"/>
  <c r="AE112" i="55"/>
  <c r="AE113" i="55" s="1"/>
  <c r="F113" i="55" s="1"/>
  <c r="AC112" i="55"/>
  <c r="AC113" i="55" s="1"/>
  <c r="D113" i="55" s="1"/>
  <c r="AE92" i="55"/>
  <c r="F92" i="55" s="1"/>
  <c r="AT91" i="55"/>
  <c r="U91" i="55" s="1"/>
  <c r="AE91" i="55"/>
  <c r="F91" i="55" s="1"/>
  <c r="AS82" i="55"/>
  <c r="AS83" i="55" s="1"/>
  <c r="T83" i="55" s="1"/>
  <c r="AQ82" i="55"/>
  <c r="AQ83" i="55" s="1"/>
  <c r="R83" i="55" s="1"/>
  <c r="AO82" i="55"/>
  <c r="P82" i="55" s="1"/>
  <c r="AM82" i="55"/>
  <c r="AK82" i="55"/>
  <c r="AI82" i="55"/>
  <c r="AI83" i="55" s="1"/>
  <c r="J83" i="55" s="1"/>
  <c r="AG82" i="55"/>
  <c r="AG83" i="55" s="1"/>
  <c r="H83" i="55" s="1"/>
  <c r="AE82" i="55"/>
  <c r="F82" i="55" s="1"/>
  <c r="AC82" i="55"/>
  <c r="AE62" i="55"/>
  <c r="F62" i="55" s="1"/>
  <c r="AT61" i="55"/>
  <c r="U61" i="55" s="1"/>
  <c r="AE61" i="55"/>
  <c r="F61" i="55" s="1"/>
  <c r="AS52" i="55"/>
  <c r="AS53" i="55" s="1"/>
  <c r="T53" i="55" s="1"/>
  <c r="AQ52" i="55"/>
  <c r="AO52" i="55"/>
  <c r="AM52" i="55"/>
  <c r="AM53" i="55" s="1"/>
  <c r="N53" i="55" s="1"/>
  <c r="AK52" i="55"/>
  <c r="AK53" i="55" s="1"/>
  <c r="L53" i="55" s="1"/>
  <c r="AI52" i="55"/>
  <c r="AI53" i="55" s="1"/>
  <c r="J53" i="55" s="1"/>
  <c r="AG52" i="55"/>
  <c r="H52" i="55" s="1"/>
  <c r="AE52" i="55"/>
  <c r="AC52" i="55"/>
  <c r="AE32" i="55"/>
  <c r="F32" i="55" s="1"/>
  <c r="AT31" i="55"/>
  <c r="U31" i="55" s="1"/>
  <c r="AE31" i="55"/>
  <c r="F31" i="55"/>
  <c r="AS22" i="55"/>
  <c r="AS23" i="55" s="1"/>
  <c r="T23" i="55" s="1"/>
  <c r="AQ22" i="55"/>
  <c r="AQ23" i="55" s="1"/>
  <c r="R23" i="55" s="1"/>
  <c r="AO22" i="55"/>
  <c r="AO23" i="55" s="1"/>
  <c r="P23" i="55" s="1"/>
  <c r="AM22" i="55"/>
  <c r="N22" i="55" s="1"/>
  <c r="AK22" i="55"/>
  <c r="AK23" i="55" s="1"/>
  <c r="L23" i="55" s="1"/>
  <c r="AI22" i="55"/>
  <c r="AG22" i="55"/>
  <c r="AG23" i="55" s="1"/>
  <c r="H23" i="55" s="1"/>
  <c r="AE22" i="55"/>
  <c r="AC22" i="55"/>
  <c r="AC23" i="55" s="1"/>
  <c r="D23" i="55" s="1"/>
  <c r="U299" i="55"/>
  <c r="S299" i="55"/>
  <c r="Q299" i="55"/>
  <c r="O299" i="55"/>
  <c r="M299" i="55"/>
  <c r="K299" i="55"/>
  <c r="I299" i="55"/>
  <c r="G299" i="55"/>
  <c r="E299" i="55"/>
  <c r="C299" i="55"/>
  <c r="B299" i="55"/>
  <c r="U298" i="55"/>
  <c r="S298" i="55"/>
  <c r="Q298" i="55"/>
  <c r="O298" i="55"/>
  <c r="M298" i="55"/>
  <c r="K298" i="55"/>
  <c r="I298" i="55"/>
  <c r="G298" i="55"/>
  <c r="E298" i="55"/>
  <c r="C298" i="55"/>
  <c r="B298" i="55"/>
  <c r="U297" i="55"/>
  <c r="S297" i="55"/>
  <c r="Q297" i="55"/>
  <c r="O297" i="55"/>
  <c r="M297" i="55"/>
  <c r="K297" i="55"/>
  <c r="I297" i="55"/>
  <c r="G297" i="55"/>
  <c r="E297" i="55"/>
  <c r="C297" i="55"/>
  <c r="B297" i="55"/>
  <c r="U296" i="55"/>
  <c r="S296" i="55"/>
  <c r="Q296" i="55"/>
  <c r="O296" i="55"/>
  <c r="M296" i="55"/>
  <c r="K296" i="55"/>
  <c r="I296" i="55"/>
  <c r="G296" i="55"/>
  <c r="E296" i="55"/>
  <c r="C296" i="55"/>
  <c r="B296" i="55"/>
  <c r="U295" i="55"/>
  <c r="S295" i="55"/>
  <c r="Q295" i="55"/>
  <c r="O295" i="55"/>
  <c r="M295" i="55"/>
  <c r="K295" i="55"/>
  <c r="I295" i="55"/>
  <c r="G295" i="55"/>
  <c r="E295" i="55"/>
  <c r="C295" i="55"/>
  <c r="B295" i="55"/>
  <c r="U294" i="55"/>
  <c r="T294" i="55"/>
  <c r="S294" i="55"/>
  <c r="R294" i="55"/>
  <c r="Q294" i="55"/>
  <c r="P294" i="55"/>
  <c r="O294" i="55"/>
  <c r="N294" i="55"/>
  <c r="M294" i="55"/>
  <c r="L294" i="55"/>
  <c r="K294" i="55"/>
  <c r="J294" i="55"/>
  <c r="I294" i="55"/>
  <c r="H294" i="55"/>
  <c r="G294" i="55"/>
  <c r="F294" i="55"/>
  <c r="E294" i="55"/>
  <c r="D294" i="55"/>
  <c r="C294" i="55"/>
  <c r="B294" i="55"/>
  <c r="U293" i="55"/>
  <c r="S293" i="55"/>
  <c r="Q293" i="55"/>
  <c r="O293" i="55"/>
  <c r="M293" i="55"/>
  <c r="K293" i="55"/>
  <c r="I293" i="55"/>
  <c r="G293" i="55"/>
  <c r="E293" i="55"/>
  <c r="C293" i="55"/>
  <c r="B293" i="55"/>
  <c r="U292" i="55"/>
  <c r="S292" i="55"/>
  <c r="Q292" i="55"/>
  <c r="O292" i="55"/>
  <c r="M292" i="55"/>
  <c r="K292" i="55"/>
  <c r="I292" i="55"/>
  <c r="G292" i="55"/>
  <c r="E292" i="55"/>
  <c r="C292" i="55"/>
  <c r="B292" i="55"/>
  <c r="V290" i="55"/>
  <c r="T290" i="55"/>
  <c r="R290" i="55"/>
  <c r="P290" i="55"/>
  <c r="N290" i="55"/>
  <c r="L290" i="55"/>
  <c r="J290" i="55"/>
  <c r="H290" i="55"/>
  <c r="F290" i="55"/>
  <c r="D290" i="55"/>
  <c r="C290" i="55"/>
  <c r="B290" i="55"/>
  <c r="C289" i="55"/>
  <c r="B289" i="55"/>
  <c r="T288" i="55"/>
  <c r="R288" i="55"/>
  <c r="P288" i="55"/>
  <c r="N288" i="55"/>
  <c r="L288" i="55"/>
  <c r="J288" i="55"/>
  <c r="H288" i="55"/>
  <c r="F288" i="55"/>
  <c r="D288" i="55"/>
  <c r="C288" i="55"/>
  <c r="T287" i="55"/>
  <c r="R287" i="55"/>
  <c r="P287" i="55"/>
  <c r="N287" i="55"/>
  <c r="L287" i="55"/>
  <c r="J287" i="55"/>
  <c r="H287" i="55"/>
  <c r="F287" i="55"/>
  <c r="D287" i="55"/>
  <c r="C287" i="55"/>
  <c r="F286" i="55"/>
  <c r="D286" i="55"/>
  <c r="C286" i="55"/>
  <c r="T285" i="55"/>
  <c r="R285" i="55"/>
  <c r="P285" i="55"/>
  <c r="N285" i="55"/>
  <c r="L285" i="55"/>
  <c r="J285" i="55"/>
  <c r="H285" i="55"/>
  <c r="F285" i="55"/>
  <c r="D285" i="55"/>
  <c r="C285" i="55"/>
  <c r="T284" i="55"/>
  <c r="R284" i="55"/>
  <c r="P284" i="55"/>
  <c r="N284" i="55"/>
  <c r="L284" i="55"/>
  <c r="J284" i="55"/>
  <c r="H284" i="55"/>
  <c r="F284" i="55"/>
  <c r="D284" i="55"/>
  <c r="C284" i="55"/>
  <c r="T283" i="55"/>
  <c r="R283" i="55"/>
  <c r="P283" i="55"/>
  <c r="N283" i="55"/>
  <c r="L283" i="55"/>
  <c r="J283" i="55"/>
  <c r="H283" i="55"/>
  <c r="F283" i="55"/>
  <c r="D283" i="55"/>
  <c r="C283" i="55"/>
  <c r="T282" i="55"/>
  <c r="R282" i="55"/>
  <c r="P282" i="55"/>
  <c r="N282" i="55"/>
  <c r="L282" i="55"/>
  <c r="J282" i="55"/>
  <c r="H282" i="55"/>
  <c r="F282" i="55"/>
  <c r="D282" i="55"/>
  <c r="C282" i="55"/>
  <c r="T281" i="55"/>
  <c r="R281" i="55"/>
  <c r="P281" i="55"/>
  <c r="N281" i="55"/>
  <c r="L281" i="55"/>
  <c r="J281" i="55"/>
  <c r="H281" i="55"/>
  <c r="F281" i="55"/>
  <c r="D281" i="55"/>
  <c r="C281" i="55"/>
  <c r="F280" i="55"/>
  <c r="D280" i="55"/>
  <c r="C280" i="55"/>
  <c r="T279" i="55"/>
  <c r="R279" i="55"/>
  <c r="P279" i="55"/>
  <c r="N279" i="55"/>
  <c r="L279" i="55"/>
  <c r="J279" i="55"/>
  <c r="H279" i="55"/>
  <c r="F279" i="55"/>
  <c r="D279" i="55"/>
  <c r="C279" i="55"/>
  <c r="T278" i="55"/>
  <c r="R278" i="55"/>
  <c r="P278" i="55"/>
  <c r="N278" i="55"/>
  <c r="L278" i="55"/>
  <c r="J278" i="55"/>
  <c r="H278" i="55"/>
  <c r="F278" i="55"/>
  <c r="D278" i="55"/>
  <c r="C278" i="55"/>
  <c r="D277" i="55"/>
  <c r="C277" i="55"/>
  <c r="T272" i="55"/>
  <c r="B272" i="55"/>
  <c r="B273" i="55" s="1"/>
  <c r="D271" i="55"/>
  <c r="B271" i="55"/>
  <c r="U269" i="55"/>
  <c r="S269" i="55"/>
  <c r="Q269" i="55"/>
  <c r="O269" i="55"/>
  <c r="M269" i="55"/>
  <c r="K269" i="55"/>
  <c r="I269" i="55"/>
  <c r="G269" i="55"/>
  <c r="E269" i="55"/>
  <c r="C269" i="55"/>
  <c r="B269" i="55"/>
  <c r="U268" i="55"/>
  <c r="S268" i="55"/>
  <c r="Q268" i="55"/>
  <c r="O268" i="55"/>
  <c r="M268" i="55"/>
  <c r="K268" i="55"/>
  <c r="I268" i="55"/>
  <c r="G268" i="55"/>
  <c r="E268" i="55"/>
  <c r="C268" i="55"/>
  <c r="B268" i="55"/>
  <c r="U267" i="55"/>
  <c r="S267" i="55"/>
  <c r="Q267" i="55"/>
  <c r="O267" i="55"/>
  <c r="M267" i="55"/>
  <c r="K267" i="55"/>
  <c r="I267" i="55"/>
  <c r="G267" i="55"/>
  <c r="E267" i="55"/>
  <c r="C267" i="55"/>
  <c r="B267" i="55"/>
  <c r="U266" i="55"/>
  <c r="S266" i="55"/>
  <c r="Q266" i="55"/>
  <c r="O266" i="55"/>
  <c r="M266" i="55"/>
  <c r="K266" i="55"/>
  <c r="I266" i="55"/>
  <c r="G266" i="55"/>
  <c r="E266" i="55"/>
  <c r="C266" i="55"/>
  <c r="B266" i="55"/>
  <c r="U265" i="55"/>
  <c r="S265" i="55"/>
  <c r="Q265" i="55"/>
  <c r="O265" i="55"/>
  <c r="M265" i="55"/>
  <c r="K265" i="55"/>
  <c r="I265" i="55"/>
  <c r="G265" i="55"/>
  <c r="E265" i="55"/>
  <c r="C265" i="55"/>
  <c r="B265" i="55"/>
  <c r="U264" i="55"/>
  <c r="T264" i="55"/>
  <c r="S264" i="55"/>
  <c r="R264" i="55"/>
  <c r="Q264" i="55"/>
  <c r="P264" i="55"/>
  <c r="O264" i="55"/>
  <c r="N264" i="55"/>
  <c r="M264" i="55"/>
  <c r="L264" i="55"/>
  <c r="K264" i="55"/>
  <c r="J264" i="55"/>
  <c r="I264" i="55"/>
  <c r="H264" i="55"/>
  <c r="G264" i="55"/>
  <c r="F264" i="55"/>
  <c r="E264" i="55"/>
  <c r="D264" i="55"/>
  <c r="C264" i="55"/>
  <c r="B264" i="55"/>
  <c r="U263" i="55"/>
  <c r="S263" i="55"/>
  <c r="Q263" i="55"/>
  <c r="O263" i="55"/>
  <c r="M263" i="55"/>
  <c r="K263" i="55"/>
  <c r="I263" i="55"/>
  <c r="G263" i="55"/>
  <c r="E263" i="55"/>
  <c r="C263" i="55"/>
  <c r="B263" i="55"/>
  <c r="U262" i="55"/>
  <c r="S262" i="55"/>
  <c r="Q262" i="55"/>
  <c r="O262" i="55"/>
  <c r="M262" i="55"/>
  <c r="K262" i="55"/>
  <c r="I262" i="55"/>
  <c r="G262" i="55"/>
  <c r="E262" i="55"/>
  <c r="C262" i="55"/>
  <c r="B262" i="55"/>
  <c r="V260" i="55"/>
  <c r="T260" i="55"/>
  <c r="R260" i="55"/>
  <c r="P260" i="55"/>
  <c r="N260" i="55"/>
  <c r="L260" i="55"/>
  <c r="J260" i="55"/>
  <c r="H260" i="55"/>
  <c r="F260" i="55"/>
  <c r="D260" i="55"/>
  <c r="C260" i="55"/>
  <c r="B260" i="55"/>
  <c r="F259" i="55"/>
  <c r="D259" i="55"/>
  <c r="C259" i="55"/>
  <c r="B259" i="55"/>
  <c r="T258" i="55"/>
  <c r="R258" i="55"/>
  <c r="P258" i="55"/>
  <c r="N258" i="55"/>
  <c r="L258" i="55"/>
  <c r="J258" i="55"/>
  <c r="H258" i="55"/>
  <c r="F258" i="55"/>
  <c r="D258" i="55"/>
  <c r="C258" i="55"/>
  <c r="T257" i="55"/>
  <c r="R257" i="55"/>
  <c r="P257" i="55"/>
  <c r="N257" i="55"/>
  <c r="L257" i="55"/>
  <c r="J257" i="55"/>
  <c r="H257" i="55"/>
  <c r="F257" i="55"/>
  <c r="D257" i="55"/>
  <c r="C257" i="55"/>
  <c r="T256" i="55"/>
  <c r="R256" i="55"/>
  <c r="P256" i="55"/>
  <c r="N256" i="55"/>
  <c r="L256" i="55"/>
  <c r="J256" i="55"/>
  <c r="H256" i="55"/>
  <c r="F256" i="55"/>
  <c r="D256" i="55"/>
  <c r="C256" i="55"/>
  <c r="T255" i="55"/>
  <c r="R255" i="55"/>
  <c r="P255" i="55"/>
  <c r="N255" i="55"/>
  <c r="L255" i="55"/>
  <c r="J255" i="55"/>
  <c r="H255" i="55"/>
  <c r="F255" i="55"/>
  <c r="D255" i="55"/>
  <c r="C255" i="55"/>
  <c r="T254" i="55"/>
  <c r="R254" i="55"/>
  <c r="P254" i="55"/>
  <c r="N254" i="55"/>
  <c r="L254" i="55"/>
  <c r="J254" i="55"/>
  <c r="H254" i="55"/>
  <c r="F254" i="55"/>
  <c r="D254" i="55"/>
  <c r="C254" i="55"/>
  <c r="T253" i="55"/>
  <c r="R253" i="55"/>
  <c r="P253" i="55"/>
  <c r="N253" i="55"/>
  <c r="L253" i="55"/>
  <c r="J253" i="55"/>
  <c r="H253" i="55"/>
  <c r="F253" i="55"/>
  <c r="D253" i="55"/>
  <c r="C253" i="55"/>
  <c r="V252" i="55"/>
  <c r="T252" i="55"/>
  <c r="R252" i="55"/>
  <c r="P252" i="55"/>
  <c r="N252" i="55"/>
  <c r="L252" i="55"/>
  <c r="J252" i="55"/>
  <c r="H252" i="55"/>
  <c r="F252" i="55"/>
  <c r="D252" i="55"/>
  <c r="C252" i="55"/>
  <c r="T251" i="55"/>
  <c r="R251" i="55"/>
  <c r="P251" i="55"/>
  <c r="N251" i="55"/>
  <c r="L251" i="55"/>
  <c r="J251" i="55"/>
  <c r="H251" i="55"/>
  <c r="F251" i="55"/>
  <c r="D251" i="55"/>
  <c r="C251" i="55"/>
  <c r="T250" i="55"/>
  <c r="R250" i="55"/>
  <c r="P250" i="55"/>
  <c r="N250" i="55"/>
  <c r="L250" i="55"/>
  <c r="J250" i="55"/>
  <c r="H250" i="55"/>
  <c r="F250" i="55"/>
  <c r="D250" i="55"/>
  <c r="C250" i="55"/>
  <c r="T249" i="55"/>
  <c r="R249" i="55"/>
  <c r="P249" i="55"/>
  <c r="N249" i="55"/>
  <c r="L249" i="55"/>
  <c r="J249" i="55"/>
  <c r="H249" i="55"/>
  <c r="F249" i="55"/>
  <c r="D249" i="55"/>
  <c r="C249" i="55"/>
  <c r="T248" i="55"/>
  <c r="R248" i="55"/>
  <c r="P248" i="55"/>
  <c r="N248" i="55"/>
  <c r="L248" i="55"/>
  <c r="J248" i="55"/>
  <c r="H248" i="55"/>
  <c r="F248" i="55"/>
  <c r="D248" i="55"/>
  <c r="C248" i="55"/>
  <c r="H247" i="55"/>
  <c r="F247" i="55"/>
  <c r="D247" i="55"/>
  <c r="C247" i="55"/>
  <c r="T242" i="55"/>
  <c r="B242" i="55"/>
  <c r="B243" i="55" s="1"/>
  <c r="D241" i="55"/>
  <c r="B241" i="55"/>
  <c r="U239" i="55"/>
  <c r="S239" i="55"/>
  <c r="Q239" i="55"/>
  <c r="O239" i="55"/>
  <c r="M239" i="55"/>
  <c r="K239" i="55"/>
  <c r="I239" i="55"/>
  <c r="G239" i="55"/>
  <c r="E239" i="55"/>
  <c r="C239" i="55"/>
  <c r="B239" i="55"/>
  <c r="U238" i="55"/>
  <c r="S238" i="55"/>
  <c r="Q238" i="55"/>
  <c r="O238" i="55"/>
  <c r="M238" i="55"/>
  <c r="K238" i="55"/>
  <c r="I238" i="55"/>
  <c r="G238" i="55"/>
  <c r="E238" i="55"/>
  <c r="C238" i="55"/>
  <c r="B238" i="55"/>
  <c r="U237" i="55"/>
  <c r="S237" i="55"/>
  <c r="Q237" i="55"/>
  <c r="O237" i="55"/>
  <c r="M237" i="55"/>
  <c r="K237" i="55"/>
  <c r="I237" i="55"/>
  <c r="G237" i="55"/>
  <c r="E237" i="55"/>
  <c r="C237" i="55"/>
  <c r="B237" i="55"/>
  <c r="U236" i="55"/>
  <c r="S236" i="55"/>
  <c r="Q236" i="55"/>
  <c r="O236" i="55"/>
  <c r="M236" i="55"/>
  <c r="K236" i="55"/>
  <c r="I236" i="55"/>
  <c r="G236" i="55"/>
  <c r="E236" i="55"/>
  <c r="C236" i="55"/>
  <c r="B236" i="55"/>
  <c r="U235" i="55"/>
  <c r="S235" i="55"/>
  <c r="Q235" i="55"/>
  <c r="O235" i="55"/>
  <c r="M235" i="55"/>
  <c r="K235" i="55"/>
  <c r="I235" i="55"/>
  <c r="G235" i="55"/>
  <c r="E235" i="55"/>
  <c r="C235" i="55"/>
  <c r="B235" i="55"/>
  <c r="U234" i="55"/>
  <c r="T234" i="55"/>
  <c r="S234" i="55"/>
  <c r="R234" i="55"/>
  <c r="Q234" i="55"/>
  <c r="P234" i="55"/>
  <c r="O234" i="55"/>
  <c r="N234" i="55"/>
  <c r="M234" i="55"/>
  <c r="L234" i="55"/>
  <c r="K234" i="55"/>
  <c r="J234" i="55"/>
  <c r="I234" i="55"/>
  <c r="H234" i="55"/>
  <c r="G234" i="55"/>
  <c r="F234" i="55"/>
  <c r="E234" i="55"/>
  <c r="D234" i="55"/>
  <c r="C234" i="55"/>
  <c r="B234" i="55"/>
  <c r="U233" i="55"/>
  <c r="S233" i="55"/>
  <c r="Q233" i="55"/>
  <c r="O233" i="55"/>
  <c r="M233" i="55"/>
  <c r="K233" i="55"/>
  <c r="I233" i="55"/>
  <c r="G233" i="55"/>
  <c r="E233" i="55"/>
  <c r="C233" i="55"/>
  <c r="B233" i="55"/>
  <c r="U232" i="55"/>
  <c r="S232" i="55"/>
  <c r="Q232" i="55"/>
  <c r="O232" i="55"/>
  <c r="M232" i="55"/>
  <c r="K232" i="55"/>
  <c r="I232" i="55"/>
  <c r="G232" i="55"/>
  <c r="E232" i="55"/>
  <c r="C232" i="55"/>
  <c r="B232" i="55"/>
  <c r="V230" i="55"/>
  <c r="T230" i="55"/>
  <c r="R230" i="55"/>
  <c r="P230" i="55"/>
  <c r="N230" i="55"/>
  <c r="L230" i="55"/>
  <c r="J230" i="55"/>
  <c r="H230" i="55"/>
  <c r="F230" i="55"/>
  <c r="D230" i="55"/>
  <c r="C230" i="55"/>
  <c r="B230" i="55"/>
  <c r="D229" i="55"/>
  <c r="C229" i="55"/>
  <c r="B229" i="55"/>
  <c r="T228" i="55"/>
  <c r="R228" i="55"/>
  <c r="P228" i="55"/>
  <c r="N228" i="55"/>
  <c r="L228" i="55"/>
  <c r="J228" i="55"/>
  <c r="H228" i="55"/>
  <c r="F228" i="55"/>
  <c r="D228" i="55"/>
  <c r="C228" i="55"/>
  <c r="T227" i="55"/>
  <c r="R227" i="55"/>
  <c r="P227" i="55"/>
  <c r="N227" i="55"/>
  <c r="L227" i="55"/>
  <c r="J227" i="55"/>
  <c r="H227" i="55"/>
  <c r="F227" i="55"/>
  <c r="D227" i="55"/>
  <c r="C227" i="55"/>
  <c r="F226" i="55"/>
  <c r="D226" i="55"/>
  <c r="C226" i="55"/>
  <c r="T225" i="55"/>
  <c r="R225" i="55"/>
  <c r="P225" i="55"/>
  <c r="N225" i="55"/>
  <c r="L225" i="55"/>
  <c r="J225" i="55"/>
  <c r="H225" i="55"/>
  <c r="F225" i="55"/>
  <c r="D225" i="55"/>
  <c r="C225" i="55"/>
  <c r="T224" i="55"/>
  <c r="R224" i="55"/>
  <c r="P224" i="55"/>
  <c r="N224" i="55"/>
  <c r="L224" i="55"/>
  <c r="J224" i="55"/>
  <c r="H224" i="55"/>
  <c r="F224" i="55"/>
  <c r="D224" i="55"/>
  <c r="C224" i="55"/>
  <c r="F223" i="55"/>
  <c r="D223" i="55"/>
  <c r="C223" i="55"/>
  <c r="T222" i="55"/>
  <c r="R222" i="55"/>
  <c r="P222" i="55"/>
  <c r="N222" i="55"/>
  <c r="L222" i="55"/>
  <c r="J222" i="55"/>
  <c r="H222" i="55"/>
  <c r="F222" i="55"/>
  <c r="D222" i="55"/>
  <c r="C222" i="55"/>
  <c r="T221" i="55"/>
  <c r="R221" i="55"/>
  <c r="P221" i="55"/>
  <c r="N221" i="55"/>
  <c r="L221" i="55"/>
  <c r="J221" i="55"/>
  <c r="H221" i="55"/>
  <c r="F221" i="55"/>
  <c r="D221" i="55"/>
  <c r="C221" i="55"/>
  <c r="T220" i="55"/>
  <c r="R220" i="55"/>
  <c r="P220" i="55"/>
  <c r="N220" i="55"/>
  <c r="L220" i="55"/>
  <c r="J220" i="55"/>
  <c r="H220" i="55"/>
  <c r="F220" i="55"/>
  <c r="D220" i="55"/>
  <c r="C220" i="55"/>
  <c r="T219" i="55"/>
  <c r="R219" i="55"/>
  <c r="P219" i="55"/>
  <c r="N219" i="55"/>
  <c r="L219" i="55"/>
  <c r="J219" i="55"/>
  <c r="H219" i="55"/>
  <c r="F219" i="55"/>
  <c r="D219" i="55"/>
  <c r="C219" i="55"/>
  <c r="T218" i="55"/>
  <c r="R218" i="55"/>
  <c r="P218" i="55"/>
  <c r="N218" i="55"/>
  <c r="L218" i="55"/>
  <c r="J218" i="55"/>
  <c r="H218" i="55"/>
  <c r="F218" i="55"/>
  <c r="D218" i="55"/>
  <c r="C218" i="55"/>
  <c r="F217" i="55"/>
  <c r="D217" i="55"/>
  <c r="C217" i="55"/>
  <c r="T212" i="55"/>
  <c r="B212" i="55"/>
  <c r="B213" i="55"/>
  <c r="D211" i="55"/>
  <c r="B211" i="55"/>
  <c r="U209" i="55"/>
  <c r="S209" i="55"/>
  <c r="Q209" i="55"/>
  <c r="O209" i="55"/>
  <c r="M209" i="55"/>
  <c r="K209" i="55"/>
  <c r="I209" i="55"/>
  <c r="G209" i="55"/>
  <c r="E209" i="55"/>
  <c r="C209" i="55"/>
  <c r="B209" i="55"/>
  <c r="U208" i="55"/>
  <c r="S208" i="55"/>
  <c r="Q208" i="55"/>
  <c r="O208" i="55"/>
  <c r="M208" i="55"/>
  <c r="K208" i="55"/>
  <c r="I208" i="55"/>
  <c r="G208" i="55"/>
  <c r="E208" i="55"/>
  <c r="C208" i="55"/>
  <c r="B208" i="55"/>
  <c r="U207" i="55"/>
  <c r="S207" i="55"/>
  <c r="Q207" i="55"/>
  <c r="O207" i="55"/>
  <c r="M207" i="55"/>
  <c r="K207" i="55"/>
  <c r="I207" i="55"/>
  <c r="G207" i="55"/>
  <c r="E207" i="55"/>
  <c r="C207" i="55"/>
  <c r="B207" i="55"/>
  <c r="U206" i="55"/>
  <c r="S206" i="55"/>
  <c r="Q206" i="55"/>
  <c r="O206" i="55"/>
  <c r="M206" i="55"/>
  <c r="K206" i="55"/>
  <c r="I206" i="55"/>
  <c r="G206" i="55"/>
  <c r="E206" i="55"/>
  <c r="C206" i="55"/>
  <c r="B206" i="55"/>
  <c r="U205" i="55"/>
  <c r="S205" i="55"/>
  <c r="Q205" i="55"/>
  <c r="O205" i="55"/>
  <c r="M205" i="55"/>
  <c r="K205" i="55"/>
  <c r="I205" i="55"/>
  <c r="G205" i="55"/>
  <c r="E205" i="55"/>
  <c r="C205" i="55"/>
  <c r="B205" i="55"/>
  <c r="U204" i="55"/>
  <c r="T204" i="55"/>
  <c r="S204" i="55"/>
  <c r="R204" i="55"/>
  <c r="Q204" i="55"/>
  <c r="P204" i="55"/>
  <c r="O204" i="55"/>
  <c r="N204" i="55"/>
  <c r="M204" i="55"/>
  <c r="L204" i="55"/>
  <c r="K204" i="55"/>
  <c r="J204" i="55"/>
  <c r="I204" i="55"/>
  <c r="H204" i="55"/>
  <c r="G204" i="55"/>
  <c r="F204" i="55"/>
  <c r="E204" i="55"/>
  <c r="D204" i="55"/>
  <c r="C204" i="55"/>
  <c r="B204" i="55"/>
  <c r="U203" i="55"/>
  <c r="S203" i="55"/>
  <c r="Q203" i="55"/>
  <c r="O203" i="55"/>
  <c r="M203" i="55"/>
  <c r="K203" i="55"/>
  <c r="I203" i="55"/>
  <c r="G203" i="55"/>
  <c r="E203" i="55"/>
  <c r="C203" i="55"/>
  <c r="B203" i="55"/>
  <c r="U202" i="55"/>
  <c r="S202" i="55"/>
  <c r="Q202" i="55"/>
  <c r="O202" i="55"/>
  <c r="M202" i="55"/>
  <c r="K202" i="55"/>
  <c r="I202" i="55"/>
  <c r="G202" i="55"/>
  <c r="E202" i="55"/>
  <c r="C202" i="55"/>
  <c r="B202" i="55"/>
  <c r="V200" i="55"/>
  <c r="T200" i="55"/>
  <c r="R200" i="55"/>
  <c r="P200" i="55"/>
  <c r="N200" i="55"/>
  <c r="L200" i="55"/>
  <c r="J200" i="55"/>
  <c r="H200" i="55"/>
  <c r="F200" i="55"/>
  <c r="D200" i="55"/>
  <c r="C200" i="55"/>
  <c r="B200" i="55"/>
  <c r="F199" i="55"/>
  <c r="C199" i="55"/>
  <c r="B199" i="55"/>
  <c r="T198" i="55"/>
  <c r="R198" i="55"/>
  <c r="P198" i="55"/>
  <c r="N198" i="55"/>
  <c r="L198" i="55"/>
  <c r="J198" i="55"/>
  <c r="H198" i="55"/>
  <c r="F198" i="55"/>
  <c r="D198" i="55"/>
  <c r="C198" i="55"/>
  <c r="T197" i="55"/>
  <c r="R197" i="55"/>
  <c r="P197" i="55"/>
  <c r="N197" i="55"/>
  <c r="L197" i="55"/>
  <c r="J197" i="55"/>
  <c r="H197" i="55"/>
  <c r="F197" i="55"/>
  <c r="D197" i="55"/>
  <c r="C197" i="55"/>
  <c r="F196" i="55"/>
  <c r="D196" i="55"/>
  <c r="C196" i="55"/>
  <c r="T195" i="55"/>
  <c r="R195" i="55"/>
  <c r="P195" i="55"/>
  <c r="N195" i="55"/>
  <c r="L195" i="55"/>
  <c r="J195" i="55"/>
  <c r="H195" i="55"/>
  <c r="F195" i="55"/>
  <c r="D195" i="55"/>
  <c r="C195" i="55"/>
  <c r="T194" i="55"/>
  <c r="R194" i="55"/>
  <c r="P194" i="55"/>
  <c r="N194" i="55"/>
  <c r="L194" i="55"/>
  <c r="J194" i="55"/>
  <c r="H194" i="55"/>
  <c r="F194" i="55"/>
  <c r="D194" i="55"/>
  <c r="C194" i="55"/>
  <c r="F193" i="55"/>
  <c r="D193" i="55"/>
  <c r="C193" i="55"/>
  <c r="T192" i="55"/>
  <c r="R192" i="55"/>
  <c r="P192" i="55"/>
  <c r="N192" i="55"/>
  <c r="L192" i="55"/>
  <c r="J192" i="55"/>
  <c r="H192" i="55"/>
  <c r="F192" i="55"/>
  <c r="D192" i="55"/>
  <c r="C192" i="55"/>
  <c r="T191" i="55"/>
  <c r="R191" i="55"/>
  <c r="P191" i="55"/>
  <c r="N191" i="55"/>
  <c r="L191" i="55"/>
  <c r="J191" i="55"/>
  <c r="H191" i="55"/>
  <c r="F191" i="55"/>
  <c r="D191" i="55"/>
  <c r="C191" i="55"/>
  <c r="F190" i="55"/>
  <c r="D190" i="55"/>
  <c r="C190" i="55"/>
  <c r="T189" i="55"/>
  <c r="R189" i="55"/>
  <c r="P189" i="55"/>
  <c r="N189" i="55"/>
  <c r="L189" i="55"/>
  <c r="J189" i="55"/>
  <c r="H189" i="55"/>
  <c r="F189" i="55"/>
  <c r="D189" i="55"/>
  <c r="C189" i="55"/>
  <c r="T188" i="55"/>
  <c r="R188" i="55"/>
  <c r="P188" i="55"/>
  <c r="N188" i="55"/>
  <c r="L188" i="55"/>
  <c r="J188" i="55"/>
  <c r="H188" i="55"/>
  <c r="F188" i="55"/>
  <c r="D188" i="55"/>
  <c r="C188" i="55"/>
  <c r="F187" i="55"/>
  <c r="D187" i="55"/>
  <c r="C187" i="55"/>
  <c r="T182" i="55"/>
  <c r="B182" i="55"/>
  <c r="B183" i="55" s="1"/>
  <c r="D181" i="55"/>
  <c r="B181" i="55"/>
  <c r="U179" i="55"/>
  <c r="S179" i="55"/>
  <c r="Q179" i="55"/>
  <c r="O179" i="55"/>
  <c r="M179" i="55"/>
  <c r="K179" i="55"/>
  <c r="I179" i="55"/>
  <c r="G179" i="55"/>
  <c r="E179" i="55"/>
  <c r="C179" i="55"/>
  <c r="B179" i="55"/>
  <c r="U178" i="55"/>
  <c r="S178" i="55"/>
  <c r="Q178" i="55"/>
  <c r="O178" i="55"/>
  <c r="M178" i="55"/>
  <c r="K178" i="55"/>
  <c r="I178" i="55"/>
  <c r="G178" i="55"/>
  <c r="E178" i="55"/>
  <c r="C178" i="55"/>
  <c r="B178" i="55"/>
  <c r="U177" i="55"/>
  <c r="S177" i="55"/>
  <c r="Q177" i="55"/>
  <c r="O177" i="55"/>
  <c r="M177" i="55"/>
  <c r="K177" i="55"/>
  <c r="I177" i="55"/>
  <c r="G177" i="55"/>
  <c r="E177" i="55"/>
  <c r="C177" i="55"/>
  <c r="B177" i="55"/>
  <c r="U176" i="55"/>
  <c r="S176" i="55"/>
  <c r="Q176" i="55"/>
  <c r="O176" i="55"/>
  <c r="M176" i="55"/>
  <c r="K176" i="55"/>
  <c r="I176" i="55"/>
  <c r="G176" i="55"/>
  <c r="E176" i="55"/>
  <c r="C176" i="55"/>
  <c r="B176" i="55"/>
  <c r="U175" i="55"/>
  <c r="S175" i="55"/>
  <c r="Q175" i="55"/>
  <c r="O175" i="55"/>
  <c r="M175" i="55"/>
  <c r="K175" i="55"/>
  <c r="I175" i="55"/>
  <c r="G175" i="55"/>
  <c r="E175" i="55"/>
  <c r="C175" i="55"/>
  <c r="B175" i="55"/>
  <c r="U174" i="55"/>
  <c r="T174" i="55"/>
  <c r="S174" i="55"/>
  <c r="R174" i="55"/>
  <c r="Q174" i="55"/>
  <c r="P174" i="55"/>
  <c r="O174" i="55"/>
  <c r="N174" i="55"/>
  <c r="M174" i="55"/>
  <c r="L174" i="55"/>
  <c r="K174" i="55"/>
  <c r="J174" i="55"/>
  <c r="I174" i="55"/>
  <c r="H174" i="55"/>
  <c r="G174" i="55"/>
  <c r="F174" i="55"/>
  <c r="E174" i="55"/>
  <c r="D174" i="55"/>
  <c r="C174" i="55"/>
  <c r="B174" i="55"/>
  <c r="U173" i="55"/>
  <c r="S173" i="55"/>
  <c r="Q173" i="55"/>
  <c r="O173" i="55"/>
  <c r="M173" i="55"/>
  <c r="K173" i="55"/>
  <c r="I173" i="55"/>
  <c r="G173" i="55"/>
  <c r="E173" i="55"/>
  <c r="C173" i="55"/>
  <c r="B173" i="55"/>
  <c r="U172" i="55"/>
  <c r="S172" i="55"/>
  <c r="Q172" i="55"/>
  <c r="O172" i="55"/>
  <c r="M172" i="55"/>
  <c r="K172" i="55"/>
  <c r="I172" i="55"/>
  <c r="G172" i="55"/>
  <c r="E172" i="55"/>
  <c r="C172" i="55"/>
  <c r="B172" i="55"/>
  <c r="V170" i="55"/>
  <c r="T170" i="55"/>
  <c r="R170" i="55"/>
  <c r="P170" i="55"/>
  <c r="N170" i="55"/>
  <c r="L170" i="55"/>
  <c r="J170" i="55"/>
  <c r="H170" i="55"/>
  <c r="F170" i="55"/>
  <c r="D170" i="55"/>
  <c r="C170" i="55"/>
  <c r="B170" i="55"/>
  <c r="C169" i="55"/>
  <c r="B169" i="55"/>
  <c r="T168" i="55"/>
  <c r="R168" i="55"/>
  <c r="P168" i="55"/>
  <c r="N168" i="55"/>
  <c r="L168" i="55"/>
  <c r="J168" i="55"/>
  <c r="H168" i="55"/>
  <c r="F168" i="55"/>
  <c r="D168" i="55"/>
  <c r="C168" i="55"/>
  <c r="T167" i="55"/>
  <c r="R167" i="55"/>
  <c r="P167" i="55"/>
  <c r="N167" i="55"/>
  <c r="L167" i="55"/>
  <c r="J167" i="55"/>
  <c r="H167" i="55"/>
  <c r="F167" i="55"/>
  <c r="D167" i="55"/>
  <c r="C167" i="55"/>
  <c r="F166" i="55"/>
  <c r="D166" i="55"/>
  <c r="C166" i="55"/>
  <c r="T165" i="55"/>
  <c r="R165" i="55"/>
  <c r="P165" i="55"/>
  <c r="N165" i="55"/>
  <c r="L165" i="55"/>
  <c r="J165" i="55"/>
  <c r="H165" i="55"/>
  <c r="F165" i="55"/>
  <c r="D165" i="55"/>
  <c r="C165" i="55"/>
  <c r="T164" i="55"/>
  <c r="R164" i="55"/>
  <c r="P164" i="55"/>
  <c r="N164" i="55"/>
  <c r="L164" i="55"/>
  <c r="J164" i="55"/>
  <c r="H164" i="55"/>
  <c r="F164" i="55"/>
  <c r="D164" i="55"/>
  <c r="C164" i="55"/>
  <c r="F163" i="55"/>
  <c r="D163" i="55"/>
  <c r="C163" i="55"/>
  <c r="T162" i="55"/>
  <c r="R162" i="55"/>
  <c r="P162" i="55"/>
  <c r="N162" i="55"/>
  <c r="L162" i="55"/>
  <c r="J162" i="55"/>
  <c r="H162" i="55"/>
  <c r="F162" i="55"/>
  <c r="D162" i="55"/>
  <c r="C162" i="55"/>
  <c r="T161" i="55"/>
  <c r="R161" i="55"/>
  <c r="P161" i="55"/>
  <c r="N161" i="55"/>
  <c r="L161" i="55"/>
  <c r="J161" i="55"/>
  <c r="H161" i="55"/>
  <c r="F161" i="55"/>
  <c r="D161" i="55"/>
  <c r="C161" i="55"/>
  <c r="F160" i="55"/>
  <c r="D160" i="55"/>
  <c r="C160" i="55"/>
  <c r="T159" i="55"/>
  <c r="R159" i="55"/>
  <c r="P159" i="55"/>
  <c r="N159" i="55"/>
  <c r="L159" i="55"/>
  <c r="J159" i="55"/>
  <c r="H159" i="55"/>
  <c r="F159" i="55"/>
  <c r="D159" i="55"/>
  <c r="C159" i="55"/>
  <c r="T158" i="55"/>
  <c r="R158" i="55"/>
  <c r="P158" i="55"/>
  <c r="N158" i="55"/>
  <c r="L158" i="55"/>
  <c r="J158" i="55"/>
  <c r="H158" i="55"/>
  <c r="F158" i="55"/>
  <c r="D158" i="55"/>
  <c r="C158" i="55"/>
  <c r="F157" i="55"/>
  <c r="D157" i="55"/>
  <c r="C157" i="55"/>
  <c r="T152" i="55"/>
  <c r="B152" i="55"/>
  <c r="B153" i="55" s="1"/>
  <c r="D151" i="55"/>
  <c r="B151" i="55"/>
  <c r="U149" i="55"/>
  <c r="S149" i="55"/>
  <c r="Q149" i="55"/>
  <c r="O149" i="55"/>
  <c r="M149" i="55"/>
  <c r="K149" i="55"/>
  <c r="I149" i="55"/>
  <c r="G149" i="55"/>
  <c r="E149" i="55"/>
  <c r="C149" i="55"/>
  <c r="B149" i="55"/>
  <c r="U148" i="55"/>
  <c r="S148" i="55"/>
  <c r="Q148" i="55"/>
  <c r="O148" i="55"/>
  <c r="M148" i="55"/>
  <c r="K148" i="55"/>
  <c r="I148" i="55"/>
  <c r="G148" i="55"/>
  <c r="E148" i="55"/>
  <c r="C148" i="55"/>
  <c r="B148" i="55"/>
  <c r="U147" i="55"/>
  <c r="S147" i="55"/>
  <c r="Q147" i="55"/>
  <c r="O147" i="55"/>
  <c r="M147" i="55"/>
  <c r="K147" i="55"/>
  <c r="I147" i="55"/>
  <c r="G147" i="55"/>
  <c r="E147" i="55"/>
  <c r="C147" i="55"/>
  <c r="B147" i="55"/>
  <c r="U146" i="55"/>
  <c r="S146" i="55"/>
  <c r="Q146" i="55"/>
  <c r="O146" i="55"/>
  <c r="M146" i="55"/>
  <c r="K146" i="55"/>
  <c r="I146" i="55"/>
  <c r="G146" i="55"/>
  <c r="E146" i="55"/>
  <c r="C146" i="55"/>
  <c r="B146" i="55"/>
  <c r="U145" i="55"/>
  <c r="S145" i="55"/>
  <c r="Q145" i="55"/>
  <c r="O145" i="55"/>
  <c r="M145" i="55"/>
  <c r="K145" i="55"/>
  <c r="I145" i="55"/>
  <c r="G145" i="55"/>
  <c r="E145" i="55"/>
  <c r="C145" i="55"/>
  <c r="B145" i="55"/>
  <c r="U144" i="55"/>
  <c r="T144" i="55"/>
  <c r="S144" i="55"/>
  <c r="R144" i="55"/>
  <c r="Q144" i="55"/>
  <c r="P144" i="55"/>
  <c r="O144" i="55"/>
  <c r="N144" i="55"/>
  <c r="M144" i="55"/>
  <c r="L144" i="55"/>
  <c r="K144" i="55"/>
  <c r="J144" i="55"/>
  <c r="I144" i="55"/>
  <c r="H144" i="55"/>
  <c r="G144" i="55"/>
  <c r="F144" i="55"/>
  <c r="E144" i="55"/>
  <c r="D144" i="55"/>
  <c r="C144" i="55"/>
  <c r="B144" i="55"/>
  <c r="U143" i="55"/>
  <c r="S143" i="55"/>
  <c r="Q143" i="55"/>
  <c r="O143" i="55"/>
  <c r="M143" i="55"/>
  <c r="K143" i="55"/>
  <c r="I143" i="55"/>
  <c r="G143" i="55"/>
  <c r="E143" i="55"/>
  <c r="C143" i="55"/>
  <c r="B143" i="55"/>
  <c r="U142" i="55"/>
  <c r="S142" i="55"/>
  <c r="Q142" i="55"/>
  <c r="O142" i="55"/>
  <c r="M142" i="55"/>
  <c r="K142" i="55"/>
  <c r="I142" i="55"/>
  <c r="G142" i="55"/>
  <c r="E142" i="55"/>
  <c r="C142" i="55"/>
  <c r="B142" i="55"/>
  <c r="V140" i="55"/>
  <c r="T140" i="55"/>
  <c r="R140" i="55"/>
  <c r="P140" i="55"/>
  <c r="N140" i="55"/>
  <c r="L140" i="55"/>
  <c r="J140" i="55"/>
  <c r="H140" i="55"/>
  <c r="F140" i="55"/>
  <c r="D140" i="55"/>
  <c r="C140" i="55"/>
  <c r="B140" i="55"/>
  <c r="C139" i="55"/>
  <c r="B139" i="55"/>
  <c r="T138" i="55"/>
  <c r="R138" i="55"/>
  <c r="P138" i="55"/>
  <c r="N138" i="55"/>
  <c r="L138" i="55"/>
  <c r="J138" i="55"/>
  <c r="H138" i="55"/>
  <c r="F138" i="55"/>
  <c r="D138" i="55"/>
  <c r="C138" i="55"/>
  <c r="T137" i="55"/>
  <c r="R137" i="55"/>
  <c r="P137" i="55"/>
  <c r="N137" i="55"/>
  <c r="L137" i="55"/>
  <c r="J137" i="55"/>
  <c r="H137" i="55"/>
  <c r="F137" i="55"/>
  <c r="D137" i="55"/>
  <c r="C137" i="55"/>
  <c r="F136" i="55"/>
  <c r="D136" i="55"/>
  <c r="C136" i="55"/>
  <c r="T135" i="55"/>
  <c r="R135" i="55"/>
  <c r="P135" i="55"/>
  <c r="N135" i="55"/>
  <c r="L135" i="55"/>
  <c r="J135" i="55"/>
  <c r="H135" i="55"/>
  <c r="F135" i="55"/>
  <c r="D135" i="55"/>
  <c r="C135" i="55"/>
  <c r="T134" i="55"/>
  <c r="R134" i="55"/>
  <c r="P134" i="55"/>
  <c r="N134" i="55"/>
  <c r="L134" i="55"/>
  <c r="J134" i="55"/>
  <c r="H134" i="55"/>
  <c r="F134" i="55"/>
  <c r="D134" i="55"/>
  <c r="C134" i="55"/>
  <c r="F133" i="55"/>
  <c r="D133" i="55"/>
  <c r="C133" i="55"/>
  <c r="T132" i="55"/>
  <c r="R132" i="55"/>
  <c r="P132" i="55"/>
  <c r="N132" i="55"/>
  <c r="L132" i="55"/>
  <c r="J132" i="55"/>
  <c r="H132" i="55"/>
  <c r="F132" i="55"/>
  <c r="D132" i="55"/>
  <c r="C132" i="55"/>
  <c r="T131" i="55"/>
  <c r="R131" i="55"/>
  <c r="P131" i="55"/>
  <c r="N131" i="55"/>
  <c r="L131" i="55"/>
  <c r="J131" i="55"/>
  <c r="H131" i="55"/>
  <c r="F131" i="55"/>
  <c r="D131" i="55"/>
  <c r="C131" i="55"/>
  <c r="F130" i="55"/>
  <c r="D130" i="55"/>
  <c r="C130" i="55"/>
  <c r="T129" i="55"/>
  <c r="R129" i="55"/>
  <c r="P129" i="55"/>
  <c r="N129" i="55"/>
  <c r="L129" i="55"/>
  <c r="J129" i="55"/>
  <c r="H129" i="55"/>
  <c r="F129" i="55"/>
  <c r="D129" i="55"/>
  <c r="C129" i="55"/>
  <c r="T128" i="55"/>
  <c r="R128" i="55"/>
  <c r="P128" i="55"/>
  <c r="N128" i="55"/>
  <c r="L128" i="55"/>
  <c r="J128" i="55"/>
  <c r="H128" i="55"/>
  <c r="F128" i="55"/>
  <c r="D128" i="55"/>
  <c r="C128" i="55"/>
  <c r="J127" i="55"/>
  <c r="F127" i="55"/>
  <c r="D127" i="55"/>
  <c r="C127" i="55"/>
  <c r="T122" i="55"/>
  <c r="B122" i="55"/>
  <c r="B123" i="55" s="1"/>
  <c r="D121" i="55"/>
  <c r="B121" i="55"/>
  <c r="U119" i="55"/>
  <c r="S119" i="55"/>
  <c r="Q119" i="55"/>
  <c r="O119" i="55"/>
  <c r="M119" i="55"/>
  <c r="K119" i="55"/>
  <c r="I119" i="55"/>
  <c r="G119" i="55"/>
  <c r="E119" i="55"/>
  <c r="C119" i="55"/>
  <c r="B119" i="55"/>
  <c r="U118" i="55"/>
  <c r="S118" i="55"/>
  <c r="Q118" i="55"/>
  <c r="O118" i="55"/>
  <c r="M118" i="55"/>
  <c r="K118" i="55"/>
  <c r="I118" i="55"/>
  <c r="G118" i="55"/>
  <c r="E118" i="55"/>
  <c r="C118" i="55"/>
  <c r="B118" i="55"/>
  <c r="U117" i="55"/>
  <c r="S117" i="55"/>
  <c r="Q117" i="55"/>
  <c r="O117" i="55"/>
  <c r="M117" i="55"/>
  <c r="K117" i="55"/>
  <c r="I117" i="55"/>
  <c r="G117" i="55"/>
  <c r="E117" i="55"/>
  <c r="C117" i="55"/>
  <c r="B117" i="55"/>
  <c r="U116" i="55"/>
  <c r="S116" i="55"/>
  <c r="Q116" i="55"/>
  <c r="O116" i="55"/>
  <c r="M116" i="55"/>
  <c r="K116" i="55"/>
  <c r="I116" i="55"/>
  <c r="G116" i="55"/>
  <c r="E116" i="55"/>
  <c r="C116" i="55"/>
  <c r="B116" i="55"/>
  <c r="U115" i="55"/>
  <c r="S115" i="55"/>
  <c r="Q115" i="55"/>
  <c r="O115" i="55"/>
  <c r="M115" i="55"/>
  <c r="K115" i="55"/>
  <c r="I115" i="55"/>
  <c r="G115" i="55"/>
  <c r="E115" i="55"/>
  <c r="C115" i="55"/>
  <c r="B115" i="55"/>
  <c r="U114" i="55"/>
  <c r="T114" i="55"/>
  <c r="S114" i="55"/>
  <c r="R114" i="55"/>
  <c r="Q114" i="55"/>
  <c r="P114" i="55"/>
  <c r="O114" i="55"/>
  <c r="N114" i="55"/>
  <c r="M114" i="55"/>
  <c r="L114" i="55"/>
  <c r="K114" i="55"/>
  <c r="J114" i="55"/>
  <c r="I114" i="55"/>
  <c r="H114" i="55"/>
  <c r="G114" i="55"/>
  <c r="F114" i="55"/>
  <c r="E114" i="55"/>
  <c r="D114" i="55"/>
  <c r="C114" i="55"/>
  <c r="B114" i="55"/>
  <c r="U113" i="55"/>
  <c r="S113" i="55"/>
  <c r="Q113" i="55"/>
  <c r="O113" i="55"/>
  <c r="M113" i="55"/>
  <c r="K113" i="55"/>
  <c r="I113" i="55"/>
  <c r="G113" i="55"/>
  <c r="E113" i="55"/>
  <c r="C113" i="55"/>
  <c r="B113" i="55"/>
  <c r="U112" i="55"/>
  <c r="S112" i="55"/>
  <c r="Q112" i="55"/>
  <c r="O112" i="55"/>
  <c r="M112" i="55"/>
  <c r="K112" i="55"/>
  <c r="I112" i="55"/>
  <c r="G112" i="55"/>
  <c r="E112" i="55"/>
  <c r="C112" i="55"/>
  <c r="B112" i="55"/>
  <c r="V110" i="55"/>
  <c r="T110" i="55"/>
  <c r="R110" i="55"/>
  <c r="P110" i="55"/>
  <c r="N110" i="55"/>
  <c r="L110" i="55"/>
  <c r="J110" i="55"/>
  <c r="H110" i="55"/>
  <c r="F110" i="55"/>
  <c r="D110" i="55"/>
  <c r="C110" i="55"/>
  <c r="B110" i="55"/>
  <c r="C109" i="55"/>
  <c r="B109" i="55"/>
  <c r="T108" i="55"/>
  <c r="R108" i="55"/>
  <c r="P108" i="55"/>
  <c r="N108" i="55"/>
  <c r="L108" i="55"/>
  <c r="J108" i="55"/>
  <c r="H108" i="55"/>
  <c r="F108" i="55"/>
  <c r="D108" i="55"/>
  <c r="C108" i="55"/>
  <c r="T107" i="55"/>
  <c r="R107" i="55"/>
  <c r="P107" i="55"/>
  <c r="N107" i="55"/>
  <c r="L107" i="55"/>
  <c r="J107" i="55"/>
  <c r="H107" i="55"/>
  <c r="F107" i="55"/>
  <c r="D107" i="55"/>
  <c r="C107" i="55"/>
  <c r="F106" i="55"/>
  <c r="D106" i="55"/>
  <c r="C106" i="55"/>
  <c r="T105" i="55"/>
  <c r="R105" i="55"/>
  <c r="P105" i="55"/>
  <c r="N105" i="55"/>
  <c r="L105" i="55"/>
  <c r="J105" i="55"/>
  <c r="H105" i="55"/>
  <c r="F105" i="55"/>
  <c r="D105" i="55"/>
  <c r="C105" i="55"/>
  <c r="T104" i="55"/>
  <c r="R104" i="55"/>
  <c r="P104" i="55"/>
  <c r="N104" i="55"/>
  <c r="L104" i="55"/>
  <c r="J104" i="55"/>
  <c r="H104" i="55"/>
  <c r="F104" i="55"/>
  <c r="D104" i="55"/>
  <c r="C104" i="55"/>
  <c r="T103" i="55"/>
  <c r="F103" i="55"/>
  <c r="D103" i="55"/>
  <c r="C103" i="55"/>
  <c r="T102" i="55"/>
  <c r="R102" i="55"/>
  <c r="P102" i="55"/>
  <c r="N102" i="55"/>
  <c r="L102" i="55"/>
  <c r="J102" i="55"/>
  <c r="H102" i="55"/>
  <c r="F102" i="55"/>
  <c r="D102" i="55"/>
  <c r="C102" i="55"/>
  <c r="T101" i="55"/>
  <c r="R101" i="55"/>
  <c r="P101" i="55"/>
  <c r="N101" i="55"/>
  <c r="L101" i="55"/>
  <c r="J101" i="55"/>
  <c r="H101" i="55"/>
  <c r="F101" i="55"/>
  <c r="D101" i="55"/>
  <c r="C101" i="55"/>
  <c r="F100" i="55"/>
  <c r="D100" i="55"/>
  <c r="C100" i="55"/>
  <c r="T99" i="55"/>
  <c r="R99" i="55"/>
  <c r="P99" i="55"/>
  <c r="N99" i="55"/>
  <c r="L99" i="55"/>
  <c r="J99" i="55"/>
  <c r="H99" i="55"/>
  <c r="F99" i="55"/>
  <c r="D99" i="55"/>
  <c r="C99" i="55"/>
  <c r="P98" i="55"/>
  <c r="N98" i="55"/>
  <c r="L98" i="55"/>
  <c r="J98" i="55"/>
  <c r="H98" i="55"/>
  <c r="F98" i="55"/>
  <c r="D98" i="55"/>
  <c r="C98" i="55"/>
  <c r="T97" i="55"/>
  <c r="R97" i="55"/>
  <c r="P97" i="55"/>
  <c r="N97" i="55"/>
  <c r="F97" i="55"/>
  <c r="D97" i="55"/>
  <c r="C97" i="55"/>
  <c r="T92" i="55"/>
  <c r="B92" i="55"/>
  <c r="B93" i="55" s="1"/>
  <c r="D91" i="55"/>
  <c r="B91" i="55"/>
  <c r="U89" i="55"/>
  <c r="S89" i="55"/>
  <c r="Q89" i="55"/>
  <c r="O89" i="55"/>
  <c r="M89" i="55"/>
  <c r="K89" i="55"/>
  <c r="I89" i="55"/>
  <c r="G89" i="55"/>
  <c r="E89" i="55"/>
  <c r="C89" i="55"/>
  <c r="B89" i="55"/>
  <c r="U88" i="55"/>
  <c r="S88" i="55"/>
  <c r="Q88" i="55"/>
  <c r="O88" i="55"/>
  <c r="M88" i="55"/>
  <c r="K88" i="55"/>
  <c r="I88" i="55"/>
  <c r="G88" i="55"/>
  <c r="E88" i="55"/>
  <c r="C88" i="55"/>
  <c r="B88" i="55"/>
  <c r="U87" i="55"/>
  <c r="S87" i="55"/>
  <c r="Q87" i="55"/>
  <c r="O87" i="55"/>
  <c r="M87" i="55"/>
  <c r="K87" i="55"/>
  <c r="I87" i="55"/>
  <c r="G87" i="55"/>
  <c r="E87" i="55"/>
  <c r="C87" i="55"/>
  <c r="B87" i="55"/>
  <c r="U86" i="55"/>
  <c r="S86" i="55"/>
  <c r="Q86" i="55"/>
  <c r="O86" i="55"/>
  <c r="M86" i="55"/>
  <c r="K86" i="55"/>
  <c r="I86" i="55"/>
  <c r="G86" i="55"/>
  <c r="E86" i="55"/>
  <c r="C86" i="55"/>
  <c r="B86" i="55"/>
  <c r="U85" i="55"/>
  <c r="S85" i="55"/>
  <c r="Q85" i="55"/>
  <c r="O85" i="55"/>
  <c r="M85" i="55"/>
  <c r="K85" i="55"/>
  <c r="I85" i="55"/>
  <c r="G85" i="55"/>
  <c r="E85" i="55"/>
  <c r="C85" i="55"/>
  <c r="B85" i="55"/>
  <c r="U84" i="55"/>
  <c r="T84" i="55"/>
  <c r="S84" i="55"/>
  <c r="R84" i="55"/>
  <c r="Q84" i="55"/>
  <c r="P84" i="55"/>
  <c r="O84" i="55"/>
  <c r="N84" i="55"/>
  <c r="M84" i="55"/>
  <c r="L84" i="55"/>
  <c r="K84" i="55"/>
  <c r="J84" i="55"/>
  <c r="I84" i="55"/>
  <c r="H84" i="55"/>
  <c r="G84" i="55"/>
  <c r="F84" i="55"/>
  <c r="E84" i="55"/>
  <c r="D84" i="55"/>
  <c r="C84" i="55"/>
  <c r="B84" i="55"/>
  <c r="U83" i="55"/>
  <c r="S83" i="55"/>
  <c r="Q83" i="55"/>
  <c r="O83" i="55"/>
  <c r="M83" i="55"/>
  <c r="K83" i="55"/>
  <c r="I83" i="55"/>
  <c r="G83" i="55"/>
  <c r="E83" i="55"/>
  <c r="C83" i="55"/>
  <c r="B83" i="55"/>
  <c r="U82" i="55"/>
  <c r="S82" i="55"/>
  <c r="Q82" i="55"/>
  <c r="O82" i="55"/>
  <c r="M82" i="55"/>
  <c r="K82" i="55"/>
  <c r="I82" i="55"/>
  <c r="G82" i="55"/>
  <c r="E82" i="55"/>
  <c r="C82" i="55"/>
  <c r="B82" i="55"/>
  <c r="V80" i="55"/>
  <c r="T80" i="55"/>
  <c r="R80" i="55"/>
  <c r="P80" i="55"/>
  <c r="N80" i="55"/>
  <c r="L80" i="55"/>
  <c r="J80" i="55"/>
  <c r="H80" i="55"/>
  <c r="F80" i="55"/>
  <c r="D80" i="55"/>
  <c r="C80" i="55"/>
  <c r="B80" i="55"/>
  <c r="F79" i="55"/>
  <c r="C79" i="55"/>
  <c r="B79" i="55"/>
  <c r="T78" i="55"/>
  <c r="R78" i="55"/>
  <c r="P78" i="55"/>
  <c r="N78" i="55"/>
  <c r="L78" i="55"/>
  <c r="J78" i="55"/>
  <c r="H78" i="55"/>
  <c r="F78" i="55"/>
  <c r="D78" i="55"/>
  <c r="C78" i="55"/>
  <c r="L77" i="55"/>
  <c r="J77" i="55"/>
  <c r="H77" i="55"/>
  <c r="F77" i="55"/>
  <c r="D77" i="55"/>
  <c r="C77" i="55"/>
  <c r="N76" i="55"/>
  <c r="L76" i="55"/>
  <c r="J76" i="55"/>
  <c r="F76" i="55"/>
  <c r="D76" i="55"/>
  <c r="C76" i="55"/>
  <c r="T75" i="55"/>
  <c r="R75" i="55"/>
  <c r="P75" i="55"/>
  <c r="N75" i="55"/>
  <c r="L75" i="55"/>
  <c r="J75" i="55"/>
  <c r="H75" i="55"/>
  <c r="F75" i="55"/>
  <c r="D75" i="55"/>
  <c r="C75" i="55"/>
  <c r="T74" i="55"/>
  <c r="R74" i="55"/>
  <c r="P74" i="55"/>
  <c r="N74" i="55"/>
  <c r="L74" i="55"/>
  <c r="J74" i="55"/>
  <c r="H74" i="55"/>
  <c r="F74" i="55"/>
  <c r="D74" i="55"/>
  <c r="C74" i="55"/>
  <c r="F73" i="55"/>
  <c r="D73" i="55"/>
  <c r="C73" i="55"/>
  <c r="T72" i="55"/>
  <c r="R72" i="55"/>
  <c r="P72" i="55"/>
  <c r="N72" i="55"/>
  <c r="L72" i="55"/>
  <c r="J72" i="55"/>
  <c r="H72" i="55"/>
  <c r="F72" i="55"/>
  <c r="D72" i="55"/>
  <c r="C72" i="55"/>
  <c r="T71" i="55"/>
  <c r="R71" i="55"/>
  <c r="P71" i="55"/>
  <c r="N71" i="55"/>
  <c r="L71" i="55"/>
  <c r="J71" i="55"/>
  <c r="H71" i="55"/>
  <c r="F71" i="55"/>
  <c r="D71" i="55"/>
  <c r="C71" i="55"/>
  <c r="F70" i="55"/>
  <c r="D70" i="55"/>
  <c r="C70" i="55"/>
  <c r="T69" i="55"/>
  <c r="R69" i="55"/>
  <c r="P69" i="55"/>
  <c r="N69" i="55"/>
  <c r="L69" i="55"/>
  <c r="J69" i="55"/>
  <c r="H69" i="55"/>
  <c r="F69" i="55"/>
  <c r="D69" i="55"/>
  <c r="C69" i="55"/>
  <c r="T68" i="55"/>
  <c r="R68" i="55"/>
  <c r="P68" i="55"/>
  <c r="N68" i="55"/>
  <c r="L68" i="55"/>
  <c r="J68" i="55"/>
  <c r="H68" i="55"/>
  <c r="F68" i="55"/>
  <c r="D68" i="55"/>
  <c r="C68" i="55"/>
  <c r="F67" i="55"/>
  <c r="D67" i="55"/>
  <c r="C67" i="55"/>
  <c r="T62" i="55"/>
  <c r="B62" i="55"/>
  <c r="B63" i="55" s="1"/>
  <c r="D61" i="55"/>
  <c r="B61" i="55"/>
  <c r="U59" i="55"/>
  <c r="S59" i="55"/>
  <c r="Q59" i="55"/>
  <c r="O59" i="55"/>
  <c r="M59" i="55"/>
  <c r="K59" i="55"/>
  <c r="I59" i="55"/>
  <c r="G59" i="55"/>
  <c r="E59" i="55"/>
  <c r="C59" i="55"/>
  <c r="B59" i="55"/>
  <c r="U58" i="55"/>
  <c r="S58" i="55"/>
  <c r="Q58" i="55"/>
  <c r="O58" i="55"/>
  <c r="M58" i="55"/>
  <c r="K58" i="55"/>
  <c r="I58" i="55"/>
  <c r="G58" i="55"/>
  <c r="E58" i="55"/>
  <c r="C58" i="55"/>
  <c r="B58" i="55"/>
  <c r="U57" i="55"/>
  <c r="S57" i="55"/>
  <c r="Q57" i="55"/>
  <c r="O57" i="55"/>
  <c r="M57" i="55"/>
  <c r="K57" i="55"/>
  <c r="I57" i="55"/>
  <c r="G57" i="55"/>
  <c r="E57" i="55"/>
  <c r="C57" i="55"/>
  <c r="B57" i="55"/>
  <c r="U56" i="55"/>
  <c r="S56" i="55"/>
  <c r="Q56" i="55"/>
  <c r="O56" i="55"/>
  <c r="M56" i="55"/>
  <c r="K56" i="55"/>
  <c r="I56" i="55"/>
  <c r="G56" i="55"/>
  <c r="E56" i="55"/>
  <c r="C56" i="55"/>
  <c r="B56" i="55"/>
  <c r="U55" i="55"/>
  <c r="S55" i="55"/>
  <c r="Q55" i="55"/>
  <c r="O55" i="55"/>
  <c r="M55" i="55"/>
  <c r="K55" i="55"/>
  <c r="I55" i="55"/>
  <c r="G55" i="55"/>
  <c r="E55" i="55"/>
  <c r="C55" i="55"/>
  <c r="B55" i="55"/>
  <c r="U54" i="55"/>
  <c r="T54" i="55"/>
  <c r="S54" i="55"/>
  <c r="R54" i="55"/>
  <c r="Q54" i="55"/>
  <c r="P54" i="55"/>
  <c r="O54" i="55"/>
  <c r="N54" i="55"/>
  <c r="M54" i="55"/>
  <c r="L54" i="55"/>
  <c r="K54" i="55"/>
  <c r="J54" i="55"/>
  <c r="I54" i="55"/>
  <c r="H54" i="55"/>
  <c r="G54" i="55"/>
  <c r="F54" i="55"/>
  <c r="E54" i="55"/>
  <c r="D54" i="55"/>
  <c r="C54" i="55"/>
  <c r="B54" i="55"/>
  <c r="U53" i="55"/>
  <c r="S53" i="55"/>
  <c r="Q53" i="55"/>
  <c r="O53" i="55"/>
  <c r="M53" i="55"/>
  <c r="K53" i="55"/>
  <c r="I53" i="55"/>
  <c r="G53" i="55"/>
  <c r="E53" i="55"/>
  <c r="C53" i="55"/>
  <c r="B53" i="55"/>
  <c r="U52" i="55"/>
  <c r="S52" i="55"/>
  <c r="Q52" i="55"/>
  <c r="O52" i="55"/>
  <c r="M52" i="55"/>
  <c r="K52" i="55"/>
  <c r="I52" i="55"/>
  <c r="G52" i="55"/>
  <c r="E52" i="55"/>
  <c r="C52" i="55"/>
  <c r="B52" i="55"/>
  <c r="V50" i="55"/>
  <c r="T50" i="55"/>
  <c r="R50" i="55"/>
  <c r="P50" i="55"/>
  <c r="N50" i="55"/>
  <c r="L50" i="55"/>
  <c r="J50" i="55"/>
  <c r="H50" i="55"/>
  <c r="F50" i="55"/>
  <c r="D50" i="55"/>
  <c r="C50" i="55"/>
  <c r="B50" i="55"/>
  <c r="C49" i="55"/>
  <c r="B49" i="55"/>
  <c r="T48" i="55"/>
  <c r="R48" i="55"/>
  <c r="P48" i="55"/>
  <c r="N48" i="55"/>
  <c r="L48" i="55"/>
  <c r="J48" i="55"/>
  <c r="H48" i="55"/>
  <c r="F48" i="55"/>
  <c r="D48" i="55"/>
  <c r="C48" i="55"/>
  <c r="T47" i="55"/>
  <c r="R47" i="55"/>
  <c r="P47" i="55"/>
  <c r="N47" i="55"/>
  <c r="L47" i="55"/>
  <c r="J47" i="55"/>
  <c r="H47" i="55"/>
  <c r="F47" i="55"/>
  <c r="D47" i="55"/>
  <c r="C47" i="55"/>
  <c r="F46" i="55"/>
  <c r="D46" i="55"/>
  <c r="C46" i="55"/>
  <c r="T45" i="55"/>
  <c r="R45" i="55"/>
  <c r="P45" i="55"/>
  <c r="N45" i="55"/>
  <c r="L45" i="55"/>
  <c r="J45" i="55"/>
  <c r="H45" i="55"/>
  <c r="F45" i="55"/>
  <c r="D45" i="55"/>
  <c r="C45" i="55"/>
  <c r="T44" i="55"/>
  <c r="R44" i="55"/>
  <c r="P44" i="55"/>
  <c r="N44" i="55"/>
  <c r="L44" i="55"/>
  <c r="J44" i="55"/>
  <c r="H44" i="55"/>
  <c r="F44" i="55"/>
  <c r="D44" i="55"/>
  <c r="C44" i="55"/>
  <c r="F43" i="55"/>
  <c r="D43" i="55"/>
  <c r="C43" i="55"/>
  <c r="T42" i="55"/>
  <c r="R42" i="55"/>
  <c r="P42" i="55"/>
  <c r="N42" i="55"/>
  <c r="L42" i="55"/>
  <c r="J42" i="55"/>
  <c r="H42" i="55"/>
  <c r="F42" i="55"/>
  <c r="D42" i="55"/>
  <c r="C42" i="55"/>
  <c r="T41" i="55"/>
  <c r="R41" i="55"/>
  <c r="P41" i="55"/>
  <c r="N41" i="55"/>
  <c r="L41" i="55"/>
  <c r="J41" i="55"/>
  <c r="H41" i="55"/>
  <c r="F41" i="55"/>
  <c r="D41" i="55"/>
  <c r="C41" i="55"/>
  <c r="F40" i="55"/>
  <c r="D40" i="55"/>
  <c r="C40" i="55"/>
  <c r="T39" i="55"/>
  <c r="R39" i="55"/>
  <c r="P39" i="55"/>
  <c r="N39" i="55"/>
  <c r="L39" i="55"/>
  <c r="J39" i="55"/>
  <c r="H39" i="55"/>
  <c r="F39" i="55"/>
  <c r="D39" i="55"/>
  <c r="C39" i="55"/>
  <c r="T38" i="55"/>
  <c r="R38" i="55"/>
  <c r="P38" i="55"/>
  <c r="N38" i="55"/>
  <c r="L38" i="55"/>
  <c r="J38" i="55"/>
  <c r="H38" i="55"/>
  <c r="F38" i="55"/>
  <c r="D38" i="55"/>
  <c r="C38" i="55"/>
  <c r="F37" i="55"/>
  <c r="D37" i="55"/>
  <c r="C37" i="55"/>
  <c r="T32" i="55"/>
  <c r="B32" i="55"/>
  <c r="B33" i="55" s="1"/>
  <c r="D31" i="55"/>
  <c r="B31" i="55"/>
  <c r="U29" i="55"/>
  <c r="S29" i="55"/>
  <c r="Q29" i="55"/>
  <c r="O29" i="55"/>
  <c r="M29" i="55"/>
  <c r="K29" i="55"/>
  <c r="I29" i="55"/>
  <c r="G29" i="55"/>
  <c r="E29" i="55"/>
  <c r="C29" i="55"/>
  <c r="B29" i="55"/>
  <c r="U28" i="55"/>
  <c r="S28" i="55"/>
  <c r="Q28" i="55"/>
  <c r="O28" i="55"/>
  <c r="M28" i="55"/>
  <c r="K28" i="55"/>
  <c r="I28" i="55"/>
  <c r="G28" i="55"/>
  <c r="E28" i="55"/>
  <c r="C28" i="55"/>
  <c r="B28" i="55"/>
  <c r="U27" i="55"/>
  <c r="S27" i="55"/>
  <c r="Q27" i="55"/>
  <c r="O27" i="55"/>
  <c r="M27" i="55"/>
  <c r="K27" i="55"/>
  <c r="I27" i="55"/>
  <c r="G27" i="55"/>
  <c r="E27" i="55"/>
  <c r="C27" i="55"/>
  <c r="B27" i="55"/>
  <c r="U26" i="55"/>
  <c r="S26" i="55"/>
  <c r="Q26" i="55"/>
  <c r="O26" i="55"/>
  <c r="M26" i="55"/>
  <c r="K26" i="55"/>
  <c r="I26" i="55"/>
  <c r="G26" i="55"/>
  <c r="E26" i="55"/>
  <c r="C26" i="55"/>
  <c r="B26" i="55"/>
  <c r="U25" i="55"/>
  <c r="S25" i="55"/>
  <c r="Q25" i="55"/>
  <c r="O25" i="55"/>
  <c r="M25" i="55"/>
  <c r="K25" i="55"/>
  <c r="I25" i="55"/>
  <c r="G25" i="55"/>
  <c r="E25" i="55"/>
  <c r="C25" i="55"/>
  <c r="B25" i="55"/>
  <c r="U24" i="55"/>
  <c r="T24" i="55"/>
  <c r="S24" i="55"/>
  <c r="R24" i="55"/>
  <c r="Q24" i="55"/>
  <c r="P24" i="55"/>
  <c r="O24" i="55"/>
  <c r="N24" i="55"/>
  <c r="M24" i="55"/>
  <c r="L24" i="55"/>
  <c r="K24" i="55"/>
  <c r="J24" i="55"/>
  <c r="I24" i="55"/>
  <c r="H24" i="55"/>
  <c r="G24" i="55"/>
  <c r="F24" i="55"/>
  <c r="E24" i="55"/>
  <c r="D24" i="55"/>
  <c r="C24" i="55"/>
  <c r="B24" i="55"/>
  <c r="U23" i="55"/>
  <c r="S23" i="55"/>
  <c r="Q23" i="55"/>
  <c r="O23" i="55"/>
  <c r="M23" i="55"/>
  <c r="K23" i="55"/>
  <c r="I23" i="55"/>
  <c r="G23" i="55"/>
  <c r="E23" i="55"/>
  <c r="C23" i="55"/>
  <c r="B23" i="55"/>
  <c r="U22" i="55"/>
  <c r="S22" i="55"/>
  <c r="Q22" i="55"/>
  <c r="O22" i="55"/>
  <c r="M22" i="55"/>
  <c r="K22" i="55"/>
  <c r="I22" i="55"/>
  <c r="G22" i="55"/>
  <c r="E22" i="55"/>
  <c r="C22" i="55"/>
  <c r="B22" i="55"/>
  <c r="V20" i="55"/>
  <c r="T20" i="55"/>
  <c r="R20" i="55"/>
  <c r="P20" i="55"/>
  <c r="N20" i="55"/>
  <c r="L20" i="55"/>
  <c r="J20" i="55"/>
  <c r="H20" i="55"/>
  <c r="F20" i="55"/>
  <c r="D20" i="55"/>
  <c r="C20" i="55"/>
  <c r="B20" i="55"/>
  <c r="C19" i="55"/>
  <c r="B19" i="55"/>
  <c r="T18" i="55"/>
  <c r="R18" i="55"/>
  <c r="P18" i="55"/>
  <c r="N18" i="55"/>
  <c r="L18" i="55"/>
  <c r="J18" i="55"/>
  <c r="H18" i="55"/>
  <c r="F18" i="55"/>
  <c r="D18" i="55"/>
  <c r="C18" i="55"/>
  <c r="T17" i="55"/>
  <c r="R17" i="55"/>
  <c r="P17" i="55"/>
  <c r="N17" i="55"/>
  <c r="L17" i="55"/>
  <c r="J17" i="55"/>
  <c r="H17" i="55"/>
  <c r="F17" i="55"/>
  <c r="D17" i="55"/>
  <c r="C17" i="55"/>
  <c r="F16" i="55"/>
  <c r="D16" i="55"/>
  <c r="C16" i="55"/>
  <c r="T15" i="55"/>
  <c r="R15" i="55"/>
  <c r="P15" i="55"/>
  <c r="N15" i="55"/>
  <c r="L15" i="55"/>
  <c r="J15" i="55"/>
  <c r="H15" i="55"/>
  <c r="F15" i="55"/>
  <c r="D15" i="55"/>
  <c r="C15" i="55"/>
  <c r="V14" i="55"/>
  <c r="T14" i="55"/>
  <c r="R14" i="55"/>
  <c r="P14" i="55"/>
  <c r="N14" i="55"/>
  <c r="L14" i="55"/>
  <c r="J14" i="55"/>
  <c r="H14" i="55"/>
  <c r="F14" i="55"/>
  <c r="D14" i="55"/>
  <c r="C14" i="55"/>
  <c r="F13" i="55"/>
  <c r="D13" i="55"/>
  <c r="C13" i="55"/>
  <c r="V12" i="55"/>
  <c r="T12" i="55"/>
  <c r="R12" i="55"/>
  <c r="P12" i="55"/>
  <c r="N12" i="55"/>
  <c r="L12" i="55"/>
  <c r="J12" i="55"/>
  <c r="H12" i="55"/>
  <c r="F12" i="55"/>
  <c r="D12" i="55"/>
  <c r="C12" i="55"/>
  <c r="J11" i="55"/>
  <c r="H11" i="55"/>
  <c r="F11" i="55"/>
  <c r="D11" i="55"/>
  <c r="C11" i="55"/>
  <c r="T10" i="55"/>
  <c r="R10" i="55"/>
  <c r="P10" i="55"/>
  <c r="N10" i="55"/>
  <c r="L10" i="55"/>
  <c r="J10" i="55"/>
  <c r="H10" i="55"/>
  <c r="F10" i="55"/>
  <c r="D10" i="55"/>
  <c r="C10" i="55"/>
  <c r="T9" i="55"/>
  <c r="R9" i="55"/>
  <c r="P9" i="55"/>
  <c r="N9" i="55"/>
  <c r="L9" i="55"/>
  <c r="J9" i="55"/>
  <c r="H9" i="55"/>
  <c r="F9" i="55"/>
  <c r="D9" i="55"/>
  <c r="C9" i="55"/>
  <c r="T8" i="55"/>
  <c r="R8" i="55"/>
  <c r="P8" i="55"/>
  <c r="N8" i="55"/>
  <c r="L8" i="55"/>
  <c r="J8" i="55"/>
  <c r="H8" i="55"/>
  <c r="F8" i="55"/>
  <c r="D8" i="55"/>
  <c r="C8" i="55"/>
  <c r="F7" i="55"/>
  <c r="D7" i="55"/>
  <c r="C7" i="55"/>
  <c r="AA3" i="55"/>
  <c r="BU7" i="55" s="1"/>
  <c r="BU8" i="55" s="1"/>
  <c r="BU9" i="55" s="1"/>
  <c r="BU10" i="55" s="1"/>
  <c r="BU11" i="55" s="1"/>
  <c r="BU12" i="55" s="1"/>
  <c r="BU13" i="55" s="1"/>
  <c r="BU14" i="55" s="1"/>
  <c r="BU15" i="55" s="1"/>
  <c r="BU16" i="55" s="1"/>
  <c r="BU17" i="55" s="1"/>
  <c r="BU18" i="55" s="1"/>
  <c r="AE2" i="55"/>
  <c r="A3" i="63" s="1"/>
  <c r="T2" i="55"/>
  <c r="B2" i="55"/>
  <c r="AT1" i="55"/>
  <c r="AE1" i="55"/>
  <c r="F1" i="55" s="1"/>
  <c r="D1" i="55"/>
  <c r="B1" i="55"/>
  <c r="AT271" i="52"/>
  <c r="U271" i="52" s="1"/>
  <c r="AT241" i="52"/>
  <c r="U241" i="52" s="1"/>
  <c r="AT211" i="52"/>
  <c r="U211" i="52" s="1"/>
  <c r="AT181" i="52"/>
  <c r="U181" i="52" s="1"/>
  <c r="AT151" i="52"/>
  <c r="U151" i="52" s="1"/>
  <c r="AT121" i="52"/>
  <c r="U121" i="52" s="1"/>
  <c r="AT91" i="52"/>
  <c r="U91" i="52" s="1"/>
  <c r="AT61" i="52"/>
  <c r="U61" i="52" s="1"/>
  <c r="AT31" i="52"/>
  <c r="U31" i="52" s="1"/>
  <c r="AT1" i="52"/>
  <c r="A2" i="60" s="1"/>
  <c r="AE272" i="52"/>
  <c r="F272" i="52" s="1"/>
  <c r="AE271" i="52"/>
  <c r="F271" i="52" s="1"/>
  <c r="AE242" i="52"/>
  <c r="F242" i="52" s="1"/>
  <c r="AE241" i="52"/>
  <c r="F241" i="52" s="1"/>
  <c r="AE212" i="52"/>
  <c r="F212" i="52" s="1"/>
  <c r="AE211" i="52"/>
  <c r="F211" i="52" s="1"/>
  <c r="AE182" i="52"/>
  <c r="F182" i="52" s="1"/>
  <c r="AE181" i="52"/>
  <c r="F181" i="52" s="1"/>
  <c r="AE152" i="52"/>
  <c r="F152" i="52" s="1"/>
  <c r="AE151" i="52"/>
  <c r="F151" i="52" s="1"/>
  <c r="AE122" i="52"/>
  <c r="F122" i="52" s="1"/>
  <c r="AE121" i="52"/>
  <c r="F121" i="52" s="1"/>
  <c r="AE92" i="52"/>
  <c r="F92" i="52" s="1"/>
  <c r="AE91" i="52"/>
  <c r="F91" i="52" s="1"/>
  <c r="AE62" i="52"/>
  <c r="F62" i="52" s="1"/>
  <c r="AE61" i="52"/>
  <c r="F61" i="52" s="1"/>
  <c r="AE32" i="52"/>
  <c r="F32" i="52" s="1"/>
  <c r="AE31" i="52"/>
  <c r="F31" i="52" s="1"/>
  <c r="AE2" i="52"/>
  <c r="A3" i="60" s="1"/>
  <c r="F2" i="53"/>
  <c r="AS292" i="52"/>
  <c r="AS293" i="52" s="1"/>
  <c r="T293" i="52" s="1"/>
  <c r="AQ292" i="52"/>
  <c r="R292" i="52" s="1"/>
  <c r="AO292" i="52"/>
  <c r="P292" i="52" s="1"/>
  <c r="AM292" i="52"/>
  <c r="AM293" i="52" s="1"/>
  <c r="N293" i="52" s="1"/>
  <c r="AK292" i="52"/>
  <c r="AK295" i="52" s="1"/>
  <c r="AI292" i="52"/>
  <c r="AI293" i="52" s="1"/>
  <c r="J293" i="52" s="1"/>
  <c r="AG292" i="52"/>
  <c r="AE292" i="52"/>
  <c r="AE293" i="52" s="1"/>
  <c r="F293" i="52" s="1"/>
  <c r="AC292" i="52"/>
  <c r="AC293" i="52" s="1"/>
  <c r="D293" i="52" s="1"/>
  <c r="AS262" i="52"/>
  <c r="AQ262" i="52"/>
  <c r="AQ263" i="52" s="1"/>
  <c r="R263" i="52" s="1"/>
  <c r="AO262" i="52"/>
  <c r="P262" i="52" s="1"/>
  <c r="AM262" i="52"/>
  <c r="AM263" i="52" s="1"/>
  <c r="N263" i="52" s="1"/>
  <c r="AK262" i="52"/>
  <c r="AI262" i="52"/>
  <c r="AG262" i="52"/>
  <c r="AG263" i="52" s="1"/>
  <c r="H263" i="52" s="1"/>
  <c r="AE262" i="52"/>
  <c r="AE266" i="52" s="1"/>
  <c r="AC262" i="52"/>
  <c r="D262" i="52" s="1"/>
  <c r="AS232" i="52"/>
  <c r="T232" i="52" s="1"/>
  <c r="AQ232" i="52"/>
  <c r="AO232" i="52"/>
  <c r="AO233" i="52" s="1"/>
  <c r="P233" i="52" s="1"/>
  <c r="AM232" i="52"/>
  <c r="AM233" i="52" s="1"/>
  <c r="N233" i="52" s="1"/>
  <c r="AK232" i="52"/>
  <c r="AK233" i="52" s="1"/>
  <c r="L233" i="52" s="1"/>
  <c r="AI232" i="52"/>
  <c r="J232" i="52" s="1"/>
  <c r="AG232" i="52"/>
  <c r="H232" i="52" s="1"/>
  <c r="AE232" i="52"/>
  <c r="AE233" i="52" s="1"/>
  <c r="F233" i="52" s="1"/>
  <c r="AC232" i="52"/>
  <c r="AC233" i="52" s="1"/>
  <c r="D233" i="52" s="1"/>
  <c r="AS202" i="52"/>
  <c r="AS203" i="52" s="1"/>
  <c r="T203" i="52" s="1"/>
  <c r="AQ202" i="52"/>
  <c r="R202" i="52" s="1"/>
  <c r="AO202" i="52"/>
  <c r="AM202" i="52"/>
  <c r="AK202" i="52"/>
  <c r="AI202" i="52"/>
  <c r="J202" i="52" s="1"/>
  <c r="AG202" i="52"/>
  <c r="AE202" i="52"/>
  <c r="AC202" i="52"/>
  <c r="AC203" i="52" s="1"/>
  <c r="D203" i="52" s="1"/>
  <c r="AS172" i="52"/>
  <c r="AS173" i="52" s="1"/>
  <c r="T173" i="52" s="1"/>
  <c r="AQ172" i="52"/>
  <c r="AQ173" i="52" s="1"/>
  <c r="R173" i="52" s="1"/>
  <c r="AO172" i="52"/>
  <c r="AO173" i="52" s="1"/>
  <c r="P173" i="52" s="1"/>
  <c r="AM172" i="52"/>
  <c r="AM173" i="52" s="1"/>
  <c r="N173" i="52" s="1"/>
  <c r="AK172" i="52"/>
  <c r="AI172" i="52"/>
  <c r="AI173" i="52" s="1"/>
  <c r="J173" i="52" s="1"/>
  <c r="AG172" i="52"/>
  <c r="AG173" i="52" s="1"/>
  <c r="H173" i="52" s="1"/>
  <c r="AE172" i="52"/>
  <c r="AC172" i="52"/>
  <c r="AS142" i="52"/>
  <c r="AQ142" i="52"/>
  <c r="AO142" i="52"/>
  <c r="AO143" i="52" s="1"/>
  <c r="P143" i="52" s="1"/>
  <c r="AM142" i="52"/>
  <c r="AM143" i="52" s="1"/>
  <c r="N143" i="52" s="1"/>
  <c r="AK142" i="52"/>
  <c r="AK143" i="52" s="1"/>
  <c r="L143" i="52" s="1"/>
  <c r="AI142" i="52"/>
  <c r="AG142" i="52"/>
  <c r="H142" i="52" s="1"/>
  <c r="AE142" i="52"/>
  <c r="F142" i="52" s="1"/>
  <c r="AC142" i="52"/>
  <c r="D142" i="52" s="1"/>
  <c r="AS112" i="52"/>
  <c r="AS113" i="52" s="1"/>
  <c r="T113" i="52" s="1"/>
  <c r="AQ112" i="52"/>
  <c r="AQ113" i="52" s="1"/>
  <c r="R113" i="52" s="1"/>
  <c r="AO112" i="52"/>
  <c r="P112" i="52" s="1"/>
  <c r="AM112" i="52"/>
  <c r="N112" i="52" s="1"/>
  <c r="AK112" i="52"/>
  <c r="AI112" i="52"/>
  <c r="AI113" i="52" s="1"/>
  <c r="J113" i="52" s="1"/>
  <c r="AG112" i="52"/>
  <c r="AE112" i="52"/>
  <c r="AC112" i="52"/>
  <c r="AS82" i="52"/>
  <c r="T82" i="52" s="1"/>
  <c r="AQ82" i="52"/>
  <c r="R82" i="52" s="1"/>
  <c r="AO82" i="52"/>
  <c r="P82" i="52" s="1"/>
  <c r="AM82" i="52"/>
  <c r="AM83" i="52" s="1"/>
  <c r="N83" i="52" s="1"/>
  <c r="AK82" i="52"/>
  <c r="AI82" i="52"/>
  <c r="J82" i="52" s="1"/>
  <c r="AG82" i="52"/>
  <c r="H82" i="52" s="1"/>
  <c r="AE82" i="52"/>
  <c r="AC82" i="52"/>
  <c r="AC83" i="52" s="1"/>
  <c r="D83" i="52" s="1"/>
  <c r="AS52" i="52"/>
  <c r="AQ52" i="52"/>
  <c r="AQ55" i="52" s="1"/>
  <c r="AO52" i="52"/>
  <c r="P52" i="52" s="1"/>
  <c r="AM52" i="52"/>
  <c r="N52" i="52" s="1"/>
  <c r="AK52" i="52"/>
  <c r="AI52" i="52"/>
  <c r="AG52" i="52"/>
  <c r="AE52" i="52"/>
  <c r="AC52" i="52"/>
  <c r="AC53" i="52" s="1"/>
  <c r="D53" i="52" s="1"/>
  <c r="U299" i="53"/>
  <c r="S299" i="53"/>
  <c r="Q299" i="53"/>
  <c r="O299" i="53"/>
  <c r="M299" i="53"/>
  <c r="K299" i="53"/>
  <c r="I299" i="53"/>
  <c r="G299" i="53"/>
  <c r="E299" i="53"/>
  <c r="C299" i="53"/>
  <c r="B299" i="53"/>
  <c r="U298" i="53"/>
  <c r="S298" i="53"/>
  <c r="Q298" i="53"/>
  <c r="O298" i="53"/>
  <c r="M298" i="53"/>
  <c r="K298" i="53"/>
  <c r="I298" i="53"/>
  <c r="G298" i="53"/>
  <c r="E298" i="53"/>
  <c r="C298" i="53"/>
  <c r="B298" i="53"/>
  <c r="U297" i="53"/>
  <c r="S297" i="53"/>
  <c r="Q297" i="53"/>
  <c r="O297" i="53"/>
  <c r="M297" i="53"/>
  <c r="K297" i="53"/>
  <c r="I297" i="53"/>
  <c r="G297" i="53"/>
  <c r="E297" i="53"/>
  <c r="C297" i="53"/>
  <c r="B297" i="53"/>
  <c r="U296" i="53"/>
  <c r="S296" i="53"/>
  <c r="Q296" i="53"/>
  <c r="O296" i="53"/>
  <c r="M296" i="53"/>
  <c r="K296" i="53"/>
  <c r="I296" i="53"/>
  <c r="G296" i="53"/>
  <c r="E296" i="53"/>
  <c r="C296" i="53"/>
  <c r="B296" i="53"/>
  <c r="U295" i="53"/>
  <c r="S295" i="53"/>
  <c r="Q295" i="53"/>
  <c r="O295" i="53"/>
  <c r="M295" i="53"/>
  <c r="K295" i="53"/>
  <c r="I295" i="53"/>
  <c r="G295" i="53"/>
  <c r="E295" i="53"/>
  <c r="C295" i="53"/>
  <c r="B295" i="53"/>
  <c r="U294" i="53"/>
  <c r="T294" i="53"/>
  <c r="S294" i="53"/>
  <c r="R294" i="53"/>
  <c r="Q294" i="53"/>
  <c r="P294" i="53"/>
  <c r="O294" i="53"/>
  <c r="N294" i="53"/>
  <c r="M294" i="53"/>
  <c r="L294" i="53"/>
  <c r="K294" i="53"/>
  <c r="J294" i="53"/>
  <c r="I294" i="53"/>
  <c r="H294" i="53"/>
  <c r="G294" i="53"/>
  <c r="F294" i="53"/>
  <c r="E294" i="53"/>
  <c r="D294" i="53"/>
  <c r="C294" i="53"/>
  <c r="B294" i="53"/>
  <c r="U293" i="53"/>
  <c r="S293" i="53"/>
  <c r="Q293" i="53"/>
  <c r="O293" i="53"/>
  <c r="M293" i="53"/>
  <c r="K293" i="53"/>
  <c r="I293" i="53"/>
  <c r="G293" i="53"/>
  <c r="E293" i="53"/>
  <c r="C293" i="53"/>
  <c r="B293" i="53"/>
  <c r="U292" i="53"/>
  <c r="S292" i="53"/>
  <c r="Q292" i="53"/>
  <c r="O292" i="53"/>
  <c r="M292" i="53"/>
  <c r="K292" i="53"/>
  <c r="I292" i="53"/>
  <c r="G292" i="53"/>
  <c r="E292" i="53"/>
  <c r="C292" i="53"/>
  <c r="B292" i="53"/>
  <c r="V290" i="53"/>
  <c r="T290" i="53"/>
  <c r="R290" i="53"/>
  <c r="P290" i="53"/>
  <c r="N290" i="53"/>
  <c r="L290" i="53"/>
  <c r="J290" i="53"/>
  <c r="H290" i="53"/>
  <c r="F290" i="53"/>
  <c r="D290" i="53"/>
  <c r="C290" i="53"/>
  <c r="B290" i="53"/>
  <c r="R289" i="53"/>
  <c r="J289" i="53"/>
  <c r="C289" i="53"/>
  <c r="B289" i="53"/>
  <c r="T288" i="53"/>
  <c r="R288" i="53"/>
  <c r="P288" i="53"/>
  <c r="N288" i="53"/>
  <c r="L288" i="53"/>
  <c r="J288" i="53"/>
  <c r="H288" i="53"/>
  <c r="F288" i="53"/>
  <c r="D288" i="53"/>
  <c r="C288" i="53"/>
  <c r="T287" i="53"/>
  <c r="R287" i="53"/>
  <c r="P287" i="53"/>
  <c r="N287" i="53"/>
  <c r="L287" i="53"/>
  <c r="J287" i="53"/>
  <c r="H287" i="53"/>
  <c r="F287" i="53"/>
  <c r="D287" i="53"/>
  <c r="C287" i="53"/>
  <c r="T286" i="53"/>
  <c r="R286" i="53"/>
  <c r="P286" i="53"/>
  <c r="N286" i="53"/>
  <c r="L286" i="53"/>
  <c r="J286" i="53"/>
  <c r="H286" i="53"/>
  <c r="F286" i="53"/>
  <c r="D286" i="53"/>
  <c r="C286" i="53"/>
  <c r="V285" i="53"/>
  <c r="T285" i="53"/>
  <c r="R285" i="53"/>
  <c r="P285" i="53"/>
  <c r="N285" i="53"/>
  <c r="L285" i="53"/>
  <c r="J285" i="53"/>
  <c r="H285" i="53"/>
  <c r="F285" i="53"/>
  <c r="D285" i="53"/>
  <c r="C285" i="53"/>
  <c r="T284" i="53"/>
  <c r="R284" i="53"/>
  <c r="P284" i="53"/>
  <c r="N284" i="53"/>
  <c r="L284" i="53"/>
  <c r="J284" i="53"/>
  <c r="H284" i="53"/>
  <c r="F284" i="53"/>
  <c r="D284" i="53"/>
  <c r="C284" i="53"/>
  <c r="T283" i="53"/>
  <c r="R283" i="53"/>
  <c r="P283" i="53"/>
  <c r="N283" i="53"/>
  <c r="L283" i="53"/>
  <c r="J283" i="53"/>
  <c r="H283" i="53"/>
  <c r="F283" i="53"/>
  <c r="D283" i="53"/>
  <c r="C283" i="53"/>
  <c r="T282" i="53"/>
  <c r="R282" i="53"/>
  <c r="P282" i="53"/>
  <c r="N282" i="53"/>
  <c r="L282" i="53"/>
  <c r="J282" i="53"/>
  <c r="H282" i="53"/>
  <c r="F282" i="53"/>
  <c r="D282" i="53"/>
  <c r="C282" i="53"/>
  <c r="V281" i="53"/>
  <c r="T281" i="53"/>
  <c r="R281" i="53"/>
  <c r="P281" i="53"/>
  <c r="N281" i="53"/>
  <c r="L281" i="53"/>
  <c r="J281" i="53"/>
  <c r="H281" i="53"/>
  <c r="F281" i="53"/>
  <c r="D281" i="53"/>
  <c r="C281" i="53"/>
  <c r="V280" i="53"/>
  <c r="T280" i="53"/>
  <c r="R280" i="53"/>
  <c r="P280" i="53"/>
  <c r="N280" i="53"/>
  <c r="L280" i="53"/>
  <c r="J280" i="53"/>
  <c r="H280" i="53"/>
  <c r="F280" i="53"/>
  <c r="D280" i="53"/>
  <c r="C280" i="53"/>
  <c r="T279" i="53"/>
  <c r="R279" i="53"/>
  <c r="P279" i="53"/>
  <c r="N279" i="53"/>
  <c r="L279" i="53"/>
  <c r="J279" i="53"/>
  <c r="H279" i="53"/>
  <c r="F279" i="53"/>
  <c r="D279" i="53"/>
  <c r="C279" i="53"/>
  <c r="V278" i="53"/>
  <c r="T278" i="53"/>
  <c r="R278" i="53"/>
  <c r="P278" i="53"/>
  <c r="N278" i="53"/>
  <c r="L278" i="53"/>
  <c r="J278" i="53"/>
  <c r="H278" i="53"/>
  <c r="F278" i="53"/>
  <c r="D278" i="53"/>
  <c r="C278" i="53"/>
  <c r="T277" i="53"/>
  <c r="R277" i="53"/>
  <c r="P277" i="53"/>
  <c r="N277" i="53"/>
  <c r="L277" i="53"/>
  <c r="J277" i="53"/>
  <c r="H277" i="53"/>
  <c r="F277" i="53"/>
  <c r="D277" i="53"/>
  <c r="C277" i="53"/>
  <c r="T272" i="53"/>
  <c r="B272" i="53"/>
  <c r="B273" i="53" s="1"/>
  <c r="D271" i="53"/>
  <c r="B271" i="53"/>
  <c r="U269" i="53"/>
  <c r="S269" i="53"/>
  <c r="Q269" i="53"/>
  <c r="O269" i="53"/>
  <c r="M269" i="53"/>
  <c r="K269" i="53"/>
  <c r="I269" i="53"/>
  <c r="G269" i="53"/>
  <c r="E269" i="53"/>
  <c r="C269" i="53"/>
  <c r="B269" i="53"/>
  <c r="U268" i="53"/>
  <c r="S268" i="53"/>
  <c r="Q268" i="53"/>
  <c r="O268" i="53"/>
  <c r="M268" i="53"/>
  <c r="K268" i="53"/>
  <c r="I268" i="53"/>
  <c r="G268" i="53"/>
  <c r="E268" i="53"/>
  <c r="C268" i="53"/>
  <c r="B268" i="53"/>
  <c r="U267" i="53"/>
  <c r="S267" i="53"/>
  <c r="Q267" i="53"/>
  <c r="O267" i="53"/>
  <c r="M267" i="53"/>
  <c r="K267" i="53"/>
  <c r="I267" i="53"/>
  <c r="G267" i="53"/>
  <c r="E267" i="53"/>
  <c r="C267" i="53"/>
  <c r="B267" i="53"/>
  <c r="U266" i="53"/>
  <c r="S266" i="53"/>
  <c r="Q266" i="53"/>
  <c r="O266" i="53"/>
  <c r="M266" i="53"/>
  <c r="K266" i="53"/>
  <c r="I266" i="53"/>
  <c r="G266" i="53"/>
  <c r="E266" i="53"/>
  <c r="C266" i="53"/>
  <c r="B266" i="53"/>
  <c r="U265" i="53"/>
  <c r="S265" i="53"/>
  <c r="Q265" i="53"/>
  <c r="O265" i="53"/>
  <c r="M265" i="53"/>
  <c r="K265" i="53"/>
  <c r="I265" i="53"/>
  <c r="G265" i="53"/>
  <c r="E265" i="53"/>
  <c r="C265" i="53"/>
  <c r="B265" i="53"/>
  <c r="U264" i="53"/>
  <c r="T264" i="53"/>
  <c r="S264" i="53"/>
  <c r="R264" i="53"/>
  <c r="Q264" i="53"/>
  <c r="P264" i="53"/>
  <c r="O264" i="53"/>
  <c r="N264" i="53"/>
  <c r="M264" i="53"/>
  <c r="L264" i="53"/>
  <c r="K264" i="53"/>
  <c r="J264" i="53"/>
  <c r="I264" i="53"/>
  <c r="H264" i="53"/>
  <c r="G264" i="53"/>
  <c r="F264" i="53"/>
  <c r="E264" i="53"/>
  <c r="D264" i="53"/>
  <c r="C264" i="53"/>
  <c r="B264" i="53"/>
  <c r="U263" i="53"/>
  <c r="S263" i="53"/>
  <c r="Q263" i="53"/>
  <c r="O263" i="53"/>
  <c r="M263" i="53"/>
  <c r="K263" i="53"/>
  <c r="I263" i="53"/>
  <c r="G263" i="53"/>
  <c r="E263" i="53"/>
  <c r="C263" i="53"/>
  <c r="B263" i="53"/>
  <c r="U262" i="53"/>
  <c r="S262" i="53"/>
  <c r="Q262" i="53"/>
  <c r="O262" i="53"/>
  <c r="M262" i="53"/>
  <c r="K262" i="53"/>
  <c r="I262" i="53"/>
  <c r="G262" i="53"/>
  <c r="E262" i="53"/>
  <c r="C262" i="53"/>
  <c r="B262" i="53"/>
  <c r="V260" i="53"/>
  <c r="T260" i="53"/>
  <c r="R260" i="53"/>
  <c r="P260" i="53"/>
  <c r="N260" i="53"/>
  <c r="L260" i="53"/>
  <c r="J260" i="53"/>
  <c r="H260" i="53"/>
  <c r="F260" i="53"/>
  <c r="D260" i="53"/>
  <c r="C260" i="53"/>
  <c r="B260" i="53"/>
  <c r="C259" i="53"/>
  <c r="B259" i="53"/>
  <c r="V258" i="53"/>
  <c r="T258" i="53"/>
  <c r="R258" i="53"/>
  <c r="P258" i="53"/>
  <c r="N258" i="53"/>
  <c r="L258" i="53"/>
  <c r="J258" i="53"/>
  <c r="H258" i="53"/>
  <c r="F258" i="53"/>
  <c r="D258" i="53"/>
  <c r="C258" i="53"/>
  <c r="T257" i="53"/>
  <c r="R257" i="53"/>
  <c r="P257" i="53"/>
  <c r="N257" i="53"/>
  <c r="L257" i="53"/>
  <c r="J257" i="53"/>
  <c r="H257" i="53"/>
  <c r="F257" i="53"/>
  <c r="D257" i="53"/>
  <c r="C257" i="53"/>
  <c r="T256" i="53"/>
  <c r="R256" i="53"/>
  <c r="P256" i="53"/>
  <c r="N256" i="53"/>
  <c r="L256" i="53"/>
  <c r="J256" i="53"/>
  <c r="H256" i="53"/>
  <c r="F256" i="53"/>
  <c r="D256" i="53"/>
  <c r="C256" i="53"/>
  <c r="T255" i="53"/>
  <c r="R255" i="53"/>
  <c r="P255" i="53"/>
  <c r="N255" i="53"/>
  <c r="L255" i="53"/>
  <c r="J255" i="53"/>
  <c r="H255" i="53"/>
  <c r="F255" i="53"/>
  <c r="D255" i="53"/>
  <c r="C255" i="53"/>
  <c r="V254" i="53"/>
  <c r="T254" i="53"/>
  <c r="R254" i="53"/>
  <c r="P254" i="53"/>
  <c r="N254" i="53"/>
  <c r="L254" i="53"/>
  <c r="J254" i="53"/>
  <c r="H254" i="53"/>
  <c r="F254" i="53"/>
  <c r="D254" i="53"/>
  <c r="C254" i="53"/>
  <c r="T253" i="53"/>
  <c r="R253" i="53"/>
  <c r="P253" i="53"/>
  <c r="N253" i="53"/>
  <c r="L253" i="53"/>
  <c r="J253" i="53"/>
  <c r="H253" i="53"/>
  <c r="F253" i="53"/>
  <c r="D253" i="53"/>
  <c r="C253" i="53"/>
  <c r="V252" i="53"/>
  <c r="T252" i="53"/>
  <c r="R252" i="53"/>
  <c r="P252" i="53"/>
  <c r="N252" i="53"/>
  <c r="L252" i="53"/>
  <c r="J252" i="53"/>
  <c r="H252" i="53"/>
  <c r="F252" i="53"/>
  <c r="D252" i="53"/>
  <c r="C252" i="53"/>
  <c r="T251" i="53"/>
  <c r="R251" i="53"/>
  <c r="P251" i="53"/>
  <c r="N251" i="53"/>
  <c r="L251" i="53"/>
  <c r="J251" i="53"/>
  <c r="H251" i="53"/>
  <c r="F251" i="53"/>
  <c r="D251" i="53"/>
  <c r="C251" i="53"/>
  <c r="T250" i="53"/>
  <c r="R250" i="53"/>
  <c r="P250" i="53"/>
  <c r="N250" i="53"/>
  <c r="L250" i="53"/>
  <c r="J250" i="53"/>
  <c r="H250" i="53"/>
  <c r="F250" i="53"/>
  <c r="D250" i="53"/>
  <c r="C250" i="53"/>
  <c r="T249" i="53"/>
  <c r="R249" i="53"/>
  <c r="P249" i="53"/>
  <c r="N249" i="53"/>
  <c r="L249" i="53"/>
  <c r="J249" i="53"/>
  <c r="H249" i="53"/>
  <c r="F249" i="53"/>
  <c r="D249" i="53"/>
  <c r="C249" i="53"/>
  <c r="T248" i="53"/>
  <c r="R248" i="53"/>
  <c r="P248" i="53"/>
  <c r="N248" i="53"/>
  <c r="L248" i="53"/>
  <c r="J248" i="53"/>
  <c r="H248" i="53"/>
  <c r="F248" i="53"/>
  <c r="D248" i="53"/>
  <c r="C248" i="53"/>
  <c r="V247" i="53"/>
  <c r="T247" i="53"/>
  <c r="R247" i="53"/>
  <c r="P247" i="53"/>
  <c r="N247" i="53"/>
  <c r="L247" i="53"/>
  <c r="J247" i="53"/>
  <c r="H247" i="53"/>
  <c r="F247" i="53"/>
  <c r="D247" i="53"/>
  <c r="C247" i="53"/>
  <c r="T242" i="53"/>
  <c r="B242" i="53"/>
  <c r="B243" i="53" s="1"/>
  <c r="D241" i="53"/>
  <c r="B241" i="53"/>
  <c r="U239" i="53"/>
  <c r="S239" i="53"/>
  <c r="Q239" i="53"/>
  <c r="O239" i="53"/>
  <c r="M239" i="53"/>
  <c r="K239" i="53"/>
  <c r="I239" i="53"/>
  <c r="G239" i="53"/>
  <c r="E239" i="53"/>
  <c r="C239" i="53"/>
  <c r="B239" i="53"/>
  <c r="U238" i="53"/>
  <c r="S238" i="53"/>
  <c r="Q238" i="53"/>
  <c r="O238" i="53"/>
  <c r="M238" i="53"/>
  <c r="K238" i="53"/>
  <c r="I238" i="53"/>
  <c r="G238" i="53"/>
  <c r="E238" i="53"/>
  <c r="C238" i="53"/>
  <c r="B238" i="53"/>
  <c r="U237" i="53"/>
  <c r="S237" i="53"/>
  <c r="Q237" i="53"/>
  <c r="O237" i="53"/>
  <c r="M237" i="53"/>
  <c r="K237" i="53"/>
  <c r="I237" i="53"/>
  <c r="G237" i="53"/>
  <c r="E237" i="53"/>
  <c r="C237" i="53"/>
  <c r="B237" i="53"/>
  <c r="U236" i="53"/>
  <c r="S236" i="53"/>
  <c r="Q236" i="53"/>
  <c r="O236" i="53"/>
  <c r="M236" i="53"/>
  <c r="K236" i="53"/>
  <c r="I236" i="53"/>
  <c r="G236" i="53"/>
  <c r="E236" i="53"/>
  <c r="C236" i="53"/>
  <c r="B236" i="53"/>
  <c r="U235" i="53"/>
  <c r="S235" i="53"/>
  <c r="Q235" i="53"/>
  <c r="O235" i="53"/>
  <c r="M235" i="53"/>
  <c r="K235" i="53"/>
  <c r="I235" i="53"/>
  <c r="G235" i="53"/>
  <c r="E235" i="53"/>
  <c r="C235" i="53"/>
  <c r="B235" i="53"/>
  <c r="U234" i="53"/>
  <c r="T234" i="53"/>
  <c r="S234" i="53"/>
  <c r="R234" i="53"/>
  <c r="Q234" i="53"/>
  <c r="P234" i="53"/>
  <c r="O234" i="53"/>
  <c r="N234" i="53"/>
  <c r="M234" i="53"/>
  <c r="L234" i="53"/>
  <c r="K234" i="53"/>
  <c r="J234" i="53"/>
  <c r="I234" i="53"/>
  <c r="H234" i="53"/>
  <c r="G234" i="53"/>
  <c r="F234" i="53"/>
  <c r="E234" i="53"/>
  <c r="D234" i="53"/>
  <c r="C234" i="53"/>
  <c r="B234" i="53"/>
  <c r="U233" i="53"/>
  <c r="S233" i="53"/>
  <c r="Q233" i="53"/>
  <c r="O233" i="53"/>
  <c r="M233" i="53"/>
  <c r="K233" i="53"/>
  <c r="I233" i="53"/>
  <c r="G233" i="53"/>
  <c r="E233" i="53"/>
  <c r="C233" i="53"/>
  <c r="B233" i="53"/>
  <c r="U232" i="53"/>
  <c r="S232" i="53"/>
  <c r="Q232" i="53"/>
  <c r="O232" i="53"/>
  <c r="M232" i="53"/>
  <c r="K232" i="53"/>
  <c r="I232" i="53"/>
  <c r="G232" i="53"/>
  <c r="E232" i="53"/>
  <c r="C232" i="53"/>
  <c r="B232" i="53"/>
  <c r="V230" i="53"/>
  <c r="T230" i="53"/>
  <c r="R230" i="53"/>
  <c r="P230" i="53"/>
  <c r="N230" i="53"/>
  <c r="L230" i="53"/>
  <c r="J230" i="53"/>
  <c r="H230" i="53"/>
  <c r="F230" i="53"/>
  <c r="D230" i="53"/>
  <c r="C230" i="53"/>
  <c r="B230" i="53"/>
  <c r="D229" i="53"/>
  <c r="C229" i="53"/>
  <c r="B229" i="53"/>
  <c r="T228" i="53"/>
  <c r="R228" i="53"/>
  <c r="P228" i="53"/>
  <c r="N228" i="53"/>
  <c r="L228" i="53"/>
  <c r="J228" i="53"/>
  <c r="H228" i="53"/>
  <c r="F228" i="53"/>
  <c r="D228" i="53"/>
  <c r="C228" i="53"/>
  <c r="V227" i="53"/>
  <c r="T227" i="53"/>
  <c r="R227" i="53"/>
  <c r="P227" i="53"/>
  <c r="N227" i="53"/>
  <c r="L227" i="53"/>
  <c r="J227" i="53"/>
  <c r="H227" i="53"/>
  <c r="F227" i="53"/>
  <c r="D227" i="53"/>
  <c r="C227" i="53"/>
  <c r="T226" i="53"/>
  <c r="R226" i="53"/>
  <c r="P226" i="53"/>
  <c r="N226" i="53"/>
  <c r="L226" i="53"/>
  <c r="J226" i="53"/>
  <c r="H226" i="53"/>
  <c r="F226" i="53"/>
  <c r="D226" i="53"/>
  <c r="C226" i="53"/>
  <c r="V225" i="53"/>
  <c r="T225" i="53"/>
  <c r="R225" i="53"/>
  <c r="P225" i="53"/>
  <c r="N225" i="53"/>
  <c r="L225" i="53"/>
  <c r="J225" i="53"/>
  <c r="H225" i="53"/>
  <c r="F225" i="53"/>
  <c r="D225" i="53"/>
  <c r="C225" i="53"/>
  <c r="V224" i="53"/>
  <c r="T224" i="53"/>
  <c r="R224" i="53"/>
  <c r="P224" i="53"/>
  <c r="N224" i="53"/>
  <c r="L224" i="53"/>
  <c r="J224" i="53"/>
  <c r="H224" i="53"/>
  <c r="F224" i="53"/>
  <c r="D224" i="53"/>
  <c r="C224" i="53"/>
  <c r="T223" i="53"/>
  <c r="R223" i="53"/>
  <c r="P223" i="53"/>
  <c r="N223" i="53"/>
  <c r="L223" i="53"/>
  <c r="J223" i="53"/>
  <c r="H223" i="53"/>
  <c r="F223" i="53"/>
  <c r="D223" i="53"/>
  <c r="C223" i="53"/>
  <c r="V222" i="53"/>
  <c r="T222" i="53"/>
  <c r="R222" i="53"/>
  <c r="P222" i="53"/>
  <c r="N222" i="53"/>
  <c r="L222" i="53"/>
  <c r="J222" i="53"/>
  <c r="H222" i="53"/>
  <c r="F222" i="53"/>
  <c r="D222" i="53"/>
  <c r="C222" i="53"/>
  <c r="V221" i="53"/>
  <c r="T221" i="53"/>
  <c r="R221" i="53"/>
  <c r="P221" i="53"/>
  <c r="N221" i="53"/>
  <c r="L221" i="53"/>
  <c r="J221" i="53"/>
  <c r="H221" i="53"/>
  <c r="F221" i="53"/>
  <c r="D221" i="53"/>
  <c r="C221" i="53"/>
  <c r="T220" i="53"/>
  <c r="R220" i="53"/>
  <c r="P220" i="53"/>
  <c r="N220" i="53"/>
  <c r="L220" i="53"/>
  <c r="J220" i="53"/>
  <c r="H220" i="53"/>
  <c r="F220" i="53"/>
  <c r="D220" i="53"/>
  <c r="C220" i="53"/>
  <c r="T219" i="53"/>
  <c r="R219" i="53"/>
  <c r="P219" i="53"/>
  <c r="N219" i="53"/>
  <c r="L219" i="53"/>
  <c r="J219" i="53"/>
  <c r="H219" i="53"/>
  <c r="F219" i="53"/>
  <c r="D219" i="53"/>
  <c r="C219" i="53"/>
  <c r="V218" i="53"/>
  <c r="T218" i="53"/>
  <c r="R218" i="53"/>
  <c r="P218" i="53"/>
  <c r="N218" i="53"/>
  <c r="L218" i="53"/>
  <c r="J218" i="53"/>
  <c r="H218" i="53"/>
  <c r="F218" i="53"/>
  <c r="D218" i="53"/>
  <c r="C218" i="53"/>
  <c r="T217" i="53"/>
  <c r="R217" i="53"/>
  <c r="P217" i="53"/>
  <c r="N217" i="53"/>
  <c r="L217" i="53"/>
  <c r="J217" i="53"/>
  <c r="H217" i="53"/>
  <c r="F217" i="53"/>
  <c r="D217" i="53"/>
  <c r="C217" i="53"/>
  <c r="T212" i="53"/>
  <c r="B212" i="53"/>
  <c r="B213" i="53" s="1"/>
  <c r="D211" i="53"/>
  <c r="B211" i="53"/>
  <c r="U209" i="53"/>
  <c r="S209" i="53"/>
  <c r="Q209" i="53"/>
  <c r="O209" i="53"/>
  <c r="M209" i="53"/>
  <c r="K209" i="53"/>
  <c r="I209" i="53"/>
  <c r="G209" i="53"/>
  <c r="E209" i="53"/>
  <c r="C209" i="53"/>
  <c r="B209" i="53"/>
  <c r="U208" i="53"/>
  <c r="S208" i="53"/>
  <c r="Q208" i="53"/>
  <c r="O208" i="53"/>
  <c r="M208" i="53"/>
  <c r="K208" i="53"/>
  <c r="I208" i="53"/>
  <c r="G208" i="53"/>
  <c r="E208" i="53"/>
  <c r="C208" i="53"/>
  <c r="B208" i="53"/>
  <c r="U207" i="53"/>
  <c r="S207" i="53"/>
  <c r="Q207" i="53"/>
  <c r="O207" i="53"/>
  <c r="M207" i="53"/>
  <c r="K207" i="53"/>
  <c r="I207" i="53"/>
  <c r="G207" i="53"/>
  <c r="E207" i="53"/>
  <c r="C207" i="53"/>
  <c r="B207" i="53"/>
  <c r="U206" i="53"/>
  <c r="S206" i="53"/>
  <c r="Q206" i="53"/>
  <c r="O206" i="53"/>
  <c r="M206" i="53"/>
  <c r="K206" i="53"/>
  <c r="I206" i="53"/>
  <c r="G206" i="53"/>
  <c r="E206" i="53"/>
  <c r="C206" i="53"/>
  <c r="B206" i="53"/>
  <c r="U205" i="53"/>
  <c r="S205" i="53"/>
  <c r="Q205" i="53"/>
  <c r="O205" i="53"/>
  <c r="M205" i="53"/>
  <c r="K205" i="53"/>
  <c r="I205" i="53"/>
  <c r="G205" i="53"/>
  <c r="E205" i="53"/>
  <c r="C205" i="53"/>
  <c r="B205" i="53"/>
  <c r="U204" i="53"/>
  <c r="T204" i="53"/>
  <c r="S204" i="53"/>
  <c r="R204" i="53"/>
  <c r="Q204" i="53"/>
  <c r="P204" i="53"/>
  <c r="O204" i="53"/>
  <c r="N204" i="53"/>
  <c r="M204" i="53"/>
  <c r="L204" i="53"/>
  <c r="K204" i="53"/>
  <c r="J204" i="53"/>
  <c r="I204" i="53"/>
  <c r="H204" i="53"/>
  <c r="G204" i="53"/>
  <c r="F204" i="53"/>
  <c r="E204" i="53"/>
  <c r="D204" i="53"/>
  <c r="C204" i="53"/>
  <c r="B204" i="53"/>
  <c r="U203" i="53"/>
  <c r="S203" i="53"/>
  <c r="Q203" i="53"/>
  <c r="O203" i="53"/>
  <c r="M203" i="53"/>
  <c r="K203" i="53"/>
  <c r="I203" i="53"/>
  <c r="G203" i="53"/>
  <c r="E203" i="53"/>
  <c r="C203" i="53"/>
  <c r="B203" i="53"/>
  <c r="U202" i="53"/>
  <c r="S202" i="53"/>
  <c r="Q202" i="53"/>
  <c r="O202" i="53"/>
  <c r="M202" i="53"/>
  <c r="K202" i="53"/>
  <c r="I202" i="53"/>
  <c r="G202" i="53"/>
  <c r="E202" i="53"/>
  <c r="C202" i="53"/>
  <c r="B202" i="53"/>
  <c r="V200" i="53"/>
  <c r="T200" i="53"/>
  <c r="R200" i="53"/>
  <c r="P200" i="53"/>
  <c r="N200" i="53"/>
  <c r="L200" i="53"/>
  <c r="J200" i="53"/>
  <c r="H200" i="53"/>
  <c r="F200" i="53"/>
  <c r="D200" i="53"/>
  <c r="C200" i="53"/>
  <c r="B200" i="53"/>
  <c r="C199" i="53"/>
  <c r="B199" i="53"/>
  <c r="T198" i="53"/>
  <c r="R198" i="53"/>
  <c r="P198" i="53"/>
  <c r="N198" i="53"/>
  <c r="L198" i="53"/>
  <c r="J198" i="53"/>
  <c r="H198" i="53"/>
  <c r="F198" i="53"/>
  <c r="D198" i="53"/>
  <c r="C198" i="53"/>
  <c r="T197" i="53"/>
  <c r="R197" i="53"/>
  <c r="P197" i="53"/>
  <c r="N197" i="53"/>
  <c r="L197" i="53"/>
  <c r="J197" i="53"/>
  <c r="H197" i="53"/>
  <c r="F197" i="53"/>
  <c r="D197" i="53"/>
  <c r="C197" i="53"/>
  <c r="T196" i="53"/>
  <c r="R196" i="53"/>
  <c r="P196" i="53"/>
  <c r="N196" i="53"/>
  <c r="L196" i="53"/>
  <c r="J196" i="53"/>
  <c r="H196" i="53"/>
  <c r="F196" i="53"/>
  <c r="D196" i="53"/>
  <c r="C196" i="53"/>
  <c r="T195" i="53"/>
  <c r="R195" i="53"/>
  <c r="P195" i="53"/>
  <c r="N195" i="53"/>
  <c r="L195" i="53"/>
  <c r="J195" i="53"/>
  <c r="H195" i="53"/>
  <c r="F195" i="53"/>
  <c r="D195" i="53"/>
  <c r="C195" i="53"/>
  <c r="T194" i="53"/>
  <c r="R194" i="53"/>
  <c r="P194" i="53"/>
  <c r="N194" i="53"/>
  <c r="L194" i="53"/>
  <c r="J194" i="53"/>
  <c r="H194" i="53"/>
  <c r="F194" i="53"/>
  <c r="D194" i="53"/>
  <c r="C194" i="53"/>
  <c r="T193" i="53"/>
  <c r="R193" i="53"/>
  <c r="P193" i="53"/>
  <c r="N193" i="53"/>
  <c r="L193" i="53"/>
  <c r="J193" i="53"/>
  <c r="H193" i="53"/>
  <c r="F193" i="53"/>
  <c r="D193" i="53"/>
  <c r="C193" i="53"/>
  <c r="T192" i="53"/>
  <c r="R192" i="53"/>
  <c r="P192" i="53"/>
  <c r="N192" i="53"/>
  <c r="L192" i="53"/>
  <c r="J192" i="53"/>
  <c r="H192" i="53"/>
  <c r="F192" i="53"/>
  <c r="D192" i="53"/>
  <c r="C192" i="53"/>
  <c r="V191" i="53"/>
  <c r="T191" i="53"/>
  <c r="R191" i="53"/>
  <c r="P191" i="53"/>
  <c r="N191" i="53"/>
  <c r="L191" i="53"/>
  <c r="J191" i="53"/>
  <c r="H191" i="53"/>
  <c r="F191" i="53"/>
  <c r="D191" i="53"/>
  <c r="C191" i="53"/>
  <c r="T190" i="53"/>
  <c r="R190" i="53"/>
  <c r="P190" i="53"/>
  <c r="N190" i="53"/>
  <c r="L190" i="53"/>
  <c r="J190" i="53"/>
  <c r="H190" i="53"/>
  <c r="F190" i="53"/>
  <c r="D190" i="53"/>
  <c r="C190" i="53"/>
  <c r="T189" i="53"/>
  <c r="R189" i="53"/>
  <c r="P189" i="53"/>
  <c r="N189" i="53"/>
  <c r="L189" i="53"/>
  <c r="J189" i="53"/>
  <c r="H189" i="53"/>
  <c r="F189" i="53"/>
  <c r="D189" i="53"/>
  <c r="C189" i="53"/>
  <c r="T188" i="53"/>
  <c r="R188" i="53"/>
  <c r="P188" i="53"/>
  <c r="N188" i="53"/>
  <c r="L188" i="53"/>
  <c r="J188" i="53"/>
  <c r="H188" i="53"/>
  <c r="F188" i="53"/>
  <c r="D188" i="53"/>
  <c r="C188" i="53"/>
  <c r="T187" i="53"/>
  <c r="R187" i="53"/>
  <c r="P187" i="53"/>
  <c r="N187" i="53"/>
  <c r="L187" i="53"/>
  <c r="J187" i="53"/>
  <c r="H187" i="53"/>
  <c r="F187" i="53"/>
  <c r="D187" i="53"/>
  <c r="C187" i="53"/>
  <c r="T182" i="53"/>
  <c r="B182" i="53"/>
  <c r="B183" i="53" s="1"/>
  <c r="D181" i="53"/>
  <c r="B181" i="53"/>
  <c r="U179" i="53"/>
  <c r="S179" i="53"/>
  <c r="Q179" i="53"/>
  <c r="O179" i="53"/>
  <c r="M179" i="53"/>
  <c r="K179" i="53"/>
  <c r="I179" i="53"/>
  <c r="G179" i="53"/>
  <c r="E179" i="53"/>
  <c r="C179" i="53"/>
  <c r="B179" i="53"/>
  <c r="U178" i="53"/>
  <c r="S178" i="53"/>
  <c r="Q178" i="53"/>
  <c r="O178" i="53"/>
  <c r="M178" i="53"/>
  <c r="K178" i="53"/>
  <c r="I178" i="53"/>
  <c r="G178" i="53"/>
  <c r="E178" i="53"/>
  <c r="C178" i="53"/>
  <c r="B178" i="53"/>
  <c r="U177" i="53"/>
  <c r="S177" i="53"/>
  <c r="Q177" i="53"/>
  <c r="O177" i="53"/>
  <c r="M177" i="53"/>
  <c r="K177" i="53"/>
  <c r="I177" i="53"/>
  <c r="G177" i="53"/>
  <c r="E177" i="53"/>
  <c r="C177" i="53"/>
  <c r="B177" i="53"/>
  <c r="U176" i="53"/>
  <c r="S176" i="53"/>
  <c r="Q176" i="53"/>
  <c r="O176" i="53"/>
  <c r="M176" i="53"/>
  <c r="K176" i="53"/>
  <c r="I176" i="53"/>
  <c r="G176" i="53"/>
  <c r="E176" i="53"/>
  <c r="C176" i="53"/>
  <c r="B176" i="53"/>
  <c r="U175" i="53"/>
  <c r="S175" i="53"/>
  <c r="Q175" i="53"/>
  <c r="O175" i="53"/>
  <c r="M175" i="53"/>
  <c r="K175" i="53"/>
  <c r="I175" i="53"/>
  <c r="G175" i="53"/>
  <c r="E175" i="53"/>
  <c r="C175" i="53"/>
  <c r="B175" i="53"/>
  <c r="U174" i="53"/>
  <c r="T174" i="53"/>
  <c r="S174" i="53"/>
  <c r="R174" i="53"/>
  <c r="Q174" i="53"/>
  <c r="P174" i="53"/>
  <c r="O174" i="53"/>
  <c r="N174" i="53"/>
  <c r="M174" i="53"/>
  <c r="L174" i="53"/>
  <c r="K174" i="53"/>
  <c r="J174" i="53"/>
  <c r="I174" i="53"/>
  <c r="H174" i="53"/>
  <c r="G174" i="53"/>
  <c r="F174" i="53"/>
  <c r="E174" i="53"/>
  <c r="D174" i="53"/>
  <c r="C174" i="53"/>
  <c r="B174" i="53"/>
  <c r="U173" i="53"/>
  <c r="S173" i="53"/>
  <c r="Q173" i="53"/>
  <c r="O173" i="53"/>
  <c r="M173" i="53"/>
  <c r="K173" i="53"/>
  <c r="I173" i="53"/>
  <c r="G173" i="53"/>
  <c r="E173" i="53"/>
  <c r="C173" i="53"/>
  <c r="B173" i="53"/>
  <c r="U172" i="53"/>
  <c r="S172" i="53"/>
  <c r="Q172" i="53"/>
  <c r="O172" i="53"/>
  <c r="M172" i="53"/>
  <c r="K172" i="53"/>
  <c r="I172" i="53"/>
  <c r="G172" i="53"/>
  <c r="E172" i="53"/>
  <c r="C172" i="53"/>
  <c r="B172" i="53"/>
  <c r="V170" i="53"/>
  <c r="T170" i="53"/>
  <c r="R170" i="53"/>
  <c r="P170" i="53"/>
  <c r="N170" i="53"/>
  <c r="L170" i="53"/>
  <c r="J170" i="53"/>
  <c r="H170" i="53"/>
  <c r="F170" i="53"/>
  <c r="D170" i="53"/>
  <c r="C170" i="53"/>
  <c r="B170" i="53"/>
  <c r="L169" i="53"/>
  <c r="C169" i="53"/>
  <c r="B169" i="53"/>
  <c r="T168" i="53"/>
  <c r="R168" i="53"/>
  <c r="P168" i="53"/>
  <c r="N168" i="53"/>
  <c r="L168" i="53"/>
  <c r="J168" i="53"/>
  <c r="H168" i="53"/>
  <c r="F168" i="53"/>
  <c r="D168" i="53"/>
  <c r="C168" i="53"/>
  <c r="V167" i="53"/>
  <c r="T167" i="53"/>
  <c r="R167" i="53"/>
  <c r="P167" i="53"/>
  <c r="N167" i="53"/>
  <c r="L167" i="53"/>
  <c r="J167" i="53"/>
  <c r="H167" i="53"/>
  <c r="F167" i="53"/>
  <c r="D167" i="53"/>
  <c r="C167" i="53"/>
  <c r="T166" i="53"/>
  <c r="R166" i="53"/>
  <c r="P166" i="53"/>
  <c r="N166" i="53"/>
  <c r="L166" i="53"/>
  <c r="J166" i="53"/>
  <c r="H166" i="53"/>
  <c r="F166" i="53"/>
  <c r="D166" i="53"/>
  <c r="C166" i="53"/>
  <c r="T165" i="53"/>
  <c r="R165" i="53"/>
  <c r="P165" i="53"/>
  <c r="N165" i="53"/>
  <c r="L165" i="53"/>
  <c r="J165" i="53"/>
  <c r="H165" i="53"/>
  <c r="F165" i="53"/>
  <c r="D165" i="53"/>
  <c r="C165" i="53"/>
  <c r="V164" i="53"/>
  <c r="T164" i="53"/>
  <c r="R164" i="53"/>
  <c r="P164" i="53"/>
  <c r="N164" i="53"/>
  <c r="L164" i="53"/>
  <c r="J164" i="53"/>
  <c r="H164" i="53"/>
  <c r="F164" i="53"/>
  <c r="D164" i="53"/>
  <c r="C164" i="53"/>
  <c r="T163" i="53"/>
  <c r="R163" i="53"/>
  <c r="P163" i="53"/>
  <c r="N163" i="53"/>
  <c r="L163" i="53"/>
  <c r="J163" i="53"/>
  <c r="H163" i="53"/>
  <c r="F163" i="53"/>
  <c r="D163" i="53"/>
  <c r="C163" i="53"/>
  <c r="T162" i="53"/>
  <c r="R162" i="53"/>
  <c r="P162" i="53"/>
  <c r="N162" i="53"/>
  <c r="L162" i="53"/>
  <c r="J162" i="53"/>
  <c r="H162" i="53"/>
  <c r="F162" i="53"/>
  <c r="D162" i="53"/>
  <c r="C162" i="53"/>
  <c r="T161" i="53"/>
  <c r="R161" i="53"/>
  <c r="P161" i="53"/>
  <c r="N161" i="53"/>
  <c r="L161" i="53"/>
  <c r="J161" i="53"/>
  <c r="H161" i="53"/>
  <c r="F161" i="53"/>
  <c r="D161" i="53"/>
  <c r="C161" i="53"/>
  <c r="T160" i="53"/>
  <c r="R160" i="53"/>
  <c r="P160" i="53"/>
  <c r="N160" i="53"/>
  <c r="L160" i="53"/>
  <c r="J160" i="53"/>
  <c r="H160" i="53"/>
  <c r="F160" i="53"/>
  <c r="D160" i="53"/>
  <c r="C160" i="53"/>
  <c r="T159" i="53"/>
  <c r="R159" i="53"/>
  <c r="P159" i="53"/>
  <c r="N159" i="53"/>
  <c r="L159" i="53"/>
  <c r="J159" i="53"/>
  <c r="H159" i="53"/>
  <c r="F159" i="53"/>
  <c r="D159" i="53"/>
  <c r="C159" i="53"/>
  <c r="V158" i="53"/>
  <c r="T158" i="53"/>
  <c r="R158" i="53"/>
  <c r="P158" i="53"/>
  <c r="N158" i="53"/>
  <c r="L158" i="53"/>
  <c r="J158" i="53"/>
  <c r="H158" i="53"/>
  <c r="F158" i="53"/>
  <c r="D158" i="53"/>
  <c r="C158" i="53"/>
  <c r="T157" i="53"/>
  <c r="R157" i="53"/>
  <c r="P157" i="53"/>
  <c r="N157" i="53"/>
  <c r="L157" i="53"/>
  <c r="J157" i="53"/>
  <c r="H157" i="53"/>
  <c r="F157" i="53"/>
  <c r="D157" i="53"/>
  <c r="C157" i="53"/>
  <c r="T152" i="53"/>
  <c r="B152" i="53"/>
  <c r="B153" i="53" s="1"/>
  <c r="D151" i="53"/>
  <c r="B151" i="53"/>
  <c r="U149" i="53"/>
  <c r="S149" i="53"/>
  <c r="Q149" i="53"/>
  <c r="O149" i="53"/>
  <c r="M149" i="53"/>
  <c r="K149" i="53"/>
  <c r="I149" i="53"/>
  <c r="G149" i="53"/>
  <c r="E149" i="53"/>
  <c r="C149" i="53"/>
  <c r="B149" i="53"/>
  <c r="U148" i="53"/>
  <c r="S148" i="53"/>
  <c r="Q148" i="53"/>
  <c r="O148" i="53"/>
  <c r="M148" i="53"/>
  <c r="K148" i="53"/>
  <c r="I148" i="53"/>
  <c r="G148" i="53"/>
  <c r="E148" i="53"/>
  <c r="C148" i="53"/>
  <c r="B148" i="53"/>
  <c r="U147" i="53"/>
  <c r="S147" i="53"/>
  <c r="Q147" i="53"/>
  <c r="O147" i="53"/>
  <c r="M147" i="53"/>
  <c r="K147" i="53"/>
  <c r="I147" i="53"/>
  <c r="G147" i="53"/>
  <c r="E147" i="53"/>
  <c r="C147" i="53"/>
  <c r="B147" i="53"/>
  <c r="U146" i="53"/>
  <c r="S146" i="53"/>
  <c r="Q146" i="53"/>
  <c r="O146" i="53"/>
  <c r="M146" i="53"/>
  <c r="K146" i="53"/>
  <c r="I146" i="53"/>
  <c r="G146" i="53"/>
  <c r="E146" i="53"/>
  <c r="C146" i="53"/>
  <c r="B146" i="53"/>
  <c r="U145" i="53"/>
  <c r="S145" i="53"/>
  <c r="Q145" i="53"/>
  <c r="O145" i="53"/>
  <c r="M145" i="53"/>
  <c r="K145" i="53"/>
  <c r="I145" i="53"/>
  <c r="G145" i="53"/>
  <c r="E145" i="53"/>
  <c r="C145" i="53"/>
  <c r="B145" i="53"/>
  <c r="U144" i="53"/>
  <c r="T144" i="53"/>
  <c r="S144" i="53"/>
  <c r="R144" i="53"/>
  <c r="Q144" i="53"/>
  <c r="P144" i="53"/>
  <c r="O144" i="53"/>
  <c r="N144" i="53"/>
  <c r="M144" i="53"/>
  <c r="L144" i="53"/>
  <c r="K144" i="53"/>
  <c r="J144" i="53"/>
  <c r="I144" i="53"/>
  <c r="H144" i="53"/>
  <c r="G144" i="53"/>
  <c r="F144" i="53"/>
  <c r="E144" i="53"/>
  <c r="D144" i="53"/>
  <c r="C144" i="53"/>
  <c r="B144" i="53"/>
  <c r="U143" i="53"/>
  <c r="S143" i="53"/>
  <c r="Q143" i="53"/>
  <c r="O143" i="53"/>
  <c r="M143" i="53"/>
  <c r="K143" i="53"/>
  <c r="I143" i="53"/>
  <c r="G143" i="53"/>
  <c r="E143" i="53"/>
  <c r="C143" i="53"/>
  <c r="B143" i="53"/>
  <c r="U142" i="53"/>
  <c r="S142" i="53"/>
  <c r="Q142" i="53"/>
  <c r="O142" i="53"/>
  <c r="M142" i="53"/>
  <c r="K142" i="53"/>
  <c r="I142" i="53"/>
  <c r="G142" i="53"/>
  <c r="E142" i="53"/>
  <c r="C142" i="53"/>
  <c r="B142" i="53"/>
  <c r="V140" i="53"/>
  <c r="T140" i="53"/>
  <c r="R140" i="53"/>
  <c r="P140" i="53"/>
  <c r="N140" i="53"/>
  <c r="L140" i="53"/>
  <c r="J140" i="53"/>
  <c r="H140" i="53"/>
  <c r="F140" i="53"/>
  <c r="D140" i="53"/>
  <c r="C140" i="53"/>
  <c r="B140" i="53"/>
  <c r="L139" i="53"/>
  <c r="H139" i="53"/>
  <c r="C139" i="53"/>
  <c r="B139" i="53"/>
  <c r="T138" i="53"/>
  <c r="R138" i="53"/>
  <c r="P138" i="53"/>
  <c r="N138" i="53"/>
  <c r="L138" i="53"/>
  <c r="J138" i="53"/>
  <c r="H138" i="53"/>
  <c r="F138" i="53"/>
  <c r="D138" i="53"/>
  <c r="C138" i="53"/>
  <c r="V137" i="53"/>
  <c r="T137" i="53"/>
  <c r="R137" i="53"/>
  <c r="P137" i="53"/>
  <c r="N137" i="53"/>
  <c r="L137" i="53"/>
  <c r="J137" i="53"/>
  <c r="H137" i="53"/>
  <c r="F137" i="53"/>
  <c r="D137" i="53"/>
  <c r="C137" i="53"/>
  <c r="T136" i="53"/>
  <c r="R136" i="53"/>
  <c r="P136" i="53"/>
  <c r="N136" i="53"/>
  <c r="L136" i="53"/>
  <c r="J136" i="53"/>
  <c r="H136" i="53"/>
  <c r="F136" i="53"/>
  <c r="D136" i="53"/>
  <c r="C136" i="53"/>
  <c r="V135" i="53"/>
  <c r="T135" i="53"/>
  <c r="R135" i="53"/>
  <c r="P135" i="53"/>
  <c r="N135" i="53"/>
  <c r="L135" i="53"/>
  <c r="J135" i="53"/>
  <c r="H135" i="53"/>
  <c r="F135" i="53"/>
  <c r="D135" i="53"/>
  <c r="C135" i="53"/>
  <c r="V134" i="53"/>
  <c r="T134" i="53"/>
  <c r="R134" i="53"/>
  <c r="P134" i="53"/>
  <c r="N134" i="53"/>
  <c r="L134" i="53"/>
  <c r="J134" i="53"/>
  <c r="H134" i="53"/>
  <c r="F134" i="53"/>
  <c r="D134" i="53"/>
  <c r="C134" i="53"/>
  <c r="T133" i="53"/>
  <c r="R133" i="53"/>
  <c r="P133" i="53"/>
  <c r="N133" i="53"/>
  <c r="L133" i="53"/>
  <c r="J133" i="53"/>
  <c r="H133" i="53"/>
  <c r="F133" i="53"/>
  <c r="D133" i="53"/>
  <c r="C133" i="53"/>
  <c r="T132" i="53"/>
  <c r="R132" i="53"/>
  <c r="P132" i="53"/>
  <c r="N132" i="53"/>
  <c r="L132" i="53"/>
  <c r="J132" i="53"/>
  <c r="H132" i="53"/>
  <c r="F132" i="53"/>
  <c r="D132" i="53"/>
  <c r="C132" i="53"/>
  <c r="T131" i="53"/>
  <c r="R131" i="53"/>
  <c r="P131" i="53"/>
  <c r="N131" i="53"/>
  <c r="L131" i="53"/>
  <c r="J131" i="53"/>
  <c r="H131" i="53"/>
  <c r="F131" i="53"/>
  <c r="D131" i="53"/>
  <c r="C131" i="53"/>
  <c r="T130" i="53"/>
  <c r="R130" i="53"/>
  <c r="P130" i="53"/>
  <c r="N130" i="53"/>
  <c r="L130" i="53"/>
  <c r="J130" i="53"/>
  <c r="H130" i="53"/>
  <c r="F130" i="53"/>
  <c r="D130" i="53"/>
  <c r="C130" i="53"/>
  <c r="V129" i="53"/>
  <c r="T129" i="53"/>
  <c r="R129" i="53"/>
  <c r="P129" i="53"/>
  <c r="N129" i="53"/>
  <c r="L129" i="53"/>
  <c r="J129" i="53"/>
  <c r="H129" i="53"/>
  <c r="F129" i="53"/>
  <c r="D129" i="53"/>
  <c r="C129" i="53"/>
  <c r="T128" i="53"/>
  <c r="R128" i="53"/>
  <c r="P128" i="53"/>
  <c r="N128" i="53"/>
  <c r="L128" i="53"/>
  <c r="J128" i="53"/>
  <c r="H128" i="53"/>
  <c r="F128" i="53"/>
  <c r="D128" i="53"/>
  <c r="C128" i="53"/>
  <c r="T127" i="53"/>
  <c r="R127" i="53"/>
  <c r="P127" i="53"/>
  <c r="N127" i="53"/>
  <c r="L127" i="53"/>
  <c r="J127" i="53"/>
  <c r="H127" i="53"/>
  <c r="F127" i="53"/>
  <c r="D127" i="53"/>
  <c r="C127" i="53"/>
  <c r="T122" i="53"/>
  <c r="B122" i="53"/>
  <c r="B123" i="53" s="1"/>
  <c r="D121" i="53"/>
  <c r="B121" i="53"/>
  <c r="U119" i="53"/>
  <c r="S119" i="53"/>
  <c r="Q119" i="53"/>
  <c r="O119" i="53"/>
  <c r="M119" i="53"/>
  <c r="K119" i="53"/>
  <c r="I119" i="53"/>
  <c r="G119" i="53"/>
  <c r="E119" i="53"/>
  <c r="C119" i="53"/>
  <c r="B119" i="53"/>
  <c r="U118" i="53"/>
  <c r="S118" i="53"/>
  <c r="Q118" i="53"/>
  <c r="O118" i="53"/>
  <c r="M118" i="53"/>
  <c r="K118" i="53"/>
  <c r="I118" i="53"/>
  <c r="G118" i="53"/>
  <c r="E118" i="53"/>
  <c r="C118" i="53"/>
  <c r="B118" i="53"/>
  <c r="U117" i="53"/>
  <c r="S117" i="53"/>
  <c r="Q117" i="53"/>
  <c r="O117" i="53"/>
  <c r="M117" i="53"/>
  <c r="K117" i="53"/>
  <c r="I117" i="53"/>
  <c r="G117" i="53"/>
  <c r="E117" i="53"/>
  <c r="C117" i="53"/>
  <c r="B117" i="53"/>
  <c r="U116" i="53"/>
  <c r="S116" i="53"/>
  <c r="Q116" i="53"/>
  <c r="O116" i="53"/>
  <c r="M116" i="53"/>
  <c r="K116" i="53"/>
  <c r="I116" i="53"/>
  <c r="G116" i="53"/>
  <c r="E116" i="53"/>
  <c r="C116" i="53"/>
  <c r="B116" i="53"/>
  <c r="U115" i="53"/>
  <c r="S115" i="53"/>
  <c r="Q115" i="53"/>
  <c r="O115" i="53"/>
  <c r="M115" i="53"/>
  <c r="K115" i="53"/>
  <c r="I115" i="53"/>
  <c r="G115" i="53"/>
  <c r="E115" i="53"/>
  <c r="C115" i="53"/>
  <c r="B115" i="53"/>
  <c r="U114" i="53"/>
  <c r="T114" i="53"/>
  <c r="S114" i="53"/>
  <c r="R114" i="53"/>
  <c r="Q114" i="53"/>
  <c r="P114" i="53"/>
  <c r="O114" i="53"/>
  <c r="N114" i="53"/>
  <c r="M114" i="53"/>
  <c r="L114" i="53"/>
  <c r="K114" i="53"/>
  <c r="J114" i="53"/>
  <c r="I114" i="53"/>
  <c r="H114" i="53"/>
  <c r="G114" i="53"/>
  <c r="F114" i="53"/>
  <c r="E114" i="53"/>
  <c r="D114" i="53"/>
  <c r="C114" i="53"/>
  <c r="B114" i="53"/>
  <c r="U113" i="53"/>
  <c r="S113" i="53"/>
  <c r="Q113" i="53"/>
  <c r="O113" i="53"/>
  <c r="M113" i="53"/>
  <c r="K113" i="53"/>
  <c r="I113" i="53"/>
  <c r="G113" i="53"/>
  <c r="E113" i="53"/>
  <c r="C113" i="53"/>
  <c r="B113" i="53"/>
  <c r="U112" i="53"/>
  <c r="S112" i="53"/>
  <c r="Q112" i="53"/>
  <c r="O112" i="53"/>
  <c r="M112" i="53"/>
  <c r="K112" i="53"/>
  <c r="I112" i="53"/>
  <c r="G112" i="53"/>
  <c r="E112" i="53"/>
  <c r="C112" i="53"/>
  <c r="B112" i="53"/>
  <c r="V110" i="53"/>
  <c r="T110" i="53"/>
  <c r="R110" i="53"/>
  <c r="P110" i="53"/>
  <c r="N110" i="53"/>
  <c r="L110" i="53"/>
  <c r="J110" i="53"/>
  <c r="H110" i="53"/>
  <c r="F110" i="53"/>
  <c r="D110" i="53"/>
  <c r="C110" i="53"/>
  <c r="B110" i="53"/>
  <c r="T109" i="53"/>
  <c r="P109" i="53"/>
  <c r="C109" i="53"/>
  <c r="B109" i="53"/>
  <c r="T108" i="53"/>
  <c r="R108" i="53"/>
  <c r="P108" i="53"/>
  <c r="N108" i="53"/>
  <c r="L108" i="53"/>
  <c r="J108" i="53"/>
  <c r="H108" i="53"/>
  <c r="F108" i="53"/>
  <c r="D108" i="53"/>
  <c r="C108" i="53"/>
  <c r="T107" i="53"/>
  <c r="R107" i="53"/>
  <c r="P107" i="53"/>
  <c r="N107" i="53"/>
  <c r="L107" i="53"/>
  <c r="J107" i="53"/>
  <c r="H107" i="53"/>
  <c r="F107" i="53"/>
  <c r="D107" i="53"/>
  <c r="C107" i="53"/>
  <c r="T106" i="53"/>
  <c r="R106" i="53"/>
  <c r="P106" i="53"/>
  <c r="N106" i="53"/>
  <c r="L106" i="53"/>
  <c r="J106" i="53"/>
  <c r="H106" i="53"/>
  <c r="F106" i="53"/>
  <c r="D106" i="53"/>
  <c r="C106" i="53"/>
  <c r="T105" i="53"/>
  <c r="R105" i="53"/>
  <c r="P105" i="53"/>
  <c r="N105" i="53"/>
  <c r="L105" i="53"/>
  <c r="J105" i="53"/>
  <c r="H105" i="53"/>
  <c r="F105" i="53"/>
  <c r="D105" i="53"/>
  <c r="C105" i="53"/>
  <c r="T104" i="53"/>
  <c r="R104" i="53"/>
  <c r="P104" i="53"/>
  <c r="N104" i="53"/>
  <c r="L104" i="53"/>
  <c r="J104" i="53"/>
  <c r="H104" i="53"/>
  <c r="F104" i="53"/>
  <c r="D104" i="53"/>
  <c r="C104" i="53"/>
  <c r="T103" i="53"/>
  <c r="R103" i="53"/>
  <c r="P103" i="53"/>
  <c r="N103" i="53"/>
  <c r="L103" i="53"/>
  <c r="J103" i="53"/>
  <c r="H103" i="53"/>
  <c r="F103" i="53"/>
  <c r="D103" i="53"/>
  <c r="C103" i="53"/>
  <c r="V102" i="53"/>
  <c r="T102" i="53"/>
  <c r="R102" i="53"/>
  <c r="P102" i="53"/>
  <c r="N102" i="53"/>
  <c r="L102" i="53"/>
  <c r="J102" i="53"/>
  <c r="H102" i="53"/>
  <c r="F102" i="53"/>
  <c r="D102" i="53"/>
  <c r="C102" i="53"/>
  <c r="T101" i="53"/>
  <c r="R101" i="53"/>
  <c r="P101" i="53"/>
  <c r="N101" i="53"/>
  <c r="L101" i="53"/>
  <c r="J101" i="53"/>
  <c r="H101" i="53"/>
  <c r="F101" i="53"/>
  <c r="D101" i="53"/>
  <c r="C101" i="53"/>
  <c r="T100" i="53"/>
  <c r="R100" i="53"/>
  <c r="P100" i="53"/>
  <c r="N100" i="53"/>
  <c r="L100" i="53"/>
  <c r="J100" i="53"/>
  <c r="H100" i="53"/>
  <c r="F100" i="53"/>
  <c r="D100" i="53"/>
  <c r="C100" i="53"/>
  <c r="T99" i="53"/>
  <c r="R99" i="53"/>
  <c r="P99" i="53"/>
  <c r="N99" i="53"/>
  <c r="L99" i="53"/>
  <c r="J99" i="53"/>
  <c r="H99" i="53"/>
  <c r="F99" i="53"/>
  <c r="D99" i="53"/>
  <c r="C99" i="53"/>
  <c r="T98" i="53"/>
  <c r="R98" i="53"/>
  <c r="P98" i="53"/>
  <c r="N98" i="53"/>
  <c r="L98" i="53"/>
  <c r="J98" i="53"/>
  <c r="H98" i="53"/>
  <c r="F98" i="53"/>
  <c r="D98" i="53"/>
  <c r="C98" i="53"/>
  <c r="T97" i="53"/>
  <c r="R97" i="53"/>
  <c r="P97" i="53"/>
  <c r="N97" i="53"/>
  <c r="L97" i="53"/>
  <c r="J97" i="53"/>
  <c r="H97" i="53"/>
  <c r="F97" i="53"/>
  <c r="D97" i="53"/>
  <c r="C97" i="53"/>
  <c r="T92" i="53"/>
  <c r="B92" i="53"/>
  <c r="B93" i="53" s="1"/>
  <c r="D91" i="53"/>
  <c r="B91" i="53"/>
  <c r="U89" i="53"/>
  <c r="S89" i="53"/>
  <c r="Q89" i="53"/>
  <c r="O89" i="53"/>
  <c r="M89" i="53"/>
  <c r="K89" i="53"/>
  <c r="I89" i="53"/>
  <c r="G89" i="53"/>
  <c r="E89" i="53"/>
  <c r="C89" i="53"/>
  <c r="B89" i="53"/>
  <c r="U88" i="53"/>
  <c r="S88" i="53"/>
  <c r="Q88" i="53"/>
  <c r="O88" i="53"/>
  <c r="M88" i="53"/>
  <c r="K88" i="53"/>
  <c r="I88" i="53"/>
  <c r="G88" i="53"/>
  <c r="E88" i="53"/>
  <c r="C88" i="53"/>
  <c r="B88" i="53"/>
  <c r="U87" i="53"/>
  <c r="S87" i="53"/>
  <c r="Q87" i="53"/>
  <c r="O87" i="53"/>
  <c r="M87" i="53"/>
  <c r="K87" i="53"/>
  <c r="I87" i="53"/>
  <c r="G87" i="53"/>
  <c r="E87" i="53"/>
  <c r="C87" i="53"/>
  <c r="B87" i="53"/>
  <c r="U86" i="53"/>
  <c r="S86" i="53"/>
  <c r="Q86" i="53"/>
  <c r="O86" i="53"/>
  <c r="M86" i="53"/>
  <c r="K86" i="53"/>
  <c r="I86" i="53"/>
  <c r="G86" i="53"/>
  <c r="E86" i="53"/>
  <c r="C86" i="53"/>
  <c r="B86" i="53"/>
  <c r="U85" i="53"/>
  <c r="S85" i="53"/>
  <c r="Q85" i="53"/>
  <c r="O85" i="53"/>
  <c r="M85" i="53"/>
  <c r="K85" i="53"/>
  <c r="I85" i="53"/>
  <c r="G85" i="53"/>
  <c r="E85" i="53"/>
  <c r="C85" i="53"/>
  <c r="B85" i="53"/>
  <c r="U84" i="53"/>
  <c r="T84" i="53"/>
  <c r="S84" i="53"/>
  <c r="R84" i="53"/>
  <c r="Q84" i="53"/>
  <c r="P84" i="53"/>
  <c r="O84" i="53"/>
  <c r="N84" i="53"/>
  <c r="M84" i="53"/>
  <c r="L84" i="53"/>
  <c r="K84" i="53"/>
  <c r="J84" i="53"/>
  <c r="I84" i="53"/>
  <c r="H84" i="53"/>
  <c r="G84" i="53"/>
  <c r="F84" i="53"/>
  <c r="E84" i="53"/>
  <c r="D84" i="53"/>
  <c r="C84" i="53"/>
  <c r="B84" i="53"/>
  <c r="U83" i="53"/>
  <c r="S83" i="53"/>
  <c r="Q83" i="53"/>
  <c r="O83" i="53"/>
  <c r="M83" i="53"/>
  <c r="K83" i="53"/>
  <c r="I83" i="53"/>
  <c r="G83" i="53"/>
  <c r="E83" i="53"/>
  <c r="C83" i="53"/>
  <c r="B83" i="53"/>
  <c r="U82" i="53"/>
  <c r="S82" i="53"/>
  <c r="Q82" i="53"/>
  <c r="O82" i="53"/>
  <c r="M82" i="53"/>
  <c r="K82" i="53"/>
  <c r="I82" i="53"/>
  <c r="G82" i="53"/>
  <c r="E82" i="53"/>
  <c r="C82" i="53"/>
  <c r="B82" i="53"/>
  <c r="V80" i="53"/>
  <c r="T80" i="53"/>
  <c r="R80" i="53"/>
  <c r="P80" i="53"/>
  <c r="N80" i="53"/>
  <c r="L80" i="53"/>
  <c r="J80" i="53"/>
  <c r="H80" i="53"/>
  <c r="F80" i="53"/>
  <c r="D80" i="53"/>
  <c r="C80" i="53"/>
  <c r="B80" i="53"/>
  <c r="D79" i="53"/>
  <c r="C79" i="53"/>
  <c r="B79" i="53"/>
  <c r="V78" i="53"/>
  <c r="T78" i="53"/>
  <c r="R78" i="53"/>
  <c r="P78" i="53"/>
  <c r="N78" i="53"/>
  <c r="L78" i="53"/>
  <c r="J78" i="53"/>
  <c r="H78" i="53"/>
  <c r="F78" i="53"/>
  <c r="D78" i="53"/>
  <c r="C78" i="53"/>
  <c r="T77" i="53"/>
  <c r="R77" i="53"/>
  <c r="P77" i="53"/>
  <c r="N77" i="53"/>
  <c r="L77" i="53"/>
  <c r="J77" i="53"/>
  <c r="H77" i="53"/>
  <c r="F77" i="53"/>
  <c r="D77" i="53"/>
  <c r="C77" i="53"/>
  <c r="T76" i="53"/>
  <c r="R76" i="53"/>
  <c r="P76" i="53"/>
  <c r="N76" i="53"/>
  <c r="L76" i="53"/>
  <c r="J76" i="53"/>
  <c r="H76" i="53"/>
  <c r="F76" i="53"/>
  <c r="D76" i="53"/>
  <c r="C76" i="53"/>
  <c r="T75" i="53"/>
  <c r="R75" i="53"/>
  <c r="P75" i="53"/>
  <c r="N75" i="53"/>
  <c r="L75" i="53"/>
  <c r="J75" i="53"/>
  <c r="H75" i="53"/>
  <c r="F75" i="53"/>
  <c r="D75" i="53"/>
  <c r="C75" i="53"/>
  <c r="T74" i="53"/>
  <c r="R74" i="53"/>
  <c r="P74" i="53"/>
  <c r="N74" i="53"/>
  <c r="L74" i="53"/>
  <c r="J74" i="53"/>
  <c r="H74" i="53"/>
  <c r="F74" i="53"/>
  <c r="D74" i="53"/>
  <c r="C74" i="53"/>
  <c r="V73" i="53"/>
  <c r="T73" i="53"/>
  <c r="R73" i="53"/>
  <c r="P73" i="53"/>
  <c r="N73" i="53"/>
  <c r="L73" i="53"/>
  <c r="J73" i="53"/>
  <c r="H73" i="53"/>
  <c r="F73" i="53"/>
  <c r="D73" i="53"/>
  <c r="C73" i="53"/>
  <c r="T72" i="53"/>
  <c r="R72" i="53"/>
  <c r="P72" i="53"/>
  <c r="N72" i="53"/>
  <c r="L72" i="53"/>
  <c r="J72" i="53"/>
  <c r="H72" i="53"/>
  <c r="F72" i="53"/>
  <c r="D72" i="53"/>
  <c r="C72" i="53"/>
  <c r="T71" i="53"/>
  <c r="R71" i="53"/>
  <c r="P71" i="53"/>
  <c r="N71" i="53"/>
  <c r="L71" i="53"/>
  <c r="J71" i="53"/>
  <c r="H71" i="53"/>
  <c r="F71" i="53"/>
  <c r="D71" i="53"/>
  <c r="C71" i="53"/>
  <c r="T70" i="53"/>
  <c r="R70" i="53"/>
  <c r="P70" i="53"/>
  <c r="N70" i="53"/>
  <c r="L70" i="53"/>
  <c r="J70" i="53"/>
  <c r="H70" i="53"/>
  <c r="F70" i="53"/>
  <c r="D70" i="53"/>
  <c r="C70" i="53"/>
  <c r="V69" i="53"/>
  <c r="T69" i="53"/>
  <c r="R69" i="53"/>
  <c r="P69" i="53"/>
  <c r="N69" i="53"/>
  <c r="L69" i="53"/>
  <c r="J69" i="53"/>
  <c r="H69" i="53"/>
  <c r="F69" i="53"/>
  <c r="D69" i="53"/>
  <c r="C69" i="53"/>
  <c r="T68" i="53"/>
  <c r="R68" i="53"/>
  <c r="P68" i="53"/>
  <c r="N68" i="53"/>
  <c r="L68" i="53"/>
  <c r="J68" i="53"/>
  <c r="H68" i="53"/>
  <c r="F68" i="53"/>
  <c r="D68" i="53"/>
  <c r="C68" i="53"/>
  <c r="T67" i="53"/>
  <c r="R67" i="53"/>
  <c r="P67" i="53"/>
  <c r="N67" i="53"/>
  <c r="L67" i="53"/>
  <c r="J67" i="53"/>
  <c r="H67" i="53"/>
  <c r="F67" i="53"/>
  <c r="D67" i="53"/>
  <c r="C67" i="53"/>
  <c r="T62" i="53"/>
  <c r="B62" i="53"/>
  <c r="B63" i="53" s="1"/>
  <c r="F61" i="53"/>
  <c r="D61" i="53"/>
  <c r="B61" i="53"/>
  <c r="U59" i="53"/>
  <c r="S59" i="53"/>
  <c r="Q59" i="53"/>
  <c r="O59" i="53"/>
  <c r="M59" i="53"/>
  <c r="K59" i="53"/>
  <c r="I59" i="53"/>
  <c r="G59" i="53"/>
  <c r="E59" i="53"/>
  <c r="C59" i="53"/>
  <c r="B59" i="53"/>
  <c r="U58" i="53"/>
  <c r="S58" i="53"/>
  <c r="Q58" i="53"/>
  <c r="O58" i="53"/>
  <c r="M58" i="53"/>
  <c r="K58" i="53"/>
  <c r="I58" i="53"/>
  <c r="G58" i="53"/>
  <c r="E58" i="53"/>
  <c r="C58" i="53"/>
  <c r="B58" i="53"/>
  <c r="U57" i="53"/>
  <c r="S57" i="53"/>
  <c r="Q57" i="53"/>
  <c r="O57" i="53"/>
  <c r="M57" i="53"/>
  <c r="K57" i="53"/>
  <c r="I57" i="53"/>
  <c r="G57" i="53"/>
  <c r="E57" i="53"/>
  <c r="C57" i="53"/>
  <c r="B57" i="53"/>
  <c r="U56" i="53"/>
  <c r="S56" i="53"/>
  <c r="Q56" i="53"/>
  <c r="O56" i="53"/>
  <c r="M56" i="53"/>
  <c r="K56" i="53"/>
  <c r="I56" i="53"/>
  <c r="G56" i="53"/>
  <c r="E56" i="53"/>
  <c r="C56" i="53"/>
  <c r="B56" i="53"/>
  <c r="U55" i="53"/>
  <c r="S55" i="53"/>
  <c r="Q55" i="53"/>
  <c r="O55" i="53"/>
  <c r="M55" i="53"/>
  <c r="K55" i="53"/>
  <c r="I55" i="53"/>
  <c r="G55" i="53"/>
  <c r="E55" i="53"/>
  <c r="C55" i="53"/>
  <c r="B55" i="53"/>
  <c r="U54" i="53"/>
  <c r="T54" i="53"/>
  <c r="S54" i="53"/>
  <c r="R54" i="53"/>
  <c r="Q54" i="53"/>
  <c r="P54" i="53"/>
  <c r="O54" i="53"/>
  <c r="N54" i="53"/>
  <c r="M54" i="53"/>
  <c r="L54" i="53"/>
  <c r="K54" i="53"/>
  <c r="J54" i="53"/>
  <c r="I54" i="53"/>
  <c r="H54" i="53"/>
  <c r="G54" i="53"/>
  <c r="F54" i="53"/>
  <c r="E54" i="53"/>
  <c r="D54" i="53"/>
  <c r="C54" i="53"/>
  <c r="B54" i="53"/>
  <c r="U53" i="53"/>
  <c r="S53" i="53"/>
  <c r="Q53" i="53"/>
  <c r="O53" i="53"/>
  <c r="M53" i="53"/>
  <c r="K53" i="53"/>
  <c r="I53" i="53"/>
  <c r="G53" i="53"/>
  <c r="E53" i="53"/>
  <c r="C53" i="53"/>
  <c r="B53" i="53"/>
  <c r="U52" i="53"/>
  <c r="S52" i="53"/>
  <c r="Q52" i="53"/>
  <c r="O52" i="53"/>
  <c r="M52" i="53"/>
  <c r="K52" i="53"/>
  <c r="I52" i="53"/>
  <c r="G52" i="53"/>
  <c r="E52" i="53"/>
  <c r="C52" i="53"/>
  <c r="B52" i="53"/>
  <c r="V50" i="53"/>
  <c r="T50" i="53"/>
  <c r="R50" i="53"/>
  <c r="P50" i="53"/>
  <c r="N50" i="53"/>
  <c r="L50" i="53"/>
  <c r="J50" i="53"/>
  <c r="H50" i="53"/>
  <c r="F50" i="53"/>
  <c r="D50" i="53"/>
  <c r="C50" i="53"/>
  <c r="B50" i="53"/>
  <c r="T49" i="53"/>
  <c r="R49" i="53"/>
  <c r="J49" i="53"/>
  <c r="D49" i="53"/>
  <c r="C49" i="53"/>
  <c r="B49" i="53"/>
  <c r="T48" i="53"/>
  <c r="R48" i="53"/>
  <c r="P48" i="53"/>
  <c r="N48" i="53"/>
  <c r="L48" i="53"/>
  <c r="J48" i="53"/>
  <c r="H48" i="53"/>
  <c r="F48" i="53"/>
  <c r="D48" i="53"/>
  <c r="C48" i="53"/>
  <c r="T47" i="53"/>
  <c r="R47" i="53"/>
  <c r="P47" i="53"/>
  <c r="N47" i="53"/>
  <c r="L47" i="53"/>
  <c r="J47" i="53"/>
  <c r="H47" i="53"/>
  <c r="F47" i="53"/>
  <c r="D47" i="53"/>
  <c r="C47" i="53"/>
  <c r="T46" i="53"/>
  <c r="R46" i="53"/>
  <c r="P46" i="53"/>
  <c r="N46" i="53"/>
  <c r="L46" i="53"/>
  <c r="J46" i="53"/>
  <c r="H46" i="53"/>
  <c r="F46" i="53"/>
  <c r="D46" i="53"/>
  <c r="C46" i="53"/>
  <c r="V45" i="53"/>
  <c r="T45" i="53"/>
  <c r="R45" i="53"/>
  <c r="P45" i="53"/>
  <c r="N45" i="53"/>
  <c r="L45" i="53"/>
  <c r="J45" i="53"/>
  <c r="H45" i="53"/>
  <c r="F45" i="53"/>
  <c r="D45" i="53"/>
  <c r="C45" i="53"/>
  <c r="T44" i="53"/>
  <c r="R44" i="53"/>
  <c r="P44" i="53"/>
  <c r="N44" i="53"/>
  <c r="L44" i="53"/>
  <c r="J44" i="53"/>
  <c r="H44" i="53"/>
  <c r="F44" i="53"/>
  <c r="D44" i="53"/>
  <c r="C44" i="53"/>
  <c r="T43" i="53"/>
  <c r="R43" i="53"/>
  <c r="P43" i="53"/>
  <c r="N43" i="53"/>
  <c r="L43" i="53"/>
  <c r="J43" i="53"/>
  <c r="H43" i="53"/>
  <c r="F43" i="53"/>
  <c r="D43" i="53"/>
  <c r="C43" i="53"/>
  <c r="V42" i="53"/>
  <c r="T42" i="53"/>
  <c r="R42" i="53"/>
  <c r="P42" i="53"/>
  <c r="N42" i="53"/>
  <c r="L42" i="53"/>
  <c r="J42" i="53"/>
  <c r="H42" i="53"/>
  <c r="F42" i="53"/>
  <c r="D42" i="53"/>
  <c r="C42" i="53"/>
  <c r="V41" i="53"/>
  <c r="T41" i="53"/>
  <c r="R41" i="53"/>
  <c r="P41" i="53"/>
  <c r="N41" i="53"/>
  <c r="L41" i="53"/>
  <c r="J41" i="53"/>
  <c r="H41" i="53"/>
  <c r="F41" i="53"/>
  <c r="D41" i="53"/>
  <c r="C41" i="53"/>
  <c r="T40" i="53"/>
  <c r="R40" i="53"/>
  <c r="P40" i="53"/>
  <c r="N40" i="53"/>
  <c r="L40" i="53"/>
  <c r="J40" i="53"/>
  <c r="H40" i="53"/>
  <c r="F40" i="53"/>
  <c r="D40" i="53"/>
  <c r="C40" i="53"/>
  <c r="T39" i="53"/>
  <c r="R39" i="53"/>
  <c r="P39" i="53"/>
  <c r="N39" i="53"/>
  <c r="L39" i="53"/>
  <c r="J39" i="53"/>
  <c r="H39" i="53"/>
  <c r="F39" i="53"/>
  <c r="D39" i="53"/>
  <c r="C39" i="53"/>
  <c r="T38" i="53"/>
  <c r="R38" i="53"/>
  <c r="P38" i="53"/>
  <c r="N38" i="53"/>
  <c r="L38" i="53"/>
  <c r="J38" i="53"/>
  <c r="H38" i="53"/>
  <c r="F38" i="53"/>
  <c r="D38" i="53"/>
  <c r="C38" i="53"/>
  <c r="T37" i="53"/>
  <c r="R37" i="53"/>
  <c r="P37" i="53"/>
  <c r="N37" i="53"/>
  <c r="L37" i="53"/>
  <c r="J37" i="53"/>
  <c r="H37" i="53"/>
  <c r="F37" i="53"/>
  <c r="D37" i="53"/>
  <c r="C37" i="53"/>
  <c r="T32" i="53"/>
  <c r="B32" i="53"/>
  <c r="B33" i="53" s="1"/>
  <c r="D31" i="53"/>
  <c r="B31" i="53"/>
  <c r="U29" i="53"/>
  <c r="S29" i="53"/>
  <c r="Q29" i="53"/>
  <c r="O29" i="53"/>
  <c r="M29" i="53"/>
  <c r="K29" i="53"/>
  <c r="I29" i="53"/>
  <c r="G29" i="53"/>
  <c r="E29" i="53"/>
  <c r="C29" i="53"/>
  <c r="B29" i="53"/>
  <c r="U28" i="53"/>
  <c r="S28" i="53"/>
  <c r="Q28" i="53"/>
  <c r="O28" i="53"/>
  <c r="M28" i="53"/>
  <c r="K28" i="53"/>
  <c r="I28" i="53"/>
  <c r="G28" i="53"/>
  <c r="E28" i="53"/>
  <c r="C28" i="53"/>
  <c r="B28" i="53"/>
  <c r="U27" i="53"/>
  <c r="S27" i="53"/>
  <c r="Q27" i="53"/>
  <c r="O27" i="53"/>
  <c r="M27" i="53"/>
  <c r="K27" i="53"/>
  <c r="I27" i="53"/>
  <c r="G27" i="53"/>
  <c r="E27" i="53"/>
  <c r="C27" i="53"/>
  <c r="B27" i="53"/>
  <c r="U26" i="53"/>
  <c r="S26" i="53"/>
  <c r="Q26" i="53"/>
  <c r="O26" i="53"/>
  <c r="M26" i="53"/>
  <c r="K26" i="53"/>
  <c r="I26" i="53"/>
  <c r="G26" i="53"/>
  <c r="E26" i="53"/>
  <c r="C26" i="53"/>
  <c r="B26" i="53"/>
  <c r="U25" i="53"/>
  <c r="S25" i="53"/>
  <c r="Q25" i="53"/>
  <c r="O25" i="53"/>
  <c r="M25" i="53"/>
  <c r="K25" i="53"/>
  <c r="I25" i="53"/>
  <c r="G25" i="53"/>
  <c r="E25" i="53"/>
  <c r="C25" i="53"/>
  <c r="B25" i="53"/>
  <c r="U24" i="53"/>
  <c r="T24" i="53"/>
  <c r="S24" i="53"/>
  <c r="R24" i="53"/>
  <c r="Q24" i="53"/>
  <c r="P24" i="53"/>
  <c r="O24" i="53"/>
  <c r="N24" i="53"/>
  <c r="M24" i="53"/>
  <c r="L24" i="53"/>
  <c r="K24" i="53"/>
  <c r="J24" i="53"/>
  <c r="I24" i="53"/>
  <c r="H24" i="53"/>
  <c r="G24" i="53"/>
  <c r="F24" i="53"/>
  <c r="E24" i="53"/>
  <c r="D24" i="53"/>
  <c r="C24" i="53"/>
  <c r="B24" i="53"/>
  <c r="U23" i="53"/>
  <c r="S23" i="53"/>
  <c r="Q23" i="53"/>
  <c r="O23" i="53"/>
  <c r="M23" i="53"/>
  <c r="K23" i="53"/>
  <c r="I23" i="53"/>
  <c r="G23" i="53"/>
  <c r="E23" i="53"/>
  <c r="C23" i="53"/>
  <c r="B23" i="53"/>
  <c r="U22" i="53"/>
  <c r="S22" i="53"/>
  <c r="Q22" i="53"/>
  <c r="O22" i="53"/>
  <c r="M22" i="53"/>
  <c r="K22" i="53"/>
  <c r="I22" i="53"/>
  <c r="G22" i="53"/>
  <c r="E22" i="53"/>
  <c r="C22" i="53"/>
  <c r="B22" i="53"/>
  <c r="V20" i="53"/>
  <c r="T20" i="53"/>
  <c r="R20" i="53"/>
  <c r="P20" i="53"/>
  <c r="N20" i="53"/>
  <c r="L20" i="53"/>
  <c r="J20" i="53"/>
  <c r="H20" i="53"/>
  <c r="F20" i="53"/>
  <c r="D20" i="53"/>
  <c r="C20" i="53"/>
  <c r="B20" i="53"/>
  <c r="T19" i="53"/>
  <c r="R19" i="53"/>
  <c r="J19" i="53"/>
  <c r="C19" i="53"/>
  <c r="B19" i="53"/>
  <c r="T18" i="53"/>
  <c r="R18" i="53"/>
  <c r="P18" i="53"/>
  <c r="N18" i="53"/>
  <c r="L18" i="53"/>
  <c r="J18" i="53"/>
  <c r="H18" i="53"/>
  <c r="F18" i="53"/>
  <c r="D18" i="53"/>
  <c r="C18" i="53"/>
  <c r="V17" i="53"/>
  <c r="T17" i="53"/>
  <c r="R17" i="53"/>
  <c r="P17" i="53"/>
  <c r="N17" i="53"/>
  <c r="L17" i="53"/>
  <c r="J17" i="53"/>
  <c r="H17" i="53"/>
  <c r="F17" i="53"/>
  <c r="D17" i="53"/>
  <c r="C17" i="53"/>
  <c r="T16" i="53"/>
  <c r="R16" i="53"/>
  <c r="P16" i="53"/>
  <c r="N16" i="53"/>
  <c r="L16" i="53"/>
  <c r="J16" i="53"/>
  <c r="H16" i="53"/>
  <c r="F16" i="53"/>
  <c r="D16" i="53"/>
  <c r="C16" i="53"/>
  <c r="T15" i="53"/>
  <c r="R15" i="53"/>
  <c r="P15" i="53"/>
  <c r="N15" i="53"/>
  <c r="L15" i="53"/>
  <c r="J15" i="53"/>
  <c r="H15" i="53"/>
  <c r="F15" i="53"/>
  <c r="D15" i="53"/>
  <c r="C15" i="53"/>
  <c r="T14" i="53"/>
  <c r="R14" i="53"/>
  <c r="P14" i="53"/>
  <c r="N14" i="53"/>
  <c r="L14" i="53"/>
  <c r="J14" i="53"/>
  <c r="H14" i="53"/>
  <c r="F14" i="53"/>
  <c r="D14" i="53"/>
  <c r="C14" i="53"/>
  <c r="T13" i="53"/>
  <c r="R13" i="53"/>
  <c r="P13" i="53"/>
  <c r="N13" i="53"/>
  <c r="L13" i="53"/>
  <c r="J13" i="53"/>
  <c r="H13" i="53"/>
  <c r="F13" i="53"/>
  <c r="D13" i="53"/>
  <c r="C13" i="53"/>
  <c r="T12" i="53"/>
  <c r="R12" i="53"/>
  <c r="P12" i="53"/>
  <c r="N12" i="53"/>
  <c r="L12" i="53"/>
  <c r="J12" i="53"/>
  <c r="H12" i="53"/>
  <c r="F12" i="53"/>
  <c r="D12" i="53"/>
  <c r="C12" i="53"/>
  <c r="T11" i="53"/>
  <c r="R11" i="53"/>
  <c r="P11" i="53"/>
  <c r="N11" i="53"/>
  <c r="L11" i="53"/>
  <c r="J11" i="53"/>
  <c r="H11" i="53"/>
  <c r="F11" i="53"/>
  <c r="D11" i="53"/>
  <c r="C11" i="53"/>
  <c r="T10" i="53"/>
  <c r="R10" i="53"/>
  <c r="P10" i="53"/>
  <c r="N10" i="53"/>
  <c r="L10" i="53"/>
  <c r="J10" i="53"/>
  <c r="H10" i="53"/>
  <c r="F10" i="53"/>
  <c r="D10" i="53"/>
  <c r="C10" i="53"/>
  <c r="T9" i="53"/>
  <c r="R9" i="53"/>
  <c r="P9" i="53"/>
  <c r="N9" i="53"/>
  <c r="L9" i="53"/>
  <c r="J9" i="53"/>
  <c r="H9" i="53"/>
  <c r="F9" i="53"/>
  <c r="D9" i="53"/>
  <c r="C9" i="53"/>
  <c r="T8" i="53"/>
  <c r="R8" i="53"/>
  <c r="P8" i="53"/>
  <c r="N8" i="53"/>
  <c r="L8" i="53"/>
  <c r="J8" i="53"/>
  <c r="H8" i="53"/>
  <c r="F8" i="53"/>
  <c r="D8" i="53"/>
  <c r="C8" i="53"/>
  <c r="T7" i="53"/>
  <c r="R7" i="53"/>
  <c r="P7" i="53"/>
  <c r="N7" i="53"/>
  <c r="L7" i="53"/>
  <c r="J7" i="53"/>
  <c r="H7" i="53"/>
  <c r="F7" i="53"/>
  <c r="D7" i="53"/>
  <c r="C7" i="53"/>
  <c r="T2" i="53"/>
  <c r="B2" i="53"/>
  <c r="D1" i="53"/>
  <c r="B1" i="53"/>
  <c r="U299" i="52"/>
  <c r="S299" i="52"/>
  <c r="Q299" i="52"/>
  <c r="O299" i="52"/>
  <c r="M299" i="52"/>
  <c r="K299" i="52"/>
  <c r="I299" i="52"/>
  <c r="G299" i="52"/>
  <c r="E299" i="52"/>
  <c r="C299" i="52"/>
  <c r="B299" i="52"/>
  <c r="U298" i="52"/>
  <c r="S298" i="52"/>
  <c r="Q298" i="52"/>
  <c r="O298" i="52"/>
  <c r="M298" i="52"/>
  <c r="K298" i="52"/>
  <c r="I298" i="52"/>
  <c r="G298" i="52"/>
  <c r="E298" i="52"/>
  <c r="C298" i="52"/>
  <c r="B298" i="52"/>
  <c r="U297" i="52"/>
  <c r="S297" i="52"/>
  <c r="Q297" i="52"/>
  <c r="O297" i="52"/>
  <c r="M297" i="52"/>
  <c r="K297" i="52"/>
  <c r="I297" i="52"/>
  <c r="G297" i="52"/>
  <c r="E297" i="52"/>
  <c r="C297" i="52"/>
  <c r="B297" i="52"/>
  <c r="U296" i="52"/>
  <c r="S296" i="52"/>
  <c r="Q296" i="52"/>
  <c r="O296" i="52"/>
  <c r="M296" i="52"/>
  <c r="K296" i="52"/>
  <c r="I296" i="52"/>
  <c r="G296" i="52"/>
  <c r="E296" i="52"/>
  <c r="C296" i="52"/>
  <c r="B296" i="52"/>
  <c r="U295" i="52"/>
  <c r="S295" i="52"/>
  <c r="Q295" i="52"/>
  <c r="O295" i="52"/>
  <c r="M295" i="52"/>
  <c r="K295" i="52"/>
  <c r="I295" i="52"/>
  <c r="G295" i="52"/>
  <c r="E295" i="52"/>
  <c r="C295" i="52"/>
  <c r="B295" i="52"/>
  <c r="U294" i="52"/>
  <c r="T294" i="52"/>
  <c r="S294" i="52"/>
  <c r="R294" i="52"/>
  <c r="Q294" i="52"/>
  <c r="P294" i="52"/>
  <c r="O294" i="52"/>
  <c r="N294" i="52"/>
  <c r="M294" i="52"/>
  <c r="L294" i="52"/>
  <c r="K294" i="52"/>
  <c r="J294" i="52"/>
  <c r="I294" i="52"/>
  <c r="H294" i="52"/>
  <c r="G294" i="52"/>
  <c r="F294" i="52"/>
  <c r="E294" i="52"/>
  <c r="D294" i="52"/>
  <c r="C294" i="52"/>
  <c r="B294" i="52"/>
  <c r="U293" i="52"/>
  <c r="S293" i="52"/>
  <c r="Q293" i="52"/>
  <c r="O293" i="52"/>
  <c r="M293" i="52"/>
  <c r="K293" i="52"/>
  <c r="I293" i="52"/>
  <c r="G293" i="52"/>
  <c r="E293" i="52"/>
  <c r="C293" i="52"/>
  <c r="B293" i="52"/>
  <c r="U292" i="52"/>
  <c r="S292" i="52"/>
  <c r="Q292" i="52"/>
  <c r="O292" i="52"/>
  <c r="M292" i="52"/>
  <c r="K292" i="52"/>
  <c r="I292" i="52"/>
  <c r="G292" i="52"/>
  <c r="E292" i="52"/>
  <c r="C292" i="52"/>
  <c r="B292" i="52"/>
  <c r="V290" i="52"/>
  <c r="T290" i="52"/>
  <c r="R290" i="52"/>
  <c r="P290" i="52"/>
  <c r="N290" i="52"/>
  <c r="L290" i="52"/>
  <c r="J290" i="52"/>
  <c r="H290" i="52"/>
  <c r="F290" i="52"/>
  <c r="D290" i="52"/>
  <c r="C290" i="52"/>
  <c r="B290" i="52"/>
  <c r="C289" i="52"/>
  <c r="B289" i="52"/>
  <c r="T288" i="52"/>
  <c r="R288" i="52"/>
  <c r="P288" i="52"/>
  <c r="N288" i="52"/>
  <c r="L288" i="52"/>
  <c r="J288" i="52"/>
  <c r="H288" i="52"/>
  <c r="F288" i="52"/>
  <c r="D288" i="52"/>
  <c r="C288" i="52"/>
  <c r="T287" i="52"/>
  <c r="R287" i="52"/>
  <c r="P287" i="52"/>
  <c r="N287" i="52"/>
  <c r="L287" i="52"/>
  <c r="J287" i="52"/>
  <c r="H287" i="52"/>
  <c r="F287" i="52"/>
  <c r="D287" i="52"/>
  <c r="C287" i="52"/>
  <c r="T286" i="52"/>
  <c r="R286" i="52"/>
  <c r="P286" i="52"/>
  <c r="N286" i="52"/>
  <c r="L286" i="52"/>
  <c r="J286" i="52"/>
  <c r="H286" i="52"/>
  <c r="F286" i="52"/>
  <c r="D286" i="52"/>
  <c r="C286" i="52"/>
  <c r="T285" i="52"/>
  <c r="R285" i="52"/>
  <c r="P285" i="52"/>
  <c r="N285" i="52"/>
  <c r="L285" i="52"/>
  <c r="J285" i="52"/>
  <c r="H285" i="52"/>
  <c r="F285" i="52"/>
  <c r="D285" i="52"/>
  <c r="C285" i="52"/>
  <c r="T284" i="52"/>
  <c r="R284" i="52"/>
  <c r="P284" i="52"/>
  <c r="N284" i="52"/>
  <c r="L284" i="52"/>
  <c r="J284" i="52"/>
  <c r="H284" i="52"/>
  <c r="F284" i="52"/>
  <c r="D284" i="52"/>
  <c r="C284" i="52"/>
  <c r="T283" i="52"/>
  <c r="R283" i="52"/>
  <c r="P283" i="52"/>
  <c r="N283" i="52"/>
  <c r="L283" i="52"/>
  <c r="J283" i="52"/>
  <c r="H283" i="52"/>
  <c r="F283" i="52"/>
  <c r="D283" i="52"/>
  <c r="C283" i="52"/>
  <c r="T282" i="52"/>
  <c r="R282" i="52"/>
  <c r="P282" i="52"/>
  <c r="N282" i="52"/>
  <c r="L282" i="52"/>
  <c r="J282" i="52"/>
  <c r="H282" i="52"/>
  <c r="F282" i="52"/>
  <c r="D282" i="52"/>
  <c r="C282" i="52"/>
  <c r="T281" i="52"/>
  <c r="R281" i="52"/>
  <c r="P281" i="52"/>
  <c r="N281" i="52"/>
  <c r="L281" i="52"/>
  <c r="J281" i="52"/>
  <c r="H281" i="52"/>
  <c r="F281" i="52"/>
  <c r="D281" i="52"/>
  <c r="C281" i="52"/>
  <c r="T280" i="52"/>
  <c r="R280" i="52"/>
  <c r="P280" i="52"/>
  <c r="N280" i="52"/>
  <c r="L280" i="52"/>
  <c r="J280" i="52"/>
  <c r="H280" i="52"/>
  <c r="F280" i="52"/>
  <c r="D280" i="52"/>
  <c r="C280" i="52"/>
  <c r="T279" i="52"/>
  <c r="R279" i="52"/>
  <c r="P279" i="52"/>
  <c r="N279" i="52"/>
  <c r="L279" i="52"/>
  <c r="J279" i="52"/>
  <c r="H279" i="52"/>
  <c r="F279" i="52"/>
  <c r="D279" i="52"/>
  <c r="C279" i="52"/>
  <c r="T278" i="52"/>
  <c r="R278" i="52"/>
  <c r="P278" i="52"/>
  <c r="N278" i="52"/>
  <c r="L278" i="52"/>
  <c r="J278" i="52"/>
  <c r="H278" i="52"/>
  <c r="F278" i="52"/>
  <c r="D278" i="52"/>
  <c r="C278" i="52"/>
  <c r="T277" i="52"/>
  <c r="R277" i="52"/>
  <c r="P277" i="52"/>
  <c r="N277" i="52"/>
  <c r="L277" i="52"/>
  <c r="J277" i="52"/>
  <c r="H277" i="52"/>
  <c r="F277" i="52"/>
  <c r="D277" i="52"/>
  <c r="C277" i="52"/>
  <c r="AA273" i="52"/>
  <c r="BU277" i="52" s="1"/>
  <c r="BU278" i="52" s="1"/>
  <c r="BU279" i="52" s="1"/>
  <c r="BU280" i="52" s="1"/>
  <c r="BU281" i="52" s="1"/>
  <c r="BU282" i="52" s="1"/>
  <c r="BU283" i="52" s="1"/>
  <c r="BU284" i="52" s="1"/>
  <c r="BU285" i="52" s="1"/>
  <c r="BU286" i="52" s="1"/>
  <c r="BU287" i="52" s="1"/>
  <c r="BU288" i="52" s="1"/>
  <c r="T272" i="52"/>
  <c r="B272" i="52"/>
  <c r="B273" i="52" s="1"/>
  <c r="D271" i="52"/>
  <c r="B271" i="52"/>
  <c r="B242" i="52"/>
  <c r="B243" i="52" s="1"/>
  <c r="B212" i="52"/>
  <c r="B213" i="52" s="1"/>
  <c r="B182" i="52"/>
  <c r="B183" i="52" s="1"/>
  <c r="B152" i="52"/>
  <c r="B153" i="52" s="1"/>
  <c r="B122" i="52"/>
  <c r="B123" i="52"/>
  <c r="B92" i="52"/>
  <c r="B93" i="52" s="1"/>
  <c r="B62" i="52"/>
  <c r="B63" i="52" s="1"/>
  <c r="B32" i="52"/>
  <c r="B33" i="52" s="1"/>
  <c r="B2" i="52"/>
  <c r="U269" i="52"/>
  <c r="S269" i="52"/>
  <c r="Q269" i="52"/>
  <c r="O269" i="52"/>
  <c r="M269" i="52"/>
  <c r="K269" i="52"/>
  <c r="I269" i="52"/>
  <c r="G269" i="52"/>
  <c r="E269" i="52"/>
  <c r="C269" i="52"/>
  <c r="B269" i="52"/>
  <c r="U268" i="52"/>
  <c r="S268" i="52"/>
  <c r="Q268" i="52"/>
  <c r="O268" i="52"/>
  <c r="M268" i="52"/>
  <c r="K268" i="52"/>
  <c r="I268" i="52"/>
  <c r="G268" i="52"/>
  <c r="E268" i="52"/>
  <c r="C268" i="52"/>
  <c r="B268" i="52"/>
  <c r="U267" i="52"/>
  <c r="S267" i="52"/>
  <c r="Q267" i="52"/>
  <c r="O267" i="52"/>
  <c r="M267" i="52"/>
  <c r="K267" i="52"/>
  <c r="I267" i="52"/>
  <c r="G267" i="52"/>
  <c r="E267" i="52"/>
  <c r="C267" i="52"/>
  <c r="B267" i="52"/>
  <c r="U266" i="52"/>
  <c r="S266" i="52"/>
  <c r="Q266" i="52"/>
  <c r="O266" i="52"/>
  <c r="M266" i="52"/>
  <c r="K266" i="52"/>
  <c r="I266" i="52"/>
  <c r="G266" i="52"/>
  <c r="E266" i="52"/>
  <c r="C266" i="52"/>
  <c r="B266" i="52"/>
  <c r="U265" i="52"/>
  <c r="S265" i="52"/>
  <c r="Q265" i="52"/>
  <c r="O265" i="52"/>
  <c r="M265" i="52"/>
  <c r="K265" i="52"/>
  <c r="I265" i="52"/>
  <c r="G265" i="52"/>
  <c r="E265" i="52"/>
  <c r="C265" i="52"/>
  <c r="B265" i="52"/>
  <c r="U264" i="52"/>
  <c r="T264" i="52"/>
  <c r="S264" i="52"/>
  <c r="R264" i="52"/>
  <c r="Q264" i="52"/>
  <c r="P264" i="52"/>
  <c r="O264" i="52"/>
  <c r="N264" i="52"/>
  <c r="M264" i="52"/>
  <c r="L264" i="52"/>
  <c r="K264" i="52"/>
  <c r="J264" i="52"/>
  <c r="I264" i="52"/>
  <c r="H264" i="52"/>
  <c r="G264" i="52"/>
  <c r="F264" i="52"/>
  <c r="E264" i="52"/>
  <c r="D264" i="52"/>
  <c r="C264" i="52"/>
  <c r="B264" i="52"/>
  <c r="U263" i="52"/>
  <c r="S263" i="52"/>
  <c r="Q263" i="52"/>
  <c r="O263" i="52"/>
  <c r="M263" i="52"/>
  <c r="K263" i="52"/>
  <c r="I263" i="52"/>
  <c r="G263" i="52"/>
  <c r="E263" i="52"/>
  <c r="C263" i="52"/>
  <c r="B263" i="52"/>
  <c r="U262" i="52"/>
  <c r="S262" i="52"/>
  <c r="Q262" i="52"/>
  <c r="O262" i="52"/>
  <c r="M262" i="52"/>
  <c r="K262" i="52"/>
  <c r="I262" i="52"/>
  <c r="G262" i="52"/>
  <c r="E262" i="52"/>
  <c r="C262" i="52"/>
  <c r="B262" i="52"/>
  <c r="V260" i="52"/>
  <c r="T260" i="52"/>
  <c r="R260" i="52"/>
  <c r="P260" i="52"/>
  <c r="N260" i="52"/>
  <c r="L260" i="52"/>
  <c r="J260" i="52"/>
  <c r="H260" i="52"/>
  <c r="F260" i="52"/>
  <c r="D260" i="52"/>
  <c r="C260" i="52"/>
  <c r="B260" i="52"/>
  <c r="C259" i="52"/>
  <c r="B259" i="52"/>
  <c r="T258" i="52"/>
  <c r="R258" i="52"/>
  <c r="P258" i="52"/>
  <c r="N258" i="52"/>
  <c r="L258" i="52"/>
  <c r="J258" i="52"/>
  <c r="H258" i="52"/>
  <c r="F258" i="52"/>
  <c r="D258" i="52"/>
  <c r="C258" i="52"/>
  <c r="T257" i="52"/>
  <c r="R257" i="52"/>
  <c r="P257" i="52"/>
  <c r="N257" i="52"/>
  <c r="L257" i="52"/>
  <c r="J257" i="52"/>
  <c r="H257" i="52"/>
  <c r="F257" i="52"/>
  <c r="D257" i="52"/>
  <c r="C257" i="52"/>
  <c r="T256" i="52"/>
  <c r="R256" i="52"/>
  <c r="P256" i="52"/>
  <c r="N256" i="52"/>
  <c r="L256" i="52"/>
  <c r="J256" i="52"/>
  <c r="H256" i="52"/>
  <c r="F256" i="52"/>
  <c r="D256" i="52"/>
  <c r="C256" i="52"/>
  <c r="T255" i="52"/>
  <c r="R255" i="52"/>
  <c r="P255" i="52"/>
  <c r="N255" i="52"/>
  <c r="L255" i="52"/>
  <c r="J255" i="52"/>
  <c r="H255" i="52"/>
  <c r="F255" i="52"/>
  <c r="D255" i="52"/>
  <c r="C255" i="52"/>
  <c r="T254" i="52"/>
  <c r="R254" i="52"/>
  <c r="P254" i="52"/>
  <c r="N254" i="52"/>
  <c r="L254" i="52"/>
  <c r="J254" i="52"/>
  <c r="H254" i="52"/>
  <c r="F254" i="52"/>
  <c r="D254" i="52"/>
  <c r="C254" i="52"/>
  <c r="T253" i="52"/>
  <c r="R253" i="52"/>
  <c r="P253" i="52"/>
  <c r="N253" i="52"/>
  <c r="L253" i="52"/>
  <c r="J253" i="52"/>
  <c r="H253" i="52"/>
  <c r="F253" i="52"/>
  <c r="D253" i="52"/>
  <c r="C253" i="52"/>
  <c r="T252" i="52"/>
  <c r="R252" i="52"/>
  <c r="P252" i="52"/>
  <c r="N252" i="52"/>
  <c r="L252" i="52"/>
  <c r="J252" i="52"/>
  <c r="H252" i="52"/>
  <c r="F252" i="52"/>
  <c r="D252" i="52"/>
  <c r="C252" i="52"/>
  <c r="T251" i="52"/>
  <c r="R251" i="52"/>
  <c r="P251" i="52"/>
  <c r="N251" i="52"/>
  <c r="L251" i="52"/>
  <c r="J251" i="52"/>
  <c r="H251" i="52"/>
  <c r="F251" i="52"/>
  <c r="D251" i="52"/>
  <c r="C251" i="52"/>
  <c r="T250" i="52"/>
  <c r="R250" i="52"/>
  <c r="P250" i="52"/>
  <c r="N250" i="52"/>
  <c r="L250" i="52"/>
  <c r="J250" i="52"/>
  <c r="H250" i="52"/>
  <c r="F250" i="52"/>
  <c r="D250" i="52"/>
  <c r="C250" i="52"/>
  <c r="T249" i="52"/>
  <c r="R249" i="52"/>
  <c r="P249" i="52"/>
  <c r="N249" i="52"/>
  <c r="L249" i="52"/>
  <c r="J249" i="52"/>
  <c r="H249" i="52"/>
  <c r="F249" i="52"/>
  <c r="D249" i="52"/>
  <c r="C249" i="52"/>
  <c r="T248" i="52"/>
  <c r="R248" i="52"/>
  <c r="P248" i="52"/>
  <c r="N248" i="52"/>
  <c r="L248" i="52"/>
  <c r="J248" i="52"/>
  <c r="H248" i="52"/>
  <c r="F248" i="52"/>
  <c r="D248" i="52"/>
  <c r="C248" i="52"/>
  <c r="T247" i="52"/>
  <c r="R247" i="52"/>
  <c r="P247" i="52"/>
  <c r="N247" i="52"/>
  <c r="L247" i="52"/>
  <c r="J247" i="52"/>
  <c r="H247" i="52"/>
  <c r="F247" i="52"/>
  <c r="D247" i="52"/>
  <c r="C247" i="52"/>
  <c r="AA243" i="52"/>
  <c r="BU247" i="52" s="1"/>
  <c r="BU248" i="52" s="1"/>
  <c r="BU249" i="52" s="1"/>
  <c r="BU250" i="52" s="1"/>
  <c r="BU251" i="52" s="1"/>
  <c r="BU252" i="52" s="1"/>
  <c r="BU253" i="52" s="1"/>
  <c r="BU254" i="52" s="1"/>
  <c r="BU255" i="52" s="1"/>
  <c r="BU256" i="52" s="1"/>
  <c r="BU257" i="52" s="1"/>
  <c r="BU258" i="52" s="1"/>
  <c r="T242" i="52"/>
  <c r="D241" i="52"/>
  <c r="B241" i="52"/>
  <c r="AS22" i="52"/>
  <c r="AQ22" i="52"/>
  <c r="AO22" i="52"/>
  <c r="AO23" i="52" s="1"/>
  <c r="P23" i="52" s="1"/>
  <c r="AM22" i="52"/>
  <c r="AM23" i="52" s="1"/>
  <c r="N23" i="52" s="1"/>
  <c r="AK22" i="52"/>
  <c r="AK23" i="52" s="1"/>
  <c r="L23" i="52" s="1"/>
  <c r="AI22" i="52"/>
  <c r="AG22" i="52"/>
  <c r="H22" i="52" s="1"/>
  <c r="AE22" i="52"/>
  <c r="AC22" i="52"/>
  <c r="U239" i="52"/>
  <c r="S239" i="52"/>
  <c r="Q239" i="52"/>
  <c r="O239" i="52"/>
  <c r="M239" i="52"/>
  <c r="K239" i="52"/>
  <c r="I239" i="52"/>
  <c r="G239" i="52"/>
  <c r="E239" i="52"/>
  <c r="C239" i="52"/>
  <c r="B239" i="52"/>
  <c r="U238" i="52"/>
  <c r="S238" i="52"/>
  <c r="Q238" i="52"/>
  <c r="O238" i="52"/>
  <c r="M238" i="52"/>
  <c r="K238" i="52"/>
  <c r="I238" i="52"/>
  <c r="G238" i="52"/>
  <c r="E238" i="52"/>
  <c r="C238" i="52"/>
  <c r="B238" i="52"/>
  <c r="U237" i="52"/>
  <c r="S237" i="52"/>
  <c r="Q237" i="52"/>
  <c r="O237" i="52"/>
  <c r="M237" i="52"/>
  <c r="K237" i="52"/>
  <c r="I237" i="52"/>
  <c r="G237" i="52"/>
  <c r="E237" i="52"/>
  <c r="C237" i="52"/>
  <c r="B237" i="52"/>
  <c r="U236" i="52"/>
  <c r="S236" i="52"/>
  <c r="Q236" i="52"/>
  <c r="O236" i="52"/>
  <c r="M236" i="52"/>
  <c r="K236" i="52"/>
  <c r="I236" i="52"/>
  <c r="G236" i="52"/>
  <c r="E236" i="52"/>
  <c r="C236" i="52"/>
  <c r="B236" i="52"/>
  <c r="U235" i="52"/>
  <c r="S235" i="52"/>
  <c r="Q235" i="52"/>
  <c r="O235" i="52"/>
  <c r="M235" i="52"/>
  <c r="K235" i="52"/>
  <c r="I235" i="52"/>
  <c r="G235" i="52"/>
  <c r="E235" i="52"/>
  <c r="C235" i="52"/>
  <c r="B235" i="52"/>
  <c r="U234" i="52"/>
  <c r="T234" i="52"/>
  <c r="S234" i="52"/>
  <c r="R234" i="52"/>
  <c r="Q234" i="52"/>
  <c r="P234" i="52"/>
  <c r="O234" i="52"/>
  <c r="N234" i="52"/>
  <c r="M234" i="52"/>
  <c r="L234" i="52"/>
  <c r="K234" i="52"/>
  <c r="J234" i="52"/>
  <c r="I234" i="52"/>
  <c r="H234" i="52"/>
  <c r="G234" i="52"/>
  <c r="F234" i="52"/>
  <c r="E234" i="52"/>
  <c r="D234" i="52"/>
  <c r="C234" i="52"/>
  <c r="B234" i="52"/>
  <c r="U233" i="52"/>
  <c r="S233" i="52"/>
  <c r="Q233" i="52"/>
  <c r="O233" i="52"/>
  <c r="M233" i="52"/>
  <c r="K233" i="52"/>
  <c r="I233" i="52"/>
  <c r="G233" i="52"/>
  <c r="E233" i="52"/>
  <c r="C233" i="52"/>
  <c r="B233" i="52"/>
  <c r="U232" i="52"/>
  <c r="S232" i="52"/>
  <c r="Q232" i="52"/>
  <c r="O232" i="52"/>
  <c r="M232" i="52"/>
  <c r="K232" i="52"/>
  <c r="I232" i="52"/>
  <c r="G232" i="52"/>
  <c r="E232" i="52"/>
  <c r="C232" i="52"/>
  <c r="B232" i="52"/>
  <c r="V230" i="52"/>
  <c r="T230" i="52"/>
  <c r="R230" i="52"/>
  <c r="P230" i="52"/>
  <c r="N230" i="52"/>
  <c r="L230" i="52"/>
  <c r="J230" i="52"/>
  <c r="H230" i="52"/>
  <c r="F230" i="52"/>
  <c r="D230" i="52"/>
  <c r="C230" i="52"/>
  <c r="B230" i="52"/>
  <c r="C229" i="52"/>
  <c r="B229" i="52"/>
  <c r="T228" i="52"/>
  <c r="R228" i="52"/>
  <c r="P228" i="52"/>
  <c r="N228" i="52"/>
  <c r="L228" i="52"/>
  <c r="J228" i="52"/>
  <c r="H228" i="52"/>
  <c r="F228" i="52"/>
  <c r="D228" i="52"/>
  <c r="C228" i="52"/>
  <c r="T227" i="52"/>
  <c r="R227" i="52"/>
  <c r="P227" i="52"/>
  <c r="N227" i="52"/>
  <c r="L227" i="52"/>
  <c r="J227" i="52"/>
  <c r="H227" i="52"/>
  <c r="F227" i="52"/>
  <c r="D227" i="52"/>
  <c r="C227" i="52"/>
  <c r="T226" i="52"/>
  <c r="R226" i="52"/>
  <c r="P226" i="52"/>
  <c r="N226" i="52"/>
  <c r="L226" i="52"/>
  <c r="J226" i="52"/>
  <c r="H226" i="52"/>
  <c r="F226" i="52"/>
  <c r="D226" i="52"/>
  <c r="C226" i="52"/>
  <c r="T225" i="52"/>
  <c r="R225" i="52"/>
  <c r="P225" i="52"/>
  <c r="N225" i="52"/>
  <c r="L225" i="52"/>
  <c r="J225" i="52"/>
  <c r="H225" i="52"/>
  <c r="F225" i="52"/>
  <c r="D225" i="52"/>
  <c r="C225" i="52"/>
  <c r="T224" i="52"/>
  <c r="R224" i="52"/>
  <c r="P224" i="52"/>
  <c r="N224" i="52"/>
  <c r="L224" i="52"/>
  <c r="J224" i="52"/>
  <c r="H224" i="52"/>
  <c r="F224" i="52"/>
  <c r="D224" i="52"/>
  <c r="C224" i="52"/>
  <c r="T223" i="52"/>
  <c r="R223" i="52"/>
  <c r="P223" i="52"/>
  <c r="N223" i="52"/>
  <c r="L223" i="52"/>
  <c r="J223" i="52"/>
  <c r="H223" i="52"/>
  <c r="F223" i="52"/>
  <c r="D223" i="52"/>
  <c r="C223" i="52"/>
  <c r="T222" i="52"/>
  <c r="R222" i="52"/>
  <c r="P222" i="52"/>
  <c r="N222" i="52"/>
  <c r="L222" i="52"/>
  <c r="J222" i="52"/>
  <c r="H222" i="52"/>
  <c r="F222" i="52"/>
  <c r="D222" i="52"/>
  <c r="C222" i="52"/>
  <c r="T221" i="52"/>
  <c r="R221" i="52"/>
  <c r="P221" i="52"/>
  <c r="N221" i="52"/>
  <c r="L221" i="52"/>
  <c r="J221" i="52"/>
  <c r="H221" i="52"/>
  <c r="F221" i="52"/>
  <c r="D221" i="52"/>
  <c r="C221" i="52"/>
  <c r="T220" i="52"/>
  <c r="R220" i="52"/>
  <c r="P220" i="52"/>
  <c r="N220" i="52"/>
  <c r="L220" i="52"/>
  <c r="J220" i="52"/>
  <c r="H220" i="52"/>
  <c r="F220" i="52"/>
  <c r="D220" i="52"/>
  <c r="C220" i="52"/>
  <c r="T219" i="52"/>
  <c r="R219" i="52"/>
  <c r="P219" i="52"/>
  <c r="N219" i="52"/>
  <c r="L219" i="52"/>
  <c r="J219" i="52"/>
  <c r="H219" i="52"/>
  <c r="F219" i="52"/>
  <c r="D219" i="52"/>
  <c r="C219" i="52"/>
  <c r="T218" i="52"/>
  <c r="R218" i="52"/>
  <c r="P218" i="52"/>
  <c r="N218" i="52"/>
  <c r="L218" i="52"/>
  <c r="J218" i="52"/>
  <c r="H218" i="52"/>
  <c r="F218" i="52"/>
  <c r="D218" i="52"/>
  <c r="C218" i="52"/>
  <c r="T217" i="52"/>
  <c r="R217" i="52"/>
  <c r="P217" i="52"/>
  <c r="N217" i="52"/>
  <c r="L217" i="52"/>
  <c r="J217" i="52"/>
  <c r="H217" i="52"/>
  <c r="F217" i="52"/>
  <c r="D217" i="52"/>
  <c r="C217" i="52"/>
  <c r="AA213" i="52"/>
  <c r="BU217" i="52" s="1"/>
  <c r="BU218" i="52" s="1"/>
  <c r="BU219" i="52" s="1"/>
  <c r="BU220" i="52" s="1"/>
  <c r="BU221" i="52" s="1"/>
  <c r="BU222" i="52" s="1"/>
  <c r="BU223" i="52" s="1"/>
  <c r="BU224" i="52" s="1"/>
  <c r="BU225" i="52" s="1"/>
  <c r="BU226" i="52" s="1"/>
  <c r="BU227" i="52" s="1"/>
  <c r="BU228" i="52" s="1"/>
  <c r="T212" i="52"/>
  <c r="D211" i="52"/>
  <c r="B211" i="52"/>
  <c r="U209" i="52"/>
  <c r="S209" i="52"/>
  <c r="Q209" i="52"/>
  <c r="O209" i="52"/>
  <c r="M209" i="52"/>
  <c r="K209" i="52"/>
  <c r="I209" i="52"/>
  <c r="G209" i="52"/>
  <c r="E209" i="52"/>
  <c r="C209" i="52"/>
  <c r="B209" i="52"/>
  <c r="U208" i="52"/>
  <c r="S208" i="52"/>
  <c r="Q208" i="52"/>
  <c r="O208" i="52"/>
  <c r="M208" i="52"/>
  <c r="K208" i="52"/>
  <c r="I208" i="52"/>
  <c r="G208" i="52"/>
  <c r="E208" i="52"/>
  <c r="C208" i="52"/>
  <c r="B208" i="52"/>
  <c r="U207" i="52"/>
  <c r="S207" i="52"/>
  <c r="Q207" i="52"/>
  <c r="O207" i="52"/>
  <c r="M207" i="52"/>
  <c r="K207" i="52"/>
  <c r="I207" i="52"/>
  <c r="G207" i="52"/>
  <c r="E207" i="52"/>
  <c r="C207" i="52"/>
  <c r="B207" i="52"/>
  <c r="U206" i="52"/>
  <c r="S206" i="52"/>
  <c r="Q206" i="52"/>
  <c r="O206" i="52"/>
  <c r="M206" i="52"/>
  <c r="K206" i="52"/>
  <c r="I206" i="52"/>
  <c r="G206" i="52"/>
  <c r="E206" i="52"/>
  <c r="C206" i="52"/>
  <c r="B206" i="52"/>
  <c r="U205" i="52"/>
  <c r="S205" i="52"/>
  <c r="Q205" i="52"/>
  <c r="O205" i="52"/>
  <c r="M205" i="52"/>
  <c r="K205" i="52"/>
  <c r="I205" i="52"/>
  <c r="G205" i="52"/>
  <c r="E205" i="52"/>
  <c r="C205" i="52"/>
  <c r="B205" i="52"/>
  <c r="U204" i="52"/>
  <c r="T204" i="52"/>
  <c r="S204" i="52"/>
  <c r="R204" i="52"/>
  <c r="Q204" i="52"/>
  <c r="P204" i="52"/>
  <c r="O204" i="52"/>
  <c r="N204" i="52"/>
  <c r="M204" i="52"/>
  <c r="L204" i="52"/>
  <c r="K204" i="52"/>
  <c r="J204" i="52"/>
  <c r="I204" i="52"/>
  <c r="H204" i="52"/>
  <c r="G204" i="52"/>
  <c r="F204" i="52"/>
  <c r="E204" i="52"/>
  <c r="D204" i="52"/>
  <c r="C204" i="52"/>
  <c r="B204" i="52"/>
  <c r="U203" i="52"/>
  <c r="S203" i="52"/>
  <c r="Q203" i="52"/>
  <c r="O203" i="52"/>
  <c r="M203" i="52"/>
  <c r="K203" i="52"/>
  <c r="I203" i="52"/>
  <c r="G203" i="52"/>
  <c r="E203" i="52"/>
  <c r="C203" i="52"/>
  <c r="B203" i="52"/>
  <c r="U202" i="52"/>
  <c r="S202" i="52"/>
  <c r="Q202" i="52"/>
  <c r="O202" i="52"/>
  <c r="M202" i="52"/>
  <c r="K202" i="52"/>
  <c r="I202" i="52"/>
  <c r="G202" i="52"/>
  <c r="E202" i="52"/>
  <c r="C202" i="52"/>
  <c r="B202" i="52"/>
  <c r="V200" i="52"/>
  <c r="T200" i="52"/>
  <c r="R200" i="52"/>
  <c r="P200" i="52"/>
  <c r="N200" i="52"/>
  <c r="L200" i="52"/>
  <c r="J200" i="52"/>
  <c r="H200" i="52"/>
  <c r="F200" i="52"/>
  <c r="D200" i="52"/>
  <c r="C200" i="52"/>
  <c r="B200" i="52"/>
  <c r="C199" i="52"/>
  <c r="B199" i="52"/>
  <c r="T198" i="52"/>
  <c r="R198" i="52"/>
  <c r="P198" i="52"/>
  <c r="N198" i="52"/>
  <c r="L198" i="52"/>
  <c r="J198" i="52"/>
  <c r="H198" i="52"/>
  <c r="F198" i="52"/>
  <c r="D198" i="52"/>
  <c r="C198" i="52"/>
  <c r="T197" i="52"/>
  <c r="R197" i="52"/>
  <c r="P197" i="52"/>
  <c r="N197" i="52"/>
  <c r="L197" i="52"/>
  <c r="J197" i="52"/>
  <c r="H197" i="52"/>
  <c r="F197" i="52"/>
  <c r="D197" i="52"/>
  <c r="C197" i="52"/>
  <c r="T196" i="52"/>
  <c r="R196" i="52"/>
  <c r="P196" i="52"/>
  <c r="N196" i="52"/>
  <c r="L196" i="52"/>
  <c r="J196" i="52"/>
  <c r="H196" i="52"/>
  <c r="F196" i="52"/>
  <c r="D196" i="52"/>
  <c r="C196" i="52"/>
  <c r="T195" i="52"/>
  <c r="R195" i="52"/>
  <c r="P195" i="52"/>
  <c r="N195" i="52"/>
  <c r="L195" i="52"/>
  <c r="J195" i="52"/>
  <c r="H195" i="52"/>
  <c r="F195" i="52"/>
  <c r="D195" i="52"/>
  <c r="C195" i="52"/>
  <c r="T194" i="52"/>
  <c r="R194" i="52"/>
  <c r="P194" i="52"/>
  <c r="N194" i="52"/>
  <c r="L194" i="52"/>
  <c r="J194" i="52"/>
  <c r="H194" i="52"/>
  <c r="F194" i="52"/>
  <c r="D194" i="52"/>
  <c r="C194" i="52"/>
  <c r="T193" i="52"/>
  <c r="R193" i="52"/>
  <c r="P193" i="52"/>
  <c r="N193" i="52"/>
  <c r="L193" i="52"/>
  <c r="J193" i="52"/>
  <c r="H193" i="52"/>
  <c r="F193" i="52"/>
  <c r="D193" i="52"/>
  <c r="C193" i="52"/>
  <c r="T192" i="52"/>
  <c r="R192" i="52"/>
  <c r="P192" i="52"/>
  <c r="N192" i="52"/>
  <c r="L192" i="52"/>
  <c r="J192" i="52"/>
  <c r="H192" i="52"/>
  <c r="F192" i="52"/>
  <c r="D192" i="52"/>
  <c r="C192" i="52"/>
  <c r="T191" i="52"/>
  <c r="R191" i="52"/>
  <c r="P191" i="52"/>
  <c r="N191" i="52"/>
  <c r="L191" i="52"/>
  <c r="J191" i="52"/>
  <c r="H191" i="52"/>
  <c r="F191" i="52"/>
  <c r="D191" i="52"/>
  <c r="C191" i="52"/>
  <c r="T190" i="52"/>
  <c r="R190" i="52"/>
  <c r="P190" i="52"/>
  <c r="N190" i="52"/>
  <c r="L190" i="52"/>
  <c r="J190" i="52"/>
  <c r="H190" i="52"/>
  <c r="F190" i="52"/>
  <c r="D190" i="52"/>
  <c r="C190" i="52"/>
  <c r="T189" i="52"/>
  <c r="R189" i="52"/>
  <c r="P189" i="52"/>
  <c r="N189" i="52"/>
  <c r="L189" i="52"/>
  <c r="J189" i="52"/>
  <c r="H189" i="52"/>
  <c r="F189" i="52"/>
  <c r="D189" i="52"/>
  <c r="C189" i="52"/>
  <c r="T188" i="52"/>
  <c r="R188" i="52"/>
  <c r="P188" i="52"/>
  <c r="N188" i="52"/>
  <c r="L188" i="52"/>
  <c r="J188" i="52"/>
  <c r="H188" i="52"/>
  <c r="F188" i="52"/>
  <c r="D188" i="52"/>
  <c r="C188" i="52"/>
  <c r="T187" i="52"/>
  <c r="R187" i="52"/>
  <c r="P187" i="52"/>
  <c r="N187" i="52"/>
  <c r="L187" i="52"/>
  <c r="J187" i="52"/>
  <c r="H187" i="52"/>
  <c r="F187" i="52"/>
  <c r="D187" i="52"/>
  <c r="C187" i="52"/>
  <c r="AA183" i="52"/>
  <c r="BU187" i="52" s="1"/>
  <c r="BU188" i="52" s="1"/>
  <c r="BU189" i="52" s="1"/>
  <c r="BU190" i="52" s="1"/>
  <c r="BU191" i="52" s="1"/>
  <c r="BU192" i="52" s="1"/>
  <c r="BU193" i="52" s="1"/>
  <c r="BU194" i="52" s="1"/>
  <c r="BU195" i="52" s="1"/>
  <c r="BU196" i="52" s="1"/>
  <c r="BU197" i="52" s="1"/>
  <c r="BU198" i="52" s="1"/>
  <c r="T182" i="52"/>
  <c r="D181" i="52"/>
  <c r="B181" i="52"/>
  <c r="U179" i="52"/>
  <c r="S179" i="52"/>
  <c r="Q179" i="52"/>
  <c r="O179" i="52"/>
  <c r="M179" i="52"/>
  <c r="K179" i="52"/>
  <c r="I179" i="52"/>
  <c r="G179" i="52"/>
  <c r="E179" i="52"/>
  <c r="C179" i="52"/>
  <c r="B179" i="52"/>
  <c r="U178" i="52"/>
  <c r="S178" i="52"/>
  <c r="Q178" i="52"/>
  <c r="O178" i="52"/>
  <c r="M178" i="52"/>
  <c r="K178" i="52"/>
  <c r="I178" i="52"/>
  <c r="G178" i="52"/>
  <c r="E178" i="52"/>
  <c r="C178" i="52"/>
  <c r="B178" i="52"/>
  <c r="U177" i="52"/>
  <c r="S177" i="52"/>
  <c r="Q177" i="52"/>
  <c r="O177" i="52"/>
  <c r="M177" i="52"/>
  <c r="K177" i="52"/>
  <c r="I177" i="52"/>
  <c r="G177" i="52"/>
  <c r="E177" i="52"/>
  <c r="C177" i="52"/>
  <c r="B177" i="52"/>
  <c r="U176" i="52"/>
  <c r="S176" i="52"/>
  <c r="Q176" i="52"/>
  <c r="O176" i="52"/>
  <c r="M176" i="52"/>
  <c r="K176" i="52"/>
  <c r="I176" i="52"/>
  <c r="G176" i="52"/>
  <c r="E176" i="52"/>
  <c r="C176" i="52"/>
  <c r="B176" i="52"/>
  <c r="U175" i="52"/>
  <c r="S175" i="52"/>
  <c r="Q175" i="52"/>
  <c r="O175" i="52"/>
  <c r="M175" i="52"/>
  <c r="K175" i="52"/>
  <c r="I175" i="52"/>
  <c r="G175" i="52"/>
  <c r="E175" i="52"/>
  <c r="C175" i="52"/>
  <c r="B175" i="52"/>
  <c r="U174" i="52"/>
  <c r="T174" i="52"/>
  <c r="S174" i="52"/>
  <c r="R174" i="52"/>
  <c r="Q174" i="52"/>
  <c r="P174" i="52"/>
  <c r="O174" i="52"/>
  <c r="N174" i="52"/>
  <c r="M174" i="52"/>
  <c r="L174" i="52"/>
  <c r="K174" i="52"/>
  <c r="J174" i="52"/>
  <c r="I174" i="52"/>
  <c r="H174" i="52"/>
  <c r="G174" i="52"/>
  <c r="F174" i="52"/>
  <c r="E174" i="52"/>
  <c r="D174" i="52"/>
  <c r="C174" i="52"/>
  <c r="B174" i="52"/>
  <c r="U173" i="52"/>
  <c r="S173" i="52"/>
  <c r="Q173" i="52"/>
  <c r="O173" i="52"/>
  <c r="M173" i="52"/>
  <c r="K173" i="52"/>
  <c r="I173" i="52"/>
  <c r="G173" i="52"/>
  <c r="E173" i="52"/>
  <c r="C173" i="52"/>
  <c r="B173" i="52"/>
  <c r="U172" i="52"/>
  <c r="S172" i="52"/>
  <c r="Q172" i="52"/>
  <c r="O172" i="52"/>
  <c r="M172" i="52"/>
  <c r="K172" i="52"/>
  <c r="I172" i="52"/>
  <c r="G172" i="52"/>
  <c r="E172" i="52"/>
  <c r="C172" i="52"/>
  <c r="B172" i="52"/>
  <c r="V170" i="52"/>
  <c r="T170" i="52"/>
  <c r="R170" i="52"/>
  <c r="P170" i="52"/>
  <c r="N170" i="52"/>
  <c r="L170" i="52"/>
  <c r="J170" i="52"/>
  <c r="H170" i="52"/>
  <c r="F170" i="52"/>
  <c r="D170" i="52"/>
  <c r="C170" i="52"/>
  <c r="B170" i="52"/>
  <c r="C169" i="52"/>
  <c r="B169" i="52"/>
  <c r="V168" i="52"/>
  <c r="T168" i="52"/>
  <c r="R168" i="52"/>
  <c r="P168" i="52"/>
  <c r="N168" i="52"/>
  <c r="L168" i="52"/>
  <c r="J168" i="52"/>
  <c r="H168" i="52"/>
  <c r="F168" i="52"/>
  <c r="D168" i="52"/>
  <c r="C168" i="52"/>
  <c r="V167" i="52"/>
  <c r="T167" i="52"/>
  <c r="R167" i="52"/>
  <c r="P167" i="52"/>
  <c r="N167" i="52"/>
  <c r="L167" i="52"/>
  <c r="J167" i="52"/>
  <c r="H167" i="52"/>
  <c r="F167" i="52"/>
  <c r="D167" i="52"/>
  <c r="C167" i="52"/>
  <c r="T166" i="52"/>
  <c r="R166" i="52"/>
  <c r="P166" i="52"/>
  <c r="N166" i="52"/>
  <c r="L166" i="52"/>
  <c r="J166" i="52"/>
  <c r="H166" i="52"/>
  <c r="F166" i="52"/>
  <c r="D166" i="52"/>
  <c r="C166" i="52"/>
  <c r="T165" i="52"/>
  <c r="R165" i="52"/>
  <c r="P165" i="52"/>
  <c r="N165" i="52"/>
  <c r="L165" i="52"/>
  <c r="J165" i="52"/>
  <c r="H165" i="52"/>
  <c r="F165" i="52"/>
  <c r="D165" i="52"/>
  <c r="C165" i="52"/>
  <c r="T164" i="52"/>
  <c r="R164" i="52"/>
  <c r="P164" i="52"/>
  <c r="N164" i="52"/>
  <c r="L164" i="52"/>
  <c r="J164" i="52"/>
  <c r="H164" i="52"/>
  <c r="F164" i="52"/>
  <c r="D164" i="52"/>
  <c r="C164" i="52"/>
  <c r="T163" i="52"/>
  <c r="R163" i="52"/>
  <c r="P163" i="52"/>
  <c r="N163" i="52"/>
  <c r="L163" i="52"/>
  <c r="J163" i="52"/>
  <c r="H163" i="52"/>
  <c r="F163" i="52"/>
  <c r="D163" i="52"/>
  <c r="C163" i="52"/>
  <c r="V162" i="52"/>
  <c r="T162" i="52"/>
  <c r="R162" i="52"/>
  <c r="P162" i="52"/>
  <c r="N162" i="52"/>
  <c r="L162" i="52"/>
  <c r="J162" i="52"/>
  <c r="H162" i="52"/>
  <c r="F162" i="52"/>
  <c r="D162" i="52"/>
  <c r="C162" i="52"/>
  <c r="T161" i="52"/>
  <c r="R161" i="52"/>
  <c r="P161" i="52"/>
  <c r="N161" i="52"/>
  <c r="L161" i="52"/>
  <c r="J161" i="52"/>
  <c r="H161" i="52"/>
  <c r="F161" i="52"/>
  <c r="D161" i="52"/>
  <c r="C161" i="52"/>
  <c r="V160" i="52"/>
  <c r="T160" i="52"/>
  <c r="R160" i="52"/>
  <c r="P160" i="52"/>
  <c r="N160" i="52"/>
  <c r="L160" i="52"/>
  <c r="J160" i="52"/>
  <c r="H160" i="52"/>
  <c r="F160" i="52"/>
  <c r="D160" i="52"/>
  <c r="C160" i="52"/>
  <c r="T159" i="52"/>
  <c r="R159" i="52"/>
  <c r="P159" i="52"/>
  <c r="N159" i="52"/>
  <c r="L159" i="52"/>
  <c r="J159" i="52"/>
  <c r="H159" i="52"/>
  <c r="F159" i="52"/>
  <c r="D159" i="52"/>
  <c r="C159" i="52"/>
  <c r="T158" i="52"/>
  <c r="R158" i="52"/>
  <c r="P158" i="52"/>
  <c r="N158" i="52"/>
  <c r="L158" i="52"/>
  <c r="J158" i="52"/>
  <c r="H158" i="52"/>
  <c r="F158" i="52"/>
  <c r="D158" i="52"/>
  <c r="C158" i="52"/>
  <c r="T157" i="52"/>
  <c r="R157" i="52"/>
  <c r="P157" i="52"/>
  <c r="N157" i="52"/>
  <c r="L157" i="52"/>
  <c r="J157" i="52"/>
  <c r="H157" i="52"/>
  <c r="F157" i="52"/>
  <c r="D157" i="52"/>
  <c r="C157" i="52"/>
  <c r="AA153" i="52"/>
  <c r="BU157" i="52" s="1"/>
  <c r="BU158" i="52" s="1"/>
  <c r="BU159" i="52" s="1"/>
  <c r="BU160" i="52" s="1"/>
  <c r="BU161" i="52" s="1"/>
  <c r="BU162" i="52" s="1"/>
  <c r="BU163" i="52" s="1"/>
  <c r="BU164" i="52" s="1"/>
  <c r="BU165" i="52" s="1"/>
  <c r="BU166" i="52" s="1"/>
  <c r="BU167" i="52" s="1"/>
  <c r="BU168" i="52" s="1"/>
  <c r="T152" i="52"/>
  <c r="D151" i="52"/>
  <c r="B151" i="52"/>
  <c r="U149" i="52"/>
  <c r="S149" i="52"/>
  <c r="Q149" i="52"/>
  <c r="O149" i="52"/>
  <c r="M149" i="52"/>
  <c r="K149" i="52"/>
  <c r="I149" i="52"/>
  <c r="G149" i="52"/>
  <c r="E149" i="52"/>
  <c r="C149" i="52"/>
  <c r="B149" i="52"/>
  <c r="U148" i="52"/>
  <c r="S148" i="52"/>
  <c r="Q148" i="52"/>
  <c r="O148" i="52"/>
  <c r="M148" i="52"/>
  <c r="K148" i="52"/>
  <c r="I148" i="52"/>
  <c r="G148" i="52"/>
  <c r="E148" i="52"/>
  <c r="C148" i="52"/>
  <c r="B148" i="52"/>
  <c r="U147" i="52"/>
  <c r="S147" i="52"/>
  <c r="Q147" i="52"/>
  <c r="O147" i="52"/>
  <c r="M147" i="52"/>
  <c r="K147" i="52"/>
  <c r="I147" i="52"/>
  <c r="G147" i="52"/>
  <c r="E147" i="52"/>
  <c r="C147" i="52"/>
  <c r="B147" i="52"/>
  <c r="U146" i="52"/>
  <c r="S146" i="52"/>
  <c r="Q146" i="52"/>
  <c r="O146" i="52"/>
  <c r="M146" i="52"/>
  <c r="K146" i="52"/>
  <c r="I146" i="52"/>
  <c r="G146" i="52"/>
  <c r="E146" i="52"/>
  <c r="C146" i="52"/>
  <c r="B146" i="52"/>
  <c r="U145" i="52"/>
  <c r="S145" i="52"/>
  <c r="Q145" i="52"/>
  <c r="O145" i="52"/>
  <c r="M145" i="52"/>
  <c r="K145" i="52"/>
  <c r="I145" i="52"/>
  <c r="G145" i="52"/>
  <c r="E145" i="52"/>
  <c r="C145" i="52"/>
  <c r="B145" i="52"/>
  <c r="U144" i="52"/>
  <c r="T144" i="52"/>
  <c r="S144" i="52"/>
  <c r="R144" i="52"/>
  <c r="Q144" i="52"/>
  <c r="P144" i="52"/>
  <c r="O144" i="52"/>
  <c r="N144" i="52"/>
  <c r="M144" i="52"/>
  <c r="L144" i="52"/>
  <c r="K144" i="52"/>
  <c r="J144" i="52"/>
  <c r="I144" i="52"/>
  <c r="H144" i="52"/>
  <c r="G144" i="52"/>
  <c r="F144" i="52"/>
  <c r="E144" i="52"/>
  <c r="D144" i="52"/>
  <c r="C144" i="52"/>
  <c r="B144" i="52"/>
  <c r="U143" i="52"/>
  <c r="S143" i="52"/>
  <c r="Q143" i="52"/>
  <c r="O143" i="52"/>
  <c r="M143" i="52"/>
  <c r="K143" i="52"/>
  <c r="I143" i="52"/>
  <c r="G143" i="52"/>
  <c r="E143" i="52"/>
  <c r="C143" i="52"/>
  <c r="B143" i="52"/>
  <c r="U142" i="52"/>
  <c r="S142" i="52"/>
  <c r="Q142" i="52"/>
  <c r="O142" i="52"/>
  <c r="M142" i="52"/>
  <c r="K142" i="52"/>
  <c r="I142" i="52"/>
  <c r="G142" i="52"/>
  <c r="E142" i="52"/>
  <c r="C142" i="52"/>
  <c r="B142" i="52"/>
  <c r="V140" i="52"/>
  <c r="T140" i="52"/>
  <c r="R140" i="52"/>
  <c r="P140" i="52"/>
  <c r="N140" i="52"/>
  <c r="L140" i="52"/>
  <c r="J140" i="52"/>
  <c r="H140" i="52"/>
  <c r="F140" i="52"/>
  <c r="D140" i="52"/>
  <c r="C140" i="52"/>
  <c r="B140" i="52"/>
  <c r="C139" i="52"/>
  <c r="B139" i="52"/>
  <c r="V138" i="52"/>
  <c r="T138" i="52"/>
  <c r="R138" i="52"/>
  <c r="P138" i="52"/>
  <c r="N138" i="52"/>
  <c r="L138" i="52"/>
  <c r="J138" i="52"/>
  <c r="H138" i="52"/>
  <c r="F138" i="52"/>
  <c r="D138" i="52"/>
  <c r="C138" i="52"/>
  <c r="T137" i="52"/>
  <c r="R137" i="52"/>
  <c r="P137" i="52"/>
  <c r="N137" i="52"/>
  <c r="L137" i="52"/>
  <c r="J137" i="52"/>
  <c r="H137" i="52"/>
  <c r="F137" i="52"/>
  <c r="D137" i="52"/>
  <c r="C137" i="52"/>
  <c r="T136" i="52"/>
  <c r="R136" i="52"/>
  <c r="P136" i="52"/>
  <c r="N136" i="52"/>
  <c r="L136" i="52"/>
  <c r="J136" i="52"/>
  <c r="H136" i="52"/>
  <c r="F136" i="52"/>
  <c r="D136" i="52"/>
  <c r="C136" i="52"/>
  <c r="T135" i="52"/>
  <c r="R135" i="52"/>
  <c r="P135" i="52"/>
  <c r="N135" i="52"/>
  <c r="L135" i="52"/>
  <c r="J135" i="52"/>
  <c r="H135" i="52"/>
  <c r="F135" i="52"/>
  <c r="D135" i="52"/>
  <c r="C135" i="52"/>
  <c r="T134" i="52"/>
  <c r="R134" i="52"/>
  <c r="P134" i="52"/>
  <c r="N134" i="52"/>
  <c r="L134" i="52"/>
  <c r="J134" i="52"/>
  <c r="H134" i="52"/>
  <c r="F134" i="52"/>
  <c r="D134" i="52"/>
  <c r="C134" i="52"/>
  <c r="T133" i="52"/>
  <c r="R133" i="52"/>
  <c r="P133" i="52"/>
  <c r="N133" i="52"/>
  <c r="L133" i="52"/>
  <c r="J133" i="52"/>
  <c r="H133" i="52"/>
  <c r="F133" i="52"/>
  <c r="D133" i="52"/>
  <c r="C133" i="52"/>
  <c r="V132" i="52"/>
  <c r="T132" i="52"/>
  <c r="R132" i="52"/>
  <c r="P132" i="52"/>
  <c r="N132" i="52"/>
  <c r="L132" i="52"/>
  <c r="J132" i="52"/>
  <c r="H132" i="52"/>
  <c r="F132" i="52"/>
  <c r="D132" i="52"/>
  <c r="C132" i="52"/>
  <c r="T131" i="52"/>
  <c r="R131" i="52"/>
  <c r="P131" i="52"/>
  <c r="N131" i="52"/>
  <c r="L131" i="52"/>
  <c r="J131" i="52"/>
  <c r="H131" i="52"/>
  <c r="F131" i="52"/>
  <c r="D131" i="52"/>
  <c r="C131" i="52"/>
  <c r="T130" i="52"/>
  <c r="R130" i="52"/>
  <c r="P130" i="52"/>
  <c r="N130" i="52"/>
  <c r="L130" i="52"/>
  <c r="J130" i="52"/>
  <c r="H130" i="52"/>
  <c r="F130" i="52"/>
  <c r="D130" i="52"/>
  <c r="C130" i="52"/>
  <c r="T129" i="52"/>
  <c r="R129" i="52"/>
  <c r="P129" i="52"/>
  <c r="N129" i="52"/>
  <c r="L129" i="52"/>
  <c r="J129" i="52"/>
  <c r="H129" i="52"/>
  <c r="F129" i="52"/>
  <c r="D129" i="52"/>
  <c r="C129" i="52"/>
  <c r="T128" i="52"/>
  <c r="R128" i="52"/>
  <c r="P128" i="52"/>
  <c r="N128" i="52"/>
  <c r="L128" i="52"/>
  <c r="J128" i="52"/>
  <c r="H128" i="52"/>
  <c r="F128" i="52"/>
  <c r="D128" i="52"/>
  <c r="C128" i="52"/>
  <c r="T127" i="52"/>
  <c r="R127" i="52"/>
  <c r="P127" i="52"/>
  <c r="N127" i="52"/>
  <c r="L127" i="52"/>
  <c r="J127" i="52"/>
  <c r="H127" i="52"/>
  <c r="F127" i="52"/>
  <c r="D127" i="52"/>
  <c r="C127" i="52"/>
  <c r="AA123" i="52"/>
  <c r="BU127" i="52" s="1"/>
  <c r="BU128" i="52" s="1"/>
  <c r="BU129" i="52" s="1"/>
  <c r="BU130" i="52" s="1"/>
  <c r="BU131" i="52" s="1"/>
  <c r="BU132" i="52" s="1"/>
  <c r="BU133" i="52" s="1"/>
  <c r="BU134" i="52" s="1"/>
  <c r="BU135" i="52" s="1"/>
  <c r="BU136" i="52" s="1"/>
  <c r="BU137" i="52" s="1"/>
  <c r="BU138" i="52" s="1"/>
  <c r="T122" i="52"/>
  <c r="D121" i="52"/>
  <c r="B121" i="52"/>
  <c r="U119" i="52"/>
  <c r="S119" i="52"/>
  <c r="Q119" i="52"/>
  <c r="O119" i="52"/>
  <c r="M119" i="52"/>
  <c r="K119" i="52"/>
  <c r="I119" i="52"/>
  <c r="G119" i="52"/>
  <c r="E119" i="52"/>
  <c r="C119" i="52"/>
  <c r="B119" i="52"/>
  <c r="U118" i="52"/>
  <c r="S118" i="52"/>
  <c r="Q118" i="52"/>
  <c r="O118" i="52"/>
  <c r="M118" i="52"/>
  <c r="K118" i="52"/>
  <c r="I118" i="52"/>
  <c r="G118" i="52"/>
  <c r="E118" i="52"/>
  <c r="C118" i="52"/>
  <c r="B118" i="52"/>
  <c r="U117" i="52"/>
  <c r="S117" i="52"/>
  <c r="Q117" i="52"/>
  <c r="O117" i="52"/>
  <c r="M117" i="52"/>
  <c r="K117" i="52"/>
  <c r="I117" i="52"/>
  <c r="G117" i="52"/>
  <c r="E117" i="52"/>
  <c r="C117" i="52"/>
  <c r="B117" i="52"/>
  <c r="U116" i="52"/>
  <c r="S116" i="52"/>
  <c r="Q116" i="52"/>
  <c r="O116" i="52"/>
  <c r="M116" i="52"/>
  <c r="K116" i="52"/>
  <c r="I116" i="52"/>
  <c r="G116" i="52"/>
  <c r="E116" i="52"/>
  <c r="C116" i="52"/>
  <c r="B116" i="52"/>
  <c r="U115" i="52"/>
  <c r="S115" i="52"/>
  <c r="Q115" i="52"/>
  <c r="O115" i="52"/>
  <c r="M115" i="52"/>
  <c r="K115" i="52"/>
  <c r="I115" i="52"/>
  <c r="G115" i="52"/>
  <c r="E115" i="52"/>
  <c r="C115" i="52"/>
  <c r="B115" i="52"/>
  <c r="U114" i="52"/>
  <c r="T114" i="52"/>
  <c r="S114" i="52"/>
  <c r="R114" i="52"/>
  <c r="Q114" i="52"/>
  <c r="P114" i="52"/>
  <c r="O114" i="52"/>
  <c r="N114" i="52"/>
  <c r="M114" i="52"/>
  <c r="L114" i="52"/>
  <c r="K114" i="52"/>
  <c r="J114" i="52"/>
  <c r="I114" i="52"/>
  <c r="H114" i="52"/>
  <c r="G114" i="52"/>
  <c r="F114" i="52"/>
  <c r="E114" i="52"/>
  <c r="D114" i="52"/>
  <c r="C114" i="52"/>
  <c r="B114" i="52"/>
  <c r="U113" i="52"/>
  <c r="S113" i="52"/>
  <c r="Q113" i="52"/>
  <c r="O113" i="52"/>
  <c r="M113" i="52"/>
  <c r="K113" i="52"/>
  <c r="I113" i="52"/>
  <c r="G113" i="52"/>
  <c r="E113" i="52"/>
  <c r="C113" i="52"/>
  <c r="B113" i="52"/>
  <c r="U112" i="52"/>
  <c r="S112" i="52"/>
  <c r="Q112" i="52"/>
  <c r="O112" i="52"/>
  <c r="M112" i="52"/>
  <c r="K112" i="52"/>
  <c r="I112" i="52"/>
  <c r="G112" i="52"/>
  <c r="E112" i="52"/>
  <c r="C112" i="52"/>
  <c r="B112" i="52"/>
  <c r="V110" i="52"/>
  <c r="T110" i="52"/>
  <c r="R110" i="52"/>
  <c r="P110" i="52"/>
  <c r="N110" i="52"/>
  <c r="L110" i="52"/>
  <c r="J110" i="52"/>
  <c r="H110" i="52"/>
  <c r="F110" i="52"/>
  <c r="D110" i="52"/>
  <c r="C110" i="52"/>
  <c r="B110" i="52"/>
  <c r="R199" i="52"/>
  <c r="C109" i="52"/>
  <c r="B109" i="52"/>
  <c r="V198" i="52"/>
  <c r="T108" i="52"/>
  <c r="R108" i="52"/>
  <c r="P108" i="52"/>
  <c r="N108" i="52"/>
  <c r="L108" i="52"/>
  <c r="J108" i="52"/>
  <c r="H108" i="52"/>
  <c r="F108" i="52"/>
  <c r="D108" i="52"/>
  <c r="C108" i="52"/>
  <c r="T107" i="52"/>
  <c r="R107" i="52"/>
  <c r="P107" i="52"/>
  <c r="N107" i="52"/>
  <c r="L107" i="52"/>
  <c r="J107" i="52"/>
  <c r="H107" i="52"/>
  <c r="F107" i="52"/>
  <c r="D107" i="52"/>
  <c r="C107" i="52"/>
  <c r="T106" i="52"/>
  <c r="R106" i="52"/>
  <c r="P106" i="52"/>
  <c r="N106" i="52"/>
  <c r="L106" i="52"/>
  <c r="J106" i="52"/>
  <c r="H106" i="52"/>
  <c r="F106" i="52"/>
  <c r="D106" i="52"/>
  <c r="C106" i="52"/>
  <c r="T105" i="52"/>
  <c r="R105" i="52"/>
  <c r="P105" i="52"/>
  <c r="N105" i="52"/>
  <c r="L105" i="52"/>
  <c r="J105" i="52"/>
  <c r="H105" i="52"/>
  <c r="F105" i="52"/>
  <c r="D105" i="52"/>
  <c r="C105" i="52"/>
  <c r="T104" i="52"/>
  <c r="R104" i="52"/>
  <c r="P104" i="52"/>
  <c r="N104" i="52"/>
  <c r="L104" i="52"/>
  <c r="J104" i="52"/>
  <c r="H104" i="52"/>
  <c r="F104" i="52"/>
  <c r="D104" i="52"/>
  <c r="C104" i="52"/>
  <c r="T103" i="52"/>
  <c r="R103" i="52"/>
  <c r="P103" i="52"/>
  <c r="N103" i="52"/>
  <c r="L103" i="52"/>
  <c r="J103" i="52"/>
  <c r="H103" i="52"/>
  <c r="F103" i="52"/>
  <c r="D103" i="52"/>
  <c r="C103" i="52"/>
  <c r="T102" i="52"/>
  <c r="R102" i="52"/>
  <c r="P102" i="52"/>
  <c r="N102" i="52"/>
  <c r="L102" i="52"/>
  <c r="J102" i="52"/>
  <c r="H102" i="52"/>
  <c r="F102" i="52"/>
  <c r="D102" i="52"/>
  <c r="C102" i="52"/>
  <c r="T101" i="52"/>
  <c r="R101" i="52"/>
  <c r="P101" i="52"/>
  <c r="N101" i="52"/>
  <c r="L101" i="52"/>
  <c r="J101" i="52"/>
  <c r="H101" i="52"/>
  <c r="F101" i="52"/>
  <c r="D101" i="52"/>
  <c r="C101" i="52"/>
  <c r="T100" i="52"/>
  <c r="R100" i="52"/>
  <c r="P100" i="52"/>
  <c r="N100" i="52"/>
  <c r="L100" i="52"/>
  <c r="J100" i="52"/>
  <c r="H100" i="52"/>
  <c r="F100" i="52"/>
  <c r="D100" i="52"/>
  <c r="C100" i="52"/>
  <c r="T99" i="52"/>
  <c r="R99" i="52"/>
  <c r="P99" i="52"/>
  <c r="N99" i="52"/>
  <c r="L99" i="52"/>
  <c r="J99" i="52"/>
  <c r="H99" i="52"/>
  <c r="F99" i="52"/>
  <c r="D99" i="52"/>
  <c r="C99" i="52"/>
  <c r="T98" i="52"/>
  <c r="R98" i="52"/>
  <c r="P98" i="52"/>
  <c r="N98" i="52"/>
  <c r="L98" i="52"/>
  <c r="J98" i="52"/>
  <c r="H98" i="52"/>
  <c r="F98" i="52"/>
  <c r="D98" i="52"/>
  <c r="C98" i="52"/>
  <c r="T97" i="52"/>
  <c r="R97" i="52"/>
  <c r="P97" i="52"/>
  <c r="N97" i="52"/>
  <c r="L97" i="52"/>
  <c r="J97" i="52"/>
  <c r="H97" i="52"/>
  <c r="F97" i="52"/>
  <c r="D97" i="52"/>
  <c r="C97" i="52"/>
  <c r="AA93" i="52"/>
  <c r="BU97" i="52" s="1"/>
  <c r="BU98" i="52" s="1"/>
  <c r="BU99" i="52" s="1"/>
  <c r="BU100" i="52" s="1"/>
  <c r="BU101" i="52" s="1"/>
  <c r="BU102" i="52" s="1"/>
  <c r="BU103" i="52" s="1"/>
  <c r="BU104" i="52" s="1"/>
  <c r="BU105" i="52" s="1"/>
  <c r="BU106" i="52" s="1"/>
  <c r="BU107" i="52" s="1"/>
  <c r="BU108" i="52" s="1"/>
  <c r="T92" i="52"/>
  <c r="D91" i="52"/>
  <c r="B91" i="52"/>
  <c r="U89" i="52"/>
  <c r="S89" i="52"/>
  <c r="Q89" i="52"/>
  <c r="O89" i="52"/>
  <c r="M89" i="52"/>
  <c r="K89" i="52"/>
  <c r="I89" i="52"/>
  <c r="G89" i="52"/>
  <c r="E89" i="52"/>
  <c r="C89" i="52"/>
  <c r="B89" i="52"/>
  <c r="U88" i="52"/>
  <c r="S88" i="52"/>
  <c r="Q88" i="52"/>
  <c r="O88" i="52"/>
  <c r="M88" i="52"/>
  <c r="K88" i="52"/>
  <c r="I88" i="52"/>
  <c r="G88" i="52"/>
  <c r="E88" i="52"/>
  <c r="C88" i="52"/>
  <c r="B88" i="52"/>
  <c r="U87" i="52"/>
  <c r="S87" i="52"/>
  <c r="Q87" i="52"/>
  <c r="O87" i="52"/>
  <c r="M87" i="52"/>
  <c r="K87" i="52"/>
  <c r="I87" i="52"/>
  <c r="G87" i="52"/>
  <c r="E87" i="52"/>
  <c r="C87" i="52"/>
  <c r="B87" i="52"/>
  <c r="U86" i="52"/>
  <c r="S86" i="52"/>
  <c r="Q86" i="52"/>
  <c r="O86" i="52"/>
  <c r="M86" i="52"/>
  <c r="K86" i="52"/>
  <c r="I86" i="52"/>
  <c r="G86" i="52"/>
  <c r="E86" i="52"/>
  <c r="C86" i="52"/>
  <c r="B86" i="52"/>
  <c r="U85" i="52"/>
  <c r="S85" i="52"/>
  <c r="Q85" i="52"/>
  <c r="O85" i="52"/>
  <c r="M85" i="52"/>
  <c r="K85" i="52"/>
  <c r="I85" i="52"/>
  <c r="G85" i="52"/>
  <c r="E85" i="52"/>
  <c r="C85" i="52"/>
  <c r="B85" i="52"/>
  <c r="U84" i="52"/>
  <c r="T84" i="52"/>
  <c r="S84" i="52"/>
  <c r="R84" i="52"/>
  <c r="Q84" i="52"/>
  <c r="P84" i="52"/>
  <c r="O84" i="52"/>
  <c r="N84" i="52"/>
  <c r="M84" i="52"/>
  <c r="L84" i="52"/>
  <c r="K84" i="52"/>
  <c r="J84" i="52"/>
  <c r="I84" i="52"/>
  <c r="H84" i="52"/>
  <c r="G84" i="52"/>
  <c r="F84" i="52"/>
  <c r="E84" i="52"/>
  <c r="D84" i="52"/>
  <c r="C84" i="52"/>
  <c r="B84" i="52"/>
  <c r="U83" i="52"/>
  <c r="S83" i="52"/>
  <c r="Q83" i="52"/>
  <c r="O83" i="52"/>
  <c r="M83" i="52"/>
  <c r="K83" i="52"/>
  <c r="I83" i="52"/>
  <c r="G83" i="52"/>
  <c r="E83" i="52"/>
  <c r="C83" i="52"/>
  <c r="B83" i="52"/>
  <c r="U82" i="52"/>
  <c r="S82" i="52"/>
  <c r="Q82" i="52"/>
  <c r="O82" i="52"/>
  <c r="M82" i="52"/>
  <c r="K82" i="52"/>
  <c r="I82" i="52"/>
  <c r="G82" i="52"/>
  <c r="E82" i="52"/>
  <c r="C82" i="52"/>
  <c r="B82" i="52"/>
  <c r="V80" i="52"/>
  <c r="T80" i="52"/>
  <c r="R80" i="52"/>
  <c r="P80" i="52"/>
  <c r="N80" i="52"/>
  <c r="L80" i="52"/>
  <c r="J80" i="52"/>
  <c r="H80" i="52"/>
  <c r="F80" i="52"/>
  <c r="D80" i="52"/>
  <c r="C80" i="52"/>
  <c r="B80" i="52"/>
  <c r="F259" i="52"/>
  <c r="C79" i="52"/>
  <c r="B79" i="52"/>
  <c r="T78" i="52"/>
  <c r="R78" i="52"/>
  <c r="P78" i="52"/>
  <c r="N78" i="52"/>
  <c r="L78" i="52"/>
  <c r="J78" i="52"/>
  <c r="H78" i="52"/>
  <c r="F78" i="52"/>
  <c r="D78" i="52"/>
  <c r="C78" i="52"/>
  <c r="V77" i="52"/>
  <c r="T77" i="52"/>
  <c r="R77" i="52"/>
  <c r="P77" i="52"/>
  <c r="N77" i="52"/>
  <c r="L77" i="52"/>
  <c r="J77" i="52"/>
  <c r="H77" i="52"/>
  <c r="F77" i="52"/>
  <c r="D77" i="52"/>
  <c r="C77" i="52"/>
  <c r="T76" i="52"/>
  <c r="R76" i="52"/>
  <c r="P76" i="52"/>
  <c r="N76" i="52"/>
  <c r="L76" i="52"/>
  <c r="J76" i="52"/>
  <c r="H76" i="52"/>
  <c r="F76" i="52"/>
  <c r="D76" i="52"/>
  <c r="C76" i="52"/>
  <c r="T75" i="52"/>
  <c r="R75" i="52"/>
  <c r="P75" i="52"/>
  <c r="N75" i="52"/>
  <c r="L75" i="52"/>
  <c r="J75" i="52"/>
  <c r="H75" i="52"/>
  <c r="F75" i="52"/>
  <c r="D75" i="52"/>
  <c r="C75" i="52"/>
  <c r="T74" i="52"/>
  <c r="R74" i="52"/>
  <c r="P74" i="52"/>
  <c r="N74" i="52"/>
  <c r="L74" i="52"/>
  <c r="J74" i="52"/>
  <c r="H74" i="52"/>
  <c r="F74" i="52"/>
  <c r="D74" i="52"/>
  <c r="C74" i="52"/>
  <c r="T73" i="52"/>
  <c r="R73" i="52"/>
  <c r="P73" i="52"/>
  <c r="N73" i="52"/>
  <c r="L73" i="52"/>
  <c r="J73" i="52"/>
  <c r="H73" i="52"/>
  <c r="F73" i="52"/>
  <c r="D73" i="52"/>
  <c r="C73" i="52"/>
  <c r="T72" i="52"/>
  <c r="R72" i="52"/>
  <c r="P72" i="52"/>
  <c r="N72" i="52"/>
  <c r="L72" i="52"/>
  <c r="J72" i="52"/>
  <c r="H72" i="52"/>
  <c r="F72" i="52"/>
  <c r="D72" i="52"/>
  <c r="C72" i="52"/>
  <c r="T71" i="52"/>
  <c r="R71" i="52"/>
  <c r="P71" i="52"/>
  <c r="N71" i="52"/>
  <c r="L71" i="52"/>
  <c r="J71" i="52"/>
  <c r="H71" i="52"/>
  <c r="F71" i="52"/>
  <c r="D71" i="52"/>
  <c r="C71" i="52"/>
  <c r="T70" i="52"/>
  <c r="R70" i="52"/>
  <c r="P70" i="52"/>
  <c r="N70" i="52"/>
  <c r="L70" i="52"/>
  <c r="J70" i="52"/>
  <c r="H70" i="52"/>
  <c r="F70" i="52"/>
  <c r="D70" i="52"/>
  <c r="C70" i="52"/>
  <c r="T69" i="52"/>
  <c r="R69" i="52"/>
  <c r="P69" i="52"/>
  <c r="N69" i="52"/>
  <c r="L69" i="52"/>
  <c r="J69" i="52"/>
  <c r="H69" i="52"/>
  <c r="F69" i="52"/>
  <c r="D69" i="52"/>
  <c r="C69" i="52"/>
  <c r="T68" i="52"/>
  <c r="R68" i="52"/>
  <c r="P68" i="52"/>
  <c r="N68" i="52"/>
  <c r="L68" i="52"/>
  <c r="J68" i="52"/>
  <c r="H68" i="52"/>
  <c r="F68" i="52"/>
  <c r="D68" i="52"/>
  <c r="C68" i="52"/>
  <c r="T67" i="52"/>
  <c r="R67" i="52"/>
  <c r="P67" i="52"/>
  <c r="N67" i="52"/>
  <c r="L67" i="52"/>
  <c r="J67" i="52"/>
  <c r="H67" i="52"/>
  <c r="F67" i="52"/>
  <c r="D67" i="52"/>
  <c r="C67" i="52"/>
  <c r="AA63" i="52"/>
  <c r="BU67" i="52" s="1"/>
  <c r="BU68" i="52" s="1"/>
  <c r="BU69" i="52" s="1"/>
  <c r="BU70" i="52" s="1"/>
  <c r="BU71" i="52" s="1"/>
  <c r="BU72" i="52" s="1"/>
  <c r="BU73" i="52" s="1"/>
  <c r="BU74" i="52" s="1"/>
  <c r="BU75" i="52" s="1"/>
  <c r="BU76" i="52" s="1"/>
  <c r="BU77" i="52" s="1"/>
  <c r="BU78" i="52" s="1"/>
  <c r="T62" i="52"/>
  <c r="D61" i="52"/>
  <c r="B61" i="52"/>
  <c r="U59" i="52"/>
  <c r="S59" i="52"/>
  <c r="Q59" i="52"/>
  <c r="O59" i="52"/>
  <c r="M59" i="52"/>
  <c r="K59" i="52"/>
  <c r="I59" i="52"/>
  <c r="G59" i="52"/>
  <c r="E59" i="52"/>
  <c r="C59" i="52"/>
  <c r="B59" i="52"/>
  <c r="U58" i="52"/>
  <c r="S58" i="52"/>
  <c r="Q58" i="52"/>
  <c r="O58" i="52"/>
  <c r="M58" i="52"/>
  <c r="K58" i="52"/>
  <c r="I58" i="52"/>
  <c r="G58" i="52"/>
  <c r="E58" i="52"/>
  <c r="C58" i="52"/>
  <c r="B58" i="52"/>
  <c r="U57" i="52"/>
  <c r="S57" i="52"/>
  <c r="Q57" i="52"/>
  <c r="O57" i="52"/>
  <c r="M57" i="52"/>
  <c r="K57" i="52"/>
  <c r="I57" i="52"/>
  <c r="G57" i="52"/>
  <c r="E57" i="52"/>
  <c r="C57" i="52"/>
  <c r="B57" i="52"/>
  <c r="U56" i="52"/>
  <c r="S56" i="52"/>
  <c r="Q56" i="52"/>
  <c r="O56" i="52"/>
  <c r="M56" i="52"/>
  <c r="K56" i="52"/>
  <c r="I56" i="52"/>
  <c r="G56" i="52"/>
  <c r="E56" i="52"/>
  <c r="C56" i="52"/>
  <c r="B56" i="52"/>
  <c r="U55" i="52"/>
  <c r="S55" i="52"/>
  <c r="Q55" i="52"/>
  <c r="O55" i="52"/>
  <c r="M55" i="52"/>
  <c r="K55" i="52"/>
  <c r="I55" i="52"/>
  <c r="G55" i="52"/>
  <c r="E55" i="52"/>
  <c r="C55" i="52"/>
  <c r="B55" i="52"/>
  <c r="U54" i="52"/>
  <c r="T54" i="52"/>
  <c r="S54" i="52"/>
  <c r="R54" i="52"/>
  <c r="Q54" i="52"/>
  <c r="P54" i="52"/>
  <c r="O54" i="52"/>
  <c r="N54" i="52"/>
  <c r="M54" i="52"/>
  <c r="L54" i="52"/>
  <c r="K54" i="52"/>
  <c r="J54" i="52"/>
  <c r="I54" i="52"/>
  <c r="H54" i="52"/>
  <c r="G54" i="52"/>
  <c r="F54" i="52"/>
  <c r="E54" i="52"/>
  <c r="D54" i="52"/>
  <c r="C54" i="52"/>
  <c r="B54" i="52"/>
  <c r="U53" i="52"/>
  <c r="S53" i="52"/>
  <c r="Q53" i="52"/>
  <c r="O53" i="52"/>
  <c r="M53" i="52"/>
  <c r="K53" i="52"/>
  <c r="I53" i="52"/>
  <c r="G53" i="52"/>
  <c r="E53" i="52"/>
  <c r="C53" i="52"/>
  <c r="B53" i="52"/>
  <c r="U52" i="52"/>
  <c r="S52" i="52"/>
  <c r="Q52" i="52"/>
  <c r="O52" i="52"/>
  <c r="M52" i="52"/>
  <c r="K52" i="52"/>
  <c r="I52" i="52"/>
  <c r="G52" i="52"/>
  <c r="E52" i="52"/>
  <c r="C52" i="52"/>
  <c r="B52" i="52"/>
  <c r="V50" i="52"/>
  <c r="T50" i="52"/>
  <c r="R50" i="52"/>
  <c r="P50" i="52"/>
  <c r="N50" i="52"/>
  <c r="L50" i="52"/>
  <c r="J50" i="52"/>
  <c r="H50" i="52"/>
  <c r="F50" i="52"/>
  <c r="D50" i="52"/>
  <c r="C50" i="52"/>
  <c r="B50" i="52"/>
  <c r="D49" i="52"/>
  <c r="C49" i="52"/>
  <c r="B49" i="52"/>
  <c r="T48" i="52"/>
  <c r="R48" i="52"/>
  <c r="P48" i="52"/>
  <c r="N48" i="52"/>
  <c r="L48" i="52"/>
  <c r="J48" i="52"/>
  <c r="H48" i="52"/>
  <c r="F48" i="52"/>
  <c r="D48" i="52"/>
  <c r="C48" i="52"/>
  <c r="T47" i="52"/>
  <c r="R47" i="52"/>
  <c r="P47" i="52"/>
  <c r="N47" i="52"/>
  <c r="L47" i="52"/>
  <c r="J47" i="52"/>
  <c r="H47" i="52"/>
  <c r="F47" i="52"/>
  <c r="D47" i="52"/>
  <c r="C47" i="52"/>
  <c r="T46" i="52"/>
  <c r="R46" i="52"/>
  <c r="P46" i="52"/>
  <c r="N46" i="52"/>
  <c r="L46" i="52"/>
  <c r="J46" i="52"/>
  <c r="H46" i="52"/>
  <c r="F46" i="52"/>
  <c r="D46" i="52"/>
  <c r="C46" i="52"/>
  <c r="T45" i="52"/>
  <c r="R45" i="52"/>
  <c r="P45" i="52"/>
  <c r="N45" i="52"/>
  <c r="L45" i="52"/>
  <c r="J45" i="52"/>
  <c r="H45" i="52"/>
  <c r="F45" i="52"/>
  <c r="D45" i="52"/>
  <c r="C45" i="52"/>
  <c r="T44" i="52"/>
  <c r="R44" i="52"/>
  <c r="P44" i="52"/>
  <c r="N44" i="52"/>
  <c r="L44" i="52"/>
  <c r="J44" i="52"/>
  <c r="H44" i="52"/>
  <c r="F44" i="52"/>
  <c r="D44" i="52"/>
  <c r="C44" i="52"/>
  <c r="T43" i="52"/>
  <c r="R43" i="52"/>
  <c r="P43" i="52"/>
  <c r="N43" i="52"/>
  <c r="L43" i="52"/>
  <c r="J43" i="52"/>
  <c r="H43" i="52"/>
  <c r="F43" i="52"/>
  <c r="D43" i="52"/>
  <c r="C43" i="52"/>
  <c r="T42" i="52"/>
  <c r="R42" i="52"/>
  <c r="P42" i="52"/>
  <c r="N42" i="52"/>
  <c r="L42" i="52"/>
  <c r="J42" i="52"/>
  <c r="H42" i="52"/>
  <c r="F42" i="52"/>
  <c r="D42" i="52"/>
  <c r="C42" i="52"/>
  <c r="T41" i="52"/>
  <c r="R41" i="52"/>
  <c r="P41" i="52"/>
  <c r="N41" i="52"/>
  <c r="L41" i="52"/>
  <c r="J41" i="52"/>
  <c r="H41" i="52"/>
  <c r="F41" i="52"/>
  <c r="D41" i="52"/>
  <c r="C41" i="52"/>
  <c r="T40" i="52"/>
  <c r="R40" i="52"/>
  <c r="P40" i="52"/>
  <c r="N40" i="52"/>
  <c r="L40" i="52"/>
  <c r="J40" i="52"/>
  <c r="H40" i="52"/>
  <c r="F40" i="52"/>
  <c r="D40" i="52"/>
  <c r="C40" i="52"/>
  <c r="T39" i="52"/>
  <c r="R39" i="52"/>
  <c r="P39" i="52"/>
  <c r="N39" i="52"/>
  <c r="L39" i="52"/>
  <c r="J39" i="52"/>
  <c r="H39" i="52"/>
  <c r="F39" i="52"/>
  <c r="D39" i="52"/>
  <c r="C39" i="52"/>
  <c r="T38" i="52"/>
  <c r="R38" i="52"/>
  <c r="P38" i="52"/>
  <c r="N38" i="52"/>
  <c r="L38" i="52"/>
  <c r="J38" i="52"/>
  <c r="H38" i="52"/>
  <c r="F38" i="52"/>
  <c r="D38" i="52"/>
  <c r="C38" i="52"/>
  <c r="T37" i="52"/>
  <c r="R37" i="52"/>
  <c r="P37" i="52"/>
  <c r="N37" i="52"/>
  <c r="L37" i="52"/>
  <c r="J37" i="52"/>
  <c r="H37" i="52"/>
  <c r="F37" i="52"/>
  <c r="D37" i="52"/>
  <c r="C37" i="52"/>
  <c r="AA33" i="52"/>
  <c r="T32" i="52"/>
  <c r="D31" i="52"/>
  <c r="B31" i="52"/>
  <c r="U29" i="52"/>
  <c r="S29" i="52"/>
  <c r="Q29" i="52"/>
  <c r="O29" i="52"/>
  <c r="M29" i="52"/>
  <c r="K29" i="52"/>
  <c r="I29" i="52"/>
  <c r="G29" i="52"/>
  <c r="E29" i="52"/>
  <c r="C29" i="52"/>
  <c r="B29" i="52"/>
  <c r="U28" i="52"/>
  <c r="S28" i="52"/>
  <c r="Q28" i="52"/>
  <c r="O28" i="52"/>
  <c r="M28" i="52"/>
  <c r="K28" i="52"/>
  <c r="I28" i="52"/>
  <c r="G28" i="52"/>
  <c r="E28" i="52"/>
  <c r="C28" i="52"/>
  <c r="B28" i="52"/>
  <c r="U27" i="52"/>
  <c r="S27" i="52"/>
  <c r="Q27" i="52"/>
  <c r="O27" i="52"/>
  <c r="M27" i="52"/>
  <c r="K27" i="52"/>
  <c r="I27" i="52"/>
  <c r="G27" i="52"/>
  <c r="E27" i="52"/>
  <c r="C27" i="52"/>
  <c r="B27" i="52"/>
  <c r="U26" i="52"/>
  <c r="S26" i="52"/>
  <c r="Q26" i="52"/>
  <c r="O26" i="52"/>
  <c r="M26" i="52"/>
  <c r="K26" i="52"/>
  <c r="I26" i="52"/>
  <c r="G26" i="52"/>
  <c r="E26" i="52"/>
  <c r="C26" i="52"/>
  <c r="B26" i="52"/>
  <c r="U25" i="52"/>
  <c r="S25" i="52"/>
  <c r="Q25" i="52"/>
  <c r="O25" i="52"/>
  <c r="M25" i="52"/>
  <c r="K25" i="52"/>
  <c r="I25" i="52"/>
  <c r="G25" i="52"/>
  <c r="E25" i="52"/>
  <c r="C25" i="52"/>
  <c r="B25" i="52"/>
  <c r="U24" i="52"/>
  <c r="T24" i="52"/>
  <c r="S24" i="52"/>
  <c r="R24" i="52"/>
  <c r="Q24" i="52"/>
  <c r="P24" i="52"/>
  <c r="O24" i="52"/>
  <c r="N24" i="52"/>
  <c r="M24" i="52"/>
  <c r="L24" i="52"/>
  <c r="K24" i="52"/>
  <c r="J24" i="52"/>
  <c r="I24" i="52"/>
  <c r="H24" i="52"/>
  <c r="G24" i="52"/>
  <c r="F24" i="52"/>
  <c r="E24" i="52"/>
  <c r="D24" i="52"/>
  <c r="C24" i="52"/>
  <c r="B24" i="52"/>
  <c r="U23" i="52"/>
  <c r="S23" i="52"/>
  <c r="Q23" i="52"/>
  <c r="O23" i="52"/>
  <c r="M23" i="52"/>
  <c r="K23" i="52"/>
  <c r="I23" i="52"/>
  <c r="G23" i="52"/>
  <c r="E23" i="52"/>
  <c r="C23" i="52"/>
  <c r="B23" i="52"/>
  <c r="U22" i="52"/>
  <c r="S22" i="52"/>
  <c r="Q22" i="52"/>
  <c r="O22" i="52"/>
  <c r="M22" i="52"/>
  <c r="K22" i="52"/>
  <c r="I22" i="52"/>
  <c r="G22" i="52"/>
  <c r="E22" i="52"/>
  <c r="C22" i="52"/>
  <c r="B22" i="52"/>
  <c r="V20" i="52"/>
  <c r="T20" i="52"/>
  <c r="R20" i="52"/>
  <c r="P20" i="52"/>
  <c r="N20" i="52"/>
  <c r="L20" i="52"/>
  <c r="J20" i="52"/>
  <c r="H20" i="52"/>
  <c r="F20" i="52"/>
  <c r="D20" i="52"/>
  <c r="C20" i="52"/>
  <c r="B20" i="52"/>
  <c r="C19" i="52"/>
  <c r="B19" i="52"/>
  <c r="T18" i="52"/>
  <c r="R18" i="52"/>
  <c r="P18" i="52"/>
  <c r="N18" i="52"/>
  <c r="L18" i="52"/>
  <c r="J18" i="52"/>
  <c r="H18" i="52"/>
  <c r="F18" i="52"/>
  <c r="D18" i="52"/>
  <c r="C18" i="52"/>
  <c r="T17" i="52"/>
  <c r="R17" i="52"/>
  <c r="P17" i="52"/>
  <c r="N17" i="52"/>
  <c r="L17" i="52"/>
  <c r="J17" i="52"/>
  <c r="H17" i="52"/>
  <c r="F17" i="52"/>
  <c r="D17" i="52"/>
  <c r="C17" i="52"/>
  <c r="T16" i="52"/>
  <c r="R16" i="52"/>
  <c r="P16" i="52"/>
  <c r="N16" i="52"/>
  <c r="L16" i="52"/>
  <c r="J16" i="52"/>
  <c r="H16" i="52"/>
  <c r="F16" i="52"/>
  <c r="D16" i="52"/>
  <c r="C16" i="52"/>
  <c r="T15" i="52"/>
  <c r="R15" i="52"/>
  <c r="P15" i="52"/>
  <c r="N15" i="52"/>
  <c r="L15" i="52"/>
  <c r="J15" i="52"/>
  <c r="H15" i="52"/>
  <c r="F15" i="52"/>
  <c r="D15" i="52"/>
  <c r="C15" i="52"/>
  <c r="T14" i="52"/>
  <c r="R14" i="52"/>
  <c r="P14" i="52"/>
  <c r="N14" i="52"/>
  <c r="L14" i="52"/>
  <c r="J14" i="52"/>
  <c r="H14" i="52"/>
  <c r="F14" i="52"/>
  <c r="D14" i="52"/>
  <c r="C14" i="52"/>
  <c r="T13" i="52"/>
  <c r="R13" i="52"/>
  <c r="P13" i="52"/>
  <c r="N13" i="52"/>
  <c r="L13" i="52"/>
  <c r="J13" i="52"/>
  <c r="H13" i="52"/>
  <c r="F13" i="52"/>
  <c r="D13" i="52"/>
  <c r="C13" i="52"/>
  <c r="T12" i="52"/>
  <c r="R12" i="52"/>
  <c r="P12" i="52"/>
  <c r="N12" i="52"/>
  <c r="L12" i="52"/>
  <c r="J12" i="52"/>
  <c r="H12" i="52"/>
  <c r="F12" i="52"/>
  <c r="D12" i="52"/>
  <c r="C12" i="52"/>
  <c r="T11" i="52"/>
  <c r="R11" i="52"/>
  <c r="P11" i="52"/>
  <c r="N11" i="52"/>
  <c r="L11" i="52"/>
  <c r="J11" i="52"/>
  <c r="H11" i="52"/>
  <c r="F11" i="52"/>
  <c r="D11" i="52"/>
  <c r="C11" i="52"/>
  <c r="T10" i="52"/>
  <c r="R10" i="52"/>
  <c r="P10" i="52"/>
  <c r="N10" i="52"/>
  <c r="L10" i="52"/>
  <c r="J10" i="52"/>
  <c r="H10" i="52"/>
  <c r="F10" i="52"/>
  <c r="D10" i="52"/>
  <c r="C10" i="52"/>
  <c r="T9" i="52"/>
  <c r="R9" i="52"/>
  <c r="P9" i="52"/>
  <c r="N9" i="52"/>
  <c r="L9" i="52"/>
  <c r="J9" i="52"/>
  <c r="H9" i="52"/>
  <c r="F9" i="52"/>
  <c r="D9" i="52"/>
  <c r="C9" i="52"/>
  <c r="T8" i="52"/>
  <c r="R8" i="52"/>
  <c r="P8" i="52"/>
  <c r="N8" i="52"/>
  <c r="L8" i="52"/>
  <c r="J8" i="52"/>
  <c r="H8" i="52"/>
  <c r="F8" i="52"/>
  <c r="D8" i="52"/>
  <c r="C8" i="52"/>
  <c r="T7" i="52"/>
  <c r="R7" i="52"/>
  <c r="P7" i="52"/>
  <c r="N7" i="52"/>
  <c r="L7" i="52"/>
  <c r="J7" i="52"/>
  <c r="H7" i="52"/>
  <c r="F7" i="52"/>
  <c r="D7" i="52"/>
  <c r="C7" i="52"/>
  <c r="T2" i="52"/>
  <c r="D1" i="52"/>
  <c r="B1" i="52"/>
  <c r="V18" i="52"/>
  <c r="V12" i="52"/>
  <c r="V8" i="52"/>
  <c r="AA3" i="52"/>
  <c r="BU7" i="52" s="1"/>
  <c r="BU8" i="52" s="1"/>
  <c r="BU9" i="52" s="1"/>
  <c r="BU10" i="52" s="1"/>
  <c r="BU11" i="52" s="1"/>
  <c r="BU12" i="52" s="1"/>
  <c r="BU13" i="52" s="1"/>
  <c r="BU14" i="52" s="1"/>
  <c r="BU15" i="52" s="1"/>
  <c r="BU16" i="52" s="1"/>
  <c r="BU17" i="52" s="1"/>
  <c r="BU18" i="52" s="1"/>
  <c r="AE1" i="52"/>
  <c r="F1" i="52" s="1"/>
  <c r="T23" i="51"/>
  <c r="R23" i="51"/>
  <c r="P23" i="51"/>
  <c r="N23" i="51"/>
  <c r="J23" i="51"/>
  <c r="CY15" i="16"/>
  <c r="CZ15" i="16"/>
  <c r="DA15" i="16"/>
  <c r="DB15" i="16"/>
  <c r="DC15" i="16"/>
  <c r="DD15" i="16"/>
  <c r="DE15" i="16"/>
  <c r="DF15" i="16"/>
  <c r="DG15" i="16"/>
  <c r="B3" i="51"/>
  <c r="F1" i="51"/>
  <c r="P8" i="90" s="1"/>
  <c r="T23" i="50"/>
  <c r="R23" i="49"/>
  <c r="N23" i="49"/>
  <c r="BK15" i="16"/>
  <c r="BL15" i="16"/>
  <c r="BM15" i="16"/>
  <c r="BN15" i="16"/>
  <c r="BO15" i="16"/>
  <c r="BP15" i="16"/>
  <c r="BQ15" i="16"/>
  <c r="BR15" i="16"/>
  <c r="BS15" i="16"/>
  <c r="CE15" i="16"/>
  <c r="CF15" i="16"/>
  <c r="CG15" i="16"/>
  <c r="CH15" i="16"/>
  <c r="CI15" i="16"/>
  <c r="CJ15" i="16"/>
  <c r="CK15" i="16"/>
  <c r="CL15" i="16"/>
  <c r="CM15" i="16"/>
  <c r="B3" i="50"/>
  <c r="F1" i="50"/>
  <c r="P8" i="91" s="1"/>
  <c r="B3" i="49"/>
  <c r="F1" i="49"/>
  <c r="P8" i="94" s="1"/>
  <c r="J23" i="46"/>
  <c r="H23" i="46"/>
  <c r="D23" i="46"/>
  <c r="B3" i="46"/>
  <c r="F1" i="46"/>
  <c r="P8" i="93" s="1"/>
  <c r="J23" i="45"/>
  <c r="B3" i="45"/>
  <c r="F1" i="45"/>
  <c r="P8" i="92" s="1"/>
  <c r="C15" i="16"/>
  <c r="D15" i="16"/>
  <c r="E15" i="16"/>
  <c r="F15" i="16"/>
  <c r="G15" i="16"/>
  <c r="H15" i="16"/>
  <c r="I15" i="16"/>
  <c r="J15" i="16"/>
  <c r="K15" i="16"/>
  <c r="W15" i="16"/>
  <c r="X15" i="16"/>
  <c r="Y15" i="16"/>
  <c r="Z15" i="16"/>
  <c r="AA15" i="16"/>
  <c r="AB15" i="16"/>
  <c r="AC15" i="16"/>
  <c r="AD15" i="16"/>
  <c r="AE15" i="16"/>
  <c r="AQ15" i="16"/>
  <c r="AR15" i="16"/>
  <c r="AS15" i="16"/>
  <c r="AT15" i="16"/>
  <c r="AU15" i="16"/>
  <c r="AV15" i="16"/>
  <c r="AW15" i="16"/>
  <c r="AX15" i="16"/>
  <c r="AY15" i="16"/>
  <c r="DI1" i="16"/>
  <c r="U146" i="51" s="1"/>
  <c r="CY2" i="16"/>
  <c r="CO1" i="16"/>
  <c r="CE2" i="16"/>
  <c r="F147" i="50" s="1"/>
  <c r="BU1" i="16"/>
  <c r="U59" i="49" s="1"/>
  <c r="BK2" i="16"/>
  <c r="F118" i="49" s="1"/>
  <c r="AQ2" i="16"/>
  <c r="F234" i="46" s="1"/>
  <c r="BA1" i="16"/>
  <c r="U262" i="46" s="1"/>
  <c r="AG1" i="16"/>
  <c r="U1" i="45" s="1"/>
  <c r="Q6" i="92" s="1"/>
  <c r="W2" i="16"/>
  <c r="F2" i="45" s="1"/>
  <c r="E8" i="92" s="1"/>
  <c r="M1" i="16"/>
  <c r="U30" i="41" s="1"/>
  <c r="DQ26" i="16"/>
  <c r="DP26" i="16"/>
  <c r="DO26" i="16"/>
  <c r="DN26" i="16"/>
  <c r="DM26" i="16"/>
  <c r="DL26" i="16"/>
  <c r="DK26" i="16"/>
  <c r="DJ26" i="16"/>
  <c r="DI26" i="16"/>
  <c r="CW26" i="16"/>
  <c r="CV26" i="16"/>
  <c r="CU26" i="16"/>
  <c r="CT26" i="16"/>
  <c r="CS26" i="16"/>
  <c r="CR26" i="16"/>
  <c r="CQ26" i="16"/>
  <c r="CP26" i="16"/>
  <c r="CO26" i="16"/>
  <c r="DR25" i="16"/>
  <c r="CX25" i="16"/>
  <c r="DR24" i="16"/>
  <c r="CX24" i="16"/>
  <c r="DR23" i="16"/>
  <c r="CX23" i="16"/>
  <c r="DR22" i="16"/>
  <c r="CX22" i="16"/>
  <c r="DR21" i="16"/>
  <c r="CX21" i="16"/>
  <c r="DR20" i="16"/>
  <c r="CX20" i="16"/>
  <c r="DR19" i="16"/>
  <c r="CX19" i="16"/>
  <c r="DR18" i="16"/>
  <c r="CX18" i="16"/>
  <c r="DR17" i="16"/>
  <c r="CX17" i="16"/>
  <c r="DR16" i="16"/>
  <c r="CX16" i="16"/>
  <c r="DH14" i="16"/>
  <c r="AT274" i="58"/>
  <c r="AH274" i="58"/>
  <c r="AD274" i="58"/>
  <c r="CN14" i="16"/>
  <c r="AF244" i="59"/>
  <c r="DH13" i="16"/>
  <c r="CN13" i="16"/>
  <c r="AF214" i="59"/>
  <c r="DH12" i="16"/>
  <c r="AP214" i="58"/>
  <c r="CN12" i="16"/>
  <c r="DH11" i="16"/>
  <c r="AN184" i="58"/>
  <c r="CN11" i="16"/>
  <c r="AR154" i="59"/>
  <c r="AP154" i="59"/>
  <c r="AN154" i="59"/>
  <c r="AH154" i="59"/>
  <c r="DH10" i="16"/>
  <c r="AT154" i="58"/>
  <c r="AR154" i="58"/>
  <c r="AP154" i="58"/>
  <c r="AH154" i="58"/>
  <c r="CN10" i="16"/>
  <c r="AR124" i="59"/>
  <c r="DH9" i="16"/>
  <c r="AT124" i="58"/>
  <c r="AP124" i="58"/>
  <c r="AL124" i="58"/>
  <c r="AH124" i="58"/>
  <c r="CN9" i="16"/>
  <c r="AT94" i="59"/>
  <c r="AD94" i="59"/>
  <c r="DH8" i="16"/>
  <c r="AH94" i="58"/>
  <c r="CN8" i="16"/>
  <c r="AL64" i="59"/>
  <c r="DH7" i="16"/>
  <c r="AN64" i="58"/>
  <c r="AH64" i="58"/>
  <c r="CN7" i="16"/>
  <c r="DH6" i="16"/>
  <c r="CN6" i="16"/>
  <c r="DH5" i="16"/>
  <c r="CN5" i="16"/>
  <c r="CC26" i="16"/>
  <c r="CB26" i="16"/>
  <c r="CA26" i="16"/>
  <c r="BZ26" i="16"/>
  <c r="BY26" i="16"/>
  <c r="BX26" i="16"/>
  <c r="BW26" i="16"/>
  <c r="BV26" i="16"/>
  <c r="BU26" i="16"/>
  <c r="BI26" i="16"/>
  <c r="BH26" i="16"/>
  <c r="BG26" i="16"/>
  <c r="BF26" i="16"/>
  <c r="BE26" i="16"/>
  <c r="BD26" i="16"/>
  <c r="BC26" i="16"/>
  <c r="BB26" i="16"/>
  <c r="BA26" i="16"/>
  <c r="CD25" i="16"/>
  <c r="BJ25" i="16"/>
  <c r="CD24" i="16"/>
  <c r="BJ24" i="16"/>
  <c r="CD23" i="16"/>
  <c r="BJ23" i="16"/>
  <c r="CD22" i="16"/>
  <c r="BJ22" i="16"/>
  <c r="CD21" i="16"/>
  <c r="BJ21" i="16"/>
  <c r="CD20" i="16"/>
  <c r="BJ20" i="16"/>
  <c r="CD19" i="16"/>
  <c r="BJ19" i="16"/>
  <c r="CD18" i="16"/>
  <c r="BJ18" i="16"/>
  <c r="CD17" i="16"/>
  <c r="BJ17" i="16"/>
  <c r="CD16" i="16"/>
  <c r="BJ16" i="16"/>
  <c r="BT14" i="16"/>
  <c r="AZ14" i="16"/>
  <c r="BT13" i="16"/>
  <c r="AZ13" i="16"/>
  <c r="BT12" i="16"/>
  <c r="AL214" i="55"/>
  <c r="AZ12" i="16"/>
  <c r="BT11" i="16"/>
  <c r="AZ11" i="16"/>
  <c r="BT10" i="16"/>
  <c r="AP154" i="55"/>
  <c r="AZ10" i="16"/>
  <c r="BT9" i="16"/>
  <c r="AZ9" i="16"/>
  <c r="BT8" i="16"/>
  <c r="AZ8" i="16"/>
  <c r="BT7" i="16"/>
  <c r="AZ7" i="16"/>
  <c r="BT6" i="16"/>
  <c r="AT34" i="55"/>
  <c r="AZ6" i="16"/>
  <c r="BT5" i="16"/>
  <c r="AZ5" i="16"/>
  <c r="AO26" i="16"/>
  <c r="AN26" i="16"/>
  <c r="AM26" i="16"/>
  <c r="AL26" i="16"/>
  <c r="AK26" i="16"/>
  <c r="AJ26" i="16"/>
  <c r="AI26" i="16"/>
  <c r="AH26" i="16"/>
  <c r="AG26" i="16"/>
  <c r="AP25" i="16"/>
  <c r="AP24" i="16"/>
  <c r="AP23" i="16"/>
  <c r="AP22" i="16"/>
  <c r="AP21" i="16"/>
  <c r="AP20" i="16"/>
  <c r="AP19" i="16"/>
  <c r="AP18" i="16"/>
  <c r="AP17" i="16"/>
  <c r="AP16" i="16"/>
  <c r="AF14" i="16"/>
  <c r="AF13" i="16"/>
  <c r="AF12" i="16"/>
  <c r="AF11" i="16"/>
  <c r="AF10" i="16"/>
  <c r="AF9" i="16"/>
  <c r="AF8" i="16"/>
  <c r="AF7" i="16"/>
  <c r="AF6" i="16"/>
  <c r="AF5" i="16"/>
  <c r="C2" i="16"/>
  <c r="F263" i="41" s="1"/>
  <c r="F1" i="41"/>
  <c r="P8" i="89" s="1"/>
  <c r="U14" i="16"/>
  <c r="AT274" i="52" s="1"/>
  <c r="P12" i="16"/>
  <c r="AJ214" i="52" s="1"/>
  <c r="S11" i="16"/>
  <c r="M10" i="16"/>
  <c r="V18" i="16"/>
  <c r="V20" i="16"/>
  <c r="V22" i="16"/>
  <c r="V24" i="16"/>
  <c r="M26" i="16"/>
  <c r="N26" i="16"/>
  <c r="O26" i="16"/>
  <c r="P26" i="16"/>
  <c r="Q26" i="16"/>
  <c r="R26" i="16"/>
  <c r="S26" i="16"/>
  <c r="T26" i="16"/>
  <c r="U26" i="16"/>
  <c r="V16" i="16"/>
  <c r="V17" i="16"/>
  <c r="V19" i="16"/>
  <c r="V21" i="16"/>
  <c r="V23" i="16"/>
  <c r="V25" i="16"/>
  <c r="R23" i="41"/>
  <c r="N23" i="41"/>
  <c r="L23" i="41"/>
  <c r="J23" i="41"/>
  <c r="L14" i="16"/>
  <c r="L13" i="16"/>
  <c r="L12" i="16"/>
  <c r="L11" i="16"/>
  <c r="L10" i="16"/>
  <c r="L9" i="16"/>
  <c r="L8" i="16"/>
  <c r="L7" i="16"/>
  <c r="L6" i="16"/>
  <c r="L5" i="16"/>
  <c r="V256" i="52"/>
  <c r="N109" i="53"/>
  <c r="V257" i="55"/>
  <c r="V279" i="55"/>
  <c r="V78" i="55"/>
  <c r="V102" i="55"/>
  <c r="V281" i="59"/>
  <c r="V249" i="59"/>
  <c r="F259" i="59"/>
  <c r="V108" i="59"/>
  <c r="V68" i="59"/>
  <c r="V72" i="59"/>
  <c r="V99" i="59"/>
  <c r="V45" i="52"/>
  <c r="V254" i="52"/>
  <c r="V188" i="52"/>
  <c r="V48" i="52"/>
  <c r="V284" i="52"/>
  <c r="T289" i="52"/>
  <c r="V78" i="52"/>
  <c r="V108" i="52"/>
  <c r="V102" i="52"/>
  <c r="N169" i="52"/>
  <c r="V164" i="52"/>
  <c r="V38" i="52"/>
  <c r="L49" i="52"/>
  <c r="V257" i="52"/>
  <c r="V134" i="52"/>
  <c r="V17" i="52"/>
  <c r="J259" i="53"/>
  <c r="N259" i="53"/>
  <c r="V42" i="52"/>
  <c r="V69" i="52"/>
  <c r="V129" i="52"/>
  <c r="N199" i="52"/>
  <c r="V282" i="52"/>
  <c r="V13" i="53"/>
  <c r="V165" i="52"/>
  <c r="V105" i="52"/>
  <c r="V72" i="52"/>
  <c r="AD64" i="55"/>
  <c r="AD64" i="58"/>
  <c r="AR64" i="58"/>
  <c r="AF154" i="58"/>
  <c r="AF94" i="58"/>
  <c r="AD184" i="59"/>
  <c r="AD214" i="58"/>
  <c r="AD214" i="59"/>
  <c r="AD244" i="58"/>
  <c r="V249" i="52"/>
  <c r="H79" i="53"/>
  <c r="P49" i="53"/>
  <c r="H49" i="53"/>
  <c r="P19" i="53"/>
  <c r="L19" i="53"/>
  <c r="D19" i="53"/>
  <c r="R79" i="53"/>
  <c r="P79" i="53"/>
  <c r="V70" i="53"/>
  <c r="H169" i="53"/>
  <c r="N199" i="53"/>
  <c r="V194" i="53"/>
  <c r="V189" i="53"/>
  <c r="H199" i="53"/>
  <c r="V100" i="53"/>
  <c r="L109" i="53"/>
  <c r="F109" i="53"/>
  <c r="V103" i="53"/>
  <c r="T139" i="53"/>
  <c r="R139" i="53"/>
  <c r="V130" i="53"/>
  <c r="V163" i="53"/>
  <c r="P169" i="53"/>
  <c r="J169" i="53"/>
  <c r="N289" i="53"/>
  <c r="H289" i="53"/>
  <c r="V277" i="53"/>
  <c r="AA197" i="52"/>
  <c r="B197" i="52" s="1"/>
  <c r="AA104" i="52"/>
  <c r="B104" i="52" s="1"/>
  <c r="AA221" i="52"/>
  <c r="B221" i="52" s="1"/>
  <c r="AA100" i="53"/>
  <c r="B100" i="53" s="1"/>
  <c r="AA227" i="52"/>
  <c r="B227" i="52" s="1"/>
  <c r="AA228" i="52"/>
  <c r="B228" i="52" s="1"/>
  <c r="L259" i="53"/>
  <c r="J229" i="53"/>
  <c r="V220" i="53"/>
  <c r="H229" i="53"/>
  <c r="R199" i="53"/>
  <c r="P199" i="53"/>
  <c r="AA77" i="53"/>
  <c r="B77" i="53" s="1"/>
  <c r="AA38" i="52"/>
  <c r="B38" i="52" s="1"/>
  <c r="AA73" i="52"/>
  <c r="B73" i="52" s="1"/>
  <c r="AA73" i="53"/>
  <c r="B73" i="53" s="1"/>
  <c r="AA130" i="53"/>
  <c r="B130" i="53" s="1"/>
  <c r="AA7" i="53"/>
  <c r="B7" i="53" s="1"/>
  <c r="AA223" i="52"/>
  <c r="B223" i="52" s="1"/>
  <c r="AA106" i="53"/>
  <c r="B106" i="53" s="1"/>
  <c r="AA196" i="52"/>
  <c r="B196" i="52" s="1"/>
  <c r="AA68" i="52"/>
  <c r="B68" i="52" s="1"/>
  <c r="AK263" i="53"/>
  <c r="L263" i="53" s="1"/>
  <c r="AM143" i="57"/>
  <c r="N143" i="57" s="1"/>
  <c r="N142" i="57"/>
  <c r="R262" i="53"/>
  <c r="AS113" i="53"/>
  <c r="T113" i="53" s="1"/>
  <c r="AE23" i="57"/>
  <c r="F23" i="57" s="1"/>
  <c r="AI143" i="53"/>
  <c r="J143" i="53" s="1"/>
  <c r="J52" i="59"/>
  <c r="AE263" i="58"/>
  <c r="F263" i="58" s="1"/>
  <c r="AG233" i="53"/>
  <c r="H233" i="53" s="1"/>
  <c r="AQ53" i="58"/>
  <c r="R53" i="58" s="1"/>
  <c r="R52" i="58"/>
  <c r="AK113" i="58"/>
  <c r="L113" i="58" s="1"/>
  <c r="AE203" i="53"/>
  <c r="F203" i="53" s="1"/>
  <c r="AM113" i="53"/>
  <c r="N113" i="53" s="1"/>
  <c r="N112" i="53"/>
  <c r="AG203" i="59"/>
  <c r="H203" i="59" s="1"/>
  <c r="H202" i="59"/>
  <c r="J172" i="58"/>
  <c r="H262" i="52"/>
  <c r="AI203" i="59"/>
  <c r="J203" i="59" s="1"/>
  <c r="J202" i="59"/>
  <c r="AG293" i="53"/>
  <c r="H293" i="53" s="1"/>
  <c r="F82" i="58"/>
  <c r="N142" i="59"/>
  <c r="L22" i="55"/>
  <c r="AQ293" i="55"/>
  <c r="R293" i="55" s="1"/>
  <c r="AI263" i="58"/>
  <c r="J263" i="58" s="1"/>
  <c r="AE233" i="59"/>
  <c r="F233" i="59" s="1"/>
  <c r="F232" i="59"/>
  <c r="AD154" i="58"/>
  <c r="AR124" i="58"/>
  <c r="AL94" i="58"/>
  <c r="D142" i="55"/>
  <c r="AC143" i="55"/>
  <c r="D143" i="55" s="1"/>
  <c r="AQ263" i="55"/>
  <c r="R263" i="55" s="1"/>
  <c r="AS203" i="57"/>
  <c r="T203" i="57" s="1"/>
  <c r="T202" i="57"/>
  <c r="AM263" i="59"/>
  <c r="N263" i="59" s="1"/>
  <c r="D19" i="58"/>
  <c r="AC293" i="57"/>
  <c r="D293" i="57" s="1"/>
  <c r="H226" i="55"/>
  <c r="AS233" i="53"/>
  <c r="T233" i="53" s="1"/>
  <c r="J142" i="53"/>
  <c r="N49" i="53"/>
  <c r="V288" i="55"/>
  <c r="H196" i="55"/>
  <c r="H190" i="55"/>
  <c r="H127" i="55"/>
  <c r="P76" i="55"/>
  <c r="V72" i="55"/>
  <c r="V38" i="55"/>
  <c r="J226" i="55"/>
  <c r="J43" i="55"/>
  <c r="L190" i="55"/>
  <c r="J190" i="55"/>
  <c r="R76" i="55"/>
  <c r="T76" i="55"/>
  <c r="T157" i="55"/>
  <c r="T166" i="55"/>
  <c r="AA278" i="52"/>
  <c r="B278" i="52" s="1"/>
  <c r="AA217" i="57"/>
  <c r="B217" i="57" s="1"/>
  <c r="AA256" i="59"/>
  <c r="B256" i="59" s="1"/>
  <c r="AA286" i="53"/>
  <c r="B286" i="53" s="1"/>
  <c r="AA220" i="55"/>
  <c r="B220" i="55" s="1"/>
  <c r="AA217" i="59"/>
  <c r="B217" i="59" s="1"/>
  <c r="AA250" i="59"/>
  <c r="B250" i="59" s="1"/>
  <c r="AA220" i="53"/>
  <c r="B220" i="53" s="1"/>
  <c r="AA254" i="57"/>
  <c r="B254" i="57" s="1"/>
  <c r="AA220" i="58"/>
  <c r="B220" i="58" s="1"/>
  <c r="AA286" i="58"/>
  <c r="B286" i="58" s="1"/>
  <c r="AA280" i="57"/>
  <c r="B280" i="57" s="1"/>
  <c r="AA254" i="58"/>
  <c r="B254" i="58" s="1"/>
  <c r="AA287" i="52"/>
  <c r="B287" i="52" s="1"/>
  <c r="AA280" i="58"/>
  <c r="B280" i="58" s="1"/>
  <c r="AA254" i="59"/>
  <c r="B254" i="59" s="1"/>
  <c r="H256" i="57"/>
  <c r="H193" i="57"/>
  <c r="V137" i="57"/>
  <c r="R11" i="57"/>
  <c r="J256" i="57"/>
  <c r="J193" i="57"/>
  <c r="L256" i="57"/>
  <c r="N247" i="57"/>
  <c r="N220" i="57"/>
  <c r="L196" i="57"/>
  <c r="L193" i="57"/>
  <c r="P247" i="57"/>
  <c r="P220" i="57"/>
  <c r="N196" i="57"/>
  <c r="N193" i="57"/>
  <c r="P256" i="57"/>
  <c r="R253" i="57"/>
  <c r="R220" i="57"/>
  <c r="R217" i="57"/>
  <c r="P196" i="57"/>
  <c r="P193" i="57"/>
  <c r="R256" i="57"/>
  <c r="T253" i="57"/>
  <c r="T250" i="57"/>
  <c r="R223" i="57"/>
  <c r="T220" i="57"/>
  <c r="T217" i="57"/>
  <c r="R193" i="57"/>
  <c r="T256" i="57"/>
  <c r="T196" i="57"/>
  <c r="H196" i="59"/>
  <c r="J130" i="59"/>
  <c r="H97" i="59"/>
  <c r="H73" i="59"/>
  <c r="J70" i="59"/>
  <c r="J67" i="59"/>
  <c r="V282" i="59"/>
  <c r="V251" i="59"/>
  <c r="V248" i="59"/>
  <c r="V257" i="59"/>
  <c r="V222" i="59"/>
  <c r="V218" i="59"/>
  <c r="V224" i="59"/>
  <c r="V189" i="59"/>
  <c r="V195" i="59"/>
  <c r="V131" i="59"/>
  <c r="V45" i="59"/>
  <c r="V42" i="59"/>
  <c r="P283" i="58"/>
  <c r="V282" i="58"/>
  <c r="V279" i="58"/>
  <c r="V287" i="58"/>
  <c r="V254" i="58"/>
  <c r="V248" i="58"/>
  <c r="R223" i="58"/>
  <c r="V218" i="58"/>
  <c r="V219" i="58"/>
  <c r="V224" i="58"/>
  <c r="V225" i="58"/>
  <c r="V188" i="58"/>
  <c r="V192" i="58"/>
  <c r="T157" i="58"/>
  <c r="V158" i="58"/>
  <c r="V105" i="58"/>
  <c r="V102" i="58"/>
  <c r="H76" i="58"/>
  <c r="H73" i="58"/>
  <c r="J70" i="58"/>
  <c r="V74" i="58"/>
  <c r="V72" i="58"/>
  <c r="V47" i="58"/>
  <c r="P13" i="58"/>
  <c r="J196" i="59"/>
  <c r="L130" i="59"/>
  <c r="L127" i="59"/>
  <c r="J97" i="59"/>
  <c r="J73" i="59"/>
  <c r="L70" i="59"/>
  <c r="L67" i="59"/>
  <c r="R283" i="58"/>
  <c r="T223" i="58"/>
  <c r="J73" i="58"/>
  <c r="L70" i="58"/>
  <c r="N280" i="59"/>
  <c r="L196" i="59"/>
  <c r="N130" i="59"/>
  <c r="N127" i="59"/>
  <c r="L73" i="59"/>
  <c r="N70" i="59"/>
  <c r="N67" i="59"/>
  <c r="N40" i="59"/>
  <c r="T283" i="58"/>
  <c r="L73" i="58"/>
  <c r="P280" i="59"/>
  <c r="N196" i="59"/>
  <c r="P130" i="59"/>
  <c r="P127" i="59"/>
  <c r="P70" i="59"/>
  <c r="P67" i="59"/>
  <c r="N43" i="59"/>
  <c r="P67" i="58"/>
  <c r="R220" i="59"/>
  <c r="P196" i="59"/>
  <c r="R160" i="59"/>
  <c r="R130" i="59"/>
  <c r="R127" i="59"/>
  <c r="R70" i="59"/>
  <c r="P73" i="58"/>
  <c r="T277" i="59"/>
  <c r="T250" i="59"/>
  <c r="T247" i="59"/>
  <c r="T160" i="59"/>
  <c r="T67" i="59"/>
  <c r="T76" i="58"/>
  <c r="V258" i="59"/>
  <c r="V252" i="58"/>
  <c r="V78" i="58"/>
  <c r="T193" i="57"/>
  <c r="V44" i="57"/>
  <c r="V71" i="57"/>
  <c r="V104" i="57"/>
  <c r="V288" i="57"/>
  <c r="V17" i="57"/>
  <c r="J196" i="55"/>
  <c r="L67" i="55"/>
  <c r="N190" i="55"/>
  <c r="J67" i="55"/>
  <c r="H70" i="55"/>
  <c r="H43" i="55"/>
  <c r="H7" i="55"/>
  <c r="H46" i="55"/>
  <c r="H67" i="55"/>
  <c r="H13" i="55"/>
  <c r="F277" i="55"/>
  <c r="AC23" i="59"/>
  <c r="D23" i="59" s="1"/>
  <c r="L262" i="58"/>
  <c r="N52" i="57"/>
  <c r="AM53" i="57"/>
  <c r="N53" i="57" s="1"/>
  <c r="R172" i="59"/>
  <c r="H82" i="53"/>
  <c r="AK23" i="57"/>
  <c r="L23" i="57" s="1"/>
  <c r="AI143" i="58"/>
  <c r="J143" i="58" s="1"/>
  <c r="AG143" i="57"/>
  <c r="H143" i="57" s="1"/>
  <c r="J247" i="59"/>
  <c r="R280" i="59"/>
  <c r="J247" i="58"/>
  <c r="J256" i="58"/>
  <c r="R224" i="58"/>
  <c r="J160" i="57"/>
  <c r="J37" i="57"/>
  <c r="J253" i="57"/>
  <c r="N256" i="57"/>
  <c r="R247" i="57"/>
  <c r="T77" i="57"/>
  <c r="J136" i="57"/>
  <c r="J247" i="55"/>
  <c r="L127" i="55"/>
  <c r="J13" i="55"/>
  <c r="N226" i="55"/>
  <c r="J70" i="55"/>
  <c r="P190" i="55"/>
  <c r="N67" i="55"/>
  <c r="H259" i="55"/>
  <c r="L196" i="55"/>
  <c r="T280" i="59"/>
  <c r="L247" i="59"/>
  <c r="J259" i="58"/>
  <c r="L247" i="58"/>
  <c r="T224" i="58"/>
  <c r="L253" i="57"/>
  <c r="L160" i="57"/>
  <c r="L136" i="57"/>
  <c r="T247" i="57"/>
  <c r="N196" i="55"/>
  <c r="R190" i="55"/>
  <c r="L247" i="55"/>
  <c r="L70" i="55"/>
  <c r="N127" i="55"/>
  <c r="P67" i="55"/>
  <c r="L13" i="55"/>
  <c r="N247" i="59"/>
  <c r="N247" i="58"/>
  <c r="L259" i="58"/>
  <c r="T259" i="57"/>
  <c r="N136" i="57"/>
  <c r="N253" i="57"/>
  <c r="P127" i="55"/>
  <c r="R67" i="55"/>
  <c r="N247" i="55"/>
  <c r="N70" i="55"/>
  <c r="P196" i="55"/>
  <c r="T190" i="55"/>
  <c r="P247" i="59"/>
  <c r="P247" i="58"/>
  <c r="P253" i="57"/>
  <c r="P136" i="57"/>
  <c r="P247" i="55"/>
  <c r="R127" i="55"/>
  <c r="P70" i="55"/>
  <c r="R196" i="55"/>
  <c r="T67" i="55"/>
  <c r="R247" i="59"/>
  <c r="R247" i="58"/>
  <c r="R136" i="57"/>
  <c r="R70" i="55"/>
  <c r="T127" i="55"/>
  <c r="R247" i="55"/>
  <c r="T196" i="55"/>
  <c r="T247" i="58"/>
  <c r="T136" i="57"/>
  <c r="T70" i="55"/>
  <c r="T247" i="55"/>
  <c r="V281" i="58"/>
  <c r="V287" i="59"/>
  <c r="V285" i="58"/>
  <c r="V279" i="53"/>
  <c r="V288" i="52"/>
  <c r="F289" i="58"/>
  <c r="V249" i="53"/>
  <c r="T220" i="59"/>
  <c r="V227" i="58"/>
  <c r="V221" i="58"/>
  <c r="V228" i="58"/>
  <c r="P226" i="55"/>
  <c r="V222" i="58"/>
  <c r="L226" i="55"/>
  <c r="F229" i="59"/>
  <c r="V192" i="55"/>
  <c r="V194" i="57"/>
  <c r="V195" i="58"/>
  <c r="V189" i="52"/>
  <c r="V192" i="53"/>
  <c r="V162" i="55"/>
  <c r="V167" i="59"/>
  <c r="V168" i="59"/>
  <c r="V165" i="55"/>
  <c r="V159" i="55"/>
  <c r="N160" i="57"/>
  <c r="V168" i="55"/>
  <c r="F169" i="58"/>
  <c r="V138" i="58"/>
  <c r="V131" i="55"/>
  <c r="L97" i="59"/>
  <c r="N97" i="59"/>
  <c r="V71" i="55"/>
  <c r="V70" i="59"/>
  <c r="T40" i="59"/>
  <c r="L37" i="57"/>
  <c r="V42" i="58"/>
  <c r="V39" i="55"/>
  <c r="V39" i="57"/>
  <c r="V39" i="59"/>
  <c r="L46" i="55"/>
  <c r="V47" i="55"/>
  <c r="V42" i="57"/>
  <c r="V44" i="58"/>
  <c r="F49" i="55"/>
  <c r="N37" i="57"/>
  <c r="F49" i="59"/>
  <c r="L43" i="55"/>
  <c r="J46" i="55"/>
  <c r="F49" i="58"/>
  <c r="T11" i="57"/>
  <c r="J7" i="55"/>
  <c r="N13" i="55"/>
  <c r="F19" i="58"/>
  <c r="T127" i="59"/>
  <c r="P40" i="59"/>
  <c r="T70" i="59"/>
  <c r="R40" i="59"/>
  <c r="P43" i="59"/>
  <c r="N73" i="59"/>
  <c r="V137" i="59"/>
  <c r="V228" i="59"/>
  <c r="J76" i="58"/>
  <c r="N73" i="58"/>
  <c r="N70" i="58"/>
  <c r="R67" i="58"/>
  <c r="R13" i="58"/>
  <c r="V39" i="58"/>
  <c r="V99" i="58"/>
  <c r="T223" i="57"/>
  <c r="V38" i="57"/>
  <c r="V69" i="57"/>
  <c r="V45" i="57"/>
  <c r="V248" i="57"/>
  <c r="V47" i="57"/>
  <c r="V108" i="57"/>
  <c r="V285" i="57"/>
  <c r="V9" i="57"/>
  <c r="V77" i="57"/>
  <c r="V102" i="57"/>
  <c r="L7" i="55"/>
  <c r="V69" i="55"/>
  <c r="V129" i="55"/>
  <c r="V164" i="55"/>
  <c r="V105" i="55"/>
  <c r="V189" i="55"/>
  <c r="V197" i="55"/>
  <c r="V191" i="55"/>
  <c r="V249" i="55"/>
  <c r="V281" i="55"/>
  <c r="V221" i="55"/>
  <c r="V227" i="55"/>
  <c r="V282" i="55"/>
  <c r="V222" i="55"/>
  <c r="V278" i="55"/>
  <c r="V254" i="55"/>
  <c r="V285" i="55"/>
  <c r="V225" i="55"/>
  <c r="V18" i="53"/>
  <c r="V8" i="53"/>
  <c r="V15" i="53"/>
  <c r="H277" i="58"/>
  <c r="N221" i="58"/>
  <c r="R226" i="55"/>
  <c r="H220" i="59"/>
  <c r="H226" i="58"/>
  <c r="H223" i="58"/>
  <c r="H160" i="55"/>
  <c r="P160" i="57"/>
  <c r="H157" i="59"/>
  <c r="H157" i="58"/>
  <c r="H160" i="58"/>
  <c r="H163" i="58"/>
  <c r="R98" i="55"/>
  <c r="H106" i="59"/>
  <c r="H103" i="57"/>
  <c r="P97" i="59"/>
  <c r="J106" i="58"/>
  <c r="H103" i="59"/>
  <c r="H100" i="58"/>
  <c r="H106" i="57"/>
  <c r="R43" i="59"/>
  <c r="N46" i="55"/>
  <c r="H49" i="57"/>
  <c r="N43" i="55"/>
  <c r="H40" i="58"/>
  <c r="H46" i="57"/>
  <c r="H40" i="55"/>
  <c r="H43" i="59"/>
  <c r="H40" i="59"/>
  <c r="T13" i="58"/>
  <c r="L11" i="55"/>
  <c r="H19" i="55"/>
  <c r="J7" i="57"/>
  <c r="P13" i="55"/>
  <c r="H16" i="55"/>
  <c r="H10" i="57"/>
  <c r="H277" i="59"/>
  <c r="J133" i="59"/>
  <c r="H286" i="59"/>
  <c r="H223" i="59"/>
  <c r="H193" i="59"/>
  <c r="J103" i="59"/>
  <c r="H256" i="59"/>
  <c r="H283" i="59"/>
  <c r="J40" i="59"/>
  <c r="H226" i="59"/>
  <c r="H160" i="59"/>
  <c r="H166" i="59"/>
  <c r="H253" i="59"/>
  <c r="J157" i="59"/>
  <c r="H7" i="59"/>
  <c r="J127" i="59"/>
  <c r="H187" i="59"/>
  <c r="H46" i="59"/>
  <c r="H136" i="59"/>
  <c r="H37" i="59"/>
  <c r="H250" i="59"/>
  <c r="H16" i="59"/>
  <c r="H10" i="59"/>
  <c r="H76" i="59"/>
  <c r="J217" i="59"/>
  <c r="H13" i="59"/>
  <c r="R196" i="59"/>
  <c r="P73" i="59"/>
  <c r="H280" i="59"/>
  <c r="H190" i="59"/>
  <c r="R67" i="59"/>
  <c r="T130" i="59"/>
  <c r="V130" i="59"/>
  <c r="H163" i="59"/>
  <c r="J100" i="59"/>
  <c r="H280" i="58"/>
  <c r="H13" i="58"/>
  <c r="J157" i="58"/>
  <c r="J103" i="58"/>
  <c r="L76" i="58"/>
  <c r="J166" i="58"/>
  <c r="J277" i="58"/>
  <c r="H97" i="58"/>
  <c r="T67" i="58"/>
  <c r="H136" i="58"/>
  <c r="H220" i="58"/>
  <c r="H37" i="58"/>
  <c r="J226" i="58"/>
  <c r="H127" i="58"/>
  <c r="H193" i="58"/>
  <c r="H286" i="58"/>
  <c r="J40" i="58"/>
  <c r="R73" i="58"/>
  <c r="J100" i="58"/>
  <c r="L187" i="58"/>
  <c r="H217" i="58"/>
  <c r="J11" i="58"/>
  <c r="H43" i="58"/>
  <c r="H283" i="58"/>
  <c r="J133" i="58"/>
  <c r="J16" i="58"/>
  <c r="L106" i="58"/>
  <c r="H190" i="58"/>
  <c r="J7" i="58"/>
  <c r="H196" i="58"/>
  <c r="H67" i="58"/>
  <c r="J163" i="58"/>
  <c r="P70" i="58"/>
  <c r="H46" i="58"/>
  <c r="J160" i="58"/>
  <c r="J130" i="58"/>
  <c r="H100" i="57"/>
  <c r="H133" i="57"/>
  <c r="H196" i="57"/>
  <c r="V136" i="57"/>
  <c r="N98" i="57"/>
  <c r="H163" i="57"/>
  <c r="J169" i="57"/>
  <c r="J76" i="57"/>
  <c r="H223" i="57"/>
  <c r="J187" i="57"/>
  <c r="H70" i="57"/>
  <c r="H217" i="57"/>
  <c r="H73" i="57"/>
  <c r="H43" i="57"/>
  <c r="H40" i="57"/>
  <c r="V11" i="57"/>
  <c r="H190" i="57"/>
  <c r="H130" i="57"/>
  <c r="H13" i="57"/>
  <c r="R196" i="57"/>
  <c r="H127" i="57"/>
  <c r="H67" i="57"/>
  <c r="H226" i="57"/>
  <c r="H16" i="57"/>
  <c r="H247" i="57"/>
  <c r="H220" i="57"/>
  <c r="H250" i="57"/>
  <c r="H280" i="55"/>
  <c r="H133" i="55"/>
  <c r="H136" i="55"/>
  <c r="H223" i="55"/>
  <c r="H37" i="55"/>
  <c r="H100" i="55"/>
  <c r="H193" i="55"/>
  <c r="H286" i="55"/>
  <c r="H73" i="55"/>
  <c r="H97" i="55"/>
  <c r="H187" i="55"/>
  <c r="H217" i="55"/>
  <c r="H157" i="55"/>
  <c r="H166" i="55"/>
  <c r="H277" i="55"/>
  <c r="H130" i="55"/>
  <c r="H103" i="55"/>
  <c r="H106" i="55"/>
  <c r="H76" i="55"/>
  <c r="N7" i="55"/>
  <c r="N77" i="55"/>
  <c r="H163" i="55"/>
  <c r="P221" i="58"/>
  <c r="J223" i="58"/>
  <c r="T226" i="55"/>
  <c r="J220" i="59"/>
  <c r="J169" i="59"/>
  <c r="J160" i="55"/>
  <c r="T98" i="55"/>
  <c r="J106" i="59"/>
  <c r="J103" i="57"/>
  <c r="J106" i="57"/>
  <c r="T43" i="59"/>
  <c r="P37" i="57"/>
  <c r="P46" i="55"/>
  <c r="J49" i="57"/>
  <c r="P43" i="55"/>
  <c r="J43" i="59"/>
  <c r="J40" i="55"/>
  <c r="J46" i="57"/>
  <c r="N11" i="55"/>
  <c r="L7" i="57"/>
  <c r="J16" i="55"/>
  <c r="R13" i="55"/>
  <c r="V13" i="55"/>
  <c r="J10" i="57"/>
  <c r="T196" i="59"/>
  <c r="J10" i="59"/>
  <c r="J193" i="59"/>
  <c r="L100" i="59"/>
  <c r="J226" i="59"/>
  <c r="J16" i="59"/>
  <c r="J187" i="59"/>
  <c r="L157" i="59"/>
  <c r="J277" i="59"/>
  <c r="R73" i="59"/>
  <c r="J76" i="59"/>
  <c r="J256" i="59"/>
  <c r="J286" i="59"/>
  <c r="L133" i="59"/>
  <c r="J190" i="59"/>
  <c r="L217" i="59"/>
  <c r="J46" i="59"/>
  <c r="J250" i="59"/>
  <c r="J136" i="59"/>
  <c r="J283" i="59"/>
  <c r="L103" i="59"/>
  <c r="J280" i="59"/>
  <c r="V280" i="59"/>
  <c r="J7" i="59"/>
  <c r="J160" i="59"/>
  <c r="J223" i="59"/>
  <c r="J163" i="59"/>
  <c r="J13" i="59"/>
  <c r="H79" i="59"/>
  <c r="J37" i="59"/>
  <c r="J253" i="59"/>
  <c r="J166" i="59"/>
  <c r="L40" i="59"/>
  <c r="L160" i="58"/>
  <c r="L163" i="58"/>
  <c r="L16" i="58"/>
  <c r="J196" i="58"/>
  <c r="N106" i="58"/>
  <c r="J283" i="58"/>
  <c r="J217" i="58"/>
  <c r="N187" i="58"/>
  <c r="L226" i="58"/>
  <c r="J37" i="58"/>
  <c r="H109" i="58"/>
  <c r="L103" i="58"/>
  <c r="T73" i="58"/>
  <c r="L109" i="58"/>
  <c r="J97" i="58"/>
  <c r="N76" i="58"/>
  <c r="L40" i="58"/>
  <c r="J13" i="58"/>
  <c r="R70" i="58"/>
  <c r="L7" i="58"/>
  <c r="J190" i="58"/>
  <c r="L11" i="58"/>
  <c r="J136" i="58"/>
  <c r="J169" i="58"/>
  <c r="L130" i="58"/>
  <c r="J193" i="58"/>
  <c r="J127" i="58"/>
  <c r="L166" i="58"/>
  <c r="L157" i="58"/>
  <c r="J46" i="58"/>
  <c r="J67" i="58"/>
  <c r="L133" i="58"/>
  <c r="L100" i="58"/>
  <c r="J43" i="58"/>
  <c r="J286" i="58"/>
  <c r="L277" i="58"/>
  <c r="J280" i="58"/>
  <c r="J127" i="57"/>
  <c r="J223" i="57"/>
  <c r="J163" i="57"/>
  <c r="J220" i="57"/>
  <c r="V247" i="57"/>
  <c r="J247" i="57"/>
  <c r="J16" i="57"/>
  <c r="J217" i="57"/>
  <c r="H139" i="57"/>
  <c r="J133" i="57"/>
  <c r="J13" i="57"/>
  <c r="J130" i="57"/>
  <c r="L187" i="57"/>
  <c r="L76" i="57"/>
  <c r="J43" i="57"/>
  <c r="J73" i="57"/>
  <c r="J70" i="57"/>
  <c r="J250" i="57"/>
  <c r="J196" i="57"/>
  <c r="J190" i="57"/>
  <c r="L49" i="57"/>
  <c r="J40" i="57"/>
  <c r="J226" i="57"/>
  <c r="J67" i="57"/>
  <c r="P98" i="57"/>
  <c r="J100" i="57"/>
  <c r="J163" i="55"/>
  <c r="J166" i="55"/>
  <c r="P77" i="55"/>
  <c r="J193" i="55"/>
  <c r="J277" i="55"/>
  <c r="J73" i="55"/>
  <c r="J286" i="55"/>
  <c r="J223" i="55"/>
  <c r="J136" i="55"/>
  <c r="H139" i="55"/>
  <c r="J157" i="55"/>
  <c r="J187" i="55"/>
  <c r="H79" i="55"/>
  <c r="J37" i="55"/>
  <c r="J280" i="55"/>
  <c r="J130" i="55"/>
  <c r="J97" i="55"/>
  <c r="P7" i="55"/>
  <c r="J106" i="55"/>
  <c r="J103" i="55"/>
  <c r="J217" i="55"/>
  <c r="J100" i="55"/>
  <c r="J133" i="55"/>
  <c r="R221" i="58"/>
  <c r="L220" i="59"/>
  <c r="L169" i="59"/>
  <c r="L160" i="55"/>
  <c r="R97" i="59"/>
  <c r="L103" i="57"/>
  <c r="L106" i="59"/>
  <c r="L106" i="57"/>
  <c r="R46" i="55"/>
  <c r="R43" i="55"/>
  <c r="L40" i="55"/>
  <c r="L43" i="59"/>
  <c r="L49" i="58"/>
  <c r="L46" i="57"/>
  <c r="P11" i="55"/>
  <c r="L16" i="55"/>
  <c r="L10" i="57"/>
  <c r="T13" i="55"/>
  <c r="N7" i="57"/>
  <c r="L139" i="59"/>
  <c r="L166" i="59"/>
  <c r="J259" i="59"/>
  <c r="L256" i="59"/>
  <c r="L277" i="59"/>
  <c r="J199" i="59"/>
  <c r="L193" i="59"/>
  <c r="L283" i="59"/>
  <c r="T73" i="59"/>
  <c r="L13" i="59"/>
  <c r="L223" i="59"/>
  <c r="L160" i="59"/>
  <c r="L7" i="59"/>
  <c r="L280" i="59"/>
  <c r="L136" i="59"/>
  <c r="J79" i="59"/>
  <c r="L253" i="59"/>
  <c r="L163" i="59"/>
  <c r="N103" i="59"/>
  <c r="L46" i="59"/>
  <c r="N133" i="59"/>
  <c r="L76" i="59"/>
  <c r="N157" i="59"/>
  <c r="L187" i="59"/>
  <c r="N100" i="59"/>
  <c r="L37" i="59"/>
  <c r="N217" i="59"/>
  <c r="L190" i="59"/>
  <c r="L250" i="59"/>
  <c r="L16" i="59"/>
  <c r="L226" i="59"/>
  <c r="L286" i="59"/>
  <c r="L10" i="59"/>
  <c r="L37" i="58"/>
  <c r="N100" i="58"/>
  <c r="L46" i="58"/>
  <c r="L136" i="58"/>
  <c r="L190" i="58"/>
  <c r="T70" i="58"/>
  <c r="N40" i="58"/>
  <c r="L286" i="58"/>
  <c r="N157" i="58"/>
  <c r="N226" i="58"/>
  <c r="N163" i="58"/>
  <c r="N277" i="58"/>
  <c r="N133" i="58"/>
  <c r="L193" i="58"/>
  <c r="L217" i="58"/>
  <c r="L43" i="58"/>
  <c r="J139" i="58"/>
  <c r="V103" i="58"/>
  <c r="N103" i="58"/>
  <c r="L196" i="58"/>
  <c r="L280" i="58"/>
  <c r="N130" i="58"/>
  <c r="P76" i="58"/>
  <c r="L67" i="58"/>
  <c r="J199" i="58"/>
  <c r="N7" i="58"/>
  <c r="L97" i="58"/>
  <c r="P187" i="58"/>
  <c r="V106" i="58"/>
  <c r="P106" i="58"/>
  <c r="N16" i="58"/>
  <c r="N160" i="58"/>
  <c r="L127" i="58"/>
  <c r="N11" i="58"/>
  <c r="L199" i="57"/>
  <c r="L40" i="57"/>
  <c r="L70" i="57"/>
  <c r="L130" i="57"/>
  <c r="L13" i="57"/>
  <c r="L16" i="57"/>
  <c r="L223" i="57"/>
  <c r="L190" i="57"/>
  <c r="N187" i="57"/>
  <c r="L220" i="57"/>
  <c r="L163" i="57"/>
  <c r="L43" i="57"/>
  <c r="J259" i="57"/>
  <c r="L127" i="57"/>
  <c r="L100" i="57"/>
  <c r="L226" i="57"/>
  <c r="L250" i="57"/>
  <c r="R98" i="57"/>
  <c r="J79" i="57"/>
  <c r="L73" i="57"/>
  <c r="L247" i="57"/>
  <c r="L67" i="57"/>
  <c r="L133" i="57"/>
  <c r="L217" i="57"/>
  <c r="L133" i="55"/>
  <c r="L100" i="55"/>
  <c r="L103" i="55"/>
  <c r="L286" i="55"/>
  <c r="R7" i="55"/>
  <c r="L280" i="55"/>
  <c r="L187" i="55"/>
  <c r="L157" i="55"/>
  <c r="L193" i="55"/>
  <c r="L163" i="55"/>
  <c r="L277" i="55"/>
  <c r="R77" i="55"/>
  <c r="L217" i="55"/>
  <c r="L136" i="55"/>
  <c r="L166" i="55"/>
  <c r="L97" i="55"/>
  <c r="L130" i="55"/>
  <c r="L106" i="55"/>
  <c r="L37" i="55"/>
  <c r="L73" i="55"/>
  <c r="L223" i="55"/>
  <c r="N289" i="55"/>
  <c r="T221" i="58"/>
  <c r="N220" i="59"/>
  <c r="N169" i="55"/>
  <c r="N160" i="55"/>
  <c r="T97" i="59"/>
  <c r="N109" i="57"/>
  <c r="N103" i="57"/>
  <c r="N106" i="57"/>
  <c r="N106" i="59"/>
  <c r="T46" i="55"/>
  <c r="T43" i="55"/>
  <c r="N40" i="55"/>
  <c r="N46" i="57"/>
  <c r="R11" i="55"/>
  <c r="P7" i="57"/>
  <c r="N16" i="55"/>
  <c r="N10" i="59"/>
  <c r="N187" i="59"/>
  <c r="P157" i="59"/>
  <c r="P217" i="59"/>
  <c r="N160" i="59"/>
  <c r="N286" i="59"/>
  <c r="N250" i="59"/>
  <c r="N253" i="59"/>
  <c r="N136" i="59"/>
  <c r="N277" i="59"/>
  <c r="L259" i="59"/>
  <c r="L79" i="59"/>
  <c r="N46" i="59"/>
  <c r="N7" i="59"/>
  <c r="N166" i="59"/>
  <c r="N37" i="59"/>
  <c r="N190" i="59"/>
  <c r="P133" i="59"/>
  <c r="N16" i="59"/>
  <c r="P103" i="59"/>
  <c r="N223" i="59"/>
  <c r="N13" i="59"/>
  <c r="N193" i="59"/>
  <c r="N226" i="59"/>
  <c r="P100" i="59"/>
  <c r="N76" i="59"/>
  <c r="N163" i="59"/>
  <c r="N283" i="59"/>
  <c r="N256" i="59"/>
  <c r="R187" i="58"/>
  <c r="N67" i="58"/>
  <c r="L289" i="58"/>
  <c r="P16" i="58"/>
  <c r="L79" i="58"/>
  <c r="P226" i="58"/>
  <c r="N46" i="58"/>
  <c r="R106" i="58"/>
  <c r="P7" i="58"/>
  <c r="N280" i="58"/>
  <c r="P79" i="58"/>
  <c r="P229" i="58"/>
  <c r="N217" i="58"/>
  <c r="P133" i="58"/>
  <c r="N286" i="58"/>
  <c r="L139" i="58"/>
  <c r="P160" i="58"/>
  <c r="R76" i="58"/>
  <c r="P130" i="58"/>
  <c r="N196" i="58"/>
  <c r="P103" i="58"/>
  <c r="P277" i="58"/>
  <c r="P163" i="58"/>
  <c r="N169" i="58"/>
  <c r="L199" i="58"/>
  <c r="N193" i="58"/>
  <c r="P11" i="58"/>
  <c r="N127" i="58"/>
  <c r="N43" i="58"/>
  <c r="P40" i="58"/>
  <c r="N37" i="58"/>
  <c r="N97" i="58"/>
  <c r="N190" i="58"/>
  <c r="N136" i="58"/>
  <c r="P100" i="58"/>
  <c r="N13" i="57"/>
  <c r="L259" i="57"/>
  <c r="N100" i="57"/>
  <c r="N226" i="57"/>
  <c r="T98" i="57"/>
  <c r="N127" i="57"/>
  <c r="N130" i="57"/>
  <c r="N199" i="57"/>
  <c r="N190" i="57"/>
  <c r="N16" i="57"/>
  <c r="N217" i="57"/>
  <c r="N73" i="57"/>
  <c r="N223" i="57"/>
  <c r="N70" i="57"/>
  <c r="N250" i="57"/>
  <c r="L169" i="57"/>
  <c r="P187" i="57"/>
  <c r="N40" i="57"/>
  <c r="N133" i="57"/>
  <c r="N67" i="57"/>
  <c r="N43" i="57"/>
  <c r="N163" i="57"/>
  <c r="N130" i="55"/>
  <c r="N286" i="55"/>
  <c r="N100" i="55"/>
  <c r="N166" i="55"/>
  <c r="N217" i="55"/>
  <c r="N277" i="55"/>
  <c r="N163" i="55"/>
  <c r="N157" i="55"/>
  <c r="N187" i="55"/>
  <c r="N73" i="55"/>
  <c r="T77" i="55"/>
  <c r="N193" i="55"/>
  <c r="N280" i="55"/>
  <c r="N223" i="55"/>
  <c r="N37" i="55"/>
  <c r="N136" i="55"/>
  <c r="T7" i="55"/>
  <c r="N106" i="55"/>
  <c r="L139" i="55"/>
  <c r="N103" i="55"/>
  <c r="N133" i="55"/>
  <c r="P289" i="58"/>
  <c r="P229" i="59"/>
  <c r="P220" i="59"/>
  <c r="P169" i="59"/>
  <c r="P160" i="55"/>
  <c r="P109" i="57"/>
  <c r="P106" i="59"/>
  <c r="P103" i="57"/>
  <c r="P106" i="57"/>
  <c r="P49" i="58"/>
  <c r="P40" i="55"/>
  <c r="P46" i="57"/>
  <c r="T11" i="55"/>
  <c r="P16" i="55"/>
  <c r="R7" i="57"/>
  <c r="P163" i="59"/>
  <c r="P277" i="59"/>
  <c r="P286" i="59"/>
  <c r="P160" i="59"/>
  <c r="P283" i="59"/>
  <c r="P76" i="59"/>
  <c r="P223" i="59"/>
  <c r="P166" i="59"/>
  <c r="P37" i="59"/>
  <c r="P136" i="59"/>
  <c r="R157" i="59"/>
  <c r="P187" i="59"/>
  <c r="N169" i="59"/>
  <c r="P256" i="59"/>
  <c r="R100" i="59"/>
  <c r="P226" i="59"/>
  <c r="P193" i="59"/>
  <c r="P10" i="59"/>
  <c r="P13" i="59"/>
  <c r="P190" i="59"/>
  <c r="R217" i="59"/>
  <c r="N79" i="59"/>
  <c r="P7" i="59"/>
  <c r="P46" i="59"/>
  <c r="P250" i="59"/>
  <c r="R103" i="59"/>
  <c r="P16" i="59"/>
  <c r="R133" i="59"/>
  <c r="P253" i="59"/>
  <c r="P136" i="58"/>
  <c r="P97" i="58"/>
  <c r="P193" i="58"/>
  <c r="R133" i="58"/>
  <c r="R16" i="58"/>
  <c r="R277" i="58"/>
  <c r="R130" i="58"/>
  <c r="P280" i="58"/>
  <c r="R7" i="58"/>
  <c r="N49" i="58"/>
  <c r="R11" i="58"/>
  <c r="R79" i="58"/>
  <c r="P169" i="58"/>
  <c r="P46" i="58"/>
  <c r="R100" i="58"/>
  <c r="P190" i="58"/>
  <c r="P37" i="58"/>
  <c r="N139" i="58"/>
  <c r="P217" i="58"/>
  <c r="R226" i="58"/>
  <c r="N79" i="58"/>
  <c r="R49" i="58"/>
  <c r="P43" i="58"/>
  <c r="R163" i="58"/>
  <c r="P196" i="58"/>
  <c r="R160" i="58"/>
  <c r="P286" i="58"/>
  <c r="P19" i="58"/>
  <c r="T187" i="58"/>
  <c r="R40" i="58"/>
  <c r="P127" i="58"/>
  <c r="P199" i="57"/>
  <c r="P223" i="57"/>
  <c r="P13" i="57"/>
  <c r="P67" i="57"/>
  <c r="P127" i="57"/>
  <c r="P100" i="57"/>
  <c r="N19" i="57"/>
  <c r="P70" i="57"/>
  <c r="P226" i="57"/>
  <c r="P163" i="57"/>
  <c r="P250" i="57"/>
  <c r="P73" i="57"/>
  <c r="P133" i="57"/>
  <c r="R187" i="57"/>
  <c r="P217" i="57"/>
  <c r="P16" i="57"/>
  <c r="P190" i="57"/>
  <c r="P40" i="57"/>
  <c r="P43" i="57"/>
  <c r="P130" i="57"/>
  <c r="N139" i="57"/>
  <c r="P193" i="55"/>
  <c r="P73" i="55"/>
  <c r="P166" i="55"/>
  <c r="P100" i="55"/>
  <c r="P223" i="55"/>
  <c r="P280" i="55"/>
  <c r="P157" i="55"/>
  <c r="P286" i="55"/>
  <c r="P103" i="55"/>
  <c r="P37" i="55"/>
  <c r="P106" i="55"/>
  <c r="P136" i="55"/>
  <c r="P187" i="55"/>
  <c r="P133" i="55"/>
  <c r="P163" i="55"/>
  <c r="P217" i="55"/>
  <c r="P277" i="55"/>
  <c r="P130" i="55"/>
  <c r="R289" i="58"/>
  <c r="V277" i="58"/>
  <c r="R160" i="55"/>
  <c r="R106" i="59"/>
  <c r="V106" i="57"/>
  <c r="R106" i="57"/>
  <c r="R109" i="55"/>
  <c r="R40" i="55"/>
  <c r="R46" i="57"/>
  <c r="T7" i="57"/>
  <c r="R16" i="55"/>
  <c r="T217" i="59"/>
  <c r="R190" i="59"/>
  <c r="T100" i="59"/>
  <c r="R187" i="59"/>
  <c r="P79" i="59"/>
  <c r="R283" i="59"/>
  <c r="R16" i="59"/>
  <c r="R10" i="59"/>
  <c r="R136" i="59"/>
  <c r="R37" i="59"/>
  <c r="R286" i="59"/>
  <c r="R250" i="59"/>
  <c r="R7" i="59"/>
  <c r="R256" i="59"/>
  <c r="R277" i="59"/>
  <c r="R253" i="59"/>
  <c r="T133" i="59"/>
  <c r="R46" i="59"/>
  <c r="R223" i="59"/>
  <c r="R76" i="59"/>
  <c r="R163" i="59"/>
  <c r="R193" i="59"/>
  <c r="R13" i="59"/>
  <c r="T103" i="59"/>
  <c r="T157" i="59"/>
  <c r="R226" i="59"/>
  <c r="R166" i="59"/>
  <c r="R286" i="58"/>
  <c r="T226" i="58"/>
  <c r="R280" i="58"/>
  <c r="P139" i="58"/>
  <c r="R43" i="58"/>
  <c r="R193" i="58"/>
  <c r="R97" i="58"/>
  <c r="T229" i="58"/>
  <c r="R217" i="58"/>
  <c r="T277" i="58"/>
  <c r="R127" i="58"/>
  <c r="T11" i="58"/>
  <c r="T40" i="58"/>
  <c r="R196" i="58"/>
  <c r="T163" i="58"/>
  <c r="P199" i="58"/>
  <c r="R46" i="58"/>
  <c r="T7" i="58"/>
  <c r="T130" i="58"/>
  <c r="T133" i="58"/>
  <c r="T160" i="58"/>
  <c r="T16" i="58"/>
  <c r="R136" i="58"/>
  <c r="R199" i="57"/>
  <c r="R73" i="57"/>
  <c r="R226" i="57"/>
  <c r="R133" i="57"/>
  <c r="R250" i="57"/>
  <c r="R190" i="57"/>
  <c r="R70" i="57"/>
  <c r="R43" i="57"/>
  <c r="T187" i="57"/>
  <c r="R127" i="57"/>
  <c r="R130" i="57"/>
  <c r="R40" i="57"/>
  <c r="R100" i="57"/>
  <c r="R163" i="57"/>
  <c r="R13" i="57"/>
  <c r="R16" i="57"/>
  <c r="V73" i="57"/>
  <c r="R163" i="55"/>
  <c r="P199" i="55"/>
  <c r="R166" i="55"/>
  <c r="R187" i="55"/>
  <c r="R277" i="55"/>
  <c r="R37" i="55"/>
  <c r="R73" i="55"/>
  <c r="R193" i="55"/>
  <c r="R130" i="55"/>
  <c r="R100" i="55"/>
  <c r="R106" i="55"/>
  <c r="V223" i="55"/>
  <c r="R223" i="55"/>
  <c r="R136" i="55"/>
  <c r="R103" i="55"/>
  <c r="R286" i="55"/>
  <c r="R157" i="55"/>
  <c r="R280" i="55"/>
  <c r="R217" i="55"/>
  <c r="R133" i="55"/>
  <c r="T160" i="55"/>
  <c r="T106" i="57"/>
  <c r="V100" i="57"/>
  <c r="T106" i="59"/>
  <c r="T40" i="55"/>
  <c r="T46" i="57"/>
  <c r="T16" i="55"/>
  <c r="T19" i="55"/>
  <c r="T223" i="59"/>
  <c r="T16" i="59"/>
  <c r="T76" i="59"/>
  <c r="T193" i="59"/>
  <c r="T46" i="59"/>
  <c r="T256" i="59"/>
  <c r="T37" i="59"/>
  <c r="T283" i="59"/>
  <c r="T187" i="59"/>
  <c r="T226" i="59"/>
  <c r="T166" i="59"/>
  <c r="V166" i="59"/>
  <c r="T13" i="59"/>
  <c r="T253" i="59"/>
  <c r="T136" i="59"/>
  <c r="T190" i="59"/>
  <c r="T163" i="59"/>
  <c r="T7" i="59"/>
  <c r="T286" i="59"/>
  <c r="R139" i="58"/>
  <c r="R199" i="58"/>
  <c r="T46" i="58"/>
  <c r="T127" i="58"/>
  <c r="T193" i="58"/>
  <c r="T43" i="58"/>
  <c r="T196" i="58"/>
  <c r="T217" i="58"/>
  <c r="T286" i="58"/>
  <c r="T136" i="58"/>
  <c r="T280" i="58"/>
  <c r="T43" i="57"/>
  <c r="T70" i="57"/>
  <c r="T190" i="57"/>
  <c r="T226" i="57"/>
  <c r="T16" i="57"/>
  <c r="T100" i="57"/>
  <c r="T163" i="57"/>
  <c r="T13" i="57"/>
  <c r="T133" i="57"/>
  <c r="T130" i="57"/>
  <c r="T40" i="57"/>
  <c r="T127" i="57"/>
  <c r="T73" i="57"/>
  <c r="T136" i="55"/>
  <c r="V136" i="55"/>
  <c r="T106" i="55"/>
  <c r="T193" i="55"/>
  <c r="R199" i="55"/>
  <c r="T130" i="55"/>
  <c r="T277" i="55"/>
  <c r="T163" i="55"/>
  <c r="T133" i="55"/>
  <c r="T280" i="55"/>
  <c r="T286" i="55"/>
  <c r="T100" i="55"/>
  <c r="T187" i="55"/>
  <c r="T217" i="55"/>
  <c r="T37" i="55"/>
  <c r="T223" i="55"/>
  <c r="T73" i="55"/>
  <c r="T169" i="57"/>
  <c r="AI23" i="59"/>
  <c r="J23" i="59" s="1"/>
  <c r="J22" i="59"/>
  <c r="P232" i="59"/>
  <c r="AO233" i="59"/>
  <c r="P233" i="59" s="1"/>
  <c r="L19" i="57"/>
  <c r="F109" i="57"/>
  <c r="V70" i="55"/>
  <c r="B3" i="52"/>
  <c r="V104" i="59"/>
  <c r="V132" i="58"/>
  <c r="V197" i="58"/>
  <c r="V107" i="57"/>
  <c r="V159" i="57"/>
  <c r="V98" i="59"/>
  <c r="V285" i="59"/>
  <c r="B32" i="45"/>
  <c r="V136" i="52"/>
  <c r="AI53" i="59"/>
  <c r="J53" i="59" s="1"/>
  <c r="T202" i="53"/>
  <c r="AK203" i="53"/>
  <c r="L203" i="53" s="1"/>
  <c r="R172" i="53"/>
  <c r="AQ173" i="53"/>
  <c r="R173" i="53" s="1"/>
  <c r="L172" i="53"/>
  <c r="AK173" i="53"/>
  <c r="L173" i="53" s="1"/>
  <c r="D22" i="57"/>
  <c r="F172" i="57"/>
  <c r="AO23" i="58"/>
  <c r="P23" i="58" s="1"/>
  <c r="P22" i="58"/>
  <c r="D82" i="58"/>
  <c r="AC83" i="58"/>
  <c r="D83" i="58" s="1"/>
  <c r="AS203" i="55"/>
  <c r="T203" i="55" s="1"/>
  <c r="T202" i="55"/>
  <c r="AI263" i="57"/>
  <c r="J263" i="57" s="1"/>
  <c r="D142" i="58"/>
  <c r="AI233" i="58"/>
  <c r="J233" i="58" s="1"/>
  <c r="AE293" i="58"/>
  <c r="F293" i="58" s="1"/>
  <c r="AM203" i="57"/>
  <c r="N203" i="57" s="1"/>
  <c r="AG293" i="59"/>
  <c r="H293" i="59" s="1"/>
  <c r="L112" i="53"/>
  <c r="L172" i="59"/>
  <c r="R169" i="57"/>
  <c r="V193" i="59"/>
  <c r="V217" i="58"/>
  <c r="P289" i="59"/>
  <c r="N289" i="58"/>
  <c r="AG233" i="57"/>
  <c r="H233" i="57" s="1"/>
  <c r="V71" i="58"/>
  <c r="AS83" i="58"/>
  <c r="T83" i="58" s="1"/>
  <c r="V194" i="58"/>
  <c r="V167" i="55"/>
  <c r="T82" i="58"/>
  <c r="AC87" i="52"/>
  <c r="V101" i="57"/>
  <c r="V188" i="57"/>
  <c r="V284" i="57"/>
  <c r="V165" i="58"/>
  <c r="V128" i="57"/>
  <c r="V131" i="58"/>
  <c r="V162" i="57"/>
  <c r="V167" i="57"/>
  <c r="V282" i="57"/>
  <c r="AG175" i="52"/>
  <c r="V159" i="59"/>
  <c r="B32" i="41"/>
  <c r="B60" i="41"/>
  <c r="H80" i="41" s="1"/>
  <c r="H81" i="41" s="1"/>
  <c r="B60" i="49"/>
  <c r="B60" i="46"/>
  <c r="V158" i="52"/>
  <c r="V130" i="58"/>
  <c r="J109" i="58"/>
  <c r="V223" i="59"/>
  <c r="R229" i="58"/>
  <c r="V280" i="55"/>
  <c r="R109" i="57"/>
  <c r="V223" i="57"/>
  <c r="V190" i="55"/>
  <c r="V157" i="58"/>
  <c r="V226" i="55"/>
  <c r="V138" i="55"/>
  <c r="V222" i="57"/>
  <c r="V164" i="57"/>
  <c r="V98" i="55"/>
  <c r="V162" i="58"/>
  <c r="V249" i="58"/>
  <c r="V283" i="57"/>
  <c r="V278" i="58"/>
  <c r="V279" i="59"/>
  <c r="V257" i="58"/>
  <c r="V258" i="57"/>
  <c r="V191" i="58"/>
  <c r="V251" i="58"/>
  <c r="V284" i="59"/>
  <c r="V224" i="57"/>
  <c r="V198" i="59"/>
  <c r="V226" i="58"/>
  <c r="V43" i="55"/>
  <c r="V190" i="57"/>
  <c r="V157" i="59"/>
  <c r="L229" i="57"/>
  <c r="V46" i="57"/>
  <c r="V193" i="58"/>
  <c r="V100" i="59"/>
  <c r="V258" i="55"/>
  <c r="V78" i="59"/>
  <c r="V134" i="59"/>
  <c r="D51" i="45"/>
  <c r="D52" i="45" s="1"/>
  <c r="L51" i="46"/>
  <c r="L52" i="46" s="1"/>
  <c r="F51" i="45"/>
  <c r="F52" i="45" s="1"/>
  <c r="N51" i="46"/>
  <c r="N52" i="46" s="1"/>
  <c r="H51" i="45"/>
  <c r="H52" i="45" s="1"/>
  <c r="P51" i="46"/>
  <c r="P52" i="46" s="1"/>
  <c r="J51" i="45"/>
  <c r="J52" i="45" s="1"/>
  <c r="R51" i="46"/>
  <c r="R52" i="46" s="1"/>
  <c r="T51" i="50"/>
  <c r="T52" i="50" s="1"/>
  <c r="T51" i="46"/>
  <c r="T52" i="46" s="1"/>
  <c r="D51" i="49"/>
  <c r="D52" i="49" s="1"/>
  <c r="F51" i="49"/>
  <c r="F52" i="49" s="1"/>
  <c r="P51" i="51"/>
  <c r="P52" i="51" s="1"/>
  <c r="N51" i="49"/>
  <c r="N52" i="49" s="1"/>
  <c r="D51" i="46"/>
  <c r="D52" i="46" s="1"/>
  <c r="R51" i="49"/>
  <c r="R52" i="49" s="1"/>
  <c r="F51" i="46"/>
  <c r="F52" i="46" s="1"/>
  <c r="H51" i="46"/>
  <c r="H52" i="46" s="1"/>
  <c r="V256" i="57"/>
  <c r="V13" i="58"/>
  <c r="V253" i="59"/>
  <c r="V157" i="55"/>
  <c r="V247" i="58"/>
  <c r="V103" i="57"/>
  <c r="V12" i="57"/>
  <c r="V164" i="58"/>
  <c r="V248" i="55"/>
  <c r="V105" i="57"/>
  <c r="V288" i="58"/>
  <c r="V161" i="58"/>
  <c r="V287" i="55"/>
  <c r="AK53" i="53"/>
  <c r="L53" i="53" s="1"/>
  <c r="H51" i="49"/>
  <c r="H52" i="49" s="1"/>
  <c r="J51" i="49"/>
  <c r="J52" i="49" s="1"/>
  <c r="L51" i="49"/>
  <c r="L52" i="49" s="1"/>
  <c r="P51" i="49"/>
  <c r="P52" i="49" s="1"/>
  <c r="B32" i="46"/>
  <c r="B32" i="49"/>
  <c r="L51" i="45"/>
  <c r="L52" i="45" s="1"/>
  <c r="B60" i="45"/>
  <c r="J80" i="45"/>
  <c r="J81" i="45" s="1"/>
  <c r="P80" i="45"/>
  <c r="P81" i="45" s="1"/>
  <c r="P51" i="45"/>
  <c r="P52" i="45" s="1"/>
  <c r="T51" i="45"/>
  <c r="T52" i="45" s="1"/>
  <c r="V41" i="55"/>
  <c r="V100" i="58"/>
  <c r="V163" i="57"/>
  <c r="V41" i="58"/>
  <c r="V98" i="57"/>
  <c r="V97" i="58"/>
  <c r="V16" i="58"/>
  <c r="AG113" i="53"/>
  <c r="H113" i="53" s="1"/>
  <c r="H112" i="53"/>
  <c r="F112" i="57"/>
  <c r="AE113" i="57"/>
  <c r="F113" i="57" s="1"/>
  <c r="V99" i="57"/>
  <c r="P232" i="55"/>
  <c r="V164" i="59"/>
  <c r="V159" i="53"/>
  <c r="V133" i="53"/>
  <c r="V44" i="59"/>
  <c r="AA194" i="52"/>
  <c r="B194" i="52" s="1"/>
  <c r="D51" i="51"/>
  <c r="D52" i="51" s="1"/>
  <c r="R51" i="51"/>
  <c r="R52" i="51" s="1"/>
  <c r="BW70" i="59"/>
  <c r="BG129" i="59"/>
  <c r="BW75" i="59"/>
  <c r="BW99" i="59"/>
  <c r="BG104" i="59"/>
  <c r="BG135" i="59"/>
  <c r="BS138" i="59"/>
  <c r="BG159" i="59"/>
  <c r="BW104" i="59"/>
  <c r="BW159" i="59"/>
  <c r="BS98" i="59"/>
  <c r="BS108" i="59"/>
  <c r="BX135" i="59"/>
  <c r="BW7" i="59"/>
  <c r="BX99" i="59"/>
  <c r="BF99" i="59"/>
  <c r="BW222" i="59"/>
  <c r="BW228" i="59"/>
  <c r="BS188" i="59"/>
  <c r="BX222" i="59"/>
  <c r="BX228" i="59"/>
  <c r="BG249" i="59"/>
  <c r="BX279" i="59"/>
  <c r="BW195" i="59"/>
  <c r="BS227" i="59"/>
  <c r="BG252" i="59"/>
  <c r="BF222" i="59"/>
  <c r="BF279" i="59"/>
  <c r="BG285" i="59"/>
  <c r="BX285" i="59"/>
  <c r="BF285" i="59"/>
  <c r="BG222" i="59"/>
  <c r="BF282" i="59"/>
  <c r="BS288" i="59"/>
  <c r="BS219" i="59"/>
  <c r="BX254" i="59"/>
  <c r="BF254" i="59"/>
  <c r="BW254" i="59"/>
  <c r="BF258" i="59"/>
  <c r="BS279" i="59"/>
  <c r="BG68" i="58"/>
  <c r="BG41" i="58"/>
  <c r="BX78" i="58"/>
  <c r="BW105" i="58"/>
  <c r="BS128" i="58"/>
  <c r="BS68" i="58"/>
  <c r="BS100" i="58"/>
  <c r="BX105" i="58"/>
  <c r="BX71" i="58"/>
  <c r="BF70" i="58"/>
  <c r="BF102" i="58"/>
  <c r="BS73" i="58"/>
  <c r="BS102" i="58"/>
  <c r="BS105" i="58"/>
  <c r="BX74" i="58"/>
  <c r="BG165" i="58"/>
  <c r="BG162" i="58"/>
  <c r="BW219" i="58"/>
  <c r="BX257" i="58"/>
  <c r="BG220" i="58"/>
  <c r="BX278" i="58"/>
  <c r="BW168" i="58"/>
  <c r="BG191" i="58"/>
  <c r="BX191" i="58"/>
  <c r="BS157" i="58"/>
  <c r="BW165" i="58"/>
  <c r="BG225" i="58"/>
  <c r="BS284" i="58"/>
  <c r="BF249" i="58"/>
  <c r="BF257" i="58"/>
  <c r="BF254" i="58"/>
  <c r="BG257" i="58"/>
  <c r="BS257" i="58"/>
  <c r="BF286" i="58"/>
  <c r="BG17" i="57"/>
  <c r="BG107" i="57"/>
  <c r="BX107" i="57"/>
  <c r="BS107" i="57"/>
  <c r="BX135" i="57"/>
  <c r="BF135" i="57"/>
  <c r="BX71" i="57"/>
  <c r="BX75" i="57"/>
  <c r="BW75" i="57"/>
  <c r="BF78" i="57"/>
  <c r="BW100" i="57"/>
  <c r="BW102" i="57"/>
  <c r="BS106" i="57"/>
  <c r="BF128" i="57"/>
  <c r="BW12" i="57"/>
  <c r="BW97" i="57"/>
  <c r="BG15" i="57"/>
  <c r="BF38" i="57"/>
  <c r="BF44" i="57"/>
  <c r="BG73" i="57"/>
  <c r="BW14" i="57"/>
  <c r="BS39" i="57"/>
  <c r="BF41" i="57"/>
  <c r="BF104" i="57"/>
  <c r="BG132" i="57"/>
  <c r="BG9" i="57"/>
  <c r="BF100" i="57"/>
  <c r="BG18" i="57"/>
  <c r="BS45" i="57"/>
  <c r="BG102" i="57"/>
  <c r="BW108" i="57"/>
  <c r="BG108" i="57"/>
  <c r="BG159" i="57"/>
  <c r="BS97" i="57"/>
  <c r="BF102" i="57"/>
  <c r="BX108" i="57"/>
  <c r="BF108" i="57"/>
  <c r="BX137" i="57"/>
  <c r="BX189" i="57"/>
  <c r="BS189" i="57"/>
  <c r="BG192" i="57"/>
  <c r="BS192" i="57"/>
  <c r="BS168" i="57"/>
  <c r="BW192" i="57"/>
  <c r="BS197" i="57"/>
  <c r="BF224" i="57"/>
  <c r="BX224" i="57"/>
  <c r="BW252" i="57"/>
  <c r="BS254" i="57"/>
  <c r="BF255" i="57"/>
  <c r="BF11" i="55"/>
  <c r="BG71" i="55"/>
  <c r="BS188" i="55"/>
  <c r="BX38" i="55"/>
  <c r="BF129" i="55"/>
  <c r="BS129" i="55"/>
  <c r="BW188" i="55"/>
  <c r="BF197" i="55"/>
  <c r="BS254" i="55"/>
  <c r="BG279" i="55"/>
  <c r="BF198" i="55"/>
  <c r="BX224" i="55"/>
  <c r="BF257" i="55"/>
  <c r="BG258" i="55"/>
  <c r="BS248" i="55"/>
  <c r="BS255" i="55"/>
  <c r="BG224" i="55"/>
  <c r="BX225" i="55"/>
  <c r="BS285" i="55"/>
  <c r="BX285" i="55"/>
  <c r="BF285" i="55"/>
  <c r="BF288" i="55"/>
  <c r="BG288" i="55"/>
  <c r="BW278" i="55"/>
  <c r="BS278" i="55"/>
  <c r="BF9" i="53"/>
  <c r="BW42" i="53"/>
  <c r="BX45" i="53"/>
  <c r="BS71" i="53"/>
  <c r="BS73" i="53"/>
  <c r="BF108" i="53"/>
  <c r="BW131" i="53"/>
  <c r="BS15" i="53"/>
  <c r="BF42" i="53"/>
  <c r="BG48" i="53"/>
  <c r="BG68" i="53"/>
  <c r="BS68" i="53"/>
  <c r="BG14" i="53"/>
  <c r="BF39" i="53"/>
  <c r="BF97" i="53"/>
  <c r="BX131" i="53"/>
  <c r="BX134" i="53"/>
  <c r="BW189" i="53"/>
  <c r="BS189" i="53"/>
  <c r="BX71" i="53"/>
  <c r="BW98" i="53"/>
  <c r="BS102" i="53"/>
  <c r="BW18" i="53"/>
  <c r="BS99" i="53"/>
  <c r="BW107" i="53"/>
  <c r="BS157" i="53"/>
  <c r="BS165" i="53"/>
  <c r="BX18" i="53"/>
  <c r="BF38" i="53"/>
  <c r="BG132" i="53"/>
  <c r="BG105" i="53"/>
  <c r="BF105" i="53"/>
  <c r="BG162" i="53"/>
  <c r="BX74" i="53"/>
  <c r="BF74" i="53"/>
  <c r="BX78" i="53"/>
  <c r="BF78" i="53"/>
  <c r="BW78" i="53"/>
  <c r="BW249" i="53"/>
  <c r="BF102" i="53"/>
  <c r="BS131" i="53"/>
  <c r="BF223" i="53"/>
  <c r="BG197" i="53"/>
  <c r="BX197" i="53"/>
  <c r="BS188" i="53"/>
  <c r="BX194" i="53"/>
  <c r="BS134" i="53"/>
  <c r="BW191" i="53"/>
  <c r="BG249" i="53"/>
  <c r="BF157" i="53"/>
  <c r="BG165" i="53"/>
  <c r="BW188" i="53"/>
  <c r="BG248" i="53"/>
  <c r="BX225" i="53"/>
  <c r="BX221" i="53"/>
  <c r="BF251" i="53"/>
  <c r="BF257" i="53"/>
  <c r="BS278" i="53"/>
  <c r="BG280" i="53"/>
  <c r="BS283" i="53"/>
  <c r="BW287" i="53"/>
  <c r="BW278" i="53"/>
  <c r="BF280" i="53"/>
  <c r="BF282" i="52"/>
  <c r="BG285" i="52"/>
  <c r="BW287" i="52"/>
  <c r="BF279" i="52"/>
  <c r="BX279" i="52"/>
  <c r="BF281" i="52"/>
  <c r="BW288" i="52"/>
  <c r="BW252" i="52"/>
  <c r="BX255" i="52"/>
  <c r="BG255" i="52"/>
  <c r="BS258" i="52"/>
  <c r="BF258" i="52"/>
  <c r="BF222" i="52"/>
  <c r="BG225" i="52"/>
  <c r="BF221" i="52"/>
  <c r="BX218" i="52"/>
  <c r="BS188" i="52"/>
  <c r="BX192" i="52"/>
  <c r="BW194" i="52"/>
  <c r="BX197" i="52"/>
  <c r="BG189" i="52"/>
  <c r="BW191" i="52"/>
  <c r="BX191" i="52"/>
  <c r="BG191" i="52"/>
  <c r="BF198" i="52"/>
  <c r="AO263" i="52"/>
  <c r="P263" i="52" s="1"/>
  <c r="N292" i="52"/>
  <c r="BS9" i="52"/>
  <c r="BW10" i="52"/>
  <c r="BF10" i="52"/>
  <c r="BF15" i="52"/>
  <c r="BG15" i="52"/>
  <c r="BX18" i="52"/>
  <c r="BG18" i="52"/>
  <c r="BE127" i="52"/>
  <c r="BF39" i="52"/>
  <c r="AC23" i="52"/>
  <c r="D23" i="52" s="1"/>
  <c r="D22" i="52"/>
  <c r="H79" i="52"/>
  <c r="P199" i="52"/>
  <c r="L259" i="52"/>
  <c r="BE15" i="52"/>
  <c r="V15" i="52"/>
  <c r="V41" i="52"/>
  <c r="BE101" i="52"/>
  <c r="V101" i="52"/>
  <c r="V135" i="52"/>
  <c r="BE135" i="52"/>
  <c r="BE161" i="52"/>
  <c r="V161" i="52"/>
  <c r="BG14" i="52"/>
  <c r="BS11" i="52"/>
  <c r="BW15" i="52"/>
  <c r="BX11" i="52"/>
  <c r="BX39" i="52"/>
  <c r="BS12" i="52"/>
  <c r="BX138" i="52"/>
  <c r="BW167" i="52"/>
  <c r="BS14" i="52"/>
  <c r="BS39" i="52"/>
  <c r="BX69" i="52"/>
  <c r="BS105" i="52"/>
  <c r="BX132" i="52"/>
  <c r="BS42" i="52"/>
  <c r="BS129" i="52"/>
  <c r="BS8" i="52"/>
  <c r="BS132" i="52"/>
  <c r="BX168" i="52"/>
  <c r="BF14" i="52"/>
  <c r="BS69" i="52"/>
  <c r="BG8" i="52"/>
  <c r="BS158" i="52"/>
  <c r="BF165" i="52"/>
  <c r="BG168" i="52"/>
  <c r="BS160" i="52"/>
  <c r="BS168" i="52"/>
  <c r="BW161" i="52"/>
  <c r="BF164" i="52"/>
  <c r="BX164" i="52"/>
  <c r="BF160" i="52"/>
  <c r="BW132" i="52"/>
  <c r="BW129" i="52"/>
  <c r="BW134" i="52"/>
  <c r="BG129" i="52"/>
  <c r="BF134" i="52"/>
  <c r="BS135" i="52"/>
  <c r="BF138" i="52"/>
  <c r="BS68" i="52"/>
  <c r="BF75" i="52"/>
  <c r="BX72" i="52"/>
  <c r="BX71" i="52"/>
  <c r="BX68" i="52"/>
  <c r="BF42" i="52"/>
  <c r="BX42" i="52"/>
  <c r="BS40" i="52"/>
  <c r="F199" i="58"/>
  <c r="AT64" i="58"/>
  <c r="CX7" i="16"/>
  <c r="N112" i="58"/>
  <c r="AA223" i="55"/>
  <c r="B223" i="55" s="1"/>
  <c r="AA248" i="52"/>
  <c r="B248" i="52" s="1"/>
  <c r="AA257" i="53"/>
  <c r="B257" i="53" s="1"/>
  <c r="AA37" i="55"/>
  <c r="B37" i="55" s="1"/>
  <c r="AR214" i="59"/>
  <c r="AL274" i="58"/>
  <c r="B3" i="58"/>
  <c r="AA103" i="55"/>
  <c r="B103" i="55" s="1"/>
  <c r="AA103" i="53"/>
  <c r="B103" i="53" s="1"/>
  <c r="AA103" i="52"/>
  <c r="B103" i="52" s="1"/>
  <c r="AA97" i="52"/>
  <c r="B97" i="52" s="1"/>
  <c r="AA41" i="52"/>
  <c r="B41" i="52" s="1"/>
  <c r="AA41" i="55"/>
  <c r="B41" i="55" s="1"/>
  <c r="V227" i="52"/>
  <c r="BE227" i="52"/>
  <c r="BX227" i="52"/>
  <c r="BE278" i="52"/>
  <c r="V278" i="52"/>
  <c r="L232" i="53"/>
  <c r="BE194" i="52"/>
  <c r="V194" i="52"/>
  <c r="V228" i="52"/>
  <c r="AO118" i="52"/>
  <c r="P118" i="52" s="1"/>
  <c r="AQ173" i="57"/>
  <c r="R173" i="57" s="1"/>
  <c r="R172" i="57"/>
  <c r="AA97" i="53"/>
  <c r="B97" i="53" s="1"/>
  <c r="T172" i="57"/>
  <c r="AS173" i="57"/>
  <c r="T173" i="57" s="1"/>
  <c r="AQ203" i="59"/>
  <c r="R203" i="59" s="1"/>
  <c r="R202" i="59"/>
  <c r="AD214" i="55"/>
  <c r="AI267" i="58"/>
  <c r="AJ253" i="58" s="1"/>
  <c r="K253" i="58" s="1"/>
  <c r="AI265" i="58"/>
  <c r="AI268" i="58"/>
  <c r="J268" i="58" s="1"/>
  <c r="AG298" i="58"/>
  <c r="AS83" i="57"/>
  <c r="T83" i="57" s="1"/>
  <c r="T82" i="57"/>
  <c r="AG206" i="57"/>
  <c r="H206" i="57" s="1"/>
  <c r="AG205" i="57"/>
  <c r="AH187" i="57" s="1"/>
  <c r="I187" i="57" s="1"/>
  <c r="AG207" i="57"/>
  <c r="H207" i="57" s="1"/>
  <c r="F112" i="59"/>
  <c r="AA7" i="52"/>
  <c r="T82" i="55"/>
  <c r="J202" i="57"/>
  <c r="L22" i="58"/>
  <c r="CX10" i="16"/>
  <c r="AJ154" i="58"/>
  <c r="P229" i="53"/>
  <c r="L52" i="55"/>
  <c r="BX12" i="53"/>
  <c r="F172" i="55"/>
  <c r="AO293" i="58"/>
  <c r="P293" i="58" s="1"/>
  <c r="P292" i="58"/>
  <c r="AG145" i="59"/>
  <c r="H145" i="59" s="1"/>
  <c r="H142" i="59"/>
  <c r="AO143" i="53"/>
  <c r="P143" i="53" s="1"/>
  <c r="F49" i="53"/>
  <c r="R82" i="59"/>
  <c r="AC53" i="53"/>
  <c r="D53" i="53" s="1"/>
  <c r="D52" i="53"/>
  <c r="D112" i="55"/>
  <c r="AD154" i="59"/>
  <c r="AE173" i="55"/>
  <c r="F173" i="55" s="1"/>
  <c r="AI113" i="57"/>
  <c r="J113" i="57" s="1"/>
  <c r="BS222" i="52"/>
  <c r="T292" i="59"/>
  <c r="AA221" i="55"/>
  <c r="B221" i="55" s="1"/>
  <c r="H202" i="55"/>
  <c r="AH244" i="58"/>
  <c r="BE192" i="52"/>
  <c r="V192" i="52"/>
  <c r="BE11" i="53"/>
  <c r="V11" i="53"/>
  <c r="BE217" i="53"/>
  <c r="V217" i="53"/>
  <c r="L202" i="57"/>
  <c r="AM148" i="53"/>
  <c r="AN136" i="53" s="1"/>
  <c r="O136" i="53" s="1"/>
  <c r="AM147" i="53"/>
  <c r="N147" i="53" s="1"/>
  <c r="BW68" i="53"/>
  <c r="BF68" i="53"/>
  <c r="BF12" i="52"/>
  <c r="AE266" i="57"/>
  <c r="AF250" i="57" s="1"/>
  <c r="G250" i="57" s="1"/>
  <c r="AM55" i="57"/>
  <c r="N55" i="57" s="1"/>
  <c r="AM56" i="57"/>
  <c r="AN40" i="57" s="1"/>
  <c r="O40" i="57" s="1"/>
  <c r="AM58" i="57"/>
  <c r="AN46" i="57" s="1"/>
  <c r="O46" i="57" s="1"/>
  <c r="AM57" i="57"/>
  <c r="N57" i="57" s="1"/>
  <c r="AG117" i="53"/>
  <c r="AH103" i="53" s="1"/>
  <c r="I103" i="53" s="1"/>
  <c r="AG116" i="53"/>
  <c r="H116" i="53" s="1"/>
  <c r="AA72" i="55"/>
  <c r="B72" i="55" s="1"/>
  <c r="AA67" i="53"/>
  <c r="B67" i="53" s="1"/>
  <c r="AC147" i="55"/>
  <c r="AD133" i="55" s="1"/>
  <c r="E133" i="55" s="1"/>
  <c r="AC145" i="55"/>
  <c r="AC148" i="55"/>
  <c r="AD136" i="55" s="1"/>
  <c r="E136" i="55" s="1"/>
  <c r="AC146" i="55"/>
  <c r="D146" i="55" s="1"/>
  <c r="AK178" i="55"/>
  <c r="L178" i="55" s="1"/>
  <c r="AK176" i="55"/>
  <c r="AL160" i="55" s="1"/>
  <c r="M160" i="55" s="1"/>
  <c r="AK175" i="55"/>
  <c r="L175" i="55" s="1"/>
  <c r="A3" i="69"/>
  <c r="F2" i="59"/>
  <c r="AE83" i="59"/>
  <c r="F83" i="59" s="1"/>
  <c r="H232" i="53"/>
  <c r="AA187" i="52"/>
  <c r="B187" i="52" s="1"/>
  <c r="AA187" i="53"/>
  <c r="B187" i="53" s="1"/>
  <c r="AA187" i="55"/>
  <c r="B187" i="55" s="1"/>
  <c r="CC11" i="16"/>
  <c r="AT184" i="57" s="1"/>
  <c r="CB5" i="16"/>
  <c r="AR4" i="57" s="1"/>
  <c r="BV13" i="16"/>
  <c r="AF244" i="57" s="1"/>
  <c r="CB10" i="16"/>
  <c r="AR154" i="57" s="1"/>
  <c r="CB6" i="16"/>
  <c r="AR34" i="57" s="1"/>
  <c r="BV12" i="16"/>
  <c r="AF214" i="57" s="1"/>
  <c r="CC6" i="16"/>
  <c r="U33" i="49" s="1"/>
  <c r="BW12" i="16"/>
  <c r="AH214" i="57" s="1"/>
  <c r="BY11" i="16"/>
  <c r="AL184" i="57" s="1"/>
  <c r="BV6" i="16"/>
  <c r="AF34" i="57" s="1"/>
  <c r="CA12" i="16"/>
  <c r="AP214" i="57" s="1"/>
  <c r="BU7" i="59"/>
  <c r="BU8" i="59" s="1"/>
  <c r="BU9" i="59" s="1"/>
  <c r="BU10" i="59" s="1"/>
  <c r="BU11" i="59" s="1"/>
  <c r="BU12" i="59" s="1"/>
  <c r="BU13" i="59" s="1"/>
  <c r="BU14" i="59" s="1"/>
  <c r="BU15" i="59" s="1"/>
  <c r="BU16" i="59" s="1"/>
  <c r="BU17" i="59" s="1"/>
  <c r="BU18" i="59" s="1"/>
  <c r="AA161" i="55"/>
  <c r="B161" i="55" s="1"/>
  <c r="AA107" i="53"/>
  <c r="B107" i="53" s="1"/>
  <c r="AA107" i="52"/>
  <c r="B107" i="52" s="1"/>
  <c r="BB7" i="16"/>
  <c r="AF64" i="55" s="1"/>
  <c r="BG9" i="16"/>
  <c r="AP124" i="55" s="1"/>
  <c r="BI10" i="16"/>
  <c r="AT154" i="55" s="1"/>
  <c r="BE13" i="16"/>
  <c r="AL244" i="55" s="1"/>
  <c r="BC7" i="16"/>
  <c r="I62" i="46" s="1"/>
  <c r="BE8" i="16"/>
  <c r="BA11" i="16"/>
  <c r="AD184" i="55" s="1"/>
  <c r="BC12" i="16"/>
  <c r="AH214" i="55" s="1"/>
  <c r="BG14" i="16"/>
  <c r="AP274" i="55" s="1"/>
  <c r="BF8" i="16"/>
  <c r="BH9" i="16"/>
  <c r="AR124" i="55" s="1"/>
  <c r="BB11" i="16"/>
  <c r="AF184" i="55" s="1"/>
  <c r="BD12" i="16"/>
  <c r="AJ214" i="55" s="1"/>
  <c r="BF13" i="16"/>
  <c r="AN244" i="55" s="1"/>
  <c r="BH14" i="16"/>
  <c r="AR274" i="55" s="1"/>
  <c r="BD7" i="16"/>
  <c r="BI9" i="16"/>
  <c r="AT124" i="55" s="1"/>
  <c r="BC11" i="16"/>
  <c r="AH184" i="55" s="1"/>
  <c r="BG13" i="16"/>
  <c r="AP244" i="55" s="1"/>
  <c r="BB6" i="16"/>
  <c r="AF34" i="55" s="1"/>
  <c r="BH8" i="16"/>
  <c r="AR94" i="55" s="1"/>
  <c r="BA10" i="16"/>
  <c r="AD154" i="55" s="1"/>
  <c r="BD11" i="16"/>
  <c r="AJ184" i="55" s="1"/>
  <c r="BF12" i="16"/>
  <c r="AN214" i="55" s="1"/>
  <c r="BH13" i="16"/>
  <c r="AR244" i="55" s="1"/>
  <c r="BB5" i="16"/>
  <c r="BF6" i="16"/>
  <c r="BI7" i="16"/>
  <c r="AT64" i="55" s="1"/>
  <c r="BC9" i="16"/>
  <c r="AH124" i="55" s="1"/>
  <c r="BE10" i="16"/>
  <c r="AL154" i="55" s="1"/>
  <c r="BI12" i="16"/>
  <c r="AT214" i="55" s="1"/>
  <c r="BG5" i="16"/>
  <c r="Q4" i="46" s="1"/>
  <c r="BG6" i="16"/>
  <c r="AP34" i="55"/>
  <c r="BF10" i="16"/>
  <c r="AN154" i="55" s="1"/>
  <c r="BH11" i="16"/>
  <c r="AR184" i="55" s="1"/>
  <c r="BA13" i="16"/>
  <c r="AD244" i="55"/>
  <c r="BC14" i="16"/>
  <c r="BH5" i="16"/>
  <c r="S4" i="46" s="1"/>
  <c r="BX8" i="53"/>
  <c r="BW41" i="58"/>
  <c r="AL7" i="16"/>
  <c r="AN64" i="53" s="1"/>
  <c r="AH11" i="16"/>
  <c r="AF184" i="53" s="1"/>
  <c r="AM14" i="16"/>
  <c r="AP274" i="53" s="1"/>
  <c r="AK9" i="16"/>
  <c r="AL124" i="53" s="1"/>
  <c r="AI11" i="16"/>
  <c r="AH184" i="53" s="1"/>
  <c r="AG13" i="16"/>
  <c r="AD244" i="53" s="1"/>
  <c r="AN14" i="16"/>
  <c r="AR274" i="53" s="1"/>
  <c r="AJ6" i="16"/>
  <c r="AJ34" i="53" s="1"/>
  <c r="AJ11" i="16"/>
  <c r="AJ184" i="53" s="1"/>
  <c r="AH13" i="16"/>
  <c r="AF244" i="53" s="1"/>
  <c r="AO14" i="16"/>
  <c r="AT274" i="53" s="1"/>
  <c r="AM9" i="16"/>
  <c r="AP124" i="53" s="1"/>
  <c r="AI13" i="16"/>
  <c r="AH244" i="53" s="1"/>
  <c r="AO9" i="16"/>
  <c r="AT124" i="53" s="1"/>
  <c r="AM11" i="16"/>
  <c r="AP184" i="53" s="1"/>
  <c r="AK13" i="16"/>
  <c r="AL244" i="53" s="1"/>
  <c r="AJ5" i="16"/>
  <c r="K4" i="45" s="1"/>
  <c r="AK10" i="16"/>
  <c r="AL154" i="53" s="1"/>
  <c r="AI12" i="16"/>
  <c r="AH214" i="53" s="1"/>
  <c r="AG14" i="16"/>
  <c r="AD274" i="53" s="1"/>
  <c r="AG7" i="16"/>
  <c r="AD64" i="53" s="1"/>
  <c r="AL10" i="16"/>
  <c r="AN154" i="53" s="1"/>
  <c r="AG5" i="16"/>
  <c r="AD4" i="53" s="1"/>
  <c r="AC295" i="57"/>
  <c r="AC298" i="57"/>
  <c r="AD286" i="57" s="1"/>
  <c r="E286" i="57" s="1"/>
  <c r="H292" i="53"/>
  <c r="BU13" i="16"/>
  <c r="AD244" i="57" s="1"/>
  <c r="AG118" i="53"/>
  <c r="H118" i="53" s="1"/>
  <c r="BX258" i="52"/>
  <c r="BW104" i="53"/>
  <c r="AM86" i="58"/>
  <c r="L82" i="59"/>
  <c r="BG38" i="53"/>
  <c r="BG45" i="55"/>
  <c r="A2" i="68"/>
  <c r="BX15" i="52"/>
  <c r="BS107" i="53"/>
  <c r="BG72" i="52"/>
  <c r="BW224" i="52"/>
  <c r="BG71" i="53"/>
  <c r="BF131" i="55"/>
  <c r="V128" i="58"/>
  <c r="BS8" i="53"/>
  <c r="BG228" i="53"/>
  <c r="BG284" i="53"/>
  <c r="BX41" i="57"/>
  <c r="BS41" i="57"/>
  <c r="BW224" i="57"/>
  <c r="BW282" i="52"/>
  <c r="BG282" i="52"/>
  <c r="BG248" i="59"/>
  <c r="AE236" i="59"/>
  <c r="F236" i="59" s="1"/>
  <c r="AE235" i="59"/>
  <c r="AF217" i="59" s="1"/>
  <c r="G217" i="59" s="1"/>
  <c r="AE238" i="59"/>
  <c r="AF226" i="59" s="1"/>
  <c r="G226" i="59" s="1"/>
  <c r="AE237" i="59"/>
  <c r="AF223" i="59" s="1"/>
  <c r="BE283" i="52"/>
  <c r="V283" i="52"/>
  <c r="BF132" i="52"/>
  <c r="BS191" i="52"/>
  <c r="BG39" i="53"/>
  <c r="BW45" i="53"/>
  <c r="AK115" i="58"/>
  <c r="AL97" i="58" s="1"/>
  <c r="M97" i="58" s="1"/>
  <c r="AK116" i="58"/>
  <c r="L116" i="58" s="1"/>
  <c r="AQ177" i="59"/>
  <c r="AQ176" i="59"/>
  <c r="R176" i="59" s="1"/>
  <c r="AI205" i="53"/>
  <c r="BE10" i="52"/>
  <c r="BX10" i="52" s="1"/>
  <c r="V10" i="52"/>
  <c r="BS219" i="52"/>
  <c r="BS254" i="52"/>
  <c r="BG220" i="53"/>
  <c r="AO237" i="57"/>
  <c r="P237" i="57" s="1"/>
  <c r="AO235" i="57"/>
  <c r="P235" i="57" s="1"/>
  <c r="AO236" i="57"/>
  <c r="AP220" i="57" s="1"/>
  <c r="Q220" i="57" s="1"/>
  <c r="A2" i="72"/>
  <c r="A2" i="66"/>
  <c r="AO175" i="53"/>
  <c r="BW188" i="52"/>
  <c r="BF288" i="52"/>
  <c r="BW17" i="53"/>
  <c r="BG74" i="55"/>
  <c r="BW197" i="57"/>
  <c r="BG283" i="53"/>
  <c r="BW280" i="53"/>
  <c r="BW104" i="55"/>
  <c r="BX189" i="52"/>
  <c r="BF69" i="57"/>
  <c r="BF252" i="57"/>
  <c r="BF219" i="59"/>
  <c r="BX219" i="59"/>
  <c r="BG9" i="52"/>
  <c r="BX278" i="53"/>
  <c r="BF222" i="55"/>
  <c r="BX222" i="55"/>
  <c r="BX77" i="57"/>
  <c r="BF48" i="53"/>
  <c r="BW288" i="55"/>
  <c r="BW225" i="52"/>
  <c r="BG102" i="55"/>
  <c r="BG47" i="53"/>
  <c r="BS47" i="53"/>
  <c r="BF188" i="55"/>
  <c r="BX248" i="55"/>
  <c r="BG279" i="52"/>
  <c r="BG279" i="53"/>
  <c r="BG68" i="55"/>
  <c r="BS108" i="55"/>
  <c r="BX219" i="57"/>
  <c r="BS194" i="52"/>
  <c r="BS41" i="53"/>
  <c r="BW47" i="53"/>
  <c r="BF134" i="53"/>
  <c r="BF197" i="52"/>
  <c r="BG10" i="53"/>
  <c r="BW279" i="55"/>
  <c r="BX9" i="57"/>
  <c r="BS15" i="57"/>
  <c r="BS72" i="58"/>
  <c r="V221" i="52"/>
  <c r="BE281" i="52"/>
  <c r="BX162" i="53"/>
  <c r="BW258" i="55"/>
  <c r="BX8" i="57"/>
  <c r="BF100" i="58"/>
  <c r="BW132" i="53"/>
  <c r="BG138" i="59"/>
  <c r="BG43" i="53"/>
  <c r="BW128" i="53"/>
  <c r="BF131" i="53"/>
  <c r="BW107" i="57"/>
  <c r="BS227" i="57"/>
  <c r="BS10" i="58"/>
  <c r="BS104" i="58"/>
  <c r="BF278" i="55"/>
  <c r="BG75" i="57"/>
  <c r="BG128" i="58"/>
  <c r="BX228" i="53"/>
  <c r="BS228" i="53"/>
  <c r="BG227" i="55"/>
  <c r="BG282" i="55"/>
  <c r="BW137" i="57"/>
  <c r="BW68" i="58"/>
  <c r="BF198" i="53"/>
  <c r="BS227" i="55"/>
  <c r="BG72" i="57"/>
  <c r="BX191" i="53"/>
  <c r="BW224" i="53"/>
  <c r="BG11" i="57"/>
  <c r="BG39" i="57"/>
  <c r="BG134" i="59"/>
  <c r="BG194" i="55"/>
  <c r="BW72" i="53"/>
  <c r="BW255" i="55"/>
  <c r="BF165" i="58"/>
  <c r="BS72" i="59"/>
  <c r="BF72" i="59"/>
  <c r="BG221" i="53"/>
  <c r="BG219" i="55"/>
  <c r="BW287" i="55"/>
  <c r="BG48" i="57"/>
  <c r="BS69" i="57"/>
  <c r="BW278" i="58"/>
  <c r="BF279" i="55"/>
  <c r="BF220" i="58"/>
  <c r="BX159" i="59"/>
  <c r="BF159" i="59"/>
  <c r="BF287" i="55"/>
  <c r="BF101" i="57"/>
  <c r="BX258" i="55"/>
  <c r="BW222" i="58"/>
  <c r="BG195" i="59"/>
  <c r="BS78" i="58"/>
  <c r="BX15" i="59"/>
  <c r="BS105" i="59"/>
  <c r="BF191" i="58"/>
  <c r="BG7" i="59"/>
  <c r="BX18" i="59"/>
  <c r="BF227" i="59"/>
  <c r="BW249" i="59"/>
  <c r="BF108" i="58"/>
  <c r="BF162" i="58"/>
  <c r="BG107" i="59"/>
  <c r="BS251" i="59"/>
  <c r="BF128" i="58"/>
  <c r="BG283" i="58"/>
  <c r="BG167" i="59"/>
  <c r="BS282" i="59"/>
  <c r="BW285" i="59"/>
  <c r="P229" i="57"/>
  <c r="BX158" i="57"/>
  <c r="BS157" i="57"/>
  <c r="BW157" i="57"/>
  <c r="V130" i="57"/>
  <c r="BF106" i="57"/>
  <c r="BW103" i="57"/>
  <c r="BS103" i="57"/>
  <c r="BF103" i="57"/>
  <c r="BG103" i="57"/>
  <c r="AU109" i="57"/>
  <c r="BB110" i="57" s="1"/>
  <c r="V97" i="57"/>
  <c r="T79" i="57"/>
  <c r="BS47" i="57"/>
  <c r="D112" i="57"/>
  <c r="AA167" i="55"/>
  <c r="B167" i="55" s="1"/>
  <c r="AA167" i="52"/>
  <c r="B167" i="52" s="1"/>
  <c r="AA167" i="53"/>
  <c r="B167" i="53" s="1"/>
  <c r="F2" i="57"/>
  <c r="BU7" i="58"/>
  <c r="BU8" i="58" s="1"/>
  <c r="BU9" i="58" s="1"/>
  <c r="BU10" i="58" s="1"/>
  <c r="BU11" i="58" s="1"/>
  <c r="BU12" i="58" s="1"/>
  <c r="BU13" i="58" s="1"/>
  <c r="BU14" i="58" s="1"/>
  <c r="BU15" i="58" s="1"/>
  <c r="BU16" i="58" s="1"/>
  <c r="BU17" i="58" s="1"/>
  <c r="BU18" i="58" s="1"/>
  <c r="AC297" i="57"/>
  <c r="AD283" i="57" s="1"/>
  <c r="E283" i="57" s="1"/>
  <c r="AC296" i="57"/>
  <c r="D296" i="57" s="1"/>
  <c r="AO177" i="53"/>
  <c r="P177" i="53" s="1"/>
  <c r="AO176" i="53"/>
  <c r="AP160" i="53" s="1"/>
  <c r="Q160" i="53" s="1"/>
  <c r="AA136" i="52"/>
  <c r="B136" i="52" s="1"/>
  <c r="AQ268" i="53"/>
  <c r="R268" i="53" s="1"/>
  <c r="BG192" i="52"/>
  <c r="BX194" i="55"/>
  <c r="BX69" i="57"/>
  <c r="AA46" i="53"/>
  <c r="B46" i="53" s="1"/>
  <c r="BX257" i="52"/>
  <c r="BF45" i="57"/>
  <c r="BG97" i="57"/>
  <c r="BW135" i="53"/>
  <c r="BG167" i="55"/>
  <c r="BG105" i="58"/>
  <c r="BX14" i="52"/>
  <c r="BF248" i="55"/>
  <c r="BX258" i="57"/>
  <c r="BX288" i="52"/>
  <c r="BW9" i="53"/>
  <c r="BG41" i="53"/>
  <c r="BF104" i="59"/>
  <c r="BW78" i="58"/>
  <c r="BS192" i="52"/>
  <c r="BG278" i="52"/>
  <c r="BG285" i="57"/>
  <c r="BG133" i="59"/>
  <c r="BS189" i="52"/>
  <c r="BG218" i="52"/>
  <c r="BS222" i="59"/>
  <c r="BF251" i="59"/>
  <c r="BG11" i="53"/>
  <c r="BS11" i="53"/>
  <c r="BX11" i="53"/>
  <c r="BG78" i="53"/>
  <c r="BW255" i="58"/>
  <c r="BF192" i="53"/>
  <c r="BS284" i="57"/>
  <c r="BG228" i="58"/>
  <c r="BF226" i="53"/>
  <c r="BF228" i="57"/>
  <c r="BS44" i="53"/>
  <c r="BS9" i="53"/>
  <c r="BS287" i="52"/>
  <c r="AO23" i="57"/>
  <c r="P23" i="57" s="1"/>
  <c r="P22" i="57"/>
  <c r="D232" i="52"/>
  <c r="AI83" i="58"/>
  <c r="J83" i="58" s="1"/>
  <c r="F292" i="53"/>
  <c r="AQ143" i="55"/>
  <c r="R143" i="55" s="1"/>
  <c r="AQ203" i="55"/>
  <c r="R203" i="55" s="1"/>
  <c r="R202" i="55"/>
  <c r="AO178" i="53"/>
  <c r="AP166" i="53" s="1"/>
  <c r="Q166" i="53" s="1"/>
  <c r="P172" i="53"/>
  <c r="AO173" i="53"/>
  <c r="P173" i="53" s="1"/>
  <c r="AI143" i="59"/>
  <c r="J143" i="59" s="1"/>
  <c r="J142" i="59"/>
  <c r="N172" i="53"/>
  <c r="AC173" i="52"/>
  <c r="D173" i="52" s="1"/>
  <c r="D172" i="52"/>
  <c r="AQ293" i="59"/>
  <c r="R293" i="59" s="1"/>
  <c r="R292" i="59"/>
  <c r="AA127" i="57"/>
  <c r="B127" i="57" s="1"/>
  <c r="AA127" i="55"/>
  <c r="B127" i="55" s="1"/>
  <c r="BF219" i="55"/>
  <c r="BF135" i="59"/>
  <c r="CT6" i="16"/>
  <c r="CV6" i="16"/>
  <c r="S33" i="50" s="1"/>
  <c r="CU5" i="16"/>
  <c r="Q4" i="50"/>
  <c r="AT4" i="59"/>
  <c r="DL6" i="16"/>
  <c r="K33" i="51" s="1"/>
  <c r="DK5" i="16"/>
  <c r="I4" i="51" s="1"/>
  <c r="DN6" i="16"/>
  <c r="AN34" i="59" s="1"/>
  <c r="DM5" i="16"/>
  <c r="M4" i="51" s="1"/>
  <c r="DO6" i="16"/>
  <c r="DN5" i="16"/>
  <c r="AN4" i="59" s="1"/>
  <c r="DP6" i="16"/>
  <c r="DO5" i="16"/>
  <c r="Q4" i="51" s="1"/>
  <c r="DJ6" i="16"/>
  <c r="G33" i="51"/>
  <c r="DI5" i="16"/>
  <c r="E4" i="51" s="1"/>
  <c r="CR6" i="16"/>
  <c r="AJ34" i="58" s="1"/>
  <c r="CQ5" i="16"/>
  <c r="CS6" i="16"/>
  <c r="M33" i="50" s="1"/>
  <c r="CR5" i="16"/>
  <c r="K4" i="50" s="1"/>
  <c r="CS5" i="16"/>
  <c r="AL4" i="58" s="1"/>
  <c r="CU6" i="16"/>
  <c r="CT5" i="16"/>
  <c r="O4" i="50" s="1"/>
  <c r="CO6" i="16"/>
  <c r="CW6" i="16"/>
  <c r="CW15" i="16" s="1"/>
  <c r="CV5" i="16"/>
  <c r="CP6" i="16"/>
  <c r="CO5" i="16"/>
  <c r="E4" i="50" s="1"/>
  <c r="L112" i="58"/>
  <c r="L232" i="59"/>
  <c r="AT4" i="58"/>
  <c r="H82" i="55"/>
  <c r="AK173" i="55"/>
  <c r="L173" i="55" s="1"/>
  <c r="AK53" i="59"/>
  <c r="L53" i="59" s="1"/>
  <c r="N292" i="58"/>
  <c r="AS263" i="55"/>
  <c r="T263" i="55" s="1"/>
  <c r="T262" i="55"/>
  <c r="AS23" i="57"/>
  <c r="T23" i="57" s="1"/>
  <c r="AL124" i="59"/>
  <c r="AF94" i="59"/>
  <c r="AD274" i="59"/>
  <c r="AL214" i="59"/>
  <c r="AT154" i="59"/>
  <c r="DR10" i="16"/>
  <c r="AE113" i="53"/>
  <c r="F113" i="53" s="1"/>
  <c r="F112" i="53"/>
  <c r="AI233" i="53"/>
  <c r="J233" i="53" s="1"/>
  <c r="AI263" i="59"/>
  <c r="J263" i="59" s="1"/>
  <c r="J262" i="59"/>
  <c r="H232" i="59"/>
  <c r="AE293" i="57"/>
  <c r="F293" i="57" s="1"/>
  <c r="F292" i="57"/>
  <c r="AE178" i="58"/>
  <c r="AF166" i="58" s="1"/>
  <c r="AE173" i="58"/>
  <c r="F173" i="58" s="1"/>
  <c r="F172" i="58"/>
  <c r="AE177" i="58"/>
  <c r="AF163" i="58" s="1"/>
  <c r="AE175" i="58"/>
  <c r="AF157" i="58" s="1"/>
  <c r="G157" i="58" s="1"/>
  <c r="AE176" i="58"/>
  <c r="AF160" i="58" s="1"/>
  <c r="AS293" i="58"/>
  <c r="T293" i="58" s="1"/>
  <c r="AE53" i="59"/>
  <c r="F53" i="59" s="1"/>
  <c r="F52" i="59"/>
  <c r="H82" i="59"/>
  <c r="AG83" i="59"/>
  <c r="H83" i="59" s="1"/>
  <c r="DQ6" i="16"/>
  <c r="DJ5" i="16"/>
  <c r="G4" i="51" s="1"/>
  <c r="DL5" i="16"/>
  <c r="DP5" i="16"/>
  <c r="AR4" i="59" s="1"/>
  <c r="BS280" i="58"/>
  <c r="BG280" i="58"/>
  <c r="BW280" i="58"/>
  <c r="BF280" i="58"/>
  <c r="BW256" i="58"/>
  <c r="V253" i="58"/>
  <c r="AU229" i="58"/>
  <c r="V229" i="58" s="1"/>
  <c r="F229" i="58"/>
  <c r="BW217" i="58"/>
  <c r="BG217" i="58"/>
  <c r="BF217" i="58"/>
  <c r="BF196" i="58"/>
  <c r="BW196" i="58"/>
  <c r="BS193" i="58"/>
  <c r="AU199" i="58"/>
  <c r="V199" i="58" s="1"/>
  <c r="H199" i="58"/>
  <c r="BS160" i="58"/>
  <c r="BF160" i="58"/>
  <c r="BF157" i="58"/>
  <c r="BG157" i="58"/>
  <c r="BW157" i="58"/>
  <c r="BW136" i="58"/>
  <c r="BG136" i="58"/>
  <c r="BW133" i="58"/>
  <c r="BS133" i="58"/>
  <c r="BE133" i="58"/>
  <c r="BG130" i="58"/>
  <c r="BF130" i="58"/>
  <c r="BG107" i="58"/>
  <c r="BW107" i="58"/>
  <c r="BW97" i="58"/>
  <c r="BG97" i="58"/>
  <c r="BF97" i="58"/>
  <c r="V43" i="58"/>
  <c r="BW44" i="58"/>
  <c r="BS7" i="58"/>
  <c r="J292" i="58"/>
  <c r="AA278" i="57"/>
  <c r="B278" i="57" s="1"/>
  <c r="AA250" i="57"/>
  <c r="B250" i="57" s="1"/>
  <c r="T80" i="46"/>
  <c r="T81" i="46" s="1"/>
  <c r="B89" i="46"/>
  <c r="T109" i="46" s="1"/>
  <c r="T110" i="46" s="1"/>
  <c r="D80" i="46"/>
  <c r="D81" i="46" s="1"/>
  <c r="H80" i="46"/>
  <c r="H81" i="46" s="1"/>
  <c r="N80" i="46"/>
  <c r="N81" i="46" s="1"/>
  <c r="AA67" i="55"/>
  <c r="B67" i="55" s="1"/>
  <c r="AA73" i="57"/>
  <c r="B73" i="57" s="1"/>
  <c r="AA101" i="55"/>
  <c r="B101" i="55" s="1"/>
  <c r="AA107" i="57"/>
  <c r="B107" i="57" s="1"/>
  <c r="BW12" i="59"/>
  <c r="BF12" i="59"/>
  <c r="BW166" i="58"/>
  <c r="BX249" i="58"/>
  <c r="DI6" i="16"/>
  <c r="AD34" i="59" s="1"/>
  <c r="DK6" i="16"/>
  <c r="AH34" i="59" s="1"/>
  <c r="DM6" i="16"/>
  <c r="BW257" i="53"/>
  <c r="R169" i="53"/>
  <c r="BS167" i="53"/>
  <c r="BS161" i="53"/>
  <c r="F176" i="51"/>
  <c r="U262" i="50"/>
  <c r="U1" i="50"/>
  <c r="Q6" i="91" s="1"/>
  <c r="F118" i="51"/>
  <c r="V225" i="59"/>
  <c r="AG263" i="57"/>
  <c r="H263" i="57" s="1"/>
  <c r="H262" i="57"/>
  <c r="V26" i="16"/>
  <c r="AK113" i="57"/>
  <c r="L113" i="57" s="1"/>
  <c r="L112" i="57"/>
  <c r="F147" i="51"/>
  <c r="F205" i="51"/>
  <c r="F234" i="51"/>
  <c r="AA217" i="55"/>
  <c r="B217" i="55" s="1"/>
  <c r="V44" i="52"/>
  <c r="BE44" i="52"/>
  <c r="BS17" i="53"/>
  <c r="BS220" i="59"/>
  <c r="BF69" i="52"/>
  <c r="BG219" i="53"/>
  <c r="BG285" i="55"/>
  <c r="AA70" i="52"/>
  <c r="B70" i="52" s="1"/>
  <c r="BS221" i="52"/>
  <c r="BF227" i="52"/>
  <c r="BW258" i="58"/>
  <c r="AA14" i="58"/>
  <c r="B14" i="58" s="1"/>
  <c r="BG281" i="55"/>
  <c r="BF68" i="58"/>
  <c r="BX192" i="59"/>
  <c r="BG102" i="58"/>
  <c r="BW188" i="59"/>
  <c r="BS228" i="59"/>
  <c r="BS220" i="53"/>
  <c r="BS249" i="53"/>
  <c r="BS132" i="57"/>
  <c r="BS195" i="55"/>
  <c r="BW48" i="57"/>
  <c r="BW135" i="59"/>
  <c r="BG254" i="59"/>
  <c r="BW252" i="53"/>
  <c r="BG278" i="55"/>
  <c r="BG128" i="57"/>
  <c r="BX12" i="59"/>
  <c r="BG15" i="59"/>
  <c r="BG99" i="57"/>
  <c r="BG162" i="52"/>
  <c r="BF17" i="57"/>
  <c r="BS97" i="53"/>
  <c r="BF218" i="53"/>
  <c r="BF254" i="55"/>
  <c r="BG187" i="58"/>
  <c r="BE39" i="52"/>
  <c r="BX45" i="55"/>
  <c r="BG249" i="55"/>
  <c r="BG166" i="58"/>
  <c r="BF197" i="59"/>
  <c r="V286" i="59"/>
  <c r="BW256" i="59"/>
  <c r="BW250" i="59"/>
  <c r="V250" i="59"/>
  <c r="BG247" i="59"/>
  <c r="BF247" i="59"/>
  <c r="BS247" i="59"/>
  <c r="BE226" i="59"/>
  <c r="BS226" i="59"/>
  <c r="V220" i="59"/>
  <c r="J229" i="59"/>
  <c r="V217" i="59"/>
  <c r="BS193" i="59"/>
  <c r="BW193" i="59"/>
  <c r="V191" i="59"/>
  <c r="BG190" i="59"/>
  <c r="BW190" i="59"/>
  <c r="BF190" i="59"/>
  <c r="V187" i="59"/>
  <c r="BS166" i="59"/>
  <c r="BX166" i="59"/>
  <c r="BW166" i="59"/>
  <c r="BF166" i="59"/>
  <c r="BG161" i="59"/>
  <c r="BW161" i="59"/>
  <c r="BF161" i="59"/>
  <c r="V161" i="59"/>
  <c r="BF157" i="59"/>
  <c r="BG157" i="59"/>
  <c r="BW133" i="59"/>
  <c r="BW130" i="59"/>
  <c r="BS130" i="59"/>
  <c r="BG130" i="59"/>
  <c r="BX127" i="59"/>
  <c r="BF127" i="59"/>
  <c r="BS127" i="59"/>
  <c r="BG127" i="59"/>
  <c r="V107" i="59"/>
  <c r="BF107" i="59"/>
  <c r="BX107" i="59"/>
  <c r="BW107" i="59"/>
  <c r="BS102" i="59"/>
  <c r="V102" i="59"/>
  <c r="BG100" i="59"/>
  <c r="BW100" i="59"/>
  <c r="V97" i="59"/>
  <c r="V76" i="59"/>
  <c r="BF76" i="59"/>
  <c r="BX76" i="59"/>
  <c r="BF74" i="59"/>
  <c r="BX74" i="59"/>
  <c r="V74" i="59"/>
  <c r="BS73" i="59"/>
  <c r="BX71" i="59"/>
  <c r="BF71" i="59"/>
  <c r="BF67" i="59"/>
  <c r="BG67" i="59"/>
  <c r="AU49" i="59"/>
  <c r="V49" i="59" s="1"/>
  <c r="BG41" i="59"/>
  <c r="J49" i="59"/>
  <c r="V40" i="59"/>
  <c r="BG13" i="59"/>
  <c r="BW13" i="59"/>
  <c r="V11" i="59"/>
  <c r="BE10" i="59"/>
  <c r="BF7" i="59"/>
  <c r="BX288" i="58"/>
  <c r="BG288" i="58"/>
  <c r="BF288" i="58"/>
  <c r="BW288" i="58"/>
  <c r="BF8" i="59"/>
  <c r="BX8" i="59"/>
  <c r="BX9" i="59"/>
  <c r="BS9" i="59"/>
  <c r="BG9" i="59"/>
  <c r="BW11" i="59"/>
  <c r="BS11" i="59"/>
  <c r="BF14" i="59"/>
  <c r="BG14" i="59"/>
  <c r="BW16" i="59"/>
  <c r="BG17" i="59"/>
  <c r="BW17" i="59"/>
  <c r="BF17" i="59"/>
  <c r="BS38" i="59"/>
  <c r="BX38" i="59"/>
  <c r="BG38" i="59"/>
  <c r="BF38" i="59"/>
  <c r="BW38" i="59"/>
  <c r="BW40" i="59"/>
  <c r="BW42" i="59"/>
  <c r="BX42" i="59"/>
  <c r="BG42" i="59"/>
  <c r="BF43" i="59"/>
  <c r="BW43" i="59"/>
  <c r="BS46" i="59"/>
  <c r="BW46" i="59"/>
  <c r="BX46" i="59"/>
  <c r="BF46" i="59"/>
  <c r="BS284" i="59"/>
  <c r="BF284" i="59"/>
  <c r="BW284" i="59"/>
  <c r="BG284" i="59"/>
  <c r="BW286" i="59"/>
  <c r="BS286" i="59"/>
  <c r="BG286" i="59"/>
  <c r="BF286" i="59"/>
  <c r="BS287" i="59"/>
  <c r="BX287" i="59"/>
  <c r="BG287" i="59"/>
  <c r="BF189" i="58"/>
  <c r="BW189" i="58"/>
  <c r="BX189" i="58"/>
  <c r="BS189" i="58"/>
  <c r="BG189" i="58"/>
  <c r="BX194" i="58"/>
  <c r="BS194" i="58"/>
  <c r="BF194" i="58"/>
  <c r="BW195" i="58"/>
  <c r="BG195" i="58"/>
  <c r="BF195" i="58"/>
  <c r="BS197" i="58"/>
  <c r="BG197" i="58"/>
  <c r="BF197" i="58"/>
  <c r="BX197" i="58"/>
  <c r="BG198" i="58"/>
  <c r="BS198" i="58"/>
  <c r="BW198" i="58"/>
  <c r="BW218" i="58"/>
  <c r="BX218" i="58"/>
  <c r="BS221" i="58"/>
  <c r="BX221" i="58"/>
  <c r="BF221" i="58"/>
  <c r="BS223" i="58"/>
  <c r="BW224" i="58"/>
  <c r="BG247" i="58"/>
  <c r="BS250" i="58"/>
  <c r="BF250" i="58"/>
  <c r="BW250" i="58"/>
  <c r="BF252" i="58"/>
  <c r="BG252" i="58"/>
  <c r="BS252" i="58"/>
  <c r="BX252" i="58"/>
  <c r="BW252" i="58"/>
  <c r="BS253" i="58"/>
  <c r="BX226" i="59"/>
  <c r="BF226" i="59"/>
  <c r="BW226" i="59"/>
  <c r="BF278" i="59"/>
  <c r="BX278" i="59"/>
  <c r="BG278" i="59"/>
  <c r="BS278" i="59"/>
  <c r="BW278" i="59"/>
  <c r="BF281" i="59"/>
  <c r="BG281" i="59"/>
  <c r="BX281" i="59"/>
  <c r="BS281" i="59"/>
  <c r="BW283" i="59"/>
  <c r="BS283" i="59"/>
  <c r="BX283" i="59"/>
  <c r="BG283" i="59"/>
  <c r="BE195" i="53"/>
  <c r="V195" i="53"/>
  <c r="BE195" i="55"/>
  <c r="V195" i="55"/>
  <c r="BS16" i="58"/>
  <c r="BW18" i="58"/>
  <c r="BF37" i="58"/>
  <c r="BS37" i="58"/>
  <c r="BW39" i="58"/>
  <c r="BF39" i="58"/>
  <c r="BX39" i="58"/>
  <c r="BG39" i="58"/>
  <c r="BS39" i="58"/>
  <c r="BX42" i="58"/>
  <c r="BF42" i="58"/>
  <c r="BW42" i="58"/>
  <c r="BF45" i="58"/>
  <c r="BG45" i="58"/>
  <c r="BX45" i="58"/>
  <c r="BW47" i="58"/>
  <c r="BS47" i="58"/>
  <c r="BG47" i="58"/>
  <c r="BF47" i="58"/>
  <c r="BG192" i="58"/>
  <c r="BW192" i="58"/>
  <c r="BF192" i="58"/>
  <c r="BG160" i="59"/>
  <c r="BS160" i="59"/>
  <c r="BX162" i="59"/>
  <c r="BF162" i="59"/>
  <c r="BW162" i="59"/>
  <c r="BG162" i="59"/>
  <c r="BS162" i="59"/>
  <c r="BS163" i="59"/>
  <c r="BF163" i="59"/>
  <c r="BW163" i="59"/>
  <c r="BW165" i="59"/>
  <c r="BX165" i="59"/>
  <c r="BF165" i="59"/>
  <c r="BS165" i="59"/>
  <c r="BG165" i="59"/>
  <c r="BF168" i="59"/>
  <c r="BS168" i="59"/>
  <c r="BG168" i="59"/>
  <c r="BX168" i="59"/>
  <c r="BW168" i="59"/>
  <c r="BX188" i="59"/>
  <c r="BF188" i="59"/>
  <c r="BG188" i="59"/>
  <c r="BG189" i="59"/>
  <c r="BF189" i="59"/>
  <c r="BW189" i="59"/>
  <c r="BS189" i="59"/>
  <c r="BX189" i="59"/>
  <c r="BW191" i="59"/>
  <c r="BG191" i="59"/>
  <c r="BG192" i="59"/>
  <c r="BS192" i="59"/>
  <c r="BW192" i="59"/>
  <c r="BF192" i="59"/>
  <c r="BS194" i="59"/>
  <c r="BF194" i="59"/>
  <c r="BW194" i="59"/>
  <c r="BX194" i="59"/>
  <c r="BG194" i="59"/>
  <c r="BW197" i="59"/>
  <c r="BX197" i="59"/>
  <c r="BG197" i="59"/>
  <c r="BS197" i="59"/>
  <c r="BS218" i="59"/>
  <c r="BX218" i="59"/>
  <c r="BF218" i="59"/>
  <c r="BW218" i="59"/>
  <c r="BW220" i="59"/>
  <c r="BF220" i="59"/>
  <c r="BG220" i="59"/>
  <c r="BS223" i="59"/>
  <c r="BF223" i="59"/>
  <c r="BW223" i="59"/>
  <c r="BG223" i="59"/>
  <c r="BX225" i="59"/>
  <c r="BG225" i="59"/>
  <c r="BW225" i="59"/>
  <c r="BF225" i="59"/>
  <c r="BS255" i="59"/>
  <c r="BG255" i="59"/>
  <c r="BW255" i="59"/>
  <c r="BX255" i="59"/>
  <c r="BG257" i="59"/>
  <c r="BX257" i="59"/>
  <c r="BF257" i="59"/>
  <c r="BS257" i="59"/>
  <c r="BW257" i="59"/>
  <c r="AT64" i="59"/>
  <c r="V127" i="53"/>
  <c r="BE107" i="55"/>
  <c r="V107" i="55"/>
  <c r="BW281" i="57"/>
  <c r="BX282" i="57"/>
  <c r="BW282" i="57"/>
  <c r="BF282" i="57"/>
  <c r="BW284" i="57"/>
  <c r="BX284" i="57"/>
  <c r="BF284" i="57"/>
  <c r="BG284" i="57"/>
  <c r="BX8" i="58"/>
  <c r="BF8" i="58"/>
  <c r="BW8" i="58"/>
  <c r="BW11" i="58"/>
  <c r="BF11" i="58"/>
  <c r="BS13" i="58"/>
  <c r="BG13" i="58"/>
  <c r="BF13" i="58"/>
  <c r="BW13" i="58"/>
  <c r="AC293" i="55"/>
  <c r="D293" i="55" s="1"/>
  <c r="AS173" i="58"/>
  <c r="T173" i="58" s="1"/>
  <c r="AC173" i="53"/>
  <c r="D173" i="53" s="1"/>
  <c r="F118" i="46"/>
  <c r="AI117" i="57"/>
  <c r="AJ103" i="57" s="1"/>
  <c r="K103" i="57" s="1"/>
  <c r="AS263" i="52"/>
  <c r="T263" i="52" s="1"/>
  <c r="T262" i="52"/>
  <c r="L80" i="45"/>
  <c r="L81" i="45" s="1"/>
  <c r="R80" i="46"/>
  <c r="R81" i="46" s="1"/>
  <c r="AE23" i="52"/>
  <c r="F23" i="52" s="1"/>
  <c r="F22" i="52"/>
  <c r="AS53" i="52"/>
  <c r="T53" i="52" s="1"/>
  <c r="T52" i="52"/>
  <c r="N19" i="59"/>
  <c r="AA161" i="57"/>
  <c r="B161" i="57" s="1"/>
  <c r="B3" i="55"/>
  <c r="P142" i="59"/>
  <c r="AO143" i="59"/>
  <c r="P143" i="59" s="1"/>
  <c r="F205" i="50"/>
  <c r="AO293" i="59"/>
  <c r="P293" i="59" s="1"/>
  <c r="AA158" i="53"/>
  <c r="B158" i="53" s="1"/>
  <c r="AA131" i="57"/>
  <c r="B131" i="57" s="1"/>
  <c r="AA128" i="52"/>
  <c r="B128" i="52" s="1"/>
  <c r="AA38" i="57"/>
  <c r="B38" i="57" s="1"/>
  <c r="AA47" i="57"/>
  <c r="B47" i="57" s="1"/>
  <c r="AA38" i="53"/>
  <c r="B38" i="53" s="1"/>
  <c r="V101" i="53"/>
  <c r="BE101" i="53"/>
  <c r="BE17" i="55"/>
  <c r="V17" i="55"/>
  <c r="BE196" i="52"/>
  <c r="BX196" i="52" s="1"/>
  <c r="AA287" i="53"/>
  <c r="B287" i="53" s="1"/>
  <c r="AA106" i="57"/>
  <c r="B106" i="57" s="1"/>
  <c r="AA100" i="57"/>
  <c r="B100" i="57" s="1"/>
  <c r="AA136" i="55"/>
  <c r="B136" i="55" s="1"/>
  <c r="AA136" i="58"/>
  <c r="B136" i="58" s="1"/>
  <c r="BG219" i="52"/>
  <c r="V68" i="52"/>
  <c r="BS218" i="52"/>
  <c r="BG102" i="53"/>
  <c r="BG138" i="57"/>
  <c r="V161" i="53"/>
  <c r="BE161" i="53"/>
  <c r="BS67" i="59"/>
  <c r="R51" i="45"/>
  <c r="R52" i="45" s="1"/>
  <c r="BF188" i="53"/>
  <c r="BG222" i="53"/>
  <c r="BG257" i="53"/>
  <c r="BX219" i="55"/>
  <c r="BF224" i="59"/>
  <c r="BW279" i="59"/>
  <c r="BG188" i="52"/>
  <c r="BF255" i="59"/>
  <c r="BX47" i="58"/>
  <c r="BW45" i="59"/>
  <c r="BG226" i="59"/>
  <c r="BF131" i="58"/>
  <c r="BW281" i="59"/>
  <c r="BG251" i="59"/>
  <c r="BF107" i="53"/>
  <c r="BG9" i="53"/>
  <c r="BX47" i="55"/>
  <c r="BG158" i="52"/>
  <c r="BG191" i="53"/>
  <c r="BX255" i="55"/>
  <c r="BG196" i="58"/>
  <c r="BX248" i="52"/>
  <c r="BF285" i="52"/>
  <c r="BS108" i="58"/>
  <c r="BX97" i="58"/>
  <c r="BG47" i="57"/>
  <c r="BG278" i="58"/>
  <c r="BG254" i="53"/>
  <c r="BG250" i="53"/>
  <c r="BW251" i="55"/>
  <c r="BS258" i="53"/>
  <c r="BW249" i="52"/>
  <c r="BG249" i="57"/>
  <c r="BS249" i="52"/>
  <c r="BF249" i="52"/>
  <c r="V251" i="53"/>
  <c r="BX254" i="53"/>
  <c r="BF256" i="57"/>
  <c r="BS250" i="53"/>
  <c r="BS254" i="58"/>
  <c r="BW250" i="53"/>
  <c r="BX249" i="57"/>
  <c r="V258" i="58"/>
  <c r="BX258" i="53"/>
  <c r="BS249" i="57"/>
  <c r="BG249" i="52"/>
  <c r="V255" i="52"/>
  <c r="BF258" i="53"/>
  <c r="BF254" i="53"/>
  <c r="V257" i="53"/>
  <c r="BW254" i="53"/>
  <c r="V248" i="52"/>
  <c r="V254" i="57"/>
  <c r="V250" i="58"/>
  <c r="BW249" i="58"/>
  <c r="BX188" i="58"/>
  <c r="BS191" i="58"/>
  <c r="BX161" i="53"/>
  <c r="BF167" i="57"/>
  <c r="BG133" i="58"/>
  <c r="BX130" i="58"/>
  <c r="V108" i="53"/>
  <c r="V104" i="55"/>
  <c r="BW100" i="55"/>
  <c r="BG71" i="57"/>
  <c r="BX71" i="55"/>
  <c r="BE46" i="52"/>
  <c r="V46" i="52"/>
  <c r="BE39" i="53"/>
  <c r="V39" i="53"/>
  <c r="BE47" i="53"/>
  <c r="V47" i="53"/>
  <c r="BE45" i="55"/>
  <c r="V45" i="55"/>
  <c r="V37" i="57"/>
  <c r="BE45" i="58"/>
  <c r="V45" i="58"/>
  <c r="BW41" i="52"/>
  <c r="BG41" i="52"/>
  <c r="BX41" i="52"/>
  <c r="BW45" i="52"/>
  <c r="BF45" i="52"/>
  <c r="BS45" i="52"/>
  <c r="BX45" i="52"/>
  <c r="BG38" i="57"/>
  <c r="BX38" i="57"/>
  <c r="BS38" i="57"/>
  <c r="BF42" i="57"/>
  <c r="BW42" i="57"/>
  <c r="BX42" i="57"/>
  <c r="BS42" i="57"/>
  <c r="BX45" i="57"/>
  <c r="BW38" i="57"/>
  <c r="BS42" i="53"/>
  <c r="V14" i="58"/>
  <c r="V18" i="57"/>
  <c r="BS15" i="58"/>
  <c r="BF283" i="59"/>
  <c r="BW247" i="59"/>
  <c r="BE247" i="59"/>
  <c r="BX247" i="59"/>
  <c r="BX190" i="59"/>
  <c r="BX187" i="59"/>
  <c r="BE188" i="59"/>
  <c r="BS195" i="59"/>
  <c r="BX157" i="59"/>
  <c r="BE163" i="59"/>
  <c r="BX163" i="59"/>
  <c r="V133" i="59"/>
  <c r="BG99" i="59"/>
  <c r="BX101" i="59"/>
  <c r="BG105" i="59"/>
  <c r="BW101" i="59"/>
  <c r="BW105" i="59"/>
  <c r="BG101" i="59"/>
  <c r="BF101" i="59"/>
  <c r="BF105" i="59"/>
  <c r="BS101" i="59"/>
  <c r="V101" i="59"/>
  <c r="BX105" i="59"/>
  <c r="BS107" i="59"/>
  <c r="BF70" i="59"/>
  <c r="BE67" i="59"/>
  <c r="BX67" i="59"/>
  <c r="BE73" i="59"/>
  <c r="BW41" i="59"/>
  <c r="BG44" i="59"/>
  <c r="BS37" i="59"/>
  <c r="BF41" i="59"/>
  <c r="V41" i="59"/>
  <c r="BX41" i="59"/>
  <c r="BS41" i="59"/>
  <c r="BX44" i="59"/>
  <c r="BS44" i="59"/>
  <c r="BW44" i="59"/>
  <c r="BF44" i="59"/>
  <c r="BE47" i="59"/>
  <c r="BE37" i="59"/>
  <c r="BX37" i="59"/>
  <c r="AF214" i="52"/>
  <c r="AG113" i="52"/>
  <c r="H113" i="52" s="1"/>
  <c r="H112" i="52"/>
  <c r="AE263" i="57"/>
  <c r="F263" i="57" s="1"/>
  <c r="AK173" i="52"/>
  <c r="L173" i="52" s="1"/>
  <c r="L172" i="52"/>
  <c r="AM143" i="55"/>
  <c r="N143" i="55" s="1"/>
  <c r="L142" i="52"/>
  <c r="AS263" i="59"/>
  <c r="T263" i="59" s="1"/>
  <c r="T262" i="59"/>
  <c r="F2" i="58"/>
  <c r="BE190" i="59"/>
  <c r="CQ6" i="16"/>
  <c r="AH34" i="58" s="1"/>
  <c r="I33" i="50"/>
  <c r="AM85" i="58"/>
  <c r="AN67" i="58" s="1"/>
  <c r="O67" i="58" s="1"/>
  <c r="AM87" i="58"/>
  <c r="AN73" i="58" s="1"/>
  <c r="O73" i="58" s="1"/>
  <c r="AM113" i="57"/>
  <c r="N113" i="57" s="1"/>
  <c r="AM88" i="58"/>
  <c r="AN76" i="58" s="1"/>
  <c r="O76" i="58" s="1"/>
  <c r="AG53" i="58"/>
  <c r="H53" i="58" s="1"/>
  <c r="AC233" i="57"/>
  <c r="D233" i="57" s="1"/>
  <c r="D52" i="59"/>
  <c r="D52" i="52"/>
  <c r="L262" i="57"/>
  <c r="H52" i="53"/>
  <c r="BU7" i="53"/>
  <c r="BU8" i="53" s="1"/>
  <c r="BU9" i="53" s="1"/>
  <c r="BU10" i="53" s="1"/>
  <c r="BU11" i="53" s="1"/>
  <c r="BU12" i="53" s="1"/>
  <c r="BU13" i="53" s="1"/>
  <c r="BU14" i="53" s="1"/>
  <c r="BU15" i="53" s="1"/>
  <c r="BU16" i="53" s="1"/>
  <c r="BU17" i="53" s="1"/>
  <c r="BU18" i="53" s="1"/>
  <c r="N82" i="58"/>
  <c r="AK83" i="53"/>
  <c r="L83" i="53" s="1"/>
  <c r="AQ143" i="59"/>
  <c r="R143" i="59" s="1"/>
  <c r="AO143" i="55"/>
  <c r="P143" i="55" s="1"/>
  <c r="AQ143" i="57"/>
  <c r="R143" i="57" s="1"/>
  <c r="F232" i="52"/>
  <c r="D22" i="55"/>
  <c r="T52" i="55"/>
  <c r="T112" i="52"/>
  <c r="P22" i="55"/>
  <c r="AG233" i="52"/>
  <c r="H233" i="52" s="1"/>
  <c r="AS83" i="52"/>
  <c r="T83" i="52" s="1"/>
  <c r="AS147" i="57"/>
  <c r="T147" i="57" s="1"/>
  <c r="AS143" i="57"/>
  <c r="T143" i="57" s="1"/>
  <c r="J172" i="52"/>
  <c r="J172" i="55"/>
  <c r="AG113" i="58"/>
  <c r="H113" i="58" s="1"/>
  <c r="H112" i="58"/>
  <c r="J142" i="58"/>
  <c r="AM173" i="58"/>
  <c r="N173" i="58" s="1"/>
  <c r="N172" i="58"/>
  <c r="AC143" i="52"/>
  <c r="D143" i="52" s="1"/>
  <c r="AM115" i="55"/>
  <c r="N115" i="55" s="1"/>
  <c r="AM117" i="55"/>
  <c r="AN103" i="55" s="1"/>
  <c r="O103" i="55" s="1"/>
  <c r="AC203" i="59"/>
  <c r="D203" i="59" s="1"/>
  <c r="AC205" i="59"/>
  <c r="D205" i="59" s="1"/>
  <c r="AC208" i="59"/>
  <c r="AD196" i="59" s="1"/>
  <c r="E196" i="59" s="1"/>
  <c r="AC206" i="59"/>
  <c r="AE53" i="52"/>
  <c r="F53" i="52" s="1"/>
  <c r="F52" i="52"/>
  <c r="AE53" i="58"/>
  <c r="F53" i="58" s="1"/>
  <c r="F52" i="58"/>
  <c r="AC143" i="59"/>
  <c r="D143" i="59" s="1"/>
  <c r="AS263" i="53"/>
  <c r="T263" i="53" s="1"/>
  <c r="T262" i="53"/>
  <c r="D202" i="59"/>
  <c r="AC83" i="59"/>
  <c r="D83" i="59" s="1"/>
  <c r="D82" i="59"/>
  <c r="AK113" i="59"/>
  <c r="L113" i="59" s="1"/>
  <c r="AK116" i="59"/>
  <c r="L116" i="59" s="1"/>
  <c r="AK115" i="59"/>
  <c r="AL97" i="59" s="1"/>
  <c r="M97" i="59" s="1"/>
  <c r="AK118" i="59"/>
  <c r="AK117" i="59"/>
  <c r="L117" i="59" s="1"/>
  <c r="L112" i="59"/>
  <c r="P292" i="53"/>
  <c r="BU7" i="57"/>
  <c r="BU8" i="57" s="1"/>
  <c r="BU9" i="57" s="1"/>
  <c r="BU10" i="57" s="1"/>
  <c r="BU11" i="57" s="1"/>
  <c r="BU12" i="57" s="1"/>
  <c r="BU13" i="57" s="1"/>
  <c r="BU14" i="57" s="1"/>
  <c r="BU15" i="57" s="1"/>
  <c r="BU16" i="57" s="1"/>
  <c r="BU17" i="57" s="1"/>
  <c r="BU18" i="57" s="1"/>
  <c r="AO203" i="57"/>
  <c r="P203" i="57" s="1"/>
  <c r="AE265" i="52"/>
  <c r="AF247" i="52" s="1"/>
  <c r="AE268" i="52"/>
  <c r="AF256" i="52" s="1"/>
  <c r="G256" i="52" s="1"/>
  <c r="F262" i="52"/>
  <c r="T52" i="53"/>
  <c r="AS53" i="53"/>
  <c r="T53" i="53" s="1"/>
  <c r="J202" i="55"/>
  <c r="AO203" i="58"/>
  <c r="P203" i="58" s="1"/>
  <c r="P202" i="58"/>
  <c r="AC293" i="59"/>
  <c r="D293" i="59" s="1"/>
  <c r="D292" i="59"/>
  <c r="F263" i="46"/>
  <c r="F31" i="46"/>
  <c r="F147" i="46"/>
  <c r="F176" i="46"/>
  <c r="F60" i="46"/>
  <c r="F89" i="46"/>
  <c r="F2" i="46"/>
  <c r="E8" i="93" s="1"/>
  <c r="F205" i="46"/>
  <c r="BE285" i="52"/>
  <c r="V285" i="52"/>
  <c r="BE42" i="55"/>
  <c r="V42" i="55"/>
  <c r="AD124" i="58"/>
  <c r="AE293" i="55"/>
  <c r="F293" i="55" s="1"/>
  <c r="F292" i="55"/>
  <c r="AE203" i="52"/>
  <c r="F203" i="52" s="1"/>
  <c r="F202" i="52"/>
  <c r="AO238" i="57"/>
  <c r="AP226" i="57" s="1"/>
  <c r="Q226" i="57" s="1"/>
  <c r="P232" i="57"/>
  <c r="R172" i="58"/>
  <c r="AQ173" i="58"/>
  <c r="R173" i="58" s="1"/>
  <c r="F176" i="49"/>
  <c r="N22" i="57"/>
  <c r="AM23" i="57"/>
  <c r="N23" i="57" s="1"/>
  <c r="AO293" i="52"/>
  <c r="P293" i="52" s="1"/>
  <c r="V197" i="57"/>
  <c r="V188" i="55"/>
  <c r="U1" i="57"/>
  <c r="A2" i="74"/>
  <c r="U233" i="45"/>
  <c r="U88" i="45"/>
  <c r="U233" i="49"/>
  <c r="I33" i="51"/>
  <c r="L109" i="46"/>
  <c r="L110" i="46" s="1"/>
  <c r="B89" i="49"/>
  <c r="N262" i="52"/>
  <c r="AM203" i="55"/>
  <c r="N203" i="55" s="1"/>
  <c r="P142" i="52"/>
  <c r="P172" i="52"/>
  <c r="AQ293" i="52"/>
  <c r="R293" i="52" s="1"/>
  <c r="BE189" i="57"/>
  <c r="V189" i="57"/>
  <c r="H142" i="58"/>
  <c r="J112" i="52"/>
  <c r="BG222" i="55"/>
  <c r="BG42" i="57"/>
  <c r="BG258" i="59"/>
  <c r="BG218" i="59"/>
  <c r="BS78" i="59"/>
  <c r="CP5" i="16"/>
  <c r="U175" i="45"/>
  <c r="U59" i="45"/>
  <c r="U117" i="45"/>
  <c r="U30" i="45"/>
  <c r="U204" i="45"/>
  <c r="U262" i="45"/>
  <c r="U146" i="45"/>
  <c r="AP244" i="59"/>
  <c r="H262" i="58"/>
  <c r="AI58" i="55"/>
  <c r="J58" i="55" s="1"/>
  <c r="J52" i="55"/>
  <c r="AM143" i="53"/>
  <c r="N143" i="53" s="1"/>
  <c r="N142" i="53"/>
  <c r="AE83" i="52"/>
  <c r="F83" i="52" s="1"/>
  <c r="F82" i="52"/>
  <c r="D82" i="55"/>
  <c r="AC83" i="55"/>
  <c r="D83" i="55" s="1"/>
  <c r="AM113" i="59"/>
  <c r="N113" i="59" s="1"/>
  <c r="N112" i="59"/>
  <c r="AJ64" i="55"/>
  <c r="F22" i="53"/>
  <c r="B61" i="45"/>
  <c r="N80" i="41"/>
  <c r="N81" i="41" s="1"/>
  <c r="L80" i="41"/>
  <c r="L81" i="41" s="1"/>
  <c r="F80" i="41"/>
  <c r="F81" i="41" s="1"/>
  <c r="D80" i="41"/>
  <c r="D81" i="41" s="1"/>
  <c r="T80" i="41"/>
  <c r="T81" i="41" s="1"/>
  <c r="R262" i="55"/>
  <c r="AQ267" i="55"/>
  <c r="E62" i="45"/>
  <c r="L52" i="52"/>
  <c r="AK53" i="52"/>
  <c r="L53" i="52" s="1"/>
  <c r="L52" i="57"/>
  <c r="AK53" i="57"/>
  <c r="L53" i="57" s="1"/>
  <c r="B3" i="59"/>
  <c r="N22" i="53"/>
  <c r="BG222" i="57"/>
  <c r="BE219" i="52"/>
  <c r="BF288" i="59"/>
  <c r="D51" i="41"/>
  <c r="D52" i="41" s="1"/>
  <c r="T51" i="41"/>
  <c r="T52" i="41" s="1"/>
  <c r="P51" i="41"/>
  <c r="P52" i="41" s="1"/>
  <c r="N51" i="41"/>
  <c r="N52" i="41" s="1"/>
  <c r="L51" i="41"/>
  <c r="L52" i="41" s="1"/>
  <c r="J51" i="41"/>
  <c r="J52" i="41" s="1"/>
  <c r="H51" i="41"/>
  <c r="H52" i="41" s="1"/>
  <c r="F51" i="41"/>
  <c r="F52" i="41" s="1"/>
  <c r="R51" i="41"/>
  <c r="R52" i="41" s="1"/>
  <c r="BE286" i="52"/>
  <c r="BW286" i="52"/>
  <c r="BS284" i="52"/>
  <c r="BW284" i="52"/>
  <c r="BF284" i="52"/>
  <c r="BG284" i="52"/>
  <c r="BX283" i="52"/>
  <c r="BG283" i="52"/>
  <c r="BW280" i="52"/>
  <c r="BG280" i="52"/>
  <c r="BS280" i="52"/>
  <c r="BF280" i="52"/>
  <c r="BE277" i="52"/>
  <c r="D289" i="52"/>
  <c r="BE253" i="52"/>
  <c r="BS250" i="52"/>
  <c r="BF250" i="52"/>
  <c r="BX250" i="52"/>
  <c r="BG250" i="52"/>
  <c r="BG251" i="52"/>
  <c r="BX251" i="52"/>
  <c r="V247" i="52"/>
  <c r="BX247" i="52"/>
  <c r="BF247" i="52"/>
  <c r="BW247" i="52"/>
  <c r="D259" i="52"/>
  <c r="BG247" i="52"/>
  <c r="BF226" i="52"/>
  <c r="BW226" i="52"/>
  <c r="BG226" i="52"/>
  <c r="BX223" i="52"/>
  <c r="BG223" i="52"/>
  <c r="BS223" i="52"/>
  <c r="BW223" i="52"/>
  <c r="BF224" i="52"/>
  <c r="BG224" i="52"/>
  <c r="V224" i="52"/>
  <c r="BX224" i="52"/>
  <c r="BE217" i="52"/>
  <c r="BX217" i="52"/>
  <c r="BW217" i="52"/>
  <c r="BG217" i="52"/>
  <c r="BF217" i="52"/>
  <c r="D229" i="52"/>
  <c r="BS217" i="52"/>
  <c r="BG196" i="52"/>
  <c r="BW196" i="52"/>
  <c r="BF196" i="52"/>
  <c r="BE193" i="52"/>
  <c r="V190" i="52"/>
  <c r="BW190" i="52"/>
  <c r="BG187" i="52"/>
  <c r="BF187" i="52"/>
  <c r="BW187" i="52"/>
  <c r="BS187" i="52"/>
  <c r="BS166" i="52"/>
  <c r="BW166" i="52"/>
  <c r="BS163" i="52"/>
  <c r="BG163" i="52"/>
  <c r="BW163" i="52"/>
  <c r="BX163" i="52"/>
  <c r="BF163" i="52"/>
  <c r="V163" i="52"/>
  <c r="BW162" i="52"/>
  <c r="BX162" i="52"/>
  <c r="BS161" i="52"/>
  <c r="BX161" i="52"/>
  <c r="BG157" i="52"/>
  <c r="V157" i="52"/>
  <c r="BS157" i="52"/>
  <c r="BF157" i="52"/>
  <c r="BX137" i="52"/>
  <c r="BS137" i="52"/>
  <c r="BW137" i="52"/>
  <c r="BF137" i="52"/>
  <c r="BX133" i="52"/>
  <c r="BW133" i="52"/>
  <c r="BS133" i="52"/>
  <c r="BG133" i="52"/>
  <c r="BW131" i="52"/>
  <c r="BS131" i="52"/>
  <c r="BG131" i="52"/>
  <c r="BX131" i="52"/>
  <c r="BE131" i="52"/>
  <c r="BF127" i="52"/>
  <c r="BW127" i="52"/>
  <c r="BS127" i="52"/>
  <c r="BX127" i="52"/>
  <c r="BG127" i="52"/>
  <c r="V106" i="52"/>
  <c r="BS107" i="52"/>
  <c r="BF103" i="52"/>
  <c r="BW103" i="52"/>
  <c r="V103" i="52"/>
  <c r="BX103" i="52"/>
  <c r="BX98" i="52"/>
  <c r="BF98" i="52"/>
  <c r="BG74" i="52"/>
  <c r="V74" i="52"/>
  <c r="BE70" i="52"/>
  <c r="BX70" i="52"/>
  <c r="BG70" i="52"/>
  <c r="BW70" i="52"/>
  <c r="BS70" i="52"/>
  <c r="BF67" i="52"/>
  <c r="BG67" i="52"/>
  <c r="V67" i="52"/>
  <c r="AU49" i="52"/>
  <c r="BB50" i="52" s="1"/>
  <c r="BF47" i="52"/>
  <c r="BW47" i="52"/>
  <c r="BX47" i="52"/>
  <c r="BG47" i="52"/>
  <c r="BF44" i="52"/>
  <c r="BG44" i="52"/>
  <c r="BS44" i="52"/>
  <c r="V43" i="52"/>
  <c r="BW40" i="52"/>
  <c r="BF40" i="52"/>
  <c r="BG40" i="52"/>
  <c r="BG37" i="52"/>
  <c r="BS37" i="52"/>
  <c r="BF37" i="52"/>
  <c r="BE16" i="52"/>
  <c r="BF16" i="52"/>
  <c r="BE13" i="52"/>
  <c r="BS10" i="52"/>
  <c r="BW7" i="52"/>
  <c r="BS7" i="52"/>
  <c r="BG7" i="52"/>
  <c r="D19" i="52"/>
  <c r="AL34" i="58"/>
  <c r="BE48" i="53"/>
  <c r="V48" i="53"/>
  <c r="AH274" i="55"/>
  <c r="BE38" i="53"/>
  <c r="V38" i="53"/>
  <c r="AH64" i="55"/>
  <c r="V283" i="53"/>
  <c r="AD154" i="52"/>
  <c r="O4" i="51"/>
  <c r="F89" i="50"/>
  <c r="F234" i="50"/>
  <c r="AP184" i="52"/>
  <c r="S4" i="49"/>
  <c r="J142" i="52"/>
  <c r="AI148" i="52"/>
  <c r="AJ136" i="52" s="1"/>
  <c r="K136" i="52" s="1"/>
  <c r="AI143" i="52"/>
  <c r="J143" i="52" s="1"/>
  <c r="AI147" i="52"/>
  <c r="AI146" i="52"/>
  <c r="AJ130" i="52" s="1"/>
  <c r="K130" i="52" s="1"/>
  <c r="AQ233" i="52"/>
  <c r="R233" i="52" s="1"/>
  <c r="R232" i="52"/>
  <c r="AK203" i="55"/>
  <c r="L203" i="55" s="1"/>
  <c r="L202" i="55"/>
  <c r="BF249" i="57"/>
  <c r="BW160" i="59"/>
  <c r="BG11" i="59"/>
  <c r="BW157" i="59"/>
  <c r="S33" i="51"/>
  <c r="AR34" i="59"/>
  <c r="V195" i="52"/>
  <c r="BW288" i="57"/>
  <c r="BG188" i="57"/>
  <c r="BF68" i="59"/>
  <c r="P172" i="55"/>
  <c r="AO173" i="55"/>
  <c r="P173" i="55" s="1"/>
  <c r="BW10" i="59"/>
  <c r="BX10" i="59"/>
  <c r="BG10" i="59"/>
  <c r="BF10" i="59"/>
  <c r="BS10" i="59"/>
  <c r="BX14" i="59"/>
  <c r="BS14" i="59"/>
  <c r="BG16" i="59"/>
  <c r="BW18" i="59"/>
  <c r="BG18" i="59"/>
  <c r="BF18" i="59"/>
  <c r="BG37" i="59"/>
  <c r="BX39" i="59"/>
  <c r="BW39" i="59"/>
  <c r="BF45" i="59"/>
  <c r="BG45" i="59"/>
  <c r="BX45" i="59"/>
  <c r="BS45" i="59"/>
  <c r="BF47" i="59"/>
  <c r="BS47" i="59"/>
  <c r="BF73" i="59"/>
  <c r="BW74" i="59"/>
  <c r="BS74" i="59"/>
  <c r="BS76" i="59"/>
  <c r="BW76" i="59"/>
  <c r="BW97" i="59"/>
  <c r="BX97" i="59"/>
  <c r="BF97" i="59"/>
  <c r="BX102" i="59"/>
  <c r="BF102" i="59"/>
  <c r="BX128" i="59"/>
  <c r="BS128" i="59"/>
  <c r="BF128" i="59"/>
  <c r="BG128" i="59"/>
  <c r="BW129" i="59"/>
  <c r="BF129" i="59"/>
  <c r="BX134" i="59"/>
  <c r="BF134" i="59"/>
  <c r="BX137" i="59"/>
  <c r="BW137" i="59"/>
  <c r="BE137" i="58"/>
  <c r="V137" i="58"/>
  <c r="V196" i="59"/>
  <c r="BE283" i="59"/>
  <c r="V283" i="59"/>
  <c r="BG48" i="52"/>
  <c r="BS48" i="52"/>
  <c r="BX48" i="52"/>
  <c r="BW48" i="52"/>
  <c r="BX77" i="52"/>
  <c r="BW77" i="52"/>
  <c r="BF77" i="52"/>
  <c r="BS77" i="52"/>
  <c r="BW78" i="52"/>
  <c r="BX78" i="52"/>
  <c r="BS98" i="52"/>
  <c r="BW98" i="52"/>
  <c r="BW99" i="52"/>
  <c r="BS99" i="52"/>
  <c r="BX101" i="52"/>
  <c r="BS101" i="52"/>
  <c r="BF101" i="52"/>
  <c r="BG101" i="52"/>
  <c r="BX74" i="55"/>
  <c r="BW74" i="55"/>
  <c r="BG76" i="55"/>
  <c r="BS102" i="55"/>
  <c r="BW102" i="55"/>
  <c r="BF102" i="55"/>
  <c r="BX105" i="55"/>
  <c r="BG105" i="55"/>
  <c r="BS105" i="55"/>
  <c r="BW105" i="55"/>
  <c r="BW108" i="55"/>
  <c r="BF108" i="55"/>
  <c r="BG108" i="55"/>
  <c r="BS128" i="55"/>
  <c r="BG128" i="55"/>
  <c r="BF128" i="55"/>
  <c r="BX128" i="55"/>
  <c r="BW129" i="55"/>
  <c r="BX129" i="55"/>
  <c r="BS131" i="55"/>
  <c r="BW131" i="55"/>
  <c r="BG131" i="55"/>
  <c r="BF132" i="55"/>
  <c r="BX132" i="55"/>
  <c r="BG132" i="55"/>
  <c r="BG134" i="55"/>
  <c r="BS134" i="55"/>
  <c r="BW134" i="55"/>
  <c r="BX134" i="55"/>
  <c r="BS137" i="55"/>
  <c r="BG137" i="55"/>
  <c r="BF137" i="55"/>
  <c r="BW137" i="55"/>
  <c r="BX137" i="55"/>
  <c r="BG158" i="55"/>
  <c r="BW158" i="55"/>
  <c r="BF158" i="55"/>
  <c r="BX158" i="55"/>
  <c r="BX165" i="55"/>
  <c r="BF165" i="55"/>
  <c r="BS165" i="55"/>
  <c r="BW168" i="55"/>
  <c r="BG168" i="55"/>
  <c r="BS168" i="55"/>
  <c r="BF168" i="55"/>
  <c r="BS189" i="55"/>
  <c r="BX189" i="55"/>
  <c r="BW189" i="55"/>
  <c r="BG189" i="55"/>
  <c r="BG191" i="55"/>
  <c r="BF191" i="55"/>
  <c r="BS191" i="55"/>
  <c r="BW191" i="55"/>
  <c r="BX192" i="55"/>
  <c r="BW192" i="55"/>
  <c r="BF192" i="55"/>
  <c r="BG192" i="55"/>
  <c r="BF194" i="55"/>
  <c r="BS194" i="55"/>
  <c r="BG195" i="55"/>
  <c r="BW195" i="55"/>
  <c r="BX195" i="55"/>
  <c r="BG197" i="55"/>
  <c r="BX197" i="55"/>
  <c r="BW197" i="55"/>
  <c r="BG218" i="55"/>
  <c r="BS218" i="55"/>
  <c r="BW218" i="55"/>
  <c r="BX218" i="55"/>
  <c r="BX221" i="55"/>
  <c r="BS228" i="55"/>
  <c r="BW228" i="55"/>
  <c r="BF228" i="55"/>
  <c r="BX228" i="55"/>
  <c r="BS249" i="55"/>
  <c r="BX249" i="55"/>
  <c r="BW249" i="55"/>
  <c r="BF249" i="55"/>
  <c r="BS250" i="55"/>
  <c r="BF250" i="55"/>
  <c r="BX250" i="55"/>
  <c r="BS162" i="57"/>
  <c r="BW162" i="57"/>
  <c r="BX162" i="57"/>
  <c r="BG162" i="57"/>
  <c r="BS165" i="57"/>
  <c r="BX165" i="57"/>
  <c r="BF165" i="57"/>
  <c r="BG165" i="57"/>
  <c r="BW165" i="57"/>
  <c r="BF191" i="57"/>
  <c r="BS191" i="57"/>
  <c r="BG194" i="57"/>
  <c r="BF194" i="57"/>
  <c r="BS198" i="57"/>
  <c r="BG198" i="57"/>
  <c r="BW198" i="57"/>
  <c r="BX198" i="57"/>
  <c r="BS222" i="57"/>
  <c r="BX222" i="57"/>
  <c r="BG225" i="57"/>
  <c r="BX225" i="57"/>
  <c r="BF225" i="57"/>
  <c r="BX285" i="57"/>
  <c r="BF285" i="57"/>
  <c r="BG8" i="58"/>
  <c r="BS8" i="58"/>
  <c r="BX11" i="58"/>
  <c r="BS11" i="58"/>
  <c r="BX16" i="58"/>
  <c r="BW16" i="58"/>
  <c r="BF16" i="58"/>
  <c r="BG16" i="58"/>
  <c r="BS17" i="58"/>
  <c r="BG17" i="58"/>
  <c r="BS38" i="58"/>
  <c r="BF38" i="58"/>
  <c r="BW45" i="58"/>
  <c r="BS45" i="58"/>
  <c r="BF71" i="58"/>
  <c r="BG71" i="58"/>
  <c r="BS71" i="58"/>
  <c r="BW71" i="58"/>
  <c r="BF72" i="58"/>
  <c r="BG72" i="58"/>
  <c r="BX72" i="58"/>
  <c r="BG74" i="58"/>
  <c r="BS74" i="58"/>
  <c r="BW74" i="58"/>
  <c r="BW75" i="58"/>
  <c r="BG75" i="58"/>
  <c r="BX75" i="58"/>
  <c r="BF77" i="58"/>
  <c r="BX77" i="58"/>
  <c r="BS77" i="58"/>
  <c r="BG127" i="58"/>
  <c r="BF129" i="58"/>
  <c r="BW129" i="58"/>
  <c r="BG129" i="58"/>
  <c r="BX129" i="58"/>
  <c r="BW134" i="58"/>
  <c r="BG134" i="58"/>
  <c r="BF134" i="58"/>
  <c r="BS134" i="58"/>
  <c r="BX134" i="58"/>
  <c r="BG135" i="58"/>
  <c r="BS135" i="58"/>
  <c r="BX135" i="58"/>
  <c r="BX137" i="58"/>
  <c r="BF137" i="58"/>
  <c r="BW161" i="58"/>
  <c r="BF161" i="58"/>
  <c r="BX161" i="58"/>
  <c r="BG161" i="58"/>
  <c r="BG164" i="58"/>
  <c r="BF164" i="58"/>
  <c r="BX167" i="58"/>
  <c r="BF167" i="58"/>
  <c r="BW193" i="58"/>
  <c r="BF198" i="58"/>
  <c r="BX198" i="58"/>
  <c r="BF218" i="58"/>
  <c r="BS218" i="58"/>
  <c r="BG218" i="58"/>
  <c r="BG224" i="58"/>
  <c r="BX224" i="58"/>
  <c r="BF224" i="58"/>
  <c r="BF227" i="58"/>
  <c r="BG227" i="58"/>
  <c r="BS227" i="58"/>
  <c r="BF248" i="58"/>
  <c r="BG248" i="58"/>
  <c r="BX248" i="58"/>
  <c r="BX281" i="58"/>
  <c r="BS281" i="58"/>
  <c r="BF281" i="58"/>
  <c r="BW281" i="58"/>
  <c r="BG281" i="58"/>
  <c r="BG284" i="58"/>
  <c r="BX284" i="58"/>
  <c r="BW284" i="58"/>
  <c r="BF285" i="58"/>
  <c r="BX285" i="58"/>
  <c r="BS287" i="58"/>
  <c r="BW287" i="58"/>
  <c r="BW8" i="59"/>
  <c r="BG8" i="59"/>
  <c r="N13" i="16"/>
  <c r="U8" i="16"/>
  <c r="AT94" i="52" s="1"/>
  <c r="S7" i="16"/>
  <c r="R6" i="16"/>
  <c r="P14" i="16"/>
  <c r="AJ274" i="52" s="1"/>
  <c r="U12" i="16"/>
  <c r="AT214" i="52" s="1"/>
  <c r="R11" i="16"/>
  <c r="AN184" i="52" s="1"/>
  <c r="O10" i="16"/>
  <c r="T8" i="16"/>
  <c r="AR94" i="52"/>
  <c r="Q6" i="16"/>
  <c r="M33" i="41" s="1"/>
  <c r="O5" i="16"/>
  <c r="I34" i="58" s="1"/>
  <c r="M13" i="16"/>
  <c r="Q11" i="16"/>
  <c r="R7" i="16"/>
  <c r="AN64" i="52" s="1"/>
  <c r="O14" i="16"/>
  <c r="T12" i="16"/>
  <c r="AR214" i="52" s="1"/>
  <c r="P11" i="16"/>
  <c r="N10" i="16"/>
  <c r="S8" i="16"/>
  <c r="P6" i="16"/>
  <c r="AJ34" i="52" s="1"/>
  <c r="N5" i="16"/>
  <c r="G214" i="59" s="1"/>
  <c r="M14" i="16"/>
  <c r="N14" i="16"/>
  <c r="AF274" i="52"/>
  <c r="S12" i="16"/>
  <c r="Q7" i="16"/>
  <c r="Q15" i="16" s="1"/>
  <c r="P13" i="16"/>
  <c r="U10" i="16"/>
  <c r="O9" i="16"/>
  <c r="O7" i="16"/>
  <c r="R5" i="16"/>
  <c r="O94" i="53" s="1"/>
  <c r="T14" i="16"/>
  <c r="S10" i="16"/>
  <c r="AP154" i="52" s="1"/>
  <c r="N9" i="16"/>
  <c r="AF124" i="52" s="1"/>
  <c r="N7" i="16"/>
  <c r="S14" i="16"/>
  <c r="AP274" i="52" s="1"/>
  <c r="R12" i="16"/>
  <c r="R8" i="16"/>
  <c r="AN94" i="52" s="1"/>
  <c r="P5" i="16"/>
  <c r="R14" i="16"/>
  <c r="R10" i="16"/>
  <c r="U6" i="16"/>
  <c r="U33" i="41" s="1"/>
  <c r="M6" i="16"/>
  <c r="AD34" i="52" s="1"/>
  <c r="S13" i="16"/>
  <c r="N11" i="16"/>
  <c r="O8" i="16"/>
  <c r="U5" i="16"/>
  <c r="M5" i="16"/>
  <c r="E64" i="52" s="1"/>
  <c r="T10" i="16"/>
  <c r="T5" i="16"/>
  <c r="S214" i="52" s="1"/>
  <c r="R13" i="16"/>
  <c r="AN244" i="52" s="1"/>
  <c r="N8" i="16"/>
  <c r="AF94" i="52" s="1"/>
  <c r="Q10" i="16"/>
  <c r="U7" i="16"/>
  <c r="U62" i="41" s="1"/>
  <c r="S5" i="16"/>
  <c r="Q4" i="52" s="1"/>
  <c r="O13" i="16"/>
  <c r="U9" i="16"/>
  <c r="AT124" i="52" s="1"/>
  <c r="T7" i="16"/>
  <c r="AR64" i="52" s="1"/>
  <c r="Q5" i="16"/>
  <c r="M64" i="59" s="1"/>
  <c r="Q14" i="16"/>
  <c r="P9" i="16"/>
  <c r="AJ124" i="52" s="1"/>
  <c r="U13" i="16"/>
  <c r="S9" i="16"/>
  <c r="N6" i="16"/>
  <c r="G33" i="41" s="1"/>
  <c r="R9" i="16"/>
  <c r="T13" i="16"/>
  <c r="Q9" i="16"/>
  <c r="AL124" i="52" s="1"/>
  <c r="Q13" i="16"/>
  <c r="M7" i="16"/>
  <c r="Q12" i="16"/>
  <c r="M8" i="16"/>
  <c r="T11" i="16"/>
  <c r="P7" i="16"/>
  <c r="M11" i="16"/>
  <c r="AD184" i="52" s="1"/>
  <c r="O11" i="16"/>
  <c r="P10" i="16"/>
  <c r="AJ154" i="52" s="1"/>
  <c r="M12" i="16"/>
  <c r="AD214" i="52" s="1"/>
  <c r="T9" i="16"/>
  <c r="Q8" i="16"/>
  <c r="S6" i="16"/>
  <c r="Q33" i="41" s="1"/>
  <c r="O12" i="16"/>
  <c r="AH214" i="52" s="1"/>
  <c r="O6" i="16"/>
  <c r="AH34" i="52" s="1"/>
  <c r="U11" i="16"/>
  <c r="AT184" i="52" s="1"/>
  <c r="M9" i="16"/>
  <c r="AD124" i="52" s="1"/>
  <c r="BG129" i="55"/>
  <c r="BF48" i="52"/>
  <c r="BF189" i="55"/>
  <c r="BF195" i="55"/>
  <c r="BS74" i="55"/>
  <c r="BF9" i="58"/>
  <c r="T6" i="16"/>
  <c r="T172" i="53"/>
  <c r="AS173" i="53"/>
  <c r="T173" i="53" s="1"/>
  <c r="D82" i="53"/>
  <c r="BE128" i="52"/>
  <c r="V128" i="52"/>
  <c r="BX75" i="52"/>
  <c r="BW75" i="52"/>
  <c r="BG75" i="52"/>
  <c r="BS75" i="52"/>
  <c r="BF254" i="52"/>
  <c r="BG254" i="52"/>
  <c r="BX254" i="52"/>
  <c r="BW254" i="52"/>
  <c r="BW257" i="52"/>
  <c r="BF257" i="52"/>
  <c r="BG257" i="52"/>
  <c r="BX48" i="53"/>
  <c r="BW48" i="53"/>
  <c r="BS48" i="53"/>
  <c r="BS67" i="53"/>
  <c r="BF67" i="53"/>
  <c r="BG69" i="53"/>
  <c r="BF69" i="53"/>
  <c r="BX69" i="53"/>
  <c r="BS72" i="53"/>
  <c r="BF72" i="53"/>
  <c r="BG72" i="53"/>
  <c r="BX72" i="53"/>
  <c r="BS74" i="53"/>
  <c r="BG74" i="53"/>
  <c r="BW74" i="53"/>
  <c r="BW75" i="53"/>
  <c r="BX75" i="53"/>
  <c r="BS75" i="53"/>
  <c r="BF75" i="53"/>
  <c r="BW77" i="53"/>
  <c r="BS77" i="53"/>
  <c r="BX98" i="53"/>
  <c r="BF98" i="53"/>
  <c r="BS98" i="53"/>
  <c r="BG98" i="53"/>
  <c r="BG101" i="53"/>
  <c r="BX101" i="53"/>
  <c r="BF101" i="53"/>
  <c r="BS101" i="53"/>
  <c r="BS104" i="53"/>
  <c r="BG104" i="53"/>
  <c r="BX104" i="53"/>
  <c r="BG108" i="53"/>
  <c r="BX108" i="53"/>
  <c r="BW108" i="53"/>
  <c r="BF127" i="53"/>
  <c r="BW129" i="53"/>
  <c r="BG129" i="53"/>
  <c r="BS129" i="53"/>
  <c r="BX129" i="53"/>
  <c r="BF129" i="53"/>
  <c r="BX130" i="53"/>
  <c r="BS130" i="53"/>
  <c r="BF130" i="53"/>
  <c r="BG130" i="53"/>
  <c r="BF132" i="53"/>
  <c r="BS132" i="53"/>
  <c r="BX132" i="53"/>
  <c r="BG135" i="53"/>
  <c r="BS135" i="53"/>
  <c r="BX135" i="53"/>
  <c r="BF135" i="53"/>
  <c r="BW137" i="53"/>
  <c r="BX137" i="53"/>
  <c r="BF137" i="53"/>
  <c r="BS137" i="53"/>
  <c r="BG137" i="53"/>
  <c r="BW138" i="53"/>
  <c r="BS138" i="53"/>
  <c r="BG138" i="53"/>
  <c r="BF138" i="53"/>
  <c r="BX138" i="53"/>
  <c r="BW158" i="53"/>
  <c r="BS158" i="53"/>
  <c r="BG158" i="53"/>
  <c r="BX158" i="53"/>
  <c r="BF158" i="53"/>
  <c r="BW159" i="53"/>
  <c r="BF159" i="53"/>
  <c r="BS159" i="53"/>
  <c r="BX159" i="53"/>
  <c r="BG159" i="53"/>
  <c r="BW161" i="53"/>
  <c r="BG161" i="53"/>
  <c r="BG163" i="53"/>
  <c r="BF163" i="53"/>
  <c r="BS163" i="53"/>
  <c r="BF164" i="53"/>
  <c r="BG164" i="53"/>
  <c r="BS164" i="53"/>
  <c r="BX164" i="53"/>
  <c r="BX167" i="53"/>
  <c r="BG167" i="53"/>
  <c r="BF167" i="53"/>
  <c r="BW167" i="53"/>
  <c r="BF190" i="53"/>
  <c r="BG190" i="53"/>
  <c r="BG192" i="53"/>
  <c r="BS192" i="53"/>
  <c r="BX192" i="53"/>
  <c r="BG193" i="53"/>
  <c r="BW193" i="53"/>
  <c r="BS193" i="53"/>
  <c r="BX195" i="53"/>
  <c r="BF195" i="53"/>
  <c r="BG195" i="53"/>
  <c r="BW195" i="53"/>
  <c r="BW198" i="53"/>
  <c r="BX198" i="53"/>
  <c r="BS198" i="53"/>
  <c r="BG198" i="53"/>
  <c r="BG218" i="53"/>
  <c r="BW218" i="53"/>
  <c r="BX218" i="53"/>
  <c r="BS218" i="53"/>
  <c r="BS219" i="53"/>
  <c r="BW219" i="53"/>
  <c r="BS221" i="53"/>
  <c r="BW221" i="53"/>
  <c r="BF221" i="53"/>
  <c r="BS222" i="53"/>
  <c r="BF222" i="53"/>
  <c r="BX222" i="53"/>
  <c r="BW222" i="53"/>
  <c r="BS224" i="53"/>
  <c r="BG224" i="53"/>
  <c r="BF224" i="53"/>
  <c r="BS226" i="53"/>
  <c r="BG226" i="53"/>
  <c r="BX226" i="53"/>
  <c r="BW227" i="53"/>
  <c r="BS227" i="53"/>
  <c r="BX227" i="53"/>
  <c r="BF227" i="53"/>
  <c r="BW247" i="53"/>
  <c r="BW248" i="53"/>
  <c r="BX248" i="53"/>
  <c r="BS248" i="53"/>
  <c r="BF248" i="53"/>
  <c r="BX255" i="53"/>
  <c r="BW255" i="53"/>
  <c r="BF255" i="53"/>
  <c r="BG255" i="53"/>
  <c r="BG256" i="53"/>
  <c r="BS256" i="53"/>
  <c r="BW256" i="53"/>
  <c r="BW258" i="53"/>
  <c r="BG258" i="53"/>
  <c r="BS279" i="53"/>
  <c r="BF279" i="53"/>
  <c r="BX279" i="53"/>
  <c r="BW279" i="53"/>
  <c r="BX281" i="53"/>
  <c r="BG281" i="53"/>
  <c r="BF281" i="53"/>
  <c r="BF282" i="53"/>
  <c r="BX282" i="53"/>
  <c r="BG282" i="53"/>
  <c r="BW282" i="53"/>
  <c r="BS282" i="53"/>
  <c r="BW284" i="53"/>
  <c r="BS284" i="53"/>
  <c r="BX284" i="53"/>
  <c r="BF284" i="53"/>
  <c r="BG285" i="53"/>
  <c r="BS285" i="53"/>
  <c r="BF285" i="53"/>
  <c r="BW285" i="53"/>
  <c r="BX285" i="53"/>
  <c r="BG287" i="53"/>
  <c r="BF287" i="53"/>
  <c r="BX287" i="53"/>
  <c r="BG11" i="55"/>
  <c r="BS11" i="55"/>
  <c r="BX11" i="55"/>
  <c r="BX18" i="55"/>
  <c r="BF18" i="55"/>
  <c r="BW18" i="55"/>
  <c r="BS18" i="55"/>
  <c r="BG39" i="55"/>
  <c r="BX39" i="55"/>
  <c r="BS39" i="55"/>
  <c r="BW39" i="55"/>
  <c r="BG42" i="55"/>
  <c r="BS42" i="55"/>
  <c r="BF42" i="55"/>
  <c r="BX42" i="55"/>
  <c r="BW42" i="55"/>
  <c r="BF44" i="55"/>
  <c r="BW44" i="55"/>
  <c r="BS44" i="55"/>
  <c r="BG44" i="55"/>
  <c r="BW45" i="55"/>
  <c r="BS45" i="55"/>
  <c r="BF45" i="55"/>
  <c r="BF47" i="55"/>
  <c r="BS47" i="55"/>
  <c r="BG47" i="55"/>
  <c r="BW47" i="55"/>
  <c r="BW48" i="55"/>
  <c r="BS48" i="55"/>
  <c r="BG48" i="55"/>
  <c r="BF48" i="55"/>
  <c r="BS68" i="55"/>
  <c r="BX68" i="55"/>
  <c r="BF68" i="55"/>
  <c r="BW68" i="55"/>
  <c r="BF71" i="55"/>
  <c r="BW71" i="55"/>
  <c r="BS71" i="55"/>
  <c r="BG282" i="57"/>
  <c r="BX108" i="55"/>
  <c r="BW167" i="57"/>
  <c r="BS132" i="58"/>
  <c r="AM293" i="53"/>
  <c r="N293" i="53" s="1"/>
  <c r="N292" i="53"/>
  <c r="D169" i="55"/>
  <c r="L259" i="55"/>
  <c r="H139" i="58"/>
  <c r="J109" i="59"/>
  <c r="D199" i="59"/>
  <c r="BE11" i="58"/>
  <c r="V11" i="58"/>
  <c r="BE69" i="58"/>
  <c r="V69" i="58"/>
  <c r="BE17" i="59"/>
  <c r="V17" i="59"/>
  <c r="BF251" i="52"/>
  <c r="BW251" i="52"/>
  <c r="BX191" i="55"/>
  <c r="BG285" i="58"/>
  <c r="BS167" i="58"/>
  <c r="BS106" i="58"/>
  <c r="BG228" i="55"/>
  <c r="BF162" i="57"/>
  <c r="BX132" i="58"/>
  <c r="BW102" i="59"/>
  <c r="BS129" i="59"/>
  <c r="BG227" i="57"/>
  <c r="BS158" i="55"/>
  <c r="BX102" i="55"/>
  <c r="BW71" i="59"/>
  <c r="P8" i="16"/>
  <c r="AI145" i="52"/>
  <c r="J145" i="52" s="1"/>
  <c r="BF134" i="55"/>
  <c r="BX168" i="55"/>
  <c r="BG69" i="58"/>
  <c r="BE198" i="55"/>
  <c r="V198" i="55"/>
  <c r="BE198" i="57"/>
  <c r="V198" i="57"/>
  <c r="AK143" i="59"/>
  <c r="L143" i="59" s="1"/>
  <c r="AN124" i="58"/>
  <c r="CX9" i="16"/>
  <c r="L82" i="52"/>
  <c r="AK83" i="52"/>
  <c r="L83" i="52" s="1"/>
  <c r="D112" i="53"/>
  <c r="AC113" i="53"/>
  <c r="D113" i="53" s="1"/>
  <c r="AR4" i="55"/>
  <c r="L80" i="46"/>
  <c r="L81" i="46" s="1"/>
  <c r="J80" i="46"/>
  <c r="J81" i="46" s="1"/>
  <c r="P80" i="46"/>
  <c r="P81" i="46" s="1"/>
  <c r="U204" i="50"/>
  <c r="U146" i="50"/>
  <c r="U88" i="50"/>
  <c r="U59" i="50"/>
  <c r="T51" i="51"/>
  <c r="T52" i="51" s="1"/>
  <c r="L51" i="51"/>
  <c r="L52" i="51" s="1"/>
  <c r="B60" i="51"/>
  <c r="R80" i="51" s="1"/>
  <c r="R81" i="51" s="1"/>
  <c r="N51" i="51"/>
  <c r="N52" i="51" s="1"/>
  <c r="F51" i="51"/>
  <c r="F52" i="51" s="1"/>
  <c r="J51" i="51"/>
  <c r="J52" i="51" s="1"/>
  <c r="H51" i="51"/>
  <c r="H52" i="51" s="1"/>
  <c r="B32" i="51"/>
  <c r="BG78" i="52"/>
  <c r="BF78" i="52"/>
  <c r="BG98" i="52"/>
  <c r="BG99" i="52"/>
  <c r="BF99" i="52"/>
  <c r="BX99" i="52"/>
  <c r="BG102" i="52"/>
  <c r="BS102" i="52"/>
  <c r="BF107" i="52"/>
  <c r="BG128" i="52"/>
  <c r="BS128" i="52"/>
  <c r="BX128" i="52"/>
  <c r="BF128" i="52"/>
  <c r="BS167" i="57"/>
  <c r="BX167" i="57"/>
  <c r="BX168" i="57"/>
  <c r="BF168" i="57"/>
  <c r="BW168" i="57"/>
  <c r="BW188" i="57"/>
  <c r="BS188" i="57"/>
  <c r="BF188" i="57"/>
  <c r="BG191" i="57"/>
  <c r="BW191" i="57"/>
  <c r="BX191" i="57"/>
  <c r="BX194" i="57"/>
  <c r="BW194" i="57"/>
  <c r="BS194" i="57"/>
  <c r="BW219" i="57"/>
  <c r="BF219" i="57"/>
  <c r="BG219" i="57"/>
  <c r="BF220" i="57"/>
  <c r="BF222" i="57"/>
  <c r="BW222" i="57"/>
  <c r="BW225" i="57"/>
  <c r="BF227" i="57"/>
  <c r="BX227" i="57"/>
  <c r="BS228" i="57"/>
  <c r="BW228" i="57"/>
  <c r="BX228" i="57"/>
  <c r="BG248" i="57"/>
  <c r="BF248" i="57"/>
  <c r="BS248" i="57"/>
  <c r="BX248" i="57"/>
  <c r="BW254" i="57"/>
  <c r="BX254" i="57"/>
  <c r="BF254" i="57"/>
  <c r="BG256" i="57"/>
  <c r="BW285" i="57"/>
  <c r="BS285" i="57"/>
  <c r="BS288" i="57"/>
  <c r="BW9" i="58"/>
  <c r="BG9" i="58"/>
  <c r="BS9" i="58"/>
  <c r="BW12" i="58"/>
  <c r="BX14" i="58"/>
  <c r="BS14" i="58"/>
  <c r="BX17" i="58"/>
  <c r="BW17" i="58"/>
  <c r="BF17" i="58"/>
  <c r="BG37" i="58"/>
  <c r="BW38" i="58"/>
  <c r="BG38" i="58"/>
  <c r="BX41" i="58"/>
  <c r="BS41" i="58"/>
  <c r="BS43" i="58"/>
  <c r="BW43" i="58"/>
  <c r="BS46" i="58"/>
  <c r="BS69" i="58"/>
  <c r="BW69" i="58"/>
  <c r="BX69" i="58"/>
  <c r="BW72" i="58"/>
  <c r="BF74" i="58"/>
  <c r="BS75" i="58"/>
  <c r="BF75" i="58"/>
  <c r="BW77" i="58"/>
  <c r="BG77" i="58"/>
  <c r="BX98" i="58"/>
  <c r="BF98" i="58"/>
  <c r="BS98" i="58"/>
  <c r="BG98" i="58"/>
  <c r="BG100" i="58"/>
  <c r="BW100" i="58"/>
  <c r="BX101" i="58"/>
  <c r="BG101" i="58"/>
  <c r="BS101" i="58"/>
  <c r="BW103" i="58"/>
  <c r="BS103" i="58"/>
  <c r="BX103" i="58"/>
  <c r="BF103" i="58"/>
  <c r="BG104" i="58"/>
  <c r="BF104" i="58"/>
  <c r="BW104" i="58"/>
  <c r="BW106" i="58"/>
  <c r="BX106" i="58"/>
  <c r="BF106" i="58"/>
  <c r="BX108" i="58"/>
  <c r="BW108" i="58"/>
  <c r="BS129" i="58"/>
  <c r="BW130" i="58"/>
  <c r="BF135" i="58"/>
  <c r="BW135" i="58"/>
  <c r="BG137" i="58"/>
  <c r="BS137" i="58"/>
  <c r="BW138" i="58"/>
  <c r="BX138" i="58"/>
  <c r="BS138" i="58"/>
  <c r="BG138" i="58"/>
  <c r="BS158" i="58"/>
  <c r="BG158" i="58"/>
  <c r="BF158" i="58"/>
  <c r="BW158" i="58"/>
  <c r="BX158" i="58"/>
  <c r="BS159" i="58"/>
  <c r="BX159" i="58"/>
  <c r="BS161" i="58"/>
  <c r="BS164" i="58"/>
  <c r="BW164" i="58"/>
  <c r="BX164" i="58"/>
  <c r="BS166" i="58"/>
  <c r="BG167" i="58"/>
  <c r="BW167" i="58"/>
  <c r="BX192" i="58"/>
  <c r="BG193" i="58"/>
  <c r="BS195" i="58"/>
  <c r="BG219" i="58"/>
  <c r="BF219" i="58"/>
  <c r="BX219" i="58"/>
  <c r="BG221" i="58"/>
  <c r="BF222" i="58"/>
  <c r="BX222" i="58"/>
  <c r="BS222" i="58"/>
  <c r="BS224" i="58"/>
  <c r="BW227" i="58"/>
  <c r="BS248" i="58"/>
  <c r="BW248" i="58"/>
  <c r="BG250" i="58"/>
  <c r="BG251" i="58"/>
  <c r="BX251" i="58"/>
  <c r="BF251" i="58"/>
  <c r="BW251" i="58"/>
  <c r="BG255" i="58"/>
  <c r="BS255" i="58"/>
  <c r="BF255" i="58"/>
  <c r="BX255" i="58"/>
  <c r="BS258" i="58"/>
  <c r="BX258" i="58"/>
  <c r="BS277" i="58"/>
  <c r="BF277" i="58"/>
  <c r="BW279" i="58"/>
  <c r="BW282" i="58"/>
  <c r="BG282" i="58"/>
  <c r="BS282" i="58"/>
  <c r="BX282" i="58"/>
  <c r="BF284" i="58"/>
  <c r="BS285" i="58"/>
  <c r="BW285" i="58"/>
  <c r="BF287" i="58"/>
  <c r="BG287" i="58"/>
  <c r="BF11" i="59"/>
  <c r="BS13" i="59"/>
  <c r="BW14" i="59"/>
  <c r="BS39" i="59"/>
  <c r="BG39" i="59"/>
  <c r="BF39" i="59"/>
  <c r="BF42" i="59"/>
  <c r="BW47" i="59"/>
  <c r="BG47" i="59"/>
  <c r="BG68" i="59"/>
  <c r="BW68" i="59"/>
  <c r="BS71" i="59"/>
  <c r="BG76" i="59"/>
  <c r="BS77" i="59"/>
  <c r="BS97" i="59"/>
  <c r="BW98" i="59"/>
  <c r="BF98" i="59"/>
  <c r="BX98" i="59"/>
  <c r="BG98" i="59"/>
  <c r="BW103" i="59"/>
  <c r="BX108" i="59"/>
  <c r="BG108" i="59"/>
  <c r="BF108" i="59"/>
  <c r="BW108" i="59"/>
  <c r="BX129" i="59"/>
  <c r="BF131" i="59"/>
  <c r="BW131" i="59"/>
  <c r="BX131" i="59"/>
  <c r="BS132" i="59"/>
  <c r="BW132" i="59"/>
  <c r="BW134" i="59"/>
  <c r="BS134" i="59"/>
  <c r="BG137" i="59"/>
  <c r="BS137" i="59"/>
  <c r="BF137" i="59"/>
  <c r="AQ203" i="53"/>
  <c r="R203" i="53" s="1"/>
  <c r="R202" i="53"/>
  <c r="AI233" i="59"/>
  <c r="J233" i="59" s="1"/>
  <c r="P232" i="53"/>
  <c r="AQ265" i="55"/>
  <c r="AQ268" i="55"/>
  <c r="AR256" i="55" s="1"/>
  <c r="S256" i="55" s="1"/>
  <c r="AQ266" i="55"/>
  <c r="AS143" i="53"/>
  <c r="T143" i="53" s="1"/>
  <c r="T142" i="53"/>
  <c r="AE23" i="55"/>
  <c r="F23" i="55" s="1"/>
  <c r="F22" i="55"/>
  <c r="P112" i="55"/>
  <c r="B61" i="41"/>
  <c r="B89" i="41"/>
  <c r="J109" i="41" s="1"/>
  <c r="J110" i="41" s="1"/>
  <c r="AS143" i="58"/>
  <c r="T143" i="58" s="1"/>
  <c r="T142" i="58"/>
  <c r="AI113" i="59"/>
  <c r="J113" i="59" s="1"/>
  <c r="J112" i="59"/>
  <c r="BE279" i="52"/>
  <c r="V279" i="52"/>
  <c r="AI143" i="55"/>
  <c r="J143" i="55" s="1"/>
  <c r="J142" i="55"/>
  <c r="AS233" i="57"/>
  <c r="T233" i="57" s="1"/>
  <c r="B3" i="53"/>
  <c r="J112" i="58"/>
  <c r="AP26" i="16"/>
  <c r="AQ293" i="53"/>
  <c r="R293" i="53" s="1"/>
  <c r="R292" i="53"/>
  <c r="AM53" i="58"/>
  <c r="N53" i="58" s="1"/>
  <c r="N52" i="58"/>
  <c r="AC203" i="58"/>
  <c r="D203" i="58" s="1"/>
  <c r="D202" i="58"/>
  <c r="AU169" i="58"/>
  <c r="T52" i="57"/>
  <c r="AS53" i="57"/>
  <c r="T53" i="57" s="1"/>
  <c r="P202" i="59"/>
  <c r="AG203" i="52"/>
  <c r="H203" i="52" s="1"/>
  <c r="H202" i="52"/>
  <c r="H172" i="58"/>
  <c r="AG173" i="58"/>
  <c r="H173" i="58" s="1"/>
  <c r="BE129" i="58"/>
  <c r="V129" i="58"/>
  <c r="BE189" i="58"/>
  <c r="V189" i="58"/>
  <c r="BE128" i="59"/>
  <c r="V128" i="59"/>
  <c r="AQ113" i="58"/>
  <c r="R113" i="58" s="1"/>
  <c r="R22" i="53"/>
  <c r="AQ23" i="53"/>
  <c r="R23" i="53" s="1"/>
  <c r="AG177" i="52"/>
  <c r="AH163" i="52" s="1"/>
  <c r="H172" i="52"/>
  <c r="F112" i="55"/>
  <c r="BE11" i="55"/>
  <c r="V11" i="55"/>
  <c r="BE255" i="57"/>
  <c r="BX161" i="59"/>
  <c r="BX157" i="52"/>
  <c r="CX12" i="16"/>
  <c r="V98" i="52"/>
  <c r="BE98" i="52"/>
  <c r="V9" i="53"/>
  <c r="BE228" i="53"/>
  <c r="V228" i="53"/>
  <c r="BF131" i="52"/>
  <c r="BE99" i="52"/>
  <c r="V99" i="52"/>
  <c r="V130" i="52"/>
  <c r="BE130" i="52"/>
  <c r="BW250" i="52"/>
  <c r="AN9" i="16"/>
  <c r="AR124" i="53" s="1"/>
  <c r="AM12" i="16"/>
  <c r="AP214" i="53" s="1"/>
  <c r="AO8" i="16"/>
  <c r="AT94" i="53" s="1"/>
  <c r="AH12" i="16"/>
  <c r="AF214" i="53" s="1"/>
  <c r="AM5" i="16"/>
  <c r="AP4" i="53" s="1"/>
  <c r="AN6" i="16"/>
  <c r="AR34" i="53" s="1"/>
  <c r="AJ10" i="16"/>
  <c r="AJ154" i="53" s="1"/>
  <c r="AO13" i="16"/>
  <c r="AT244" i="53" s="1"/>
  <c r="AH7" i="16"/>
  <c r="AM10" i="16"/>
  <c r="AP154" i="53" s="1"/>
  <c r="AI14" i="16"/>
  <c r="AH274" i="53" s="1"/>
  <c r="AI7" i="16"/>
  <c r="AN10" i="16"/>
  <c r="AR154" i="53" s="1"/>
  <c r="AJ14" i="16"/>
  <c r="AJ274" i="53" s="1"/>
  <c r="AK7" i="16"/>
  <c r="AL64" i="53" s="1"/>
  <c r="AG11" i="16"/>
  <c r="AD184" i="53" s="1"/>
  <c r="AL14" i="16"/>
  <c r="AN274" i="53" s="1"/>
  <c r="AL8" i="16"/>
  <c r="AN94" i="53" s="1"/>
  <c r="AL13" i="16"/>
  <c r="AN244" i="53" s="1"/>
  <c r="AG9" i="16"/>
  <c r="AD124" i="53" s="1"/>
  <c r="AM13" i="16"/>
  <c r="AP244" i="53" s="1"/>
  <c r="AH9" i="16"/>
  <c r="AF124" i="53" s="1"/>
  <c r="AN13" i="16"/>
  <c r="AR244" i="53" s="1"/>
  <c r="AI9" i="16"/>
  <c r="AH124" i="53" s="1"/>
  <c r="AK14" i="16"/>
  <c r="AJ7" i="16"/>
  <c r="AG12" i="16"/>
  <c r="AD214" i="53" s="1"/>
  <c r="BX284" i="52"/>
  <c r="BW67" i="52"/>
  <c r="BW157" i="52"/>
  <c r="BS226" i="52"/>
  <c r="BX252" i="52"/>
  <c r="BW255" i="52"/>
  <c r="BF223" i="52"/>
  <c r="BW37" i="52"/>
  <c r="BW74" i="52"/>
  <c r="V107" i="52"/>
  <c r="BE107" i="52"/>
  <c r="BF7" i="52"/>
  <c r="BF252" i="59"/>
  <c r="BX76" i="55"/>
  <c r="BX132" i="59"/>
  <c r="BX227" i="59"/>
  <c r="BW11" i="52"/>
  <c r="BX44" i="52"/>
  <c r="BG254" i="57"/>
  <c r="BG11" i="52"/>
  <c r="BF283" i="52"/>
  <c r="BG137" i="52"/>
  <c r="BS67" i="52"/>
  <c r="BX288" i="57"/>
  <c r="BX100" i="59"/>
  <c r="BS196" i="52"/>
  <c r="BF161" i="52"/>
  <c r="BX191" i="59"/>
  <c r="AD94" i="52"/>
  <c r="Q4" i="55"/>
  <c r="Q64" i="57"/>
  <c r="Q4" i="59"/>
  <c r="Q4" i="53"/>
  <c r="Q184" i="53"/>
  <c r="G184" i="59"/>
  <c r="G214" i="53"/>
  <c r="S124" i="57"/>
  <c r="AN124" i="52"/>
  <c r="AR274" i="52"/>
  <c r="AH274" i="52"/>
  <c r="I244" i="59"/>
  <c r="I244" i="57"/>
  <c r="I274" i="58"/>
  <c r="K62" i="41"/>
  <c r="AJ64" i="52"/>
  <c r="L199" i="53"/>
  <c r="T229" i="53"/>
  <c r="V193" i="53"/>
  <c r="BS127" i="53"/>
  <c r="BX127" i="53"/>
  <c r="BS13" i="53"/>
  <c r="BG13" i="53"/>
  <c r="BF13" i="53"/>
  <c r="BF10" i="53"/>
  <c r="BS10" i="53"/>
  <c r="G184" i="52"/>
  <c r="G34" i="52"/>
  <c r="G154" i="59"/>
  <c r="G214" i="57"/>
  <c r="G34" i="55"/>
  <c r="G124" i="57"/>
  <c r="G124" i="55"/>
  <c r="G94" i="58"/>
  <c r="G244" i="59"/>
  <c r="G184" i="57"/>
  <c r="G94" i="55"/>
  <c r="G154" i="57"/>
  <c r="S34" i="58"/>
  <c r="G64" i="57"/>
  <c r="G124" i="53"/>
  <c r="G4" i="59"/>
  <c r="E94" i="57"/>
  <c r="G4" i="52"/>
  <c r="CP15" i="16"/>
  <c r="O62" i="45"/>
  <c r="AO146" i="58"/>
  <c r="P146" i="58" s="1"/>
  <c r="AO145" i="58"/>
  <c r="P145" i="58" s="1"/>
  <c r="AO148" i="58"/>
  <c r="AP136" i="58" s="1"/>
  <c r="Q136" i="58" s="1"/>
  <c r="AL94" i="55"/>
  <c r="D289" i="58"/>
  <c r="BE129" i="59"/>
  <c r="V129" i="59"/>
  <c r="AJ34" i="59"/>
  <c r="L49" i="53"/>
  <c r="AU49" i="53"/>
  <c r="N139" i="53"/>
  <c r="AU139" i="53"/>
  <c r="V139" i="53" s="1"/>
  <c r="AQ175" i="59"/>
  <c r="AR157" i="59" s="1"/>
  <c r="S157" i="59" s="1"/>
  <c r="AQ173" i="59"/>
  <c r="R173" i="59" s="1"/>
  <c r="AQ178" i="59"/>
  <c r="AR166" i="59" s="1"/>
  <c r="S166" i="59" s="1"/>
  <c r="R232" i="57"/>
  <c r="AQ233" i="57"/>
  <c r="R233" i="57" s="1"/>
  <c r="AK263" i="59"/>
  <c r="L263" i="59" s="1"/>
  <c r="L262" i="59"/>
  <c r="BX195" i="57"/>
  <c r="BS195" i="57"/>
  <c r="BF195" i="57"/>
  <c r="BW195" i="57"/>
  <c r="BG195" i="57"/>
  <c r="BX197" i="57"/>
  <c r="BS255" i="57"/>
  <c r="BX255" i="57"/>
  <c r="BS279" i="57"/>
  <c r="BW279" i="57"/>
  <c r="BX279" i="57"/>
  <c r="BG279" i="57"/>
  <c r="BW7" i="58"/>
  <c r="BF15" i="58"/>
  <c r="BX15" i="58"/>
  <c r="BW15" i="58"/>
  <c r="BS42" i="58"/>
  <c r="BG42" i="58"/>
  <c r="BF73" i="58"/>
  <c r="BX73" i="58"/>
  <c r="BG76" i="58"/>
  <c r="BW76" i="58"/>
  <c r="BF76" i="58"/>
  <c r="BS99" i="58"/>
  <c r="BW99" i="58"/>
  <c r="BG99" i="58"/>
  <c r="BF99" i="58"/>
  <c r="AE233" i="58"/>
  <c r="F233" i="58" s="1"/>
  <c r="F232" i="58"/>
  <c r="T80" i="45"/>
  <c r="T81" i="45" s="1"/>
  <c r="B89" i="45"/>
  <c r="J109" i="45" s="1"/>
  <c r="J110" i="45" s="1"/>
  <c r="D112" i="58"/>
  <c r="J262" i="58"/>
  <c r="AI266" i="58"/>
  <c r="J266" i="58" s="1"/>
  <c r="BE258" i="52"/>
  <c r="V258" i="52"/>
  <c r="BW135" i="52"/>
  <c r="BX135" i="52"/>
  <c r="BG135" i="52"/>
  <c r="BS138" i="52"/>
  <c r="BW138" i="52"/>
  <c r="BG138" i="52"/>
  <c r="BG159" i="52"/>
  <c r="BX159" i="52"/>
  <c r="BF159" i="52"/>
  <c r="BS225" i="52"/>
  <c r="BX225" i="52"/>
  <c r="BS228" i="52"/>
  <c r="BX228" i="52"/>
  <c r="BG228" i="52"/>
  <c r="H109" i="46"/>
  <c r="H110" i="46" s="1"/>
  <c r="AO83" i="52"/>
  <c r="P83" i="52" s="1"/>
  <c r="AI23" i="55"/>
  <c r="J23" i="55" s="1"/>
  <c r="J22" i="55"/>
  <c r="AM146" i="53"/>
  <c r="N146" i="53" s="1"/>
  <c r="AM145" i="53"/>
  <c r="N145" i="53" s="1"/>
  <c r="AI53" i="52"/>
  <c r="J53" i="52" s="1"/>
  <c r="AS238" i="52"/>
  <c r="AS237" i="52"/>
  <c r="AT223" i="52" s="1"/>
  <c r="U223" i="52" s="1"/>
  <c r="AS236" i="52"/>
  <c r="AT220" i="52" s="1"/>
  <c r="U220" i="52" s="1"/>
  <c r="AS233" i="52"/>
  <c r="T233" i="52" s="1"/>
  <c r="AS23" i="58"/>
  <c r="T23" i="58" s="1"/>
  <c r="V226" i="53"/>
  <c r="BE255" i="53"/>
  <c r="V255" i="53"/>
  <c r="BE284" i="53"/>
  <c r="V284" i="53"/>
  <c r="V161" i="55"/>
  <c r="BE222" i="52"/>
  <c r="V222" i="52"/>
  <c r="F89" i="51"/>
  <c r="F60" i="51"/>
  <c r="AU229" i="53"/>
  <c r="BB230" i="53" s="1"/>
  <c r="BX227" i="58"/>
  <c r="BG166" i="59"/>
  <c r="BW128" i="52"/>
  <c r="BX227" i="55"/>
  <c r="BF133" i="52"/>
  <c r="BF282" i="58"/>
  <c r="BE287" i="52"/>
  <c r="V287" i="52"/>
  <c r="BF74" i="55"/>
  <c r="BG71" i="59"/>
  <c r="Q33" i="45"/>
  <c r="BE221" i="59"/>
  <c r="V221" i="59"/>
  <c r="BS157" i="59"/>
  <c r="BG288" i="57"/>
  <c r="BE15" i="58"/>
  <c r="V15" i="58"/>
  <c r="BG43" i="58"/>
  <c r="BF69" i="58"/>
  <c r="V75" i="59"/>
  <c r="BW10" i="53"/>
  <c r="BW227" i="57"/>
  <c r="BS43" i="59"/>
  <c r="BS282" i="57"/>
  <c r="BG11" i="58"/>
  <c r="BX188" i="57"/>
  <c r="BF166" i="58"/>
  <c r="BG248" i="55"/>
  <c r="BW188" i="58"/>
  <c r="BS42" i="59"/>
  <c r="BF100" i="59"/>
  <c r="BG103" i="52"/>
  <c r="BW37" i="58"/>
  <c r="BS130" i="58"/>
  <c r="BX68" i="59"/>
  <c r="BF250" i="53"/>
  <c r="BS47" i="52"/>
  <c r="BG131" i="59"/>
  <c r="BE227" i="57"/>
  <c r="V227" i="57"/>
  <c r="BF160" i="59"/>
  <c r="BW277" i="55"/>
  <c r="BW286" i="55"/>
  <c r="BF286" i="55"/>
  <c r="V286" i="55"/>
  <c r="BW283" i="55"/>
  <c r="BG283" i="55"/>
  <c r="V283" i="55"/>
  <c r="BF283" i="55"/>
  <c r="BG280" i="55"/>
  <c r="BS280" i="55"/>
  <c r="BF280" i="55"/>
  <c r="BW280" i="55"/>
  <c r="F289" i="55"/>
  <c r="BF277" i="55"/>
  <c r="V277" i="55"/>
  <c r="BG277" i="55"/>
  <c r="BG256" i="55"/>
  <c r="BW256" i="55"/>
  <c r="BF256" i="55"/>
  <c r="BS256" i="55"/>
  <c r="BW253" i="55"/>
  <c r="BS253" i="55"/>
  <c r="BF253" i="55"/>
  <c r="BG253" i="55"/>
  <c r="BF252" i="55"/>
  <c r="BX252" i="55"/>
  <c r="BW252" i="55"/>
  <c r="BG252" i="55"/>
  <c r="BF251" i="55"/>
  <c r="BG251" i="55"/>
  <c r="BS251" i="55"/>
  <c r="BW250" i="55"/>
  <c r="AU259" i="55"/>
  <c r="BB260" i="55" s="1"/>
  <c r="BX226" i="55"/>
  <c r="BF226" i="55"/>
  <c r="BS226" i="55"/>
  <c r="BF224" i="55"/>
  <c r="BW224" i="55"/>
  <c r="BF220" i="55"/>
  <c r="BW220" i="55"/>
  <c r="BS220" i="55"/>
  <c r="BX220" i="55"/>
  <c r="BW217" i="55"/>
  <c r="BG217" i="55"/>
  <c r="BX217" i="55"/>
  <c r="BF217" i="55"/>
  <c r="BF196" i="55"/>
  <c r="BX196" i="55"/>
  <c r="BG196" i="55"/>
  <c r="BS196" i="55"/>
  <c r="BF193" i="55"/>
  <c r="BS193" i="55"/>
  <c r="V193" i="55"/>
  <c r="BW193" i="55"/>
  <c r="BG193" i="55"/>
  <c r="V187" i="55"/>
  <c r="BW187" i="55"/>
  <c r="BS187" i="55"/>
  <c r="BF163" i="55"/>
  <c r="BG163" i="55"/>
  <c r="BS163" i="55"/>
  <c r="V160" i="55"/>
  <c r="AU169" i="55"/>
  <c r="BG136" i="55"/>
  <c r="BX136" i="55"/>
  <c r="BF136" i="55"/>
  <c r="BW136" i="55"/>
  <c r="BE127" i="55"/>
  <c r="BX127" i="55"/>
  <c r="AU139" i="55"/>
  <c r="BB140" i="55" s="1"/>
  <c r="V106" i="55"/>
  <c r="V103" i="55"/>
  <c r="V101" i="55"/>
  <c r="BS100" i="55"/>
  <c r="BX100" i="55"/>
  <c r="BF100" i="55"/>
  <c r="AU109" i="55"/>
  <c r="V109" i="55" s="1"/>
  <c r="BF76" i="55"/>
  <c r="BW76" i="55"/>
  <c r="BS77" i="55"/>
  <c r="BX77" i="55"/>
  <c r="BW77" i="55"/>
  <c r="V77" i="55"/>
  <c r="BW73" i="55"/>
  <c r="BS73" i="55"/>
  <c r="BW70" i="55"/>
  <c r="N79" i="55"/>
  <c r="BW40" i="55"/>
  <c r="BG40" i="55"/>
  <c r="BF40" i="55"/>
  <c r="BS40" i="55"/>
  <c r="V37" i="55"/>
  <c r="BG13" i="55"/>
  <c r="BW13" i="55"/>
  <c r="BF13" i="55"/>
  <c r="BS13" i="55"/>
  <c r="BX13" i="55"/>
  <c r="BS10" i="55"/>
  <c r="BW10" i="55"/>
  <c r="BG10" i="55"/>
  <c r="BF10" i="55"/>
  <c r="V10" i="55"/>
  <c r="BS8" i="55"/>
  <c r="BG8" i="55"/>
  <c r="BF8" i="55"/>
  <c r="V8" i="55"/>
  <c r="V7" i="55"/>
  <c r="E124" i="52"/>
  <c r="E124" i="57"/>
  <c r="E4" i="41"/>
  <c r="E214" i="57"/>
  <c r="E154" i="58"/>
  <c r="E4" i="53"/>
  <c r="E214" i="53"/>
  <c r="E184" i="57"/>
  <c r="E64" i="55"/>
  <c r="E244" i="58"/>
  <c r="E154" i="52"/>
  <c r="E34" i="52"/>
  <c r="E34" i="59"/>
  <c r="E4" i="52"/>
  <c r="E244" i="59"/>
  <c r="E184" i="53"/>
  <c r="E244" i="52"/>
  <c r="E124" i="59"/>
  <c r="E154" i="55"/>
  <c r="E124" i="58"/>
  <c r="E244" i="55"/>
  <c r="E274" i="52"/>
  <c r="AT244" i="52"/>
  <c r="AF184" i="52"/>
  <c r="S33" i="49"/>
  <c r="AJ94" i="59"/>
  <c r="G91" i="41"/>
  <c r="I91" i="41"/>
  <c r="N109" i="41"/>
  <c r="N110" i="41" s="1"/>
  <c r="P109" i="41"/>
  <c r="P110" i="41" s="1"/>
  <c r="S91" i="41"/>
  <c r="O274" i="59"/>
  <c r="O94" i="52"/>
  <c r="O154" i="52"/>
  <c r="O154" i="57"/>
  <c r="E33" i="41"/>
  <c r="AJ244" i="52"/>
  <c r="P80" i="51"/>
  <c r="P81" i="51" s="1"/>
  <c r="B61" i="51"/>
  <c r="K62" i="51"/>
  <c r="D80" i="51"/>
  <c r="D81" i="51" s="1"/>
  <c r="U62" i="51"/>
  <c r="L80" i="51"/>
  <c r="L81" i="51" s="1"/>
  <c r="I154" i="53"/>
  <c r="I184" i="58"/>
  <c r="R82" i="53"/>
  <c r="G94" i="53"/>
  <c r="G64" i="52"/>
  <c r="G244" i="53"/>
  <c r="I94" i="53"/>
  <c r="G184" i="58"/>
  <c r="O33" i="41"/>
  <c r="AN34" i="52"/>
  <c r="Q154" i="55"/>
  <c r="Q34" i="53"/>
  <c r="Q214" i="55"/>
  <c r="S4" i="50"/>
  <c r="AR4" i="58"/>
  <c r="CV15" i="16"/>
  <c r="N79" i="52"/>
  <c r="BF286" i="53"/>
  <c r="BG288" i="53"/>
  <c r="BS288" i="53"/>
  <c r="BX288" i="53"/>
  <c r="BF288" i="53"/>
  <c r="BW288" i="53"/>
  <c r="BW7" i="55"/>
  <c r="BF7" i="55"/>
  <c r="BS7" i="55"/>
  <c r="BX7" i="55"/>
  <c r="BG7" i="55"/>
  <c r="BF9" i="55"/>
  <c r="BX9" i="55"/>
  <c r="BS9" i="55"/>
  <c r="BW9" i="55"/>
  <c r="BG9" i="55"/>
  <c r="BS12" i="55"/>
  <c r="BF12" i="55"/>
  <c r="BG12" i="55"/>
  <c r="BX12" i="55"/>
  <c r="BW14" i="55"/>
  <c r="BG14" i="55"/>
  <c r="BS14" i="55"/>
  <c r="BF14" i="55"/>
  <c r="BX14" i="55"/>
  <c r="BW15" i="55"/>
  <c r="BF15" i="55"/>
  <c r="BX15" i="55"/>
  <c r="BS15" i="55"/>
  <c r="BG15" i="55"/>
  <c r="BF17" i="55"/>
  <c r="BX17" i="55"/>
  <c r="BG17" i="55"/>
  <c r="BS17" i="55"/>
  <c r="BF38" i="55"/>
  <c r="BW38" i="55"/>
  <c r="BS38" i="55"/>
  <c r="BG38" i="55"/>
  <c r="BW41" i="55"/>
  <c r="BG41" i="55"/>
  <c r="BX41" i="55"/>
  <c r="BW46" i="55"/>
  <c r="BG46" i="55"/>
  <c r="BF46" i="55"/>
  <c r="BX46" i="55"/>
  <c r="BF67" i="55"/>
  <c r="BW67" i="55"/>
  <c r="BX67" i="55"/>
  <c r="BX69" i="55"/>
  <c r="BG69" i="55"/>
  <c r="BW69" i="55"/>
  <c r="BF69" i="55"/>
  <c r="BS69" i="55"/>
  <c r="BS70" i="55"/>
  <c r="BG70" i="55"/>
  <c r="BF70" i="55"/>
  <c r="BG72" i="55"/>
  <c r="BF72" i="55"/>
  <c r="BW72" i="55"/>
  <c r="BX72" i="55"/>
  <c r="BS72" i="55"/>
  <c r="BG73" i="55"/>
  <c r="BF73" i="55"/>
  <c r="BX75" i="55"/>
  <c r="BF75" i="55"/>
  <c r="BG75" i="55"/>
  <c r="BW75" i="55"/>
  <c r="BS75" i="55"/>
  <c r="BX78" i="55"/>
  <c r="BW78" i="55"/>
  <c r="BS78" i="55"/>
  <c r="BG78" i="55"/>
  <c r="BX98" i="55"/>
  <c r="BF98" i="55"/>
  <c r="BW98" i="55"/>
  <c r="BW99" i="55"/>
  <c r="BS99" i="55"/>
  <c r="BX99" i="55"/>
  <c r="BG99" i="55"/>
  <c r="BF99" i="55"/>
  <c r="BF101" i="55"/>
  <c r="BW101" i="55"/>
  <c r="BX101" i="55"/>
  <c r="BS101" i="55"/>
  <c r="BG101" i="55"/>
  <c r="BF104" i="55"/>
  <c r="BX104" i="55"/>
  <c r="BG104" i="55"/>
  <c r="BS104" i="55"/>
  <c r="BX106" i="55"/>
  <c r="BW106" i="55"/>
  <c r="BG106" i="55"/>
  <c r="BS106" i="55"/>
  <c r="BF106" i="55"/>
  <c r="BX107" i="55"/>
  <c r="BG107" i="55"/>
  <c r="BW107" i="55"/>
  <c r="BF107" i="55"/>
  <c r="BS107" i="55"/>
  <c r="BW127" i="55"/>
  <c r="BS127" i="55"/>
  <c r="BF127" i="55"/>
  <c r="BF130" i="55"/>
  <c r="BG130" i="55"/>
  <c r="BS130" i="55"/>
  <c r="BW130" i="55"/>
  <c r="BX130" i="55"/>
  <c r="BS132" i="55"/>
  <c r="BW132" i="55"/>
  <c r="BG133" i="55"/>
  <c r="BF133" i="55"/>
  <c r="BS133" i="55"/>
  <c r="BW133" i="55"/>
  <c r="BX133" i="55"/>
  <c r="BX135" i="55"/>
  <c r="BW135" i="55"/>
  <c r="BS135" i="55"/>
  <c r="BG135" i="55"/>
  <c r="BF135" i="55"/>
  <c r="BW138" i="55"/>
  <c r="BS138" i="55"/>
  <c r="BG138" i="55"/>
  <c r="BX138" i="55"/>
  <c r="BF138" i="55"/>
  <c r="BS159" i="55"/>
  <c r="BX159" i="55"/>
  <c r="BF159" i="55"/>
  <c r="BW159" i="55"/>
  <c r="BG159" i="55"/>
  <c r="BS161" i="55"/>
  <c r="BX161" i="55"/>
  <c r="BF161" i="55"/>
  <c r="BW161" i="55"/>
  <c r="BS162" i="55"/>
  <c r="BW162" i="55"/>
  <c r="BX162" i="55"/>
  <c r="BG162" i="55"/>
  <c r="BF162" i="55"/>
  <c r="BW164" i="55"/>
  <c r="BG164" i="55"/>
  <c r="BX164" i="55"/>
  <c r="BF78" i="55"/>
  <c r="G4" i="50"/>
  <c r="AF4" i="58"/>
  <c r="BG161" i="55"/>
  <c r="AQ57" i="52"/>
  <c r="R57" i="52" s="1"/>
  <c r="AQ53" i="52"/>
  <c r="R53" i="52" s="1"/>
  <c r="R52" i="52"/>
  <c r="AQ56" i="52"/>
  <c r="AR40" i="52" s="1"/>
  <c r="S40" i="52" s="1"/>
  <c r="AQ58" i="52"/>
  <c r="R58" i="52" s="1"/>
  <c r="BG127" i="55"/>
  <c r="BG286" i="53"/>
  <c r="BG67" i="55"/>
  <c r="BS71" i="52"/>
  <c r="BF71" i="52"/>
  <c r="BW71" i="52"/>
  <c r="BX74" i="52"/>
  <c r="BF74" i="52"/>
  <c r="BS74" i="52"/>
  <c r="BW97" i="52"/>
  <c r="BS97" i="52"/>
  <c r="BF102" i="52"/>
  <c r="BX102" i="52"/>
  <c r="BW102" i="52"/>
  <c r="BX105" i="52"/>
  <c r="BG105" i="52"/>
  <c r="BW105" i="52"/>
  <c r="BW107" i="52"/>
  <c r="BG107" i="52"/>
  <c r="BX107" i="52"/>
  <c r="BW108" i="52"/>
  <c r="BS108" i="52"/>
  <c r="BX108" i="52"/>
  <c r="BG108" i="52"/>
  <c r="BF108" i="52"/>
  <c r="A2" i="73"/>
  <c r="A2" i="63"/>
  <c r="U1" i="55"/>
  <c r="BS46" i="55"/>
  <c r="V9" i="52"/>
  <c r="BG98" i="55"/>
  <c r="AQ293" i="57"/>
  <c r="R293" i="57" s="1"/>
  <c r="R292" i="57"/>
  <c r="AO147" i="58"/>
  <c r="P142" i="58"/>
  <c r="AO143" i="58"/>
  <c r="P143" i="58" s="1"/>
  <c r="E33" i="51"/>
  <c r="BF41" i="55"/>
  <c r="F172" i="52"/>
  <c r="AE173" i="52"/>
  <c r="F173" i="52" s="1"/>
  <c r="D172" i="59"/>
  <c r="BS98" i="55"/>
  <c r="AI23" i="52"/>
  <c r="J23" i="52" s="1"/>
  <c r="J22" i="52"/>
  <c r="O33" i="51"/>
  <c r="BS67" i="55"/>
  <c r="BW17" i="55"/>
  <c r="AM173" i="57"/>
  <c r="N173" i="57" s="1"/>
  <c r="S4" i="51"/>
  <c r="L142" i="55"/>
  <c r="H202" i="57"/>
  <c r="AG208" i="57"/>
  <c r="AH196" i="57" s="1"/>
  <c r="I196" i="57" s="1"/>
  <c r="P172" i="58"/>
  <c r="AO173" i="58"/>
  <c r="P173" i="58" s="1"/>
  <c r="BX15" i="53"/>
  <c r="BG15" i="53"/>
  <c r="BW44" i="53"/>
  <c r="BF44" i="53"/>
  <c r="D109" i="46"/>
  <c r="D110" i="46" s="1"/>
  <c r="AS23" i="59"/>
  <c r="T23" i="59" s="1"/>
  <c r="P232" i="52"/>
  <c r="BE165" i="53"/>
  <c r="V165" i="53"/>
  <c r="AK113" i="52"/>
  <c r="L113" i="52" s="1"/>
  <c r="L112" i="52"/>
  <c r="BJ26" i="16"/>
  <c r="BW14" i="53"/>
  <c r="BX14" i="53"/>
  <c r="BG103" i="53"/>
  <c r="BF133" i="53"/>
  <c r="BW133" i="53"/>
  <c r="BG133" i="53"/>
  <c r="BS133" i="53"/>
  <c r="BW9" i="57"/>
  <c r="BS9" i="57"/>
  <c r="BW10" i="57"/>
  <c r="BF12" i="57"/>
  <c r="BX12" i="57"/>
  <c r="BG12" i="57"/>
  <c r="BX18" i="57"/>
  <c r="BF18" i="57"/>
  <c r="BX39" i="57"/>
  <c r="BF39" i="57"/>
  <c r="BG41" i="57"/>
  <c r="BW41" i="57"/>
  <c r="BS44" i="57"/>
  <c r="BW44" i="57"/>
  <c r="BX72" i="57"/>
  <c r="BS72" i="57"/>
  <c r="BW72" i="57"/>
  <c r="BW73" i="57"/>
  <c r="BF73" i="57"/>
  <c r="BS73" i="57"/>
  <c r="BX73" i="57"/>
  <c r="BG78" i="57"/>
  <c r="BX78" i="57"/>
  <c r="BX99" i="57"/>
  <c r="BF99" i="57"/>
  <c r="BS99" i="57"/>
  <c r="BW101" i="57"/>
  <c r="BX101" i="57"/>
  <c r="BX104" i="57"/>
  <c r="BS104" i="57"/>
  <c r="BW131" i="57"/>
  <c r="BG135" i="57"/>
  <c r="BS135" i="57"/>
  <c r="BW138" i="57"/>
  <c r="BF138" i="57"/>
  <c r="BX159" i="57"/>
  <c r="BF159" i="57"/>
  <c r="BW159" i="57"/>
  <c r="BS159" i="57"/>
  <c r="BW8" i="53"/>
  <c r="BF8" i="53"/>
  <c r="BG8" i="53"/>
  <c r="BG12" i="53"/>
  <c r="BW12" i="53"/>
  <c r="BF17" i="53"/>
  <c r="BG17" i="53"/>
  <c r="BW38" i="53"/>
  <c r="BX38" i="53"/>
  <c r="BW41" i="53"/>
  <c r="BF41" i="53"/>
  <c r="BW225" i="55"/>
  <c r="BS225" i="55"/>
  <c r="BF225" i="55"/>
  <c r="BX254" i="55"/>
  <c r="BW254" i="55"/>
  <c r="BS257" i="55"/>
  <c r="BX257" i="55"/>
  <c r="BS281" i="55"/>
  <c r="BX281" i="55"/>
  <c r="BF281" i="55"/>
  <c r="BG284" i="55"/>
  <c r="BS284" i="55"/>
  <c r="BW284" i="55"/>
  <c r="BS288" i="55"/>
  <c r="BX288" i="55"/>
  <c r="K62" i="46"/>
  <c r="U62" i="46"/>
  <c r="E62" i="46"/>
  <c r="AP274" i="58"/>
  <c r="CX14" i="16"/>
  <c r="BG167" i="52"/>
  <c r="BX167" i="52"/>
  <c r="BG198" i="52"/>
  <c r="BS198" i="52"/>
  <c r="BW219" i="52"/>
  <c r="BX219" i="52"/>
  <c r="BG221" i="52"/>
  <c r="BX221" i="52"/>
  <c r="BW222" i="52"/>
  <c r="BG222" i="52"/>
  <c r="N262" i="59"/>
  <c r="N292" i="59"/>
  <c r="AM293" i="59"/>
  <c r="N293" i="59" s="1"/>
  <c r="BE197" i="52"/>
  <c r="V197" i="52"/>
  <c r="N232" i="55"/>
  <c r="N292" i="57"/>
  <c r="H292" i="58"/>
  <c r="AG297" i="58"/>
  <c r="H297" i="58" s="1"/>
  <c r="AG296" i="58"/>
  <c r="H296" i="58" s="1"/>
  <c r="AO298" i="59"/>
  <c r="V187" i="52"/>
  <c r="BE187" i="52"/>
  <c r="BX187" i="52" s="1"/>
  <c r="U91" i="46"/>
  <c r="S91" i="46"/>
  <c r="E4" i="45"/>
  <c r="AO293" i="57"/>
  <c r="P293" i="57" s="1"/>
  <c r="P292" i="57"/>
  <c r="BE219" i="53"/>
  <c r="V219" i="53"/>
  <c r="BE128" i="55"/>
  <c r="V128" i="55"/>
  <c r="U117" i="50"/>
  <c r="BE12" i="59"/>
  <c r="V12" i="59"/>
  <c r="U30" i="50"/>
  <c r="T262" i="58"/>
  <c r="BG71" i="52"/>
  <c r="V286" i="58"/>
  <c r="BE286" i="58"/>
  <c r="BX286" i="58"/>
  <c r="BE43" i="59"/>
  <c r="BX43" i="59"/>
  <c r="V43" i="59"/>
  <c r="BE6" i="16"/>
  <c r="AL34" i="55" s="1"/>
  <c r="BD8" i="16"/>
  <c r="AJ94" i="55" s="1"/>
  <c r="BD14" i="16"/>
  <c r="AJ274" i="55" s="1"/>
  <c r="BE7" i="16"/>
  <c r="BA9" i="16"/>
  <c r="BF5" i="16"/>
  <c r="BF7" i="16"/>
  <c r="BB9" i="16"/>
  <c r="BF11" i="16"/>
  <c r="AN184" i="55"/>
  <c r="BD13" i="16"/>
  <c r="AJ244" i="55" s="1"/>
  <c r="BI5" i="16"/>
  <c r="U4" i="46" s="1"/>
  <c r="BA5" i="16"/>
  <c r="E4" i="46" s="1"/>
  <c r="BG12" i="16"/>
  <c r="BC5" i="16"/>
  <c r="AH4" i="55" s="1"/>
  <c r="BH7" i="16"/>
  <c r="BB10" i="16"/>
  <c r="AF154" i="55" s="1"/>
  <c r="BD5" i="16"/>
  <c r="BC10" i="16"/>
  <c r="BH12" i="16"/>
  <c r="AR214" i="55" s="1"/>
  <c r="BE5" i="16"/>
  <c r="AL4" i="55" s="1"/>
  <c r="BA8" i="16"/>
  <c r="BD10" i="16"/>
  <c r="AJ154" i="55" s="1"/>
  <c r="BB8" i="16"/>
  <c r="BB13" i="16"/>
  <c r="BG8" i="16"/>
  <c r="AP94" i="55" s="1"/>
  <c r="BE11" i="16"/>
  <c r="AL184" i="55" s="1"/>
  <c r="BA14" i="16"/>
  <c r="AD274" i="55" s="1"/>
  <c r="V128" i="53"/>
  <c r="BB14" i="16"/>
  <c r="BE9" i="16"/>
  <c r="AL124" i="55" s="1"/>
  <c r="BA6" i="16"/>
  <c r="AD34" i="55" s="1"/>
  <c r="U33" i="46"/>
  <c r="BW68" i="52"/>
  <c r="BI11" i="16"/>
  <c r="AT184" i="55" s="1"/>
  <c r="BG7" i="16"/>
  <c r="CC12" i="16"/>
  <c r="CB11" i="16"/>
  <c r="AR184" i="57" s="1"/>
  <c r="CC14" i="16"/>
  <c r="BX157" i="53"/>
  <c r="BG10" i="52"/>
  <c r="BG46" i="58"/>
  <c r="BE256" i="58"/>
  <c r="J51" i="46"/>
  <c r="J52" i="46" s="1"/>
  <c r="V252" i="52"/>
  <c r="BG167" i="57"/>
  <c r="BX196" i="58"/>
  <c r="S33" i="46"/>
  <c r="K33" i="46"/>
  <c r="I33" i="46"/>
  <c r="G33" i="46"/>
  <c r="Q33" i="46"/>
  <c r="BX222" i="52"/>
  <c r="BW221" i="58"/>
  <c r="BG228" i="57"/>
  <c r="BG132" i="59"/>
  <c r="BW101" i="58"/>
  <c r="BF193" i="58"/>
  <c r="BS219" i="58"/>
  <c r="BG45" i="52"/>
  <c r="BX43" i="53"/>
  <c r="BX103" i="59"/>
  <c r="BS161" i="59"/>
  <c r="DP8" i="16"/>
  <c r="DQ9" i="16"/>
  <c r="AT124" i="59" s="1"/>
  <c r="DL11" i="16"/>
  <c r="DL15" i="16" s="1"/>
  <c r="DN12" i="16"/>
  <c r="AN214" i="59" s="1"/>
  <c r="DP13" i="16"/>
  <c r="DR13" i="16" s="1"/>
  <c r="DP14" i="16"/>
  <c r="AR274" i="59" s="1"/>
  <c r="DI7" i="16"/>
  <c r="AD64" i="59" s="1"/>
  <c r="BW128" i="55"/>
  <c r="BW165" i="55"/>
  <c r="AT4" i="55"/>
  <c r="AD94" i="55"/>
  <c r="DR14" i="16"/>
  <c r="AP214" i="55"/>
  <c r="AU19" i="55"/>
  <c r="AR154" i="52"/>
  <c r="V14" i="16"/>
  <c r="J109" i="46"/>
  <c r="J110" i="46" s="1"/>
  <c r="B118" i="46"/>
  <c r="P138" i="46" s="1"/>
  <c r="P139" i="46" s="1"/>
  <c r="P109" i="45"/>
  <c r="P110" i="45" s="1"/>
  <c r="Q64" i="58"/>
  <c r="M124" i="59"/>
  <c r="M94" i="55"/>
  <c r="M4" i="55"/>
  <c r="M214" i="53"/>
  <c r="M94" i="59"/>
  <c r="AR184" i="52"/>
  <c r="Q94" i="57"/>
  <c r="Q124" i="53"/>
  <c r="Q154" i="59"/>
  <c r="Q214" i="52"/>
  <c r="Q154" i="52"/>
  <c r="Q154" i="57"/>
  <c r="Q4" i="41"/>
  <c r="Q274" i="57"/>
  <c r="Q184" i="58"/>
  <c r="Q4" i="58"/>
  <c r="Q94" i="53"/>
  <c r="Q94" i="55"/>
  <c r="Q34" i="58"/>
  <c r="Q124" i="57"/>
  <c r="Q94" i="59"/>
  <c r="Q274" i="58"/>
  <c r="Q34" i="57"/>
  <c r="Q184" i="52"/>
  <c r="Q34" i="59"/>
  <c r="Q244" i="59"/>
  <c r="Q34" i="55"/>
  <c r="Q4" i="57"/>
  <c r="O33" i="50"/>
  <c r="AN34" i="58"/>
  <c r="I244" i="53"/>
  <c r="I124" i="53"/>
  <c r="I154" i="58"/>
  <c r="R109" i="45"/>
  <c r="R110" i="45" s="1"/>
  <c r="B90" i="49"/>
  <c r="S184" i="53"/>
  <c r="S214" i="57"/>
  <c r="S64" i="55"/>
  <c r="F80" i="45"/>
  <c r="F81" i="45" s="1"/>
  <c r="AL4" i="59"/>
  <c r="AN94" i="58"/>
  <c r="CX8" i="16"/>
  <c r="BE137" i="55"/>
  <c r="V137" i="55"/>
  <c r="D80" i="45"/>
  <c r="D81" i="45" s="1"/>
  <c r="AF4" i="59"/>
  <c r="CR15" i="16"/>
  <c r="AS235" i="52"/>
  <c r="AT217" i="52" s="1"/>
  <c r="U217" i="52" s="1"/>
  <c r="AE83" i="57"/>
  <c r="F83" i="57" s="1"/>
  <c r="F82" i="57"/>
  <c r="H80" i="45"/>
  <c r="H81" i="45" s="1"/>
  <c r="AO208" i="55"/>
  <c r="AG293" i="55"/>
  <c r="H293" i="55" s="1"/>
  <c r="H292" i="55"/>
  <c r="S64" i="58"/>
  <c r="S184" i="52"/>
  <c r="S34" i="52"/>
  <c r="S124" i="58"/>
  <c r="K33" i="50"/>
  <c r="Q4" i="45"/>
  <c r="R80" i="45"/>
  <c r="R81" i="45" s="1"/>
  <c r="S154" i="59"/>
  <c r="S124" i="52"/>
  <c r="S244" i="58"/>
  <c r="N80" i="45"/>
  <c r="N81" i="45" s="1"/>
  <c r="AP4" i="55"/>
  <c r="AO263" i="55"/>
  <c r="P263" i="55" s="1"/>
  <c r="V165" i="57"/>
  <c r="AA76" i="55"/>
  <c r="B76" i="55" s="1"/>
  <c r="AA76" i="53"/>
  <c r="BE255" i="59"/>
  <c r="V255" i="59"/>
  <c r="BE10" i="53"/>
  <c r="BX10" i="53"/>
  <c r="V251" i="52"/>
  <c r="BE251" i="52"/>
  <c r="CX13" i="16"/>
  <c r="BE73" i="55"/>
  <c r="BX73" i="55" s="1"/>
  <c r="V73" i="55"/>
  <c r="BW194" i="55"/>
  <c r="BG250" i="55"/>
  <c r="BS252" i="55"/>
  <c r="BF162" i="52"/>
  <c r="BE220" i="52"/>
  <c r="V220" i="52"/>
  <c r="BF193" i="53"/>
  <c r="BG77" i="55"/>
  <c r="BF77" i="55"/>
  <c r="BF161" i="53"/>
  <c r="BG227" i="53"/>
  <c r="BS277" i="55"/>
  <c r="BS192" i="58"/>
  <c r="V163" i="55"/>
  <c r="BF166" i="52"/>
  <c r="BF195" i="52"/>
  <c r="BS69" i="53"/>
  <c r="BF219" i="53"/>
  <c r="BW8" i="55"/>
  <c r="BG108" i="58"/>
  <c r="V250" i="55"/>
  <c r="BE250" i="55"/>
  <c r="BG100" i="55"/>
  <c r="BS192" i="55"/>
  <c r="BX192" i="57"/>
  <c r="BS76" i="55"/>
  <c r="BW163" i="55"/>
  <c r="BX278" i="55"/>
  <c r="BX8" i="55"/>
  <c r="BX251" i="55"/>
  <c r="BG103" i="58"/>
  <c r="BG279" i="58"/>
  <c r="DM8" i="16"/>
  <c r="DR8" i="16" s="1"/>
  <c r="DO9" i="16"/>
  <c r="DK11" i="16"/>
  <c r="DO12" i="16"/>
  <c r="DJ7" i="16"/>
  <c r="G62" i="51" s="1"/>
  <c r="B119" i="46"/>
  <c r="P139" i="57"/>
  <c r="AF244" i="55"/>
  <c r="AR64" i="55"/>
  <c r="AD4" i="55"/>
  <c r="H139" i="52"/>
  <c r="L169" i="52"/>
  <c r="AU169" i="52"/>
  <c r="V169" i="52" s="1"/>
  <c r="J259" i="52"/>
  <c r="F109" i="41"/>
  <c r="F110" i="41" s="1"/>
  <c r="R109" i="41"/>
  <c r="R110" i="41" s="1"/>
  <c r="U33" i="51"/>
  <c r="AT34" i="59"/>
  <c r="O62" i="41"/>
  <c r="N80" i="51"/>
  <c r="N81" i="51" s="1"/>
  <c r="M62" i="51"/>
  <c r="F80" i="51"/>
  <c r="F81" i="51" s="1"/>
  <c r="M244" i="53"/>
  <c r="M154" i="57"/>
  <c r="AL244" i="52"/>
  <c r="AC233" i="53"/>
  <c r="D233" i="53" s="1"/>
  <c r="AC237" i="53"/>
  <c r="D232" i="53"/>
  <c r="AC236" i="53"/>
  <c r="D236" i="53" s="1"/>
  <c r="AC238" i="53"/>
  <c r="AD226" i="53" s="1"/>
  <c r="E226" i="53" s="1"/>
  <c r="AC235" i="53"/>
  <c r="AD217" i="53" s="1"/>
  <c r="E217" i="53" s="1"/>
  <c r="H22" i="53"/>
  <c r="AG23" i="53"/>
  <c r="H23" i="53" s="1"/>
  <c r="M64" i="53"/>
  <c r="M34" i="57"/>
  <c r="M64" i="57"/>
  <c r="Q33" i="50"/>
  <c r="M184" i="53"/>
  <c r="M124" i="53"/>
  <c r="M154" i="59"/>
  <c r="M64" i="52"/>
  <c r="M274" i="52"/>
  <c r="O34" i="52"/>
  <c r="AI293" i="55"/>
  <c r="J293" i="55" s="1"/>
  <c r="J292" i="55"/>
  <c r="Q214" i="53"/>
  <c r="Q214" i="59"/>
  <c r="Q274" i="52"/>
  <c r="M94" i="53"/>
  <c r="AP4" i="58"/>
  <c r="U154" i="55"/>
  <c r="R52" i="55"/>
  <c r="AQ53" i="55"/>
  <c r="R53" i="55" s="1"/>
  <c r="AF34" i="59"/>
  <c r="CD26" i="16"/>
  <c r="AG83" i="58"/>
  <c r="H83" i="58" s="1"/>
  <c r="H172" i="55"/>
  <c r="AM233" i="53"/>
  <c r="N233" i="53" s="1"/>
  <c r="BX9" i="58"/>
  <c r="BX188" i="53"/>
  <c r="BW101" i="53"/>
  <c r="BS195" i="53"/>
  <c r="BF46" i="58"/>
  <c r="BW196" i="55"/>
  <c r="BE247" i="55"/>
  <c r="BE283" i="58"/>
  <c r="BX279" i="58"/>
  <c r="T289" i="58"/>
  <c r="BX256" i="58"/>
  <c r="BS256" i="58"/>
  <c r="BG256" i="58"/>
  <c r="T259" i="58"/>
  <c r="BF253" i="58"/>
  <c r="BW253" i="58"/>
  <c r="BF247" i="58"/>
  <c r="BS247" i="58"/>
  <c r="BB230" i="58"/>
  <c r="BS226" i="58"/>
  <c r="BW226" i="58"/>
  <c r="BG226" i="58"/>
  <c r="BW223" i="58"/>
  <c r="BF223" i="58"/>
  <c r="V220" i="58"/>
  <c r="BF190" i="58"/>
  <c r="BS190" i="58"/>
  <c r="BG190" i="58"/>
  <c r="BX190" i="58"/>
  <c r="V190" i="58"/>
  <c r="BB200" i="58"/>
  <c r="BX187" i="58"/>
  <c r="BW187" i="58"/>
  <c r="BF187" i="58"/>
  <c r="BW163" i="58"/>
  <c r="BE163" i="58"/>
  <c r="BX163" i="58"/>
  <c r="BS163" i="58"/>
  <c r="BG163" i="58"/>
  <c r="BE160" i="58"/>
  <c r="BX160" i="58"/>
  <c r="BE136" i="58"/>
  <c r="BX136" i="58"/>
  <c r="BF136" i="58"/>
  <c r="BW132" i="58"/>
  <c r="BG132" i="58"/>
  <c r="BS127" i="58"/>
  <c r="T139" i="58"/>
  <c r="BF127" i="58"/>
  <c r="AU109" i="58"/>
  <c r="BB110" i="58" s="1"/>
  <c r="V107" i="58"/>
  <c r="BS76" i="58"/>
  <c r="AU79" i="58"/>
  <c r="V79" i="58" s="1"/>
  <c r="BF67" i="58"/>
  <c r="BG67" i="58"/>
  <c r="BS67" i="58"/>
  <c r="V40" i="58"/>
  <c r="V37" i="58"/>
  <c r="AU49" i="58"/>
  <c r="BB50" i="58" s="1"/>
  <c r="BS18" i="58"/>
  <c r="BF12" i="58"/>
  <c r="BX12" i="58"/>
  <c r="BS12" i="58"/>
  <c r="BE7" i="58"/>
  <c r="BX7" i="58"/>
  <c r="AU19" i="58"/>
  <c r="BB20" i="58" s="1"/>
  <c r="V19" i="58"/>
  <c r="AA277" i="57"/>
  <c r="B277" i="57" s="1"/>
  <c r="AA279" i="58"/>
  <c r="B279" i="58" s="1"/>
  <c r="AA277" i="55"/>
  <c r="B277" i="55" s="1"/>
  <c r="AA277" i="52"/>
  <c r="B277" i="52" s="1"/>
  <c r="AA277" i="53"/>
  <c r="B277" i="53" s="1"/>
  <c r="AA190" i="52"/>
  <c r="B190" i="52" s="1"/>
  <c r="AA190" i="55"/>
  <c r="B190" i="55" s="1"/>
  <c r="AA193" i="58"/>
  <c r="B193" i="58" s="1"/>
  <c r="AA190" i="53"/>
  <c r="B190" i="53" s="1"/>
  <c r="AA284" i="53"/>
  <c r="B284" i="53" s="1"/>
  <c r="AA280" i="53"/>
  <c r="B280" i="53" s="1"/>
  <c r="AA280" i="52"/>
  <c r="B280" i="52" s="1"/>
  <c r="AA247" i="57"/>
  <c r="B247" i="57" s="1"/>
  <c r="AA247" i="55"/>
  <c r="B247" i="55" s="1"/>
  <c r="AA247" i="53"/>
  <c r="B247" i="53" s="1"/>
  <c r="AA247" i="52"/>
  <c r="B247" i="52" s="1"/>
  <c r="AA247" i="58"/>
  <c r="B247" i="58" s="1"/>
  <c r="AA278" i="53"/>
  <c r="B278" i="53" s="1"/>
  <c r="AA286" i="55"/>
  <c r="B286" i="55" s="1"/>
  <c r="AA281" i="53"/>
  <c r="B281" i="53" s="1"/>
  <c r="AA283" i="58"/>
  <c r="B283" i="58" s="1"/>
  <c r="AA284" i="52"/>
  <c r="B284" i="52" s="1"/>
  <c r="AA193" i="53"/>
  <c r="B193" i="53" s="1"/>
  <c r="AA193" i="52"/>
  <c r="B193" i="52" s="1"/>
  <c r="AA193" i="57"/>
  <c r="B193" i="57" s="1"/>
  <c r="AA193" i="55"/>
  <c r="B193" i="55" s="1"/>
  <c r="AA187" i="58"/>
  <c r="B187" i="58" s="1"/>
  <c r="AA256" i="52"/>
  <c r="B256" i="52" s="1"/>
  <c r="AA253" i="58"/>
  <c r="B253" i="58" s="1"/>
  <c r="AA253" i="57"/>
  <c r="B253" i="57" s="1"/>
  <c r="AA252" i="55"/>
  <c r="B252" i="55" s="1"/>
  <c r="AA256" i="53"/>
  <c r="B256" i="53" s="1"/>
  <c r="AA278" i="58"/>
  <c r="B278" i="58" s="1"/>
  <c r="AA283" i="57"/>
  <c r="B283" i="57" s="1"/>
  <c r="AA280" i="55"/>
  <c r="B280" i="55" s="1"/>
  <c r="AA13" i="53"/>
  <c r="B13" i="53" s="1"/>
  <c r="AA13" i="55"/>
  <c r="AA16" i="52"/>
  <c r="B16" i="52" s="1"/>
  <c r="AA13" i="57"/>
  <c r="AA13" i="58"/>
  <c r="B13" i="58" s="1"/>
  <c r="AA163" i="55"/>
  <c r="B163" i="55" s="1"/>
  <c r="AA163" i="57"/>
  <c r="B163" i="57" s="1"/>
  <c r="AA163" i="53"/>
  <c r="B163" i="53" s="1"/>
  <c r="AA163" i="58"/>
  <c r="B163" i="58" s="1"/>
  <c r="AA163" i="52"/>
  <c r="B163" i="52" s="1"/>
  <c r="AA218" i="53"/>
  <c r="B218" i="53" s="1"/>
  <c r="AA217" i="52"/>
  <c r="B217" i="52" s="1"/>
  <c r="AA226" i="53"/>
  <c r="B226" i="53" s="1"/>
  <c r="AA226" i="55"/>
  <c r="B226" i="55" s="1"/>
  <c r="AA226" i="57"/>
  <c r="B226" i="57" s="1"/>
  <c r="AA226" i="58"/>
  <c r="B226" i="58" s="1"/>
  <c r="AA253" i="52"/>
  <c r="B253" i="52" s="1"/>
  <c r="AA256" i="55"/>
  <c r="B256" i="55" s="1"/>
  <c r="AA256" i="57"/>
  <c r="B256" i="57" s="1"/>
  <c r="AA253" i="53"/>
  <c r="B253" i="53" s="1"/>
  <c r="AA67" i="52"/>
  <c r="B67" i="52" s="1"/>
  <c r="AA70" i="55"/>
  <c r="B70" i="55" s="1"/>
  <c r="AA70" i="57"/>
  <c r="B70" i="57" s="1"/>
  <c r="AA70" i="58"/>
  <c r="B70" i="58" s="1"/>
  <c r="AA70" i="53"/>
  <c r="B70" i="53" s="1"/>
  <c r="AA98" i="53"/>
  <c r="B98" i="53" s="1"/>
  <c r="AA97" i="57"/>
  <c r="B97" i="57" s="1"/>
  <c r="AA100" i="52"/>
  <c r="B100" i="52" s="1"/>
  <c r="AA97" i="55"/>
  <c r="B97" i="55" s="1"/>
  <c r="AA97" i="58"/>
  <c r="B97" i="58" s="1"/>
  <c r="AA104" i="58"/>
  <c r="B104" i="58" s="1"/>
  <c r="AA130" i="57"/>
  <c r="B130" i="57" s="1"/>
  <c r="AA130" i="58"/>
  <c r="B130" i="58" s="1"/>
  <c r="AA131" i="53"/>
  <c r="B131" i="53" s="1"/>
  <c r="AA157" i="53"/>
  <c r="B157" i="53" s="1"/>
  <c r="AA157" i="52"/>
  <c r="B157" i="52" s="1"/>
  <c r="AA157" i="57"/>
  <c r="B157" i="57" s="1"/>
  <c r="AA157" i="58"/>
  <c r="B157" i="58" s="1"/>
  <c r="AA157" i="55"/>
  <c r="B157" i="55" s="1"/>
  <c r="AA133" i="52"/>
  <c r="B133" i="52" s="1"/>
  <c r="AA133" i="58"/>
  <c r="B133" i="58" s="1"/>
  <c r="AA133" i="57"/>
  <c r="B133" i="57" s="1"/>
  <c r="AA132" i="58"/>
  <c r="B132" i="58" s="1"/>
  <c r="AA133" i="53"/>
  <c r="B133" i="53" s="1"/>
  <c r="AA128" i="57"/>
  <c r="B128" i="57" s="1"/>
  <c r="AA133" i="55"/>
  <c r="B133" i="55" s="1"/>
  <c r="AA160" i="55"/>
  <c r="B160" i="55" s="1"/>
  <c r="AA160" i="58"/>
  <c r="B160" i="58" s="1"/>
  <c r="AA164" i="53"/>
  <c r="B164" i="53" s="1"/>
  <c r="AA160" i="57"/>
  <c r="B160" i="57" s="1"/>
  <c r="AA161" i="52"/>
  <c r="B161" i="52" s="1"/>
  <c r="AA250" i="58"/>
  <c r="B250" i="58" s="1"/>
  <c r="AA251" i="53"/>
  <c r="B251" i="53" s="1"/>
  <c r="AA250" i="52"/>
  <c r="B250" i="52" s="1"/>
  <c r="AA253" i="55"/>
  <c r="B253" i="55" s="1"/>
  <c r="AA40" i="55"/>
  <c r="AA40" i="58"/>
  <c r="B40" i="58" s="1"/>
  <c r="AA40" i="57"/>
  <c r="B40" i="57" s="1"/>
  <c r="AA40" i="53"/>
  <c r="B40" i="53" s="1"/>
  <c r="AA43" i="52"/>
  <c r="B43" i="52" s="1"/>
  <c r="AA103" i="58"/>
  <c r="B103" i="58" s="1"/>
  <c r="AA107" i="55"/>
  <c r="B107" i="55" s="1"/>
  <c r="AA100" i="55"/>
  <c r="B100" i="55" s="1"/>
  <c r="AA107" i="58"/>
  <c r="B107" i="58" s="1"/>
  <c r="AA102" i="57"/>
  <c r="B102" i="57" s="1"/>
  <c r="AA10" i="57"/>
  <c r="AA10" i="55"/>
  <c r="B10" i="55" s="1"/>
  <c r="AA10" i="53"/>
  <c r="B10" i="53" s="1"/>
  <c r="AA8" i="57"/>
  <c r="B8" i="57" s="1"/>
  <c r="AA11" i="58"/>
  <c r="B11" i="58" s="1"/>
  <c r="AA17" i="58"/>
  <c r="B17" i="58" s="1"/>
  <c r="AA134" i="57"/>
  <c r="B134" i="57" s="1"/>
  <c r="AA131" i="52"/>
  <c r="B131" i="52" s="1"/>
  <c r="AA127" i="53"/>
  <c r="B127" i="53" s="1"/>
  <c r="AA134" i="58"/>
  <c r="B134" i="58" s="1"/>
  <c r="AA220" i="57"/>
  <c r="B220" i="57" s="1"/>
  <c r="AA217" i="58"/>
  <c r="B217" i="58" s="1"/>
  <c r="AA223" i="53"/>
  <c r="B223" i="53" s="1"/>
  <c r="AA282" i="53"/>
  <c r="B282" i="53" s="1"/>
  <c r="AA284" i="58"/>
  <c r="B284" i="58" s="1"/>
  <c r="AA277" i="58"/>
  <c r="B277" i="58" s="1"/>
  <c r="AA286" i="57"/>
  <c r="B286" i="57" s="1"/>
  <c r="AA283" i="55"/>
  <c r="B283" i="55" s="1"/>
  <c r="AA283" i="52"/>
  <c r="B283" i="52" s="1"/>
  <c r="AA283" i="53"/>
  <c r="B283" i="53" s="1"/>
  <c r="AA251" i="52"/>
  <c r="B251" i="52" s="1"/>
  <c r="AA254" i="53"/>
  <c r="B254" i="53" s="1"/>
  <c r="AA256" i="58"/>
  <c r="B256" i="58" s="1"/>
  <c r="AA250" i="53"/>
  <c r="B250" i="53" s="1"/>
  <c r="AA251" i="57"/>
  <c r="B251" i="57" s="1"/>
  <c r="AA251" i="55"/>
  <c r="B251" i="55" s="1"/>
  <c r="AA37" i="53"/>
  <c r="B37" i="53" s="1"/>
  <c r="AA37" i="52"/>
  <c r="B37" i="52" s="1"/>
  <c r="AA37" i="57"/>
  <c r="B37" i="57" s="1"/>
  <c r="AA106" i="55"/>
  <c r="B106" i="55" s="1"/>
  <c r="AA100" i="58"/>
  <c r="B100" i="58" s="1"/>
  <c r="AA106" i="52"/>
  <c r="B106" i="52" s="1"/>
  <c r="AA76" i="58"/>
  <c r="B76" i="58" s="1"/>
  <c r="AA76" i="57"/>
  <c r="B76" i="57" s="1"/>
  <c r="AA77" i="55"/>
  <c r="B77" i="55" s="1"/>
  <c r="AA74" i="58"/>
  <c r="B74" i="58" s="1"/>
  <c r="AA74" i="57"/>
  <c r="B74" i="57" s="1"/>
  <c r="AL154" i="52"/>
  <c r="V10" i="16"/>
  <c r="K184" i="53"/>
  <c r="K94" i="52"/>
  <c r="K274" i="58"/>
  <c r="K214" i="58"/>
  <c r="K244" i="59"/>
  <c r="K124" i="53"/>
  <c r="K244" i="52"/>
  <c r="K4" i="52"/>
  <c r="K94" i="59"/>
  <c r="K154" i="58"/>
  <c r="AJ4" i="52"/>
  <c r="K274" i="59"/>
  <c r="V5" i="16"/>
  <c r="K34" i="57"/>
  <c r="K244" i="55"/>
  <c r="K184" i="59"/>
  <c r="K4" i="55"/>
  <c r="K64" i="59"/>
  <c r="K94" i="53"/>
  <c r="K244" i="53"/>
  <c r="K274" i="53"/>
  <c r="K184" i="57"/>
  <c r="K34" i="52"/>
  <c r="K244" i="58"/>
  <c r="K124" i="59"/>
  <c r="K274" i="55"/>
  <c r="K64" i="53"/>
  <c r="K124" i="52"/>
  <c r="K154" i="57"/>
  <c r="K184" i="58"/>
  <c r="K214" i="59"/>
  <c r="K64" i="52"/>
  <c r="K214" i="55"/>
  <c r="K184" i="55"/>
  <c r="K64" i="55"/>
  <c r="K64" i="58"/>
  <c r="K34" i="53"/>
  <c r="K94" i="55"/>
  <c r="K124" i="58"/>
  <c r="K4" i="53"/>
  <c r="K214" i="52"/>
  <c r="K154" i="55"/>
  <c r="K34" i="55"/>
  <c r="K244" i="57"/>
  <c r="K34" i="59"/>
  <c r="K214" i="53"/>
  <c r="K184" i="52"/>
  <c r="K34" i="58"/>
  <c r="K154" i="53"/>
  <c r="K214" i="57"/>
  <c r="K94" i="58"/>
  <c r="K4" i="41"/>
  <c r="K64" i="57"/>
  <c r="K274" i="52"/>
  <c r="K124" i="57"/>
  <c r="K94" i="57"/>
  <c r="K4" i="58"/>
  <c r="K154" i="59"/>
  <c r="K274" i="57"/>
  <c r="K4" i="57"/>
  <c r="K124" i="55"/>
  <c r="K154" i="52"/>
  <c r="V109" i="58"/>
  <c r="K4" i="59"/>
  <c r="J109" i="49"/>
  <c r="J110" i="49" s="1"/>
  <c r="AJ94" i="52"/>
  <c r="D109" i="45"/>
  <c r="D110" i="45" s="1"/>
  <c r="AH124" i="52"/>
  <c r="AT154" i="52"/>
  <c r="L109" i="41"/>
  <c r="L110" i="41" s="1"/>
  <c r="B90" i="41"/>
  <c r="O64" i="52"/>
  <c r="AN4" i="52"/>
  <c r="O184" i="59"/>
  <c r="O64" i="57"/>
  <c r="O244" i="52"/>
  <c r="O94" i="59"/>
  <c r="O154" i="53"/>
  <c r="AR244" i="52"/>
  <c r="AJ184" i="52"/>
  <c r="N15" i="16"/>
  <c r="I4" i="50"/>
  <c r="CQ15" i="16"/>
  <c r="I62" i="41"/>
  <c r="S64" i="59"/>
  <c r="S4" i="57"/>
  <c r="S94" i="59"/>
  <c r="S244" i="52"/>
  <c r="S154" i="55"/>
  <c r="S184" i="58"/>
  <c r="S64" i="52"/>
  <c r="S94" i="53"/>
  <c r="S184" i="55"/>
  <c r="AH64" i="52"/>
  <c r="G33" i="50"/>
  <c r="AF34" i="58"/>
  <c r="M34" i="52"/>
  <c r="M124" i="57"/>
  <c r="M4" i="59"/>
  <c r="M4" i="52"/>
  <c r="M34" i="53"/>
  <c r="M244" i="59"/>
  <c r="E154" i="53"/>
  <c r="E184" i="52"/>
  <c r="E184" i="58"/>
  <c r="E4" i="58"/>
  <c r="E124" i="53"/>
  <c r="E4" i="55"/>
  <c r="E94" i="58"/>
  <c r="E274" i="53"/>
  <c r="AF64" i="52"/>
  <c r="AF4" i="55"/>
  <c r="G4" i="46"/>
  <c r="K4" i="51"/>
  <c r="AJ4" i="59"/>
  <c r="E62" i="41"/>
  <c r="AP244" i="52"/>
  <c r="Q214" i="58"/>
  <c r="Q64" i="59"/>
  <c r="U59" i="51"/>
  <c r="M4" i="50"/>
  <c r="U204" i="51"/>
  <c r="U262" i="51"/>
  <c r="U175" i="51"/>
  <c r="F263" i="51"/>
  <c r="AG143" i="55"/>
  <c r="H143" i="55" s="1"/>
  <c r="U233" i="50"/>
  <c r="U175" i="50"/>
  <c r="AE143" i="55"/>
  <c r="F143" i="55" s="1"/>
  <c r="F142" i="55"/>
  <c r="U1" i="51"/>
  <c r="Q6" i="90" s="1"/>
  <c r="AC83" i="57"/>
  <c r="D83" i="57" s="1"/>
  <c r="D82" i="57"/>
  <c r="BE78" i="57"/>
  <c r="V78" i="57"/>
  <c r="AQ203" i="52"/>
  <c r="R203" i="52" s="1"/>
  <c r="P52" i="55"/>
  <c r="AO53" i="55"/>
  <c r="P53" i="55" s="1"/>
  <c r="P112" i="59"/>
  <c r="AO113" i="59"/>
  <c r="P113" i="59" s="1"/>
  <c r="BE287" i="53"/>
  <c r="V287" i="53"/>
  <c r="AM173" i="55"/>
  <c r="N173" i="55" s="1"/>
  <c r="A2" i="75"/>
  <c r="U1" i="58"/>
  <c r="BE10" i="58"/>
  <c r="V10" i="58"/>
  <c r="Q184" i="57"/>
  <c r="AQ113" i="53"/>
  <c r="R113" i="53" s="1"/>
  <c r="R112" i="53"/>
  <c r="D172" i="57"/>
  <c r="AC173" i="57"/>
  <c r="D173" i="57" s="1"/>
  <c r="U30" i="51"/>
  <c r="U117" i="51"/>
  <c r="AR34" i="58"/>
  <c r="DR26" i="16"/>
  <c r="BE127" i="58"/>
  <c r="BX127" i="58"/>
  <c r="V127" i="58"/>
  <c r="BX76" i="58"/>
  <c r="AU139" i="58"/>
  <c r="BB140" i="58" s="1"/>
  <c r="BS288" i="52"/>
  <c r="BE137" i="52"/>
  <c r="V137" i="52"/>
  <c r="BX166" i="58"/>
  <c r="BG253" i="58"/>
  <c r="BG106" i="58"/>
  <c r="BW127" i="58"/>
  <c r="BW190" i="58"/>
  <c r="BX11" i="59"/>
  <c r="BG48" i="58"/>
  <c r="BS187" i="58"/>
  <c r="BS247" i="52"/>
  <c r="BS78" i="53"/>
  <c r="BF279" i="58"/>
  <c r="BW247" i="58"/>
  <c r="BS286" i="58"/>
  <c r="BG248" i="52"/>
  <c r="BF256" i="52"/>
  <c r="BF11" i="53"/>
  <c r="BG286" i="55"/>
  <c r="BG12" i="58"/>
  <c r="BS227" i="52"/>
  <c r="BG78" i="58"/>
  <c r="BF45" i="53"/>
  <c r="BS283" i="55"/>
  <c r="BS217" i="55"/>
  <c r="BX17" i="57"/>
  <c r="BF138" i="58"/>
  <c r="BE98" i="58"/>
  <c r="BG226" i="55"/>
  <c r="BE223" i="58"/>
  <c r="BX223" i="58"/>
  <c r="AU289" i="59"/>
  <c r="BB290" i="59" s="1"/>
  <c r="BF280" i="59"/>
  <c r="BW280" i="59"/>
  <c r="BS280" i="59"/>
  <c r="BS277" i="59"/>
  <c r="V277" i="59"/>
  <c r="T289" i="59"/>
  <c r="BG277" i="59"/>
  <c r="BW277" i="59"/>
  <c r="BS256" i="59"/>
  <c r="V256" i="59"/>
  <c r="BF256" i="59"/>
  <c r="BG253" i="59"/>
  <c r="T259" i="59"/>
  <c r="BS253" i="59"/>
  <c r="BW253" i="59"/>
  <c r="BG250" i="59"/>
  <c r="BF250" i="59"/>
  <c r="T229" i="59"/>
  <c r="BG217" i="59"/>
  <c r="BF217" i="59"/>
  <c r="BW217" i="59"/>
  <c r="BS196" i="59"/>
  <c r="BG196" i="59"/>
  <c r="BW196" i="59"/>
  <c r="BF196" i="59"/>
  <c r="BG193" i="59"/>
  <c r="BF191" i="59"/>
  <c r="T199" i="59"/>
  <c r="BF187" i="59"/>
  <c r="BG187" i="59"/>
  <c r="BX167" i="59"/>
  <c r="BF167" i="59"/>
  <c r="BS167" i="59"/>
  <c r="AU169" i="59"/>
  <c r="BB170" i="59" s="1"/>
  <c r="V160" i="59"/>
  <c r="BS158" i="59"/>
  <c r="BG158" i="59"/>
  <c r="BW158" i="59"/>
  <c r="BF136" i="59"/>
  <c r="BS136" i="59"/>
  <c r="V136" i="59"/>
  <c r="BW136" i="59"/>
  <c r="V127" i="59"/>
  <c r="AU139" i="59"/>
  <c r="BB140" i="59" s="1"/>
  <c r="BS106" i="59"/>
  <c r="BG106" i="59"/>
  <c r="BW106" i="59"/>
  <c r="BF103" i="59"/>
  <c r="BS103" i="59"/>
  <c r="AU109" i="59"/>
  <c r="V109" i="59" s="1"/>
  <c r="L109" i="59"/>
  <c r="AU79" i="59"/>
  <c r="BW48" i="59"/>
  <c r="BS48" i="59"/>
  <c r="BG48" i="59"/>
  <c r="BX48" i="59"/>
  <c r="BG40" i="59"/>
  <c r="BW37" i="59"/>
  <c r="BS16" i="59"/>
  <c r="BE13" i="59"/>
  <c r="BX13" i="59"/>
  <c r="V7" i="59"/>
  <c r="V169" i="59"/>
  <c r="V139" i="59"/>
  <c r="AU289" i="58"/>
  <c r="AU259" i="52"/>
  <c r="BB260" i="52" s="1"/>
  <c r="V252" i="59"/>
  <c r="V251" i="55"/>
  <c r="BF253" i="59"/>
  <c r="AU259" i="58"/>
  <c r="BB260" i="58" s="1"/>
  <c r="BS250" i="59"/>
  <c r="AU259" i="59"/>
  <c r="V259" i="59" s="1"/>
  <c r="BG220" i="55"/>
  <c r="BX224" i="53"/>
  <c r="BS187" i="59"/>
  <c r="AU199" i="59"/>
  <c r="BB200" i="59" s="1"/>
  <c r="BS191" i="59"/>
  <c r="BF193" i="59"/>
  <c r="BE187" i="58"/>
  <c r="BS157" i="55"/>
  <c r="BF163" i="58"/>
  <c r="BX158" i="59"/>
  <c r="V159" i="58"/>
  <c r="BS136" i="58"/>
  <c r="BF132" i="58"/>
  <c r="BG97" i="59"/>
  <c r="V109" i="57"/>
  <c r="V104" i="58"/>
  <c r="BF106" i="59"/>
  <c r="BE101" i="58"/>
  <c r="BW69" i="59"/>
  <c r="BX77" i="59"/>
  <c r="BE76" i="52"/>
  <c r="BF77" i="59"/>
  <c r="BG73" i="59"/>
  <c r="V76" i="55"/>
  <c r="V68" i="58"/>
  <c r="V75" i="53"/>
  <c r="BG69" i="59"/>
  <c r="BS69" i="59"/>
  <c r="BF69" i="59"/>
  <c r="V75" i="57"/>
  <c r="BX73" i="59"/>
  <c r="V73" i="58"/>
  <c r="V72" i="57"/>
  <c r="BW67" i="58"/>
  <c r="V73" i="52"/>
  <c r="V69" i="59"/>
  <c r="V72" i="53"/>
  <c r="V75" i="55"/>
  <c r="V67" i="58"/>
  <c r="V74" i="53"/>
  <c r="V71" i="59"/>
  <c r="V75" i="52"/>
  <c r="V75" i="58"/>
  <c r="V76" i="58"/>
  <c r="BE77" i="59"/>
  <c r="BX37" i="58"/>
  <c r="BS48" i="58"/>
  <c r="V47" i="52"/>
  <c r="BX38" i="52"/>
  <c r="BE46" i="59"/>
  <c r="BX44" i="58"/>
  <c r="V43" i="53"/>
  <c r="BG38" i="52"/>
  <c r="BW40" i="58"/>
  <c r="BS44" i="58"/>
  <c r="V38" i="58"/>
  <c r="BS40" i="58"/>
  <c r="BS38" i="52"/>
  <c r="BG40" i="58"/>
  <c r="V48" i="55"/>
  <c r="BW48" i="58"/>
  <c r="BX48" i="58"/>
  <c r="BF48" i="58"/>
  <c r="V48" i="57"/>
  <c r="V46" i="58"/>
  <c r="V41" i="57"/>
  <c r="V40" i="55"/>
  <c r="BF44" i="58"/>
  <c r="V38" i="59"/>
  <c r="BX40" i="58"/>
  <c r="BF37" i="59"/>
  <c r="BF40" i="59"/>
  <c r="BF48" i="59"/>
  <c r="BW14" i="58"/>
  <c r="BE14" i="52"/>
  <c r="BG14" i="58"/>
  <c r="BG18" i="58"/>
  <c r="BG10" i="58"/>
  <c r="V14" i="53"/>
  <c r="V9" i="58"/>
  <c r="BW10" i="58"/>
  <c r="V17" i="58"/>
  <c r="BF10" i="58"/>
  <c r="V18" i="55"/>
  <c r="V15" i="57"/>
  <c r="BS7" i="59"/>
  <c r="BX9" i="53"/>
  <c r="BF16" i="59"/>
  <c r="BF18" i="58"/>
  <c r="V16" i="59"/>
  <c r="V199" i="59"/>
  <c r="BX196" i="59"/>
  <c r="BB260" i="59"/>
  <c r="H259" i="59"/>
  <c r="BE103" i="59"/>
  <c r="V106" i="59"/>
  <c r="AU229" i="59"/>
  <c r="BB230" i="59" s="1"/>
  <c r="T112" i="59"/>
  <c r="BE70" i="58"/>
  <c r="BX70" i="58"/>
  <c r="BE196" i="58"/>
  <c r="BE134" i="58"/>
  <c r="BE280" i="58"/>
  <c r="BX280" i="58"/>
  <c r="V129" i="57"/>
  <c r="BE44" i="55"/>
  <c r="AG23" i="52"/>
  <c r="H23" i="52" s="1"/>
  <c r="BG281" i="57" l="1"/>
  <c r="BS281" i="57"/>
  <c r="BF281" i="57"/>
  <c r="BS226" i="57"/>
  <c r="BW161" i="57"/>
  <c r="BS43" i="57"/>
  <c r="BW37" i="57"/>
  <c r="BX7" i="57"/>
  <c r="BG193" i="57"/>
  <c r="BF193" i="57"/>
  <c r="BF187" i="57"/>
  <c r="BF200" i="57" s="1"/>
  <c r="BE187" i="57"/>
  <c r="BX187" i="57" s="1"/>
  <c r="BG157" i="57"/>
  <c r="BX157" i="57"/>
  <c r="BF134" i="57"/>
  <c r="BW134" i="57"/>
  <c r="V127" i="57"/>
  <c r="BW278" i="57"/>
  <c r="BF257" i="57"/>
  <c r="BF250" i="57"/>
  <c r="BG250" i="57"/>
  <c r="BX223" i="57"/>
  <c r="BG223" i="57"/>
  <c r="BS164" i="57"/>
  <c r="BF164" i="57"/>
  <c r="BX164" i="57"/>
  <c r="BG164" i="57"/>
  <c r="N54" i="81" s="1"/>
  <c r="BG46" i="57"/>
  <c r="BS46" i="57"/>
  <c r="BX11" i="57"/>
  <c r="V134" i="57"/>
  <c r="BX131" i="57"/>
  <c r="BS131" i="57"/>
  <c r="BG131" i="57"/>
  <c r="BX127" i="57"/>
  <c r="BG127" i="57"/>
  <c r="N51" i="81" s="1"/>
  <c r="BG76" i="57"/>
  <c r="BS76" i="57"/>
  <c r="BS70" i="57"/>
  <c r="BX68" i="57"/>
  <c r="BW68" i="57"/>
  <c r="V68" i="57"/>
  <c r="BW190" i="57"/>
  <c r="BX257" i="57"/>
  <c r="V257" i="57"/>
  <c r="BW257" i="57"/>
  <c r="BS13" i="57"/>
  <c r="V221" i="57"/>
  <c r="V218" i="57"/>
  <c r="BF287" i="57"/>
  <c r="BX287" i="57"/>
  <c r="V287" i="57"/>
  <c r="BW283" i="57"/>
  <c r="BF278" i="57"/>
  <c r="BW253" i="57"/>
  <c r="BX250" i="57"/>
  <c r="BW247" i="57"/>
  <c r="BG161" i="57"/>
  <c r="BS161" i="57"/>
  <c r="V158" i="57"/>
  <c r="BS283" i="57"/>
  <c r="BS251" i="57"/>
  <c r="BF136" i="57"/>
  <c r="BX136" i="57"/>
  <c r="BW136" i="57"/>
  <c r="V131" i="57"/>
  <c r="BF67" i="57"/>
  <c r="V43" i="57"/>
  <c r="BX16" i="57"/>
  <c r="BW16" i="57"/>
  <c r="BX10" i="57"/>
  <c r="BS278" i="57"/>
  <c r="BS280" i="57"/>
  <c r="BW280" i="57"/>
  <c r="BW251" i="57"/>
  <c r="V251" i="57"/>
  <c r="BX247" i="57"/>
  <c r="AU259" i="57"/>
  <c r="V259" i="57" s="1"/>
  <c r="BW223" i="57"/>
  <c r="BF221" i="57"/>
  <c r="BW217" i="57"/>
  <c r="BF217" i="57"/>
  <c r="V217" i="57"/>
  <c r="BS217" i="57"/>
  <c r="BX217" i="57"/>
  <c r="AU199" i="57"/>
  <c r="V199" i="57" s="1"/>
  <c r="BX166" i="57"/>
  <c r="BW166" i="57"/>
  <c r="BS166" i="57"/>
  <c r="V160" i="57"/>
  <c r="BS130" i="57"/>
  <c r="BG40" i="57"/>
  <c r="N11" i="81" s="1"/>
  <c r="BS40" i="57"/>
  <c r="BE278" i="57"/>
  <c r="BS253" i="57"/>
  <c r="V226" i="57"/>
  <c r="BS223" i="57"/>
  <c r="AU229" i="57"/>
  <c r="V229" i="57" s="1"/>
  <c r="BX133" i="57"/>
  <c r="BS133" i="57"/>
  <c r="V133" i="57"/>
  <c r="BG130" i="57"/>
  <c r="BG74" i="57"/>
  <c r="N27" i="81" s="1"/>
  <c r="V74" i="57"/>
  <c r="BX70" i="57"/>
  <c r="V67" i="57"/>
  <c r="BW196" i="57"/>
  <c r="BS196" i="57"/>
  <c r="BG196" i="57"/>
  <c r="N32" i="81" s="1"/>
  <c r="BX196" i="57"/>
  <c r="V196" i="57"/>
  <c r="BG13" i="57"/>
  <c r="N3" i="81" s="1"/>
  <c r="AU19" i="57"/>
  <c r="V19" i="57" s="1"/>
  <c r="V10" i="57"/>
  <c r="BF7" i="57"/>
  <c r="BW7" i="57"/>
  <c r="V7" i="57"/>
  <c r="V280" i="57"/>
  <c r="BW46" i="57"/>
  <c r="BF46" i="57"/>
  <c r="AU49" i="57"/>
  <c r="V40" i="57"/>
  <c r="BF130" i="57"/>
  <c r="BX130" i="57"/>
  <c r="AU139" i="57"/>
  <c r="BF127" i="57"/>
  <c r="BX226" i="57"/>
  <c r="BW226" i="57"/>
  <c r="BG226" i="57"/>
  <c r="N71" i="81" s="1"/>
  <c r="BW220" i="57"/>
  <c r="BG220" i="57"/>
  <c r="BX220" i="57"/>
  <c r="V220" i="57"/>
  <c r="BS193" i="57"/>
  <c r="V193" i="57"/>
  <c r="BX190" i="57"/>
  <c r="BF190" i="57"/>
  <c r="BG190" i="57"/>
  <c r="N31" i="81" s="1"/>
  <c r="BX76" i="57"/>
  <c r="BW76" i="57"/>
  <c r="BF76" i="57"/>
  <c r="AU79" i="57"/>
  <c r="BB80" i="57" s="1"/>
  <c r="V70" i="57"/>
  <c r="BS67" i="57"/>
  <c r="V166" i="57"/>
  <c r="BS163" i="57"/>
  <c r="BX163" i="57"/>
  <c r="AU169" i="57"/>
  <c r="V157" i="57"/>
  <c r="BW277" i="57"/>
  <c r="BF277" i="57"/>
  <c r="V277" i="57"/>
  <c r="BS277" i="57"/>
  <c r="BX256" i="57"/>
  <c r="BS256" i="57"/>
  <c r="BF253" i="57"/>
  <c r="V253" i="57"/>
  <c r="V250" i="57"/>
  <c r="BF16" i="57"/>
  <c r="V16" i="57"/>
  <c r="BG16" i="57"/>
  <c r="BS16" i="57"/>
  <c r="BF13" i="57"/>
  <c r="N13" i="81"/>
  <c r="BW10" i="16"/>
  <c r="AH154" i="57" s="1"/>
  <c r="BU7" i="16"/>
  <c r="AD64" i="57" s="1"/>
  <c r="AO203" i="55"/>
  <c r="P203" i="55" s="1"/>
  <c r="AM268" i="59"/>
  <c r="N268" i="59" s="1"/>
  <c r="H172" i="57"/>
  <c r="AC173" i="55"/>
  <c r="D173" i="55" s="1"/>
  <c r="N112" i="55"/>
  <c r="AI86" i="59"/>
  <c r="AJ70" i="59" s="1"/>
  <c r="K70" i="59" s="1"/>
  <c r="AG113" i="59"/>
  <c r="H113" i="59" s="1"/>
  <c r="AQ233" i="55"/>
  <c r="R233" i="55" s="1"/>
  <c r="H22" i="55"/>
  <c r="AM265" i="59"/>
  <c r="AN247" i="59" s="1"/>
  <c r="O247" i="59" s="1"/>
  <c r="AO296" i="59"/>
  <c r="AP280" i="59" s="1"/>
  <c r="BZ5" i="16"/>
  <c r="BW5" i="16"/>
  <c r="BX9" i="16"/>
  <c r="AJ124" i="57" s="1"/>
  <c r="CC10" i="16"/>
  <c r="AT154" i="57" s="1"/>
  <c r="CC7" i="16"/>
  <c r="CA11" i="16"/>
  <c r="AP184" i="57" s="1"/>
  <c r="J112" i="53"/>
  <c r="BZ7" i="16"/>
  <c r="BV5" i="16"/>
  <c r="AF4" i="57" s="1"/>
  <c r="AC233" i="58"/>
  <c r="D233" i="58" s="1"/>
  <c r="L142" i="58"/>
  <c r="AG113" i="55"/>
  <c r="H113" i="55" s="1"/>
  <c r="AM113" i="55"/>
  <c r="N113" i="55" s="1"/>
  <c r="AG53" i="55"/>
  <c r="H53" i="55" s="1"/>
  <c r="F262" i="57"/>
  <c r="K33" i="49"/>
  <c r="AQ267" i="53"/>
  <c r="AR253" i="53" s="1"/>
  <c r="S253" i="53" s="1"/>
  <c r="AM267" i="59"/>
  <c r="AN253" i="59" s="1"/>
  <c r="O253" i="59" s="1"/>
  <c r="AS297" i="55"/>
  <c r="T297" i="55" s="1"/>
  <c r="BX5" i="16"/>
  <c r="CC13" i="16"/>
  <c r="AT244" i="57" s="1"/>
  <c r="BV8" i="16"/>
  <c r="AF94" i="57" s="1"/>
  <c r="BV9" i="16"/>
  <c r="AF124" i="57" s="1"/>
  <c r="CA6" i="16"/>
  <c r="Q33" i="49" s="1"/>
  <c r="BX14" i="16"/>
  <c r="AJ274" i="57" s="1"/>
  <c r="CB13" i="16"/>
  <c r="AR244" i="57" s="1"/>
  <c r="AE268" i="57"/>
  <c r="AF256" i="57" s="1"/>
  <c r="G256" i="57" s="1"/>
  <c r="R202" i="58"/>
  <c r="P202" i="55"/>
  <c r="BZ12" i="16"/>
  <c r="AN214" i="57" s="1"/>
  <c r="BW6" i="16"/>
  <c r="I33" i="49" s="1"/>
  <c r="AO295" i="59"/>
  <c r="P82" i="59"/>
  <c r="D232" i="59"/>
  <c r="AI88" i="59"/>
  <c r="AJ76" i="59" s="1"/>
  <c r="K76" i="59" s="1"/>
  <c r="AO297" i="59"/>
  <c r="P297" i="59" s="1"/>
  <c r="AI116" i="57"/>
  <c r="J116" i="57" s="1"/>
  <c r="R142" i="53"/>
  <c r="BU10" i="16"/>
  <c r="AD154" i="57" s="1"/>
  <c r="CC9" i="16"/>
  <c r="AT124" i="57" s="1"/>
  <c r="BU5" i="16"/>
  <c r="CC5" i="16"/>
  <c r="AT4" i="57" s="1"/>
  <c r="CA10" i="16"/>
  <c r="AP154" i="57" s="1"/>
  <c r="BZ10" i="16"/>
  <c r="AN154" i="57" s="1"/>
  <c r="AE265" i="57"/>
  <c r="AF247" i="57" s="1"/>
  <c r="G247" i="57" s="1"/>
  <c r="AQ87" i="57"/>
  <c r="AR73" i="57" s="1"/>
  <c r="S73" i="57" s="1"/>
  <c r="AI118" i="57"/>
  <c r="J118" i="57" s="1"/>
  <c r="AE83" i="55"/>
  <c r="F83" i="55" s="1"/>
  <c r="AC293" i="58"/>
  <c r="D293" i="58" s="1"/>
  <c r="D202" i="53"/>
  <c r="BX11" i="16"/>
  <c r="AJ184" i="57" s="1"/>
  <c r="AO207" i="55"/>
  <c r="AP193" i="55" s="1"/>
  <c r="Q193" i="55" s="1"/>
  <c r="BY12" i="16"/>
  <c r="AO23" i="59"/>
  <c r="P23" i="59" s="1"/>
  <c r="AI85" i="59"/>
  <c r="AJ67" i="59" s="1"/>
  <c r="K67" i="59" s="1"/>
  <c r="AI83" i="59"/>
  <c r="J83" i="59" s="1"/>
  <c r="AQ86" i="57"/>
  <c r="AR70" i="57" s="1"/>
  <c r="S70" i="57" s="1"/>
  <c r="AG143" i="53"/>
  <c r="H143" i="53" s="1"/>
  <c r="BZ8" i="16"/>
  <c r="AN94" i="57" s="1"/>
  <c r="BY8" i="16"/>
  <c r="AL94" i="57" s="1"/>
  <c r="BY14" i="16"/>
  <c r="AL274" i="57" s="1"/>
  <c r="BU9" i="16"/>
  <c r="AD124" i="57" s="1"/>
  <c r="CC8" i="16"/>
  <c r="AT94" i="57" s="1"/>
  <c r="AQ88" i="57"/>
  <c r="AR76" i="57" s="1"/>
  <c r="S76" i="57" s="1"/>
  <c r="AQ23" i="58"/>
  <c r="R23" i="58" s="1"/>
  <c r="T292" i="53"/>
  <c r="BU11" i="16"/>
  <c r="AD184" i="57" s="1"/>
  <c r="G33" i="49"/>
  <c r="AQ263" i="58"/>
  <c r="R263" i="58" s="1"/>
  <c r="AS173" i="55"/>
  <c r="T173" i="55" s="1"/>
  <c r="BV10" i="16"/>
  <c r="N52" i="55"/>
  <c r="AE293" i="59"/>
  <c r="F293" i="59" s="1"/>
  <c r="R52" i="59"/>
  <c r="R22" i="55"/>
  <c r="AM118" i="55"/>
  <c r="AN106" i="55" s="1"/>
  <c r="O106" i="55" s="1"/>
  <c r="J82" i="59"/>
  <c r="R112" i="59"/>
  <c r="R82" i="57"/>
  <c r="F22" i="59"/>
  <c r="J112" i="57"/>
  <c r="AQ265" i="53"/>
  <c r="BX8" i="16"/>
  <c r="AJ94" i="57" s="1"/>
  <c r="BX7" i="16"/>
  <c r="AJ64" i="57" s="1"/>
  <c r="BU6" i="16"/>
  <c r="AD34" i="57" s="1"/>
  <c r="BZ14" i="16"/>
  <c r="AN274" i="57" s="1"/>
  <c r="BW13" i="16"/>
  <c r="AH244" i="57" s="1"/>
  <c r="CB7" i="16"/>
  <c r="AR64" i="57" s="1"/>
  <c r="BY6" i="16"/>
  <c r="AO205" i="55"/>
  <c r="P205" i="55" s="1"/>
  <c r="AQ85" i="57"/>
  <c r="AR67" i="57" s="1"/>
  <c r="S67" i="57" s="1"/>
  <c r="AS173" i="59"/>
  <c r="T173" i="59" s="1"/>
  <c r="BW9" i="16"/>
  <c r="AH124" i="57" s="1"/>
  <c r="H82" i="57"/>
  <c r="BY7" i="16"/>
  <c r="M62" i="49" s="1"/>
  <c r="AS83" i="53"/>
  <c r="T83" i="53" s="1"/>
  <c r="BV11" i="16"/>
  <c r="AF184" i="57" s="1"/>
  <c r="CA14" i="16"/>
  <c r="AP274" i="57" s="1"/>
  <c r="BX13" i="16"/>
  <c r="AJ244" i="57" s="1"/>
  <c r="BU12" i="16"/>
  <c r="AD214" i="57" s="1"/>
  <c r="BZ6" i="16"/>
  <c r="AN34" i="57" s="1"/>
  <c r="AO83" i="55"/>
  <c r="P83" i="55" s="1"/>
  <c r="AI53" i="57"/>
  <c r="J53" i="57" s="1"/>
  <c r="AQ263" i="53"/>
  <c r="R263" i="53" s="1"/>
  <c r="BF103" i="55"/>
  <c r="BS97" i="55"/>
  <c r="BG97" i="55"/>
  <c r="BF97" i="55"/>
  <c r="BF110" i="55" s="1"/>
  <c r="BW97" i="55"/>
  <c r="BX97" i="55"/>
  <c r="BE97" i="55"/>
  <c r="BF104" i="53"/>
  <c r="BF100" i="52"/>
  <c r="BS100" i="52"/>
  <c r="BG100" i="52"/>
  <c r="BW100" i="52"/>
  <c r="BX100" i="52"/>
  <c r="BE97" i="52"/>
  <c r="BX97" i="52" s="1"/>
  <c r="BG221" i="55"/>
  <c r="BF221" i="55"/>
  <c r="BS221" i="55"/>
  <c r="V284" i="55"/>
  <c r="BF284" i="55"/>
  <c r="AU289" i="55"/>
  <c r="V289" i="55" s="1"/>
  <c r="BX247" i="55"/>
  <c r="BG247" i="55"/>
  <c r="BS247" i="55"/>
  <c r="BF247" i="55"/>
  <c r="BX223" i="55"/>
  <c r="BF223" i="55"/>
  <c r="BW223" i="55"/>
  <c r="BS223" i="55"/>
  <c r="BG223" i="55"/>
  <c r="AU229" i="55"/>
  <c r="BB230" i="55" s="1"/>
  <c r="V220" i="55"/>
  <c r="BF218" i="55"/>
  <c r="AU199" i="55"/>
  <c r="V199" i="55" s="1"/>
  <c r="D199" i="55"/>
  <c r="BW190" i="55"/>
  <c r="BG190" i="55"/>
  <c r="BF187" i="55"/>
  <c r="BF200" i="55" s="1"/>
  <c r="BG166" i="55"/>
  <c r="BF166" i="55"/>
  <c r="BE166" i="55"/>
  <c r="BW160" i="55"/>
  <c r="BF160" i="55"/>
  <c r="BG160" i="55"/>
  <c r="BS160" i="55"/>
  <c r="BF157" i="55"/>
  <c r="BW157" i="55"/>
  <c r="BW103" i="55"/>
  <c r="BS103" i="55"/>
  <c r="BG103" i="55"/>
  <c r="BX103" i="55"/>
  <c r="V100" i="55"/>
  <c r="AU79" i="55"/>
  <c r="BB80" i="55" s="1"/>
  <c r="J79" i="55"/>
  <c r="V68" i="55"/>
  <c r="AU49" i="55"/>
  <c r="BB50" i="55" s="1"/>
  <c r="D49" i="55"/>
  <c r="BF43" i="55"/>
  <c r="BX43" i="55"/>
  <c r="BG43" i="55"/>
  <c r="BS43" i="55"/>
  <c r="BW37" i="55"/>
  <c r="BS37" i="55"/>
  <c r="BG37" i="55"/>
  <c r="BF37" i="55"/>
  <c r="BX16" i="55"/>
  <c r="BG16" i="55"/>
  <c r="BS16" i="55"/>
  <c r="BW16" i="55"/>
  <c r="BF16" i="55"/>
  <c r="BF20" i="55" s="1"/>
  <c r="BE16" i="55"/>
  <c r="V197" i="53"/>
  <c r="BF77" i="53"/>
  <c r="BX77" i="53"/>
  <c r="BE99" i="55"/>
  <c r="V99" i="55"/>
  <c r="BE133" i="55"/>
  <c r="V133" i="55"/>
  <c r="BE105" i="59"/>
  <c r="V105" i="59"/>
  <c r="AA281" i="52"/>
  <c r="B281" i="52" s="1"/>
  <c r="AA279" i="52"/>
  <c r="B279" i="52" s="1"/>
  <c r="AA218" i="52"/>
  <c r="B218" i="52" s="1"/>
  <c r="AA217" i="53"/>
  <c r="B217" i="53" s="1"/>
  <c r="BB80" i="58"/>
  <c r="V139" i="55"/>
  <c r="E34" i="58"/>
  <c r="O274" i="55"/>
  <c r="B90" i="45"/>
  <c r="BJ11" i="16"/>
  <c r="D138" i="46"/>
  <c r="D139" i="46" s="1"/>
  <c r="I214" i="55"/>
  <c r="M184" i="55"/>
  <c r="N109" i="45"/>
  <c r="N110" i="45" s="1"/>
  <c r="DQ15" i="16"/>
  <c r="G244" i="57"/>
  <c r="M94" i="57"/>
  <c r="O34" i="57"/>
  <c r="E124" i="55"/>
  <c r="E34" i="53"/>
  <c r="CX11" i="16"/>
  <c r="P109" i="46"/>
  <c r="P110" i="46" s="1"/>
  <c r="G184" i="53"/>
  <c r="G214" i="52"/>
  <c r="I34" i="55"/>
  <c r="I274" i="52"/>
  <c r="Q274" i="53"/>
  <c r="K33" i="41"/>
  <c r="BF80" i="55"/>
  <c r="I4" i="58"/>
  <c r="D51" i="50"/>
  <c r="D52" i="50" s="1"/>
  <c r="L51" i="50"/>
  <c r="L52" i="50" s="1"/>
  <c r="J51" i="50"/>
  <c r="J52" i="50" s="1"/>
  <c r="R51" i="50"/>
  <c r="R52" i="50" s="1"/>
  <c r="B32" i="50"/>
  <c r="N51" i="50"/>
  <c r="N52" i="50" s="1"/>
  <c r="BE44" i="53"/>
  <c r="V44" i="53"/>
  <c r="BE135" i="55"/>
  <c r="V135" i="55"/>
  <c r="BE252" i="57"/>
  <c r="V252" i="57"/>
  <c r="BE286" i="57"/>
  <c r="V286" i="57"/>
  <c r="BF9" i="52"/>
  <c r="BW9" i="52"/>
  <c r="BF18" i="52"/>
  <c r="BS18" i="52"/>
  <c r="BW18" i="52"/>
  <c r="BG39" i="52"/>
  <c r="BW39" i="52"/>
  <c r="BS159" i="52"/>
  <c r="BW159" i="52"/>
  <c r="BX165" i="52"/>
  <c r="BW165" i="52"/>
  <c r="BG165" i="52"/>
  <c r="BF194" i="52"/>
  <c r="BG194" i="52"/>
  <c r="BX194" i="52"/>
  <c r="BW228" i="52"/>
  <c r="BF228" i="52"/>
  <c r="BF278" i="52"/>
  <c r="BX278" i="52"/>
  <c r="BW283" i="52"/>
  <c r="BS283" i="52"/>
  <c r="BW285" i="52"/>
  <c r="BX285" i="52"/>
  <c r="BW103" i="53"/>
  <c r="BF103" i="53"/>
  <c r="BW18" i="57"/>
  <c r="BS18" i="57"/>
  <c r="BG44" i="57"/>
  <c r="BX44" i="57"/>
  <c r="BW70" i="57"/>
  <c r="BF70" i="57"/>
  <c r="BF75" i="57"/>
  <c r="BS75" i="57"/>
  <c r="BW78" i="57"/>
  <c r="BS78" i="57"/>
  <c r="BS101" i="57"/>
  <c r="BG101" i="57"/>
  <c r="BG104" i="57"/>
  <c r="BW104" i="57"/>
  <c r="BS128" i="57"/>
  <c r="BX128" i="57"/>
  <c r="I4" i="59"/>
  <c r="M62" i="45"/>
  <c r="BF140" i="55"/>
  <c r="D232" i="55"/>
  <c r="AC233" i="55"/>
  <c r="D233" i="55" s="1"/>
  <c r="AJ184" i="59"/>
  <c r="I64" i="57"/>
  <c r="V229" i="59"/>
  <c r="I124" i="59"/>
  <c r="G34" i="57"/>
  <c r="T109" i="41"/>
  <c r="T110" i="41" s="1"/>
  <c r="E274" i="58"/>
  <c r="E64" i="53"/>
  <c r="E184" i="59"/>
  <c r="V67" i="55"/>
  <c r="V217" i="55"/>
  <c r="G274" i="59"/>
  <c r="G34" i="59"/>
  <c r="I94" i="58"/>
  <c r="AN4" i="58"/>
  <c r="P51" i="50"/>
  <c r="P52" i="50" s="1"/>
  <c r="I64" i="58"/>
  <c r="H51" i="50"/>
  <c r="H52" i="50" s="1"/>
  <c r="I184" i="57"/>
  <c r="O34" i="59"/>
  <c r="O154" i="58"/>
  <c r="I4" i="53"/>
  <c r="B90" i="46"/>
  <c r="M91" i="46"/>
  <c r="I94" i="55"/>
  <c r="E274" i="57"/>
  <c r="E64" i="58"/>
  <c r="E94" i="59"/>
  <c r="G244" i="58"/>
  <c r="G274" i="57"/>
  <c r="I94" i="59"/>
  <c r="I62" i="45"/>
  <c r="AH64" i="53"/>
  <c r="I4" i="41"/>
  <c r="I34" i="52"/>
  <c r="K62" i="45"/>
  <c r="AJ64" i="53"/>
  <c r="F51" i="50"/>
  <c r="F52" i="50" s="1"/>
  <c r="B60" i="50"/>
  <c r="BE74" i="55"/>
  <c r="V74" i="55"/>
  <c r="BE108" i="55"/>
  <c r="V108" i="55"/>
  <c r="BE225" i="57"/>
  <c r="V225" i="57"/>
  <c r="BW8" i="52"/>
  <c r="BX8" i="52"/>
  <c r="BF8" i="52"/>
  <c r="BG12" i="52"/>
  <c r="BX17" i="52"/>
  <c r="BS17" i="52"/>
  <c r="BG17" i="52"/>
  <c r="BF17" i="52"/>
  <c r="BF38" i="52"/>
  <c r="BG69" i="52"/>
  <c r="BW69" i="52"/>
  <c r="BS72" i="52"/>
  <c r="BW72" i="52"/>
  <c r="BF72" i="52"/>
  <c r="BG77" i="52"/>
  <c r="BW101" i="52"/>
  <c r="BS103" i="52"/>
  <c r="BF129" i="52"/>
  <c r="BX129" i="52"/>
  <c r="BF135" i="52"/>
  <c r="BW158" i="52"/>
  <c r="BX158" i="52"/>
  <c r="BG164" i="52"/>
  <c r="BS164" i="52"/>
  <c r="BW164" i="52"/>
  <c r="BG166" i="52"/>
  <c r="BW192" i="52"/>
  <c r="BG193" i="52"/>
  <c r="BS195" i="52"/>
  <c r="BX195" i="52"/>
  <c r="BW195" i="52"/>
  <c r="BW198" i="52"/>
  <c r="BF219" i="52"/>
  <c r="BW221" i="52"/>
  <c r="BS224" i="52"/>
  <c r="BW227" i="52"/>
  <c r="BG227" i="52"/>
  <c r="BS248" i="52"/>
  <c r="BF248" i="52"/>
  <c r="BF255" i="52"/>
  <c r="BW258" i="52"/>
  <c r="BG258" i="52"/>
  <c r="BW279" i="52"/>
  <c r="BS282" i="52"/>
  <c r="BX282" i="52"/>
  <c r="BW11" i="53"/>
  <c r="BS18" i="53"/>
  <c r="BS37" i="53"/>
  <c r="BW39" i="53"/>
  <c r="BS39" i="53"/>
  <c r="BG42" i="53"/>
  <c r="BX42" i="53"/>
  <c r="BS45" i="53"/>
  <c r="BG45" i="53"/>
  <c r="BF47" i="53"/>
  <c r="BX68" i="53"/>
  <c r="BW71" i="53"/>
  <c r="BF71" i="53"/>
  <c r="BX73" i="53"/>
  <c r="BW73" i="53"/>
  <c r="BW97" i="53"/>
  <c r="M12" i="79" s="1"/>
  <c r="BX97" i="53"/>
  <c r="BW102" i="53"/>
  <c r="BX102" i="53"/>
  <c r="BW105" i="53"/>
  <c r="BS105" i="53"/>
  <c r="BX105" i="53"/>
  <c r="BS108" i="53"/>
  <c r="BF128" i="53"/>
  <c r="BG128" i="53"/>
  <c r="BS128" i="53"/>
  <c r="BW134" i="53"/>
  <c r="BG134" i="53"/>
  <c r="BG136" i="53"/>
  <c r="BS136" i="53"/>
  <c r="BX136" i="53"/>
  <c r="BW157" i="53"/>
  <c r="BG157" i="53"/>
  <c r="BW163" i="53"/>
  <c r="BX163" i="53"/>
  <c r="BX165" i="53"/>
  <c r="BW165" i="53"/>
  <c r="BF165" i="53"/>
  <c r="BS168" i="53"/>
  <c r="BG168" i="53"/>
  <c r="BX168" i="53"/>
  <c r="BG189" i="53"/>
  <c r="BF189" i="53"/>
  <c r="BS191" i="53"/>
  <c r="BF191" i="53"/>
  <c r="BW192" i="53"/>
  <c r="BF194" i="53"/>
  <c r="BS194" i="53"/>
  <c r="BG194" i="53"/>
  <c r="BS197" i="53"/>
  <c r="BF220" i="53"/>
  <c r="BG223" i="53"/>
  <c r="AJ4" i="58"/>
  <c r="Q120" i="46"/>
  <c r="Q91" i="46"/>
  <c r="I64" i="59"/>
  <c r="L109" i="45"/>
  <c r="L110" i="45" s="1"/>
  <c r="N109" i="46"/>
  <c r="N110" i="46" s="1"/>
  <c r="I91" i="46"/>
  <c r="I94" i="52"/>
  <c r="AD4" i="52"/>
  <c r="E184" i="55"/>
  <c r="E154" i="57"/>
  <c r="G274" i="55"/>
  <c r="G274" i="53"/>
  <c r="I154" i="55"/>
  <c r="G4" i="41"/>
  <c r="AF64" i="53"/>
  <c r="AJ4" i="53"/>
  <c r="H292" i="52"/>
  <c r="AG293" i="52"/>
  <c r="H293" i="52" s="1"/>
  <c r="I120" i="46"/>
  <c r="I124" i="57"/>
  <c r="F109" i="46"/>
  <c r="F110" i="46" s="1"/>
  <c r="I214" i="58"/>
  <c r="S62" i="41"/>
  <c r="E94" i="53"/>
  <c r="E244" i="57"/>
  <c r="E244" i="53"/>
  <c r="I184" i="52"/>
  <c r="I214" i="53"/>
  <c r="BE105" i="53"/>
  <c r="V105" i="53"/>
  <c r="BE190" i="53"/>
  <c r="BX190" i="53" s="1"/>
  <c r="V190" i="53"/>
  <c r="BE279" i="57"/>
  <c r="V279" i="57"/>
  <c r="BE12" i="58"/>
  <c r="V12" i="58"/>
  <c r="BE15" i="59"/>
  <c r="V15" i="59"/>
  <c r="BW14" i="52"/>
  <c r="BG42" i="52"/>
  <c r="BF97" i="52"/>
  <c r="BG97" i="52"/>
  <c r="N12" i="78" s="1"/>
  <c r="BF105" i="52"/>
  <c r="BS134" i="52"/>
  <c r="BX160" i="52"/>
  <c r="BW160" i="52"/>
  <c r="BG160" i="52"/>
  <c r="BW168" i="52"/>
  <c r="BF168" i="52"/>
  <c r="BW189" i="52"/>
  <c r="BF189" i="52"/>
  <c r="BG197" i="52"/>
  <c r="BW218" i="52"/>
  <c r="BF218" i="52"/>
  <c r="BS252" i="52"/>
  <c r="BF252" i="52"/>
  <c r="BG281" i="52"/>
  <c r="BS281" i="52"/>
  <c r="BW281" i="52"/>
  <c r="BX7" i="53"/>
  <c r="BG7" i="53"/>
  <c r="BF15" i="53"/>
  <c r="BX44" i="53"/>
  <c r="BW70" i="53"/>
  <c r="BF70" i="53"/>
  <c r="BX99" i="53"/>
  <c r="BW99" i="53"/>
  <c r="BF99" i="53"/>
  <c r="BG107" i="53"/>
  <c r="BX107" i="53"/>
  <c r="BS162" i="53"/>
  <c r="BG225" i="53"/>
  <c r="BS225" i="53"/>
  <c r="BG251" i="53"/>
  <c r="BX280" i="53"/>
  <c r="BS224" i="55"/>
  <c r="BS258" i="55"/>
  <c r="BF258" i="55"/>
  <c r="BX279" i="55"/>
  <c r="BS279" i="55"/>
  <c r="BX287" i="55"/>
  <c r="BG287" i="55"/>
  <c r="BW13" i="57"/>
  <c r="BG68" i="57"/>
  <c r="N65" i="81" s="1"/>
  <c r="BS68" i="57"/>
  <c r="BF97" i="57"/>
  <c r="BS105" i="57"/>
  <c r="BW105" i="57"/>
  <c r="BG105" i="57"/>
  <c r="BX105" i="57"/>
  <c r="BS160" i="57"/>
  <c r="BG160" i="57"/>
  <c r="N67" i="81" s="1"/>
  <c r="BG286" i="57"/>
  <c r="N21" i="81" s="1"/>
  <c r="BW286" i="57"/>
  <c r="BS286" i="57"/>
  <c r="AL274" i="53"/>
  <c r="I244" i="52"/>
  <c r="O244" i="53"/>
  <c r="I64" i="52"/>
  <c r="R109" i="46"/>
  <c r="R110" i="46" s="1"/>
  <c r="M4" i="46"/>
  <c r="I274" i="59"/>
  <c r="E34" i="55"/>
  <c r="E94" i="55"/>
  <c r="E274" i="55"/>
  <c r="G64" i="59"/>
  <c r="G214" i="55"/>
  <c r="I124" i="58"/>
  <c r="I214" i="59"/>
  <c r="G124" i="59"/>
  <c r="AA8" i="53"/>
  <c r="B8" i="53" s="1"/>
  <c r="I4" i="46"/>
  <c r="K120" i="46"/>
  <c r="I214" i="57"/>
  <c r="I64" i="53"/>
  <c r="I154" i="59"/>
  <c r="E214" i="52"/>
  <c r="E94" i="52"/>
  <c r="E214" i="55"/>
  <c r="G184" i="55"/>
  <c r="G4" i="57"/>
  <c r="I184" i="59"/>
  <c r="I274" i="53"/>
  <c r="G154" i="58"/>
  <c r="BB50" i="59"/>
  <c r="I154" i="52"/>
  <c r="O184" i="53"/>
  <c r="BF200" i="58"/>
  <c r="O34" i="53"/>
  <c r="T138" i="46"/>
  <c r="T139" i="46" s="1"/>
  <c r="I214" i="52"/>
  <c r="AD4" i="58"/>
  <c r="E120" i="46"/>
  <c r="I274" i="55"/>
  <c r="I34" i="57"/>
  <c r="O244" i="58"/>
  <c r="E274" i="59"/>
  <c r="E154" i="59"/>
  <c r="G124" i="58"/>
  <c r="I64" i="55"/>
  <c r="I154" i="57"/>
  <c r="G214" i="58"/>
  <c r="BF110" i="59"/>
  <c r="I94" i="57"/>
  <c r="T109" i="45"/>
  <c r="T110" i="45" s="1"/>
  <c r="F138" i="46"/>
  <c r="F139" i="46" s="1"/>
  <c r="I184" i="53"/>
  <c r="I34" i="53"/>
  <c r="I124" i="55"/>
  <c r="O214" i="59"/>
  <c r="I244" i="55"/>
  <c r="I4" i="55"/>
  <c r="BE248" i="53"/>
  <c r="V248" i="53"/>
  <c r="BE218" i="55"/>
  <c r="V218" i="55"/>
  <c r="BF258" i="58"/>
  <c r="BG258" i="58"/>
  <c r="BF249" i="59"/>
  <c r="BX249" i="59"/>
  <c r="BS249" i="59"/>
  <c r="BS252" i="59"/>
  <c r="BW252" i="59"/>
  <c r="BE71" i="52"/>
  <c r="V71" i="52"/>
  <c r="BE191" i="52"/>
  <c r="V191" i="52"/>
  <c r="V225" i="52"/>
  <c r="BE225" i="52"/>
  <c r="V198" i="53"/>
  <c r="BE198" i="53"/>
  <c r="BE250" i="53"/>
  <c r="BX250" i="53" s="1"/>
  <c r="V250" i="53"/>
  <c r="BE168" i="57"/>
  <c r="V168" i="57"/>
  <c r="BE219" i="57"/>
  <c r="V219" i="57"/>
  <c r="V278" i="59"/>
  <c r="BE278" i="59"/>
  <c r="AE173" i="53"/>
  <c r="F173" i="53" s="1"/>
  <c r="F172" i="53"/>
  <c r="BX7" i="52"/>
  <c r="BE224" i="55"/>
  <c r="V224" i="55"/>
  <c r="BE108" i="58"/>
  <c r="V108" i="58"/>
  <c r="BW226" i="53"/>
  <c r="BW228" i="53"/>
  <c r="BF228" i="53"/>
  <c r="BX249" i="53"/>
  <c r="BF249" i="53"/>
  <c r="BS252" i="53"/>
  <c r="BG252" i="53"/>
  <c r="BX252" i="53"/>
  <c r="BF252" i="53"/>
  <c r="BS257" i="53"/>
  <c r="BF278" i="53"/>
  <c r="BG278" i="53"/>
  <c r="BW281" i="53"/>
  <c r="BS281" i="53"/>
  <c r="BS41" i="55"/>
  <c r="BF164" i="55"/>
  <c r="BS164" i="55"/>
  <c r="BF167" i="55"/>
  <c r="BS167" i="55"/>
  <c r="BX188" i="55"/>
  <c r="BG188" i="55"/>
  <c r="BS190" i="55"/>
  <c r="BS198" i="55"/>
  <c r="BX198" i="55"/>
  <c r="BG198" i="55"/>
  <c r="BW198" i="55"/>
  <c r="BW219" i="55"/>
  <c r="BW222" i="55"/>
  <c r="BS222" i="55"/>
  <c r="BG225" i="55"/>
  <c r="BF227" i="55"/>
  <c r="BW227" i="55"/>
  <c r="BW248" i="55"/>
  <c r="BG254" i="55"/>
  <c r="BX282" i="55"/>
  <c r="BW282" i="55"/>
  <c r="BS8" i="57"/>
  <c r="BW8" i="57"/>
  <c r="BF8" i="57"/>
  <c r="BF9" i="57"/>
  <c r="BF11" i="57"/>
  <c r="BF14" i="57"/>
  <c r="BS14" i="57"/>
  <c r="BG14" i="57"/>
  <c r="BS17" i="57"/>
  <c r="BW17" i="57"/>
  <c r="BG37" i="57"/>
  <c r="N12" i="81" s="1"/>
  <c r="BF37" i="57"/>
  <c r="BS37" i="57"/>
  <c r="BG43" i="57"/>
  <c r="N14" i="81" s="1"/>
  <c r="BF43" i="57"/>
  <c r="BW43" i="57"/>
  <c r="BG45" i="57"/>
  <c r="BX48" i="57"/>
  <c r="BS48" i="57"/>
  <c r="BG69" i="57"/>
  <c r="BW69" i="57"/>
  <c r="BW71" i="57"/>
  <c r="BF72" i="57"/>
  <c r="BX74" i="57"/>
  <c r="BF74" i="57"/>
  <c r="BS74" i="57"/>
  <c r="BS77" i="57"/>
  <c r="BW77" i="57"/>
  <c r="BG98" i="57"/>
  <c r="BF98" i="57"/>
  <c r="BW98" i="57"/>
  <c r="BS100" i="57"/>
  <c r="BG100" i="57"/>
  <c r="BG106" i="57"/>
  <c r="BW129" i="57"/>
  <c r="BS129" i="57"/>
  <c r="BG129" i="57"/>
  <c r="BF129" i="57"/>
  <c r="BX132" i="57"/>
  <c r="BG134" i="57"/>
  <c r="BW135" i="57"/>
  <c r="BF137" i="57"/>
  <c r="BS137" i="57"/>
  <c r="BG137" i="57"/>
  <c r="BF158" i="57"/>
  <c r="BX161" i="57"/>
  <c r="BG163" i="57"/>
  <c r="BW163" i="57"/>
  <c r="BG166" i="57"/>
  <c r="N56" i="81" s="1"/>
  <c r="BW187" i="57"/>
  <c r="BW189" i="57"/>
  <c r="BG189" i="57"/>
  <c r="BG197" i="57"/>
  <c r="BF197" i="57"/>
  <c r="BF198" i="57"/>
  <c r="BX218" i="57"/>
  <c r="BS218" i="57"/>
  <c r="BW218" i="57"/>
  <c r="BG218" i="57"/>
  <c r="N42" i="81" s="1"/>
  <c r="BS221" i="57"/>
  <c r="BG221" i="57"/>
  <c r="N70" i="81" s="1"/>
  <c r="BW221" i="57"/>
  <c r="BG224" i="57"/>
  <c r="BS224" i="57"/>
  <c r="BF247" i="57"/>
  <c r="BS250" i="57"/>
  <c r="BX252" i="57"/>
  <c r="BG253" i="57"/>
  <c r="N57" i="81" s="1"/>
  <c r="BW255" i="57"/>
  <c r="BW258" i="57"/>
  <c r="BF258" i="57"/>
  <c r="BS287" i="57"/>
  <c r="BG287" i="57"/>
  <c r="N18" i="81" s="1"/>
  <c r="BG7" i="58"/>
  <c r="BG15" i="58"/>
  <c r="BX68" i="58"/>
  <c r="BW70" i="58"/>
  <c r="BS70" i="58"/>
  <c r="BW73" i="58"/>
  <c r="BG73" i="58"/>
  <c r="BF78" i="58"/>
  <c r="BF80" i="58" s="1"/>
  <c r="BS97" i="58"/>
  <c r="BX102" i="58"/>
  <c r="BW102" i="58"/>
  <c r="BF105" i="58"/>
  <c r="BS107" i="58"/>
  <c r="BT107" i="58" s="1"/>
  <c r="BX107" i="58"/>
  <c r="BW131" i="58"/>
  <c r="BX133" i="58"/>
  <c r="BF133" i="58"/>
  <c r="BW160" i="58"/>
  <c r="BX162" i="58"/>
  <c r="BS162" i="58"/>
  <c r="BT45" i="58" s="1"/>
  <c r="BX165" i="58"/>
  <c r="BS165" i="58"/>
  <c r="BG168" i="58"/>
  <c r="BX168" i="58"/>
  <c r="BS168" i="58"/>
  <c r="BF188" i="58"/>
  <c r="BW191" i="58"/>
  <c r="BW194" i="58"/>
  <c r="BG194" i="58"/>
  <c r="BS196" i="58"/>
  <c r="BW197" i="58"/>
  <c r="BS217" i="58"/>
  <c r="BW220" i="58"/>
  <c r="BF225" i="58"/>
  <c r="BX225" i="58"/>
  <c r="BS225" i="58"/>
  <c r="BW225" i="58"/>
  <c r="BW228" i="58"/>
  <c r="BX228" i="58"/>
  <c r="BS228" i="58"/>
  <c r="BF228" i="58"/>
  <c r="BS249" i="58"/>
  <c r="BS251" i="58"/>
  <c r="BW254" i="58"/>
  <c r="BW257" i="58"/>
  <c r="BF278" i="58"/>
  <c r="BF290" i="58" s="1"/>
  <c r="BS278" i="58"/>
  <c r="BS283" i="58"/>
  <c r="BX283" i="58"/>
  <c r="BF283" i="58"/>
  <c r="BW286" i="58"/>
  <c r="BS288" i="58"/>
  <c r="BF9" i="59"/>
  <c r="BW9" i="59"/>
  <c r="BS12" i="59"/>
  <c r="BG12" i="59"/>
  <c r="BW15" i="59"/>
  <c r="BS17" i="59"/>
  <c r="BX17" i="59"/>
  <c r="BG43" i="59"/>
  <c r="BG46" i="59"/>
  <c r="BW67" i="59"/>
  <c r="BS70" i="59"/>
  <c r="BG70" i="59"/>
  <c r="BW72" i="59"/>
  <c r="BG72" i="59"/>
  <c r="BS75" i="59"/>
  <c r="BX75" i="59"/>
  <c r="BG78" i="59"/>
  <c r="BW78" i="59"/>
  <c r="BF78" i="59"/>
  <c r="BX78" i="59"/>
  <c r="BX104" i="59"/>
  <c r="BW127" i="59"/>
  <c r="BF130" i="59"/>
  <c r="BF132" i="59"/>
  <c r="BS135" i="59"/>
  <c r="BF138" i="59"/>
  <c r="BX138" i="59"/>
  <c r="BW138" i="59"/>
  <c r="BS159" i="59"/>
  <c r="BG164" i="59"/>
  <c r="BX164" i="59"/>
  <c r="BW164" i="59"/>
  <c r="BW187" i="59"/>
  <c r="BS190" i="59"/>
  <c r="BF195" i="59"/>
  <c r="BX195" i="59"/>
  <c r="BW198" i="59"/>
  <c r="BS198" i="59"/>
  <c r="BX198" i="59"/>
  <c r="BF198" i="59"/>
  <c r="BG198" i="59"/>
  <c r="BS224" i="59"/>
  <c r="BX224" i="59"/>
  <c r="BW227" i="59"/>
  <c r="BF248" i="59"/>
  <c r="BW248" i="59"/>
  <c r="BW251" i="59"/>
  <c r="BX258" i="59"/>
  <c r="BS258" i="59"/>
  <c r="BW258" i="59"/>
  <c r="BF277" i="59"/>
  <c r="BF290" i="59" s="1"/>
  <c r="BG279" i="59"/>
  <c r="BG282" i="59"/>
  <c r="BX282" i="59"/>
  <c r="BS285" i="59"/>
  <c r="BF287" i="59"/>
  <c r="BW287" i="59"/>
  <c r="AG8" i="16"/>
  <c r="AD94" i="53" s="1"/>
  <c r="AK5" i="16"/>
  <c r="AK15" i="16" s="1"/>
  <c r="AI8" i="16"/>
  <c r="AH94" i="53" s="1"/>
  <c r="AL5" i="16"/>
  <c r="AJ8" i="16"/>
  <c r="AJ94" i="53" s="1"/>
  <c r="AN5" i="16"/>
  <c r="AK8" i="16"/>
  <c r="AG10" i="16"/>
  <c r="AH10" i="16"/>
  <c r="AF154" i="53" s="1"/>
  <c r="AO10" i="16"/>
  <c r="AT154" i="53" s="1"/>
  <c r="AN11" i="16"/>
  <c r="AR184" i="53" s="1"/>
  <c r="AO11" i="16"/>
  <c r="AT184" i="53" s="1"/>
  <c r="AG6" i="16"/>
  <c r="AK12" i="16"/>
  <c r="AL214" i="53" s="1"/>
  <c r="AH6" i="16"/>
  <c r="AL12" i="16"/>
  <c r="AN214" i="53" s="1"/>
  <c r="AK6" i="16"/>
  <c r="AN12" i="16"/>
  <c r="AR214" i="53" s="1"/>
  <c r="AL6" i="16"/>
  <c r="AJ13" i="16"/>
  <c r="AJ244" i="53" s="1"/>
  <c r="AI10" i="16"/>
  <c r="AH154" i="53" s="1"/>
  <c r="AN7" i="16"/>
  <c r="AO6" i="16"/>
  <c r="AL11" i="16"/>
  <c r="AN184" i="53" s="1"/>
  <c r="AL9" i="16"/>
  <c r="AN124" i="53" s="1"/>
  <c r="AM8" i="16"/>
  <c r="AP94" i="53" s="1"/>
  <c r="AI5" i="16"/>
  <c r="AJ9" i="16"/>
  <c r="AJ124" i="53" s="1"/>
  <c r="AO7" i="16"/>
  <c r="AO5" i="16"/>
  <c r="AO12" i="16"/>
  <c r="AT214" i="53" s="1"/>
  <c r="AK11" i="16"/>
  <c r="AN8" i="16"/>
  <c r="AR94" i="53" s="1"/>
  <c r="AI6" i="16"/>
  <c r="AH34" i="53" s="1"/>
  <c r="AH5" i="16"/>
  <c r="AJ12" i="16"/>
  <c r="AJ214" i="53" s="1"/>
  <c r="AM7" i="16"/>
  <c r="AH8" i="16"/>
  <c r="AF94" i="53" s="1"/>
  <c r="AH14" i="16"/>
  <c r="AF274" i="53" s="1"/>
  <c r="BW159" i="58"/>
  <c r="BF159" i="58"/>
  <c r="BG159" i="58"/>
  <c r="BW221" i="59"/>
  <c r="BG221" i="59"/>
  <c r="BX221" i="59"/>
  <c r="BF221" i="59"/>
  <c r="AO263" i="59"/>
  <c r="P263" i="59" s="1"/>
  <c r="P262" i="59"/>
  <c r="BE12" i="53"/>
  <c r="V12" i="53"/>
  <c r="BE98" i="53"/>
  <c r="V98" i="53"/>
  <c r="BE132" i="53"/>
  <c r="V132" i="53"/>
  <c r="V135" i="57"/>
  <c r="BE135" i="57"/>
  <c r="BE227" i="59"/>
  <c r="V227" i="59"/>
  <c r="AI173" i="59"/>
  <c r="J173" i="59" s="1"/>
  <c r="J172" i="59"/>
  <c r="BE162" i="59"/>
  <c r="V162" i="59"/>
  <c r="BE194" i="59"/>
  <c r="V194" i="59"/>
  <c r="BX40" i="52"/>
  <c r="N142" i="58"/>
  <c r="AM143" i="58"/>
  <c r="N143" i="58" s="1"/>
  <c r="AM263" i="58"/>
  <c r="N263" i="58" s="1"/>
  <c r="N262" i="58"/>
  <c r="AA166" i="52"/>
  <c r="B166" i="52" s="1"/>
  <c r="AA166" i="53"/>
  <c r="B166" i="53" s="1"/>
  <c r="AS23" i="53"/>
  <c r="T23" i="53" s="1"/>
  <c r="T22" i="53"/>
  <c r="BY9" i="16"/>
  <c r="BU14" i="16"/>
  <c r="AD274" i="57" s="1"/>
  <c r="BZ9" i="16"/>
  <c r="AN124" i="57" s="1"/>
  <c r="BV14" i="16"/>
  <c r="AF274" i="57" s="1"/>
  <c r="CA9" i="16"/>
  <c r="AP124" i="57" s="1"/>
  <c r="BW14" i="16"/>
  <c r="AH274" i="57" s="1"/>
  <c r="CB9" i="16"/>
  <c r="AR124" i="57" s="1"/>
  <c r="CB14" i="16"/>
  <c r="AR274" i="57" s="1"/>
  <c r="BX10" i="16"/>
  <c r="AJ154" i="57" s="1"/>
  <c r="BY5" i="16"/>
  <c r="BY10" i="16"/>
  <c r="AL154" i="57" s="1"/>
  <c r="CA5" i="16"/>
  <c r="BV7" i="16"/>
  <c r="AF64" i="57" s="1"/>
  <c r="BW11" i="16"/>
  <c r="AH184" i="57" s="1"/>
  <c r="BZ11" i="16"/>
  <c r="AN184" i="57" s="1"/>
  <c r="CA7" i="16"/>
  <c r="AP64" i="57" s="1"/>
  <c r="BU8" i="16"/>
  <c r="BX12" i="16"/>
  <c r="AJ214" i="57" s="1"/>
  <c r="BW8" i="16"/>
  <c r="AH94" i="57" s="1"/>
  <c r="CB12" i="16"/>
  <c r="AR214" i="57" s="1"/>
  <c r="CA8" i="16"/>
  <c r="AP94" i="57" s="1"/>
  <c r="BY13" i="16"/>
  <c r="CB8" i="16"/>
  <c r="AR94" i="57" s="1"/>
  <c r="BZ13" i="16"/>
  <c r="AN244" i="57" s="1"/>
  <c r="AO23" i="53"/>
  <c r="P23" i="53" s="1"/>
  <c r="P22" i="53"/>
  <c r="BE218" i="52"/>
  <c r="V218" i="52"/>
  <c r="BE161" i="57"/>
  <c r="V161" i="57"/>
  <c r="BE195" i="57"/>
  <c r="V195" i="57"/>
  <c r="BE219" i="59"/>
  <c r="V219" i="59"/>
  <c r="T142" i="59"/>
  <c r="AS143" i="59"/>
  <c r="T143" i="59" s="1"/>
  <c r="V14" i="57"/>
  <c r="BE14" i="57"/>
  <c r="BE166" i="58"/>
  <c r="V166" i="58"/>
  <c r="BE198" i="58"/>
  <c r="V198" i="58"/>
  <c r="CT15" i="16"/>
  <c r="AS233" i="58"/>
  <c r="T233" i="58" s="1"/>
  <c r="T232" i="58"/>
  <c r="BE48" i="58"/>
  <c r="V48" i="58"/>
  <c r="BE138" i="59"/>
  <c r="V138" i="59"/>
  <c r="BG247" i="53"/>
  <c r="N29" i="81"/>
  <c r="N45" i="81"/>
  <c r="N38" i="82"/>
  <c r="O38" i="82" s="1"/>
  <c r="BG100" i="53"/>
  <c r="N22" i="79" s="1"/>
  <c r="BW37" i="53"/>
  <c r="BX16" i="53"/>
  <c r="BW160" i="53"/>
  <c r="BW286" i="53"/>
  <c r="CX26" i="16"/>
  <c r="BW13" i="53"/>
  <c r="BG76" i="53"/>
  <c r="N25" i="79" s="1"/>
  <c r="BX160" i="53"/>
  <c r="BS15" i="52"/>
  <c r="BW17" i="52"/>
  <c r="BG132" i="52"/>
  <c r="N100" i="78" s="1"/>
  <c r="O100" i="78" s="1"/>
  <c r="BF158" i="52"/>
  <c r="BG161" i="52"/>
  <c r="BG195" i="52"/>
  <c r="BX198" i="52"/>
  <c r="BW248" i="52"/>
  <c r="BS279" i="52"/>
  <c r="BX39" i="53"/>
  <c r="BX47" i="53"/>
  <c r="BG131" i="53"/>
  <c r="BX189" i="53"/>
  <c r="BW194" i="53"/>
  <c r="BF197" i="53"/>
  <c r="BW220" i="53"/>
  <c r="BS255" i="53"/>
  <c r="BX257" i="53"/>
  <c r="BW12" i="55"/>
  <c r="BS219" i="55"/>
  <c r="BW285" i="55"/>
  <c r="BS11" i="57"/>
  <c r="BX14" i="57"/>
  <c r="BW45" i="57"/>
  <c r="BF48" i="57"/>
  <c r="BX100" i="57"/>
  <c r="BX103" i="57"/>
  <c r="BW106" i="57"/>
  <c r="BS108" i="57"/>
  <c r="BX129" i="57"/>
  <c r="BF132" i="57"/>
  <c r="BF161" i="57"/>
  <c r="BF192" i="57"/>
  <c r="BF226" i="57"/>
  <c r="BG247" i="57"/>
  <c r="N61" i="81" s="1"/>
  <c r="BW250" i="57"/>
  <c r="BG255" i="57"/>
  <c r="BF279" i="57"/>
  <c r="BX99" i="58"/>
  <c r="BF107" i="58"/>
  <c r="BG160" i="58"/>
  <c r="BW162" i="58"/>
  <c r="BF168" i="58"/>
  <c r="BX217" i="58"/>
  <c r="BS220" i="58"/>
  <c r="BT220" i="58" s="1"/>
  <c r="BG249" i="58"/>
  <c r="BW283" i="58"/>
  <c r="BG286" i="58"/>
  <c r="BX72" i="59"/>
  <c r="BS104" i="59"/>
  <c r="BG227" i="59"/>
  <c r="BX251" i="59"/>
  <c r="BX277" i="59"/>
  <c r="BW282" i="59"/>
  <c r="BW130" i="53"/>
  <c r="BF192" i="52"/>
  <c r="BS255" i="52"/>
  <c r="BG44" i="53"/>
  <c r="BW67" i="53"/>
  <c r="BS254" i="53"/>
  <c r="BX134" i="57"/>
  <c r="BF189" i="57"/>
  <c r="BS252" i="57"/>
  <c r="BG70" i="58"/>
  <c r="BS188" i="58"/>
  <c r="BT188" i="58" s="1"/>
  <c r="BW46" i="53"/>
  <c r="BW127" i="53"/>
  <c r="BG253" i="53"/>
  <c r="BX277" i="53"/>
  <c r="BX217" i="53"/>
  <c r="BX193" i="53"/>
  <c r="BW190" i="53"/>
  <c r="BF283" i="53"/>
  <c r="AU259" i="53"/>
  <c r="BB260" i="53" s="1"/>
  <c r="BS223" i="53"/>
  <c r="BS196" i="53"/>
  <c r="BF166" i="53"/>
  <c r="BF106" i="53"/>
  <c r="BS46" i="53"/>
  <c r="BF40" i="53"/>
  <c r="BF187" i="53"/>
  <c r="BG187" i="53"/>
  <c r="BS187" i="53"/>
  <c r="AU79" i="53"/>
  <c r="V79" i="53" s="1"/>
  <c r="BF37" i="53"/>
  <c r="BG37" i="53"/>
  <c r="BG16" i="53"/>
  <c r="BF16" i="53"/>
  <c r="BS16" i="53"/>
  <c r="BW16" i="53"/>
  <c r="V7" i="53"/>
  <c r="AU19" i="53"/>
  <c r="BB20" i="53" s="1"/>
  <c r="V16" i="53"/>
  <c r="BF7" i="53"/>
  <c r="BW7" i="53"/>
  <c r="V253" i="53"/>
  <c r="BF253" i="53"/>
  <c r="BS253" i="53"/>
  <c r="BW253" i="53"/>
  <c r="BX253" i="53"/>
  <c r="BX247" i="53"/>
  <c r="BF247" i="53"/>
  <c r="BS247" i="53"/>
  <c r="BS286" i="53"/>
  <c r="V286" i="53"/>
  <c r="BW283" i="53"/>
  <c r="BX283" i="53"/>
  <c r="BF277" i="53"/>
  <c r="BF290" i="53" s="1"/>
  <c r="BS277" i="53"/>
  <c r="BG277" i="53"/>
  <c r="AU289" i="53"/>
  <c r="BG46" i="53"/>
  <c r="N10" i="79" s="1"/>
  <c r="BF46" i="53"/>
  <c r="BS40" i="53"/>
  <c r="V37" i="53"/>
  <c r="BW106" i="53"/>
  <c r="M13" i="79" s="1"/>
  <c r="BS106" i="53"/>
  <c r="V136" i="53"/>
  <c r="BG127" i="53"/>
  <c r="N51" i="79" s="1"/>
  <c r="BB140" i="53"/>
  <c r="V196" i="53"/>
  <c r="BF196" i="53"/>
  <c r="BX196" i="53"/>
  <c r="BW196" i="53"/>
  <c r="M29" i="79" s="1"/>
  <c r="BG196" i="53"/>
  <c r="AU199" i="53"/>
  <c r="V199" i="53" s="1"/>
  <c r="BW76" i="53"/>
  <c r="M25" i="79" s="1"/>
  <c r="BF76" i="53"/>
  <c r="V76" i="53"/>
  <c r="BS76" i="53"/>
  <c r="BF73" i="53"/>
  <c r="BX70" i="53"/>
  <c r="BG70" i="53"/>
  <c r="BS70" i="53"/>
  <c r="M26" i="79"/>
  <c r="V67" i="53"/>
  <c r="V229" i="53"/>
  <c r="BW223" i="53"/>
  <c r="M41" i="79" s="1"/>
  <c r="V223" i="53"/>
  <c r="BS217" i="53"/>
  <c r="BW217" i="53"/>
  <c r="BF217" i="53"/>
  <c r="BG217" i="53"/>
  <c r="BG106" i="53"/>
  <c r="N13" i="79" s="1"/>
  <c r="V106" i="53"/>
  <c r="BS103" i="53"/>
  <c r="BF100" i="53"/>
  <c r="BW100" i="53"/>
  <c r="BS100" i="53"/>
  <c r="AU109" i="53"/>
  <c r="BG97" i="53"/>
  <c r="N12" i="79" s="1"/>
  <c r="V97" i="53"/>
  <c r="BG166" i="53"/>
  <c r="BW166" i="53"/>
  <c r="M56" i="79" s="1"/>
  <c r="BE166" i="53"/>
  <c r="BX166" i="53" s="1"/>
  <c r="BS166" i="53"/>
  <c r="M10" i="79"/>
  <c r="M27" i="79"/>
  <c r="N26" i="79"/>
  <c r="BS160" i="53"/>
  <c r="V160" i="53"/>
  <c r="M44" i="79"/>
  <c r="N44" i="79"/>
  <c r="N28" i="79"/>
  <c r="O28" i="79" s="1"/>
  <c r="M28" i="79"/>
  <c r="V157" i="53"/>
  <c r="AU169" i="53"/>
  <c r="V169" i="53" s="1"/>
  <c r="Q91" i="49"/>
  <c r="T109" i="49"/>
  <c r="T110" i="49" s="1"/>
  <c r="M91" i="49"/>
  <c r="L109" i="49"/>
  <c r="L110" i="49" s="1"/>
  <c r="H109" i="49"/>
  <c r="H110" i="49" s="1"/>
  <c r="R109" i="49"/>
  <c r="R110" i="49" s="1"/>
  <c r="F109" i="49"/>
  <c r="F110" i="49" s="1"/>
  <c r="P109" i="49"/>
  <c r="P110" i="49" s="1"/>
  <c r="B118" i="49"/>
  <c r="N109" i="49"/>
  <c r="N110" i="49" s="1"/>
  <c r="U91" i="49"/>
  <c r="G91" i="49"/>
  <c r="AN4" i="57"/>
  <c r="O4" i="49"/>
  <c r="K33" i="45"/>
  <c r="BT136" i="58"/>
  <c r="AR124" i="52"/>
  <c r="U94" i="57"/>
  <c r="U34" i="57"/>
  <c r="U64" i="55"/>
  <c r="U274" i="53"/>
  <c r="U154" i="53"/>
  <c r="U274" i="52"/>
  <c r="U184" i="53"/>
  <c r="U94" i="59"/>
  <c r="U4" i="52"/>
  <c r="U15" i="16"/>
  <c r="U64" i="53"/>
  <c r="U274" i="57"/>
  <c r="U64" i="58"/>
  <c r="U274" i="59"/>
  <c r="U244" i="55"/>
  <c r="U154" i="58"/>
  <c r="U124" i="53"/>
  <c r="U124" i="58"/>
  <c r="U274" i="55"/>
  <c r="U124" i="52"/>
  <c r="U64" i="59"/>
  <c r="U94" i="58"/>
  <c r="U124" i="57"/>
  <c r="U154" i="59"/>
  <c r="DO15" i="16"/>
  <c r="AP124" i="59"/>
  <c r="D109" i="49"/>
  <c r="D110" i="49" s="1"/>
  <c r="AF124" i="55"/>
  <c r="G120" i="46"/>
  <c r="V79" i="59"/>
  <c r="BB80" i="59"/>
  <c r="U4" i="55"/>
  <c r="BB290" i="58"/>
  <c r="V289" i="58"/>
  <c r="U274" i="58"/>
  <c r="BT106" i="58"/>
  <c r="V139" i="58"/>
  <c r="V49" i="58"/>
  <c r="AR244" i="59"/>
  <c r="BJ13" i="16"/>
  <c r="BF50" i="55"/>
  <c r="G4" i="49"/>
  <c r="BB15" i="16"/>
  <c r="E91" i="45"/>
  <c r="I91" i="45"/>
  <c r="U91" i="45"/>
  <c r="Q91" i="45"/>
  <c r="S91" i="45"/>
  <c r="B118" i="45"/>
  <c r="B147" i="45" s="1"/>
  <c r="H109" i="45"/>
  <c r="H110" i="45" s="1"/>
  <c r="S274" i="57"/>
  <c r="S94" i="57"/>
  <c r="S4" i="53"/>
  <c r="T15" i="16"/>
  <c r="S214" i="59"/>
  <c r="S244" i="53"/>
  <c r="S274" i="55"/>
  <c r="S244" i="57"/>
  <c r="S154" i="57"/>
  <c r="S4" i="41"/>
  <c r="S124" i="59"/>
  <c r="S244" i="55"/>
  <c r="S154" i="53"/>
  <c r="S214" i="58"/>
  <c r="AP94" i="52"/>
  <c r="G62" i="45"/>
  <c r="AN94" i="55"/>
  <c r="O91" i="46"/>
  <c r="N80" i="49"/>
  <c r="N81" i="49" s="1"/>
  <c r="R80" i="49"/>
  <c r="R81" i="49" s="1"/>
  <c r="T80" i="49"/>
  <c r="T81" i="49" s="1"/>
  <c r="Q62" i="49"/>
  <c r="I62" i="49"/>
  <c r="L80" i="49"/>
  <c r="L81" i="49" s="1"/>
  <c r="B61" i="49"/>
  <c r="K62" i="49"/>
  <c r="H80" i="49"/>
  <c r="H81" i="49" s="1"/>
  <c r="P80" i="49"/>
  <c r="P81" i="49" s="1"/>
  <c r="D80" i="49"/>
  <c r="D81" i="49" s="1"/>
  <c r="F80" i="49"/>
  <c r="F81" i="49" s="1"/>
  <c r="BB170" i="58"/>
  <c r="V169" i="58"/>
  <c r="V12" i="16"/>
  <c r="O15" i="16"/>
  <c r="AT214" i="57"/>
  <c r="AR34" i="52"/>
  <c r="S33" i="41"/>
  <c r="BT100" i="58"/>
  <c r="BT137" i="58"/>
  <c r="AH154" i="55"/>
  <c r="BC15" i="16"/>
  <c r="AD124" i="55"/>
  <c r="P15" i="16"/>
  <c r="CO15" i="16"/>
  <c r="AD34" i="58"/>
  <c r="CX6" i="16"/>
  <c r="E33" i="50"/>
  <c r="Q33" i="51"/>
  <c r="AP34" i="59"/>
  <c r="AI15" i="16"/>
  <c r="I33" i="45"/>
  <c r="BT67" i="58"/>
  <c r="L138" i="46"/>
  <c r="L139" i="46" s="1"/>
  <c r="M120" i="46"/>
  <c r="BJ10" i="16"/>
  <c r="BF260" i="59"/>
  <c r="F109" i="45"/>
  <c r="F110" i="45" s="1"/>
  <c r="AL214" i="52"/>
  <c r="V259" i="58"/>
  <c r="AL214" i="57"/>
  <c r="AN214" i="52"/>
  <c r="AH154" i="52"/>
  <c r="R138" i="46"/>
  <c r="R139" i="46" s="1"/>
  <c r="B147" i="46"/>
  <c r="O120" i="46"/>
  <c r="H138" i="46"/>
  <c r="H139" i="46" s="1"/>
  <c r="BB170" i="55"/>
  <c r="V169" i="55"/>
  <c r="H109" i="41"/>
  <c r="H110" i="41" s="1"/>
  <c r="M91" i="41"/>
  <c r="K91" i="41"/>
  <c r="B118" i="41"/>
  <c r="O120" i="41" s="1"/>
  <c r="D109" i="41"/>
  <c r="D110" i="41" s="1"/>
  <c r="E91" i="41"/>
  <c r="O91" i="41"/>
  <c r="I62" i="51"/>
  <c r="DI15" i="16"/>
  <c r="I124" i="52"/>
  <c r="I34" i="59"/>
  <c r="J80" i="51"/>
  <c r="J81" i="51" s="1"/>
  <c r="E214" i="58"/>
  <c r="E214" i="59"/>
  <c r="E34" i="57"/>
  <c r="V46" i="55"/>
  <c r="E4" i="59"/>
  <c r="G64" i="58"/>
  <c r="G244" i="55"/>
  <c r="AN154" i="52"/>
  <c r="I4" i="57"/>
  <c r="AH4" i="52"/>
  <c r="Q214" i="57"/>
  <c r="V282" i="53"/>
  <c r="BF167" i="52"/>
  <c r="BF225" i="52"/>
  <c r="BS285" i="52"/>
  <c r="BG288" i="52"/>
  <c r="BF14" i="53"/>
  <c r="BW40" i="53"/>
  <c r="M72" i="79" s="1"/>
  <c r="BF43" i="53"/>
  <c r="BW43" i="53"/>
  <c r="BX187" i="53"/>
  <c r="BG165" i="55"/>
  <c r="BW257" i="55"/>
  <c r="BS286" i="55"/>
  <c r="BF15" i="57"/>
  <c r="BX15" i="57"/>
  <c r="BG133" i="57"/>
  <c r="N46" i="81" s="1"/>
  <c r="BF133" i="57"/>
  <c r="BX138" i="57"/>
  <c r="BW193" i="57"/>
  <c r="BX277" i="57"/>
  <c r="BW128" i="59"/>
  <c r="BX220" i="59"/>
  <c r="BF228" i="59"/>
  <c r="BF230" i="59" s="1"/>
  <c r="BS254" i="59"/>
  <c r="BW288" i="59"/>
  <c r="BX288" i="59"/>
  <c r="H80" i="51"/>
  <c r="H81" i="51" s="1"/>
  <c r="G274" i="58"/>
  <c r="G124" i="52"/>
  <c r="AH94" i="52"/>
  <c r="V228" i="55"/>
  <c r="R232" i="53"/>
  <c r="BE104" i="52"/>
  <c r="V104" i="52"/>
  <c r="BE284" i="58"/>
  <c r="V284" i="58"/>
  <c r="AI208" i="53"/>
  <c r="AJ196" i="53" s="1"/>
  <c r="K196" i="53" s="1"/>
  <c r="AQ143" i="58"/>
  <c r="R143" i="58" s="1"/>
  <c r="N232" i="59"/>
  <c r="AM233" i="59"/>
  <c r="N233" i="59" s="1"/>
  <c r="AK143" i="53"/>
  <c r="L143" i="53" s="1"/>
  <c r="L142" i="53"/>
  <c r="BE168" i="58"/>
  <c r="V168" i="58"/>
  <c r="V77" i="53"/>
  <c r="BE77" i="53"/>
  <c r="BE162" i="53"/>
  <c r="V162" i="53"/>
  <c r="BE76" i="57"/>
  <c r="V76" i="57"/>
  <c r="BE138" i="57"/>
  <c r="V138" i="57"/>
  <c r="BE165" i="59"/>
  <c r="V165" i="59"/>
  <c r="AI203" i="53"/>
  <c r="J203" i="53" s="1"/>
  <c r="AI207" i="53"/>
  <c r="AJ193" i="53" s="1"/>
  <c r="K193" i="53" s="1"/>
  <c r="BE191" i="57"/>
  <c r="V191" i="57"/>
  <c r="Q62" i="51"/>
  <c r="G64" i="55"/>
  <c r="G154" i="53"/>
  <c r="G64" i="53"/>
  <c r="G274" i="52"/>
  <c r="V250" i="52"/>
  <c r="AK203" i="52"/>
  <c r="L203" i="52" s="1"/>
  <c r="L202" i="52"/>
  <c r="BE131" i="53"/>
  <c r="V131" i="53"/>
  <c r="BE15" i="55"/>
  <c r="V15" i="55"/>
  <c r="V40" i="52"/>
  <c r="AM23" i="58"/>
  <c r="N23" i="58" s="1"/>
  <c r="N22" i="58"/>
  <c r="AS53" i="58"/>
  <c r="T53" i="58" s="1"/>
  <c r="T52" i="58"/>
  <c r="O4" i="45"/>
  <c r="AN4" i="53"/>
  <c r="BE46" i="53"/>
  <c r="BX46" i="53" s="1"/>
  <c r="V46" i="53"/>
  <c r="BX287" i="52"/>
  <c r="BF287" i="52"/>
  <c r="BG287" i="52"/>
  <c r="BG160" i="53"/>
  <c r="BF160" i="53"/>
  <c r="BF168" i="53"/>
  <c r="BW168" i="53"/>
  <c r="BW167" i="55"/>
  <c r="BX167" i="55"/>
  <c r="BF282" i="55"/>
  <c r="BS282" i="55"/>
  <c r="BF77" i="57"/>
  <c r="BG77" i="57"/>
  <c r="N77" i="81" s="1"/>
  <c r="O77" i="81" s="1"/>
  <c r="BX98" i="57"/>
  <c r="BS98" i="57"/>
  <c r="BS158" i="57"/>
  <c r="BW158" i="57"/>
  <c r="BS187" i="57"/>
  <c r="BG187" i="57"/>
  <c r="N30" i="81" s="1"/>
  <c r="BS258" i="57"/>
  <c r="BG258" i="57"/>
  <c r="BX128" i="58"/>
  <c r="BW128" i="58"/>
  <c r="BX131" i="58"/>
  <c r="BG131" i="58"/>
  <c r="BS131" i="58"/>
  <c r="BT37" i="58" s="1"/>
  <c r="BG254" i="58"/>
  <c r="BX254" i="58"/>
  <c r="BF15" i="59"/>
  <c r="BF20" i="59" s="1"/>
  <c r="BS15" i="59"/>
  <c r="BF75" i="59"/>
  <c r="BG75" i="59"/>
  <c r="BS133" i="59"/>
  <c r="BF133" i="59"/>
  <c r="BF140" i="59" s="1"/>
  <c r="BS164" i="59"/>
  <c r="BF164" i="59"/>
  <c r="BF170" i="59" s="1"/>
  <c r="BW219" i="59"/>
  <c r="BG219" i="59"/>
  <c r="BG224" i="59"/>
  <c r="BW224" i="59"/>
  <c r="BS248" i="59"/>
  <c r="BX248" i="59"/>
  <c r="J202" i="53"/>
  <c r="O33" i="49"/>
  <c r="BE11" i="52"/>
  <c r="V11" i="52"/>
  <c r="BE99" i="53"/>
  <c r="V99" i="53"/>
  <c r="G4" i="53"/>
  <c r="G94" i="59"/>
  <c r="G244" i="52"/>
  <c r="G94" i="57"/>
  <c r="G34" i="58"/>
  <c r="AF34" i="52"/>
  <c r="G154" i="52"/>
  <c r="F80" i="46"/>
  <c r="F81" i="46" s="1"/>
  <c r="B61" i="46"/>
  <c r="AI53" i="53"/>
  <c r="J53" i="53" s="1"/>
  <c r="J52" i="53"/>
  <c r="P82" i="53"/>
  <c r="AO83" i="53"/>
  <c r="P83" i="53" s="1"/>
  <c r="V196" i="55"/>
  <c r="AK118" i="58"/>
  <c r="L118" i="58" s="1"/>
  <c r="AK117" i="58"/>
  <c r="AL103" i="58" s="1"/>
  <c r="BE77" i="58"/>
  <c r="V77" i="58"/>
  <c r="BE288" i="59"/>
  <c r="V288" i="59"/>
  <c r="BX9" i="52"/>
  <c r="BX12" i="52"/>
  <c r="BW12" i="52"/>
  <c r="BW42" i="52"/>
  <c r="BF68" i="52"/>
  <c r="BG68" i="52"/>
  <c r="BX134" i="52"/>
  <c r="BG134" i="52"/>
  <c r="BS165" i="52"/>
  <c r="BW197" i="52"/>
  <c r="BS197" i="52"/>
  <c r="BG252" i="52"/>
  <c r="BW278" i="52"/>
  <c r="BS278" i="52"/>
  <c r="BX281" i="52"/>
  <c r="BS7" i="53"/>
  <c r="BS12" i="53"/>
  <c r="BW15" i="53"/>
  <c r="BF18" i="53"/>
  <c r="BG18" i="53"/>
  <c r="BX67" i="53"/>
  <c r="BG99" i="53"/>
  <c r="BF136" i="53"/>
  <c r="BF140" i="53" s="1"/>
  <c r="BW136" i="53"/>
  <c r="M45" i="79" s="1"/>
  <c r="BW162" i="53"/>
  <c r="M81" i="79" s="1"/>
  <c r="BF162" i="53"/>
  <c r="BG188" i="53"/>
  <c r="BF225" i="53"/>
  <c r="BW225" i="53"/>
  <c r="BW251" i="53"/>
  <c r="BX251" i="53"/>
  <c r="BS251" i="53"/>
  <c r="BW277" i="53"/>
  <c r="M18" i="79" s="1"/>
  <c r="BS280" i="53"/>
  <c r="BW11" i="55"/>
  <c r="BX37" i="55"/>
  <c r="BX40" i="55"/>
  <c r="BX163" i="55"/>
  <c r="BX166" i="55"/>
  <c r="BX187" i="55"/>
  <c r="BF255" i="55"/>
  <c r="BX284" i="55"/>
  <c r="BS287" i="55"/>
  <c r="BF10" i="57"/>
  <c r="BX47" i="57"/>
  <c r="BF71" i="57"/>
  <c r="BS71" i="57"/>
  <c r="BW99" i="57"/>
  <c r="BS102" i="57"/>
  <c r="BF105" i="57"/>
  <c r="BF110" i="57" s="1"/>
  <c r="BF160" i="57"/>
  <c r="BF223" i="57"/>
  <c r="BX280" i="57"/>
  <c r="BX283" i="57"/>
  <c r="BF283" i="57"/>
  <c r="BX43" i="58"/>
  <c r="BW98" i="58"/>
  <c r="BG222" i="58"/>
  <c r="BX253" i="58"/>
  <c r="BX277" i="58"/>
  <c r="BG277" i="58"/>
  <c r="BS221" i="59"/>
  <c r="BX252" i="59"/>
  <c r="BX286" i="59"/>
  <c r="V135" i="58"/>
  <c r="BE158" i="55"/>
  <c r="V158" i="55"/>
  <c r="O62" i="51"/>
  <c r="AF4" i="52"/>
  <c r="T80" i="51"/>
  <c r="T81" i="51" s="1"/>
  <c r="G4" i="55"/>
  <c r="G94" i="52"/>
  <c r="G4" i="58"/>
  <c r="AU289" i="57"/>
  <c r="V130" i="55"/>
  <c r="F82" i="53"/>
  <c r="AE83" i="53"/>
  <c r="F83" i="53" s="1"/>
  <c r="BX280" i="52"/>
  <c r="BX106" i="53"/>
  <c r="BF170" i="58"/>
  <c r="S62" i="51"/>
  <c r="CD7" i="16"/>
  <c r="B89" i="51"/>
  <c r="M91" i="51" s="1"/>
  <c r="E4" i="57"/>
  <c r="E64" i="59"/>
  <c r="E64" i="57"/>
  <c r="BF110" i="58"/>
  <c r="G34" i="53"/>
  <c r="G154" i="55"/>
  <c r="I244" i="58"/>
  <c r="I4" i="52"/>
  <c r="AG15" i="16"/>
  <c r="AU19" i="59"/>
  <c r="AP12" i="16"/>
  <c r="F31" i="51"/>
  <c r="F2" i="51"/>
  <c r="E8" i="90" s="1"/>
  <c r="BE107" i="53"/>
  <c r="V107" i="53"/>
  <c r="BE9" i="55"/>
  <c r="V9" i="55"/>
  <c r="BE18" i="58"/>
  <c r="V18" i="58"/>
  <c r="BE68" i="53"/>
  <c r="V68" i="53"/>
  <c r="BE13" i="57"/>
  <c r="BX13" i="57" s="1"/>
  <c r="V13" i="57"/>
  <c r="BX13" i="58"/>
  <c r="BE71" i="53"/>
  <c r="V71" i="53"/>
  <c r="BE188" i="53"/>
  <c r="V188" i="53"/>
  <c r="BE288" i="53"/>
  <c r="V288" i="53"/>
  <c r="BE219" i="55"/>
  <c r="V219" i="55"/>
  <c r="BE228" i="57"/>
  <c r="V228" i="57"/>
  <c r="BG73" i="53"/>
  <c r="N27" i="79" s="1"/>
  <c r="BX128" i="53"/>
  <c r="BG8" i="57"/>
  <c r="BX106" i="57"/>
  <c r="BX193" i="57"/>
  <c r="BG252" i="57"/>
  <c r="BX253" i="57"/>
  <c r="BF7" i="58"/>
  <c r="BX10" i="58"/>
  <c r="BX157" i="58"/>
  <c r="BG188" i="58"/>
  <c r="BX220" i="58"/>
  <c r="BX226" i="58"/>
  <c r="BX247" i="58"/>
  <c r="BX7" i="59"/>
  <c r="BX69" i="59"/>
  <c r="BX70" i="59"/>
  <c r="BG77" i="59"/>
  <c r="BX106" i="59"/>
  <c r="BX130" i="59"/>
  <c r="BX133" i="59"/>
  <c r="BX136" i="59"/>
  <c r="BW167" i="59"/>
  <c r="BX193" i="59"/>
  <c r="BX217" i="59"/>
  <c r="BX250" i="59"/>
  <c r="BX253" i="59"/>
  <c r="BX256" i="59"/>
  <c r="BX280" i="59"/>
  <c r="BE138" i="53"/>
  <c r="V138" i="53"/>
  <c r="BE254" i="59"/>
  <c r="V254" i="59"/>
  <c r="BE223" i="52"/>
  <c r="V223" i="52"/>
  <c r="BE40" i="53"/>
  <c r="V40" i="53"/>
  <c r="BE256" i="53"/>
  <c r="BX256" i="53" s="1"/>
  <c r="V256" i="53"/>
  <c r="BE281" i="57"/>
  <c r="V281" i="57"/>
  <c r="BX133" i="53"/>
  <c r="BX97" i="57"/>
  <c r="BX286" i="57"/>
  <c r="BX67" i="58"/>
  <c r="BX40" i="59"/>
  <c r="BE256" i="55"/>
  <c r="V256" i="55"/>
  <c r="BE159" i="52"/>
  <c r="V159" i="52"/>
  <c r="BE192" i="59"/>
  <c r="V192" i="59"/>
  <c r="BW193" i="52"/>
  <c r="BX220" i="52"/>
  <c r="BX277" i="52"/>
  <c r="BS286" i="52"/>
  <c r="BG13" i="52"/>
  <c r="BG16" i="52"/>
  <c r="BW253" i="52"/>
  <c r="N45" i="79"/>
  <c r="N15" i="81"/>
  <c r="O15" i="81" s="1"/>
  <c r="N47" i="81"/>
  <c r="O47" i="81" s="1"/>
  <c r="BG43" i="52"/>
  <c r="N11" i="78" s="1"/>
  <c r="BW104" i="52"/>
  <c r="BS136" i="52"/>
  <c r="V14" i="59"/>
  <c r="BX40" i="53"/>
  <c r="BX76" i="53"/>
  <c r="BX100" i="53"/>
  <c r="BX103" i="53"/>
  <c r="BX220" i="53"/>
  <c r="BX223" i="53"/>
  <c r="BX286" i="53"/>
  <c r="BX10" i="55"/>
  <c r="BX190" i="55"/>
  <c r="BX193" i="55"/>
  <c r="BX253" i="55"/>
  <c r="BX256" i="55"/>
  <c r="BX277" i="55"/>
  <c r="BX280" i="55"/>
  <c r="BX283" i="55"/>
  <c r="BX40" i="57"/>
  <c r="BX37" i="52"/>
  <c r="BS78" i="52"/>
  <c r="BW67" i="57"/>
  <c r="N43" i="79"/>
  <c r="O43" i="79" s="1"/>
  <c r="F202" i="58"/>
  <c r="AG203" i="58"/>
  <c r="H203" i="58" s="1"/>
  <c r="AS296" i="55"/>
  <c r="T296" i="55" s="1"/>
  <c r="R202" i="57"/>
  <c r="AG143" i="59"/>
  <c r="H143" i="59" s="1"/>
  <c r="AK178" i="57"/>
  <c r="L178" i="57" s="1"/>
  <c r="J22" i="57"/>
  <c r="D52" i="58"/>
  <c r="AG146" i="59"/>
  <c r="AH130" i="59" s="1"/>
  <c r="I130" i="59" s="1"/>
  <c r="AI293" i="57"/>
  <c r="J293" i="57" s="1"/>
  <c r="J172" i="53"/>
  <c r="L172" i="57"/>
  <c r="AK233" i="55"/>
  <c r="L233" i="55" s="1"/>
  <c r="AC143" i="57"/>
  <c r="D143" i="57" s="1"/>
  <c r="AS298" i="55"/>
  <c r="T298" i="55" s="1"/>
  <c r="AK23" i="53"/>
  <c r="L23" i="53" s="1"/>
  <c r="AO203" i="53"/>
  <c r="P203" i="53" s="1"/>
  <c r="AG147" i="59"/>
  <c r="H147" i="59" s="1"/>
  <c r="AK175" i="57"/>
  <c r="T172" i="52"/>
  <c r="AK173" i="57"/>
  <c r="L173" i="57" s="1"/>
  <c r="R22" i="59"/>
  <c r="T292" i="55"/>
  <c r="J292" i="52"/>
  <c r="T52" i="59"/>
  <c r="AK296" i="52"/>
  <c r="AL280" i="52" s="1"/>
  <c r="M280" i="52" s="1"/>
  <c r="AI23" i="53"/>
  <c r="J23" i="53" s="1"/>
  <c r="N202" i="53"/>
  <c r="AO173" i="59"/>
  <c r="P173" i="59" s="1"/>
  <c r="AC57" i="58"/>
  <c r="AD43" i="58" s="1"/>
  <c r="E43" i="58" s="1"/>
  <c r="AS58" i="59"/>
  <c r="T58" i="59" s="1"/>
  <c r="AO53" i="57"/>
  <c r="P53" i="57" s="1"/>
  <c r="N232" i="52"/>
  <c r="AC263" i="59"/>
  <c r="D263" i="59" s="1"/>
  <c r="AK176" i="57"/>
  <c r="L176" i="57" s="1"/>
  <c r="AS53" i="59"/>
  <c r="T53" i="59" s="1"/>
  <c r="AM173" i="59"/>
  <c r="N173" i="59" s="1"/>
  <c r="AG173" i="53"/>
  <c r="H173" i="53" s="1"/>
  <c r="AE143" i="59"/>
  <c r="F143" i="59" s="1"/>
  <c r="AK293" i="59"/>
  <c r="L293" i="59" s="1"/>
  <c r="AC55" i="58"/>
  <c r="AD37" i="58" s="1"/>
  <c r="AS57" i="59"/>
  <c r="AM263" i="55"/>
  <c r="N263" i="55" s="1"/>
  <c r="L292" i="57"/>
  <c r="AG83" i="52"/>
  <c r="H83" i="52" s="1"/>
  <c r="AI83" i="52"/>
  <c r="J83" i="52" s="1"/>
  <c r="AC58" i="58"/>
  <c r="AD46" i="58" s="1"/>
  <c r="E46" i="58" s="1"/>
  <c r="AS56" i="59"/>
  <c r="AT40" i="59" s="1"/>
  <c r="U40" i="59" s="1"/>
  <c r="D262" i="57"/>
  <c r="AK293" i="52"/>
  <c r="L293" i="52" s="1"/>
  <c r="AK297" i="52"/>
  <c r="L297" i="52" s="1"/>
  <c r="H22" i="57"/>
  <c r="AC53" i="58"/>
  <c r="D53" i="58" s="1"/>
  <c r="F262" i="59"/>
  <c r="J292" i="59"/>
  <c r="AK298" i="52"/>
  <c r="AL286" i="52" s="1"/>
  <c r="M286" i="52" s="1"/>
  <c r="L292" i="52"/>
  <c r="AE143" i="52"/>
  <c r="F143" i="52" s="1"/>
  <c r="F142" i="57"/>
  <c r="J82" i="55"/>
  <c r="D142" i="53"/>
  <c r="AK263" i="55"/>
  <c r="L263" i="55" s="1"/>
  <c r="R172" i="52"/>
  <c r="N232" i="58"/>
  <c r="T202" i="59"/>
  <c r="AS295" i="55"/>
  <c r="T295" i="55" s="1"/>
  <c r="BG286" i="52"/>
  <c r="BX286" i="52"/>
  <c r="BF286" i="52"/>
  <c r="V280" i="52"/>
  <c r="AU289" i="52"/>
  <c r="BW277" i="52"/>
  <c r="BS277" i="52"/>
  <c r="BG277" i="52"/>
  <c r="BF277" i="52"/>
  <c r="BS256" i="52"/>
  <c r="BW256" i="52"/>
  <c r="BG256" i="52"/>
  <c r="BG253" i="52"/>
  <c r="N57" i="78" s="1"/>
  <c r="BF253" i="52"/>
  <c r="BF260" i="52" s="1"/>
  <c r="BX253" i="52"/>
  <c r="BS253" i="52"/>
  <c r="V259" i="52"/>
  <c r="BE226" i="52"/>
  <c r="BX226" i="52" s="1"/>
  <c r="AU229" i="52"/>
  <c r="BB230" i="52" s="1"/>
  <c r="BF220" i="52"/>
  <c r="BS220" i="52"/>
  <c r="BW220" i="52"/>
  <c r="BG220" i="52"/>
  <c r="N99" i="78"/>
  <c r="O99" i="78" s="1"/>
  <c r="BS193" i="52"/>
  <c r="BF193" i="52"/>
  <c r="BX193" i="52"/>
  <c r="BS190" i="52"/>
  <c r="BF190" i="52"/>
  <c r="BG190" i="52"/>
  <c r="AU199" i="52"/>
  <c r="V199" i="52" s="1"/>
  <c r="J199" i="52"/>
  <c r="BB170" i="52"/>
  <c r="BE166" i="52"/>
  <c r="BX166" i="52" s="1"/>
  <c r="BF136" i="52"/>
  <c r="BG136" i="52"/>
  <c r="BX136" i="52"/>
  <c r="BW136" i="52"/>
  <c r="M45" i="78" s="1"/>
  <c r="BE133" i="52"/>
  <c r="BF130" i="52"/>
  <c r="BW130" i="52"/>
  <c r="BG130" i="52"/>
  <c r="BX130" i="52"/>
  <c r="BS130" i="52"/>
  <c r="AU139" i="52"/>
  <c r="V139" i="52" s="1"/>
  <c r="BG106" i="52"/>
  <c r="BX106" i="52"/>
  <c r="BS106" i="52"/>
  <c r="BF106" i="52"/>
  <c r="BW106" i="52"/>
  <c r="M13" i="78" s="1"/>
  <c r="BG104" i="52"/>
  <c r="BX104" i="52"/>
  <c r="BS104" i="52"/>
  <c r="BF104" i="52"/>
  <c r="V100" i="52"/>
  <c r="AU109" i="52"/>
  <c r="N11" i="79"/>
  <c r="M43" i="79"/>
  <c r="N96" i="78"/>
  <c r="O96" i="78" s="1"/>
  <c r="M18" i="78"/>
  <c r="N98" i="78"/>
  <c r="O98" i="78" s="1"/>
  <c r="N16" i="78"/>
  <c r="M33" i="78"/>
  <c r="BF76" i="52"/>
  <c r="BW76" i="52"/>
  <c r="M25" i="78" s="1"/>
  <c r="BX76" i="52"/>
  <c r="BS76" i="52"/>
  <c r="BG76" i="52"/>
  <c r="BS73" i="52"/>
  <c r="BF73" i="52"/>
  <c r="BW73" i="52"/>
  <c r="BX73" i="52"/>
  <c r="BG73" i="52"/>
  <c r="AU79" i="52"/>
  <c r="V79" i="52" s="1"/>
  <c r="D79" i="52"/>
  <c r="AD130" i="55"/>
  <c r="E130" i="55" s="1"/>
  <c r="V49" i="52"/>
  <c r="BS46" i="52"/>
  <c r="BW46" i="52"/>
  <c r="M10" i="78" s="1"/>
  <c r="BG46" i="52"/>
  <c r="BF46" i="52"/>
  <c r="BX46" i="52"/>
  <c r="BW43" i="52"/>
  <c r="BS43" i="52"/>
  <c r="BF43" i="52"/>
  <c r="BX43" i="52"/>
  <c r="V37" i="52"/>
  <c r="BX16" i="52"/>
  <c r="BS16" i="52"/>
  <c r="BW16" i="52"/>
  <c r="M2" i="78" s="1"/>
  <c r="BF13" i="52"/>
  <c r="BF20" i="52" s="1"/>
  <c r="BS13" i="52"/>
  <c r="BX13" i="52"/>
  <c r="BW13" i="52"/>
  <c r="AU19" i="52"/>
  <c r="V19" i="52" s="1"/>
  <c r="V7" i="52"/>
  <c r="M36" i="78"/>
  <c r="N68" i="78"/>
  <c r="N84" i="78"/>
  <c r="O84" i="78" s="1"/>
  <c r="BT69" i="58"/>
  <c r="BT224" i="58"/>
  <c r="BT38" i="58"/>
  <c r="BT164" i="58"/>
  <c r="J138" i="45"/>
  <c r="J139" i="45" s="1"/>
  <c r="K120" i="45"/>
  <c r="S120" i="45"/>
  <c r="N138" i="45"/>
  <c r="N139" i="45" s="1"/>
  <c r="N62" i="81"/>
  <c r="O62" i="81" s="1"/>
  <c r="DK15" i="16"/>
  <c r="AH184" i="59"/>
  <c r="DR11" i="16"/>
  <c r="BF170" i="52"/>
  <c r="O124" i="55"/>
  <c r="BB50" i="53"/>
  <c r="V49" i="53"/>
  <c r="AP214" i="52"/>
  <c r="O64" i="58"/>
  <c r="S184" i="59"/>
  <c r="S64" i="57"/>
  <c r="S184" i="57"/>
  <c r="AR4" i="52"/>
  <c r="S34" i="55"/>
  <c r="S214" i="55"/>
  <c r="S34" i="59"/>
  <c r="S274" i="53"/>
  <c r="S274" i="52"/>
  <c r="S154" i="52"/>
  <c r="S34" i="53"/>
  <c r="S274" i="59"/>
  <c r="S244" i="59"/>
  <c r="S124" i="53"/>
  <c r="S34" i="57"/>
  <c r="S64" i="53"/>
  <c r="S4" i="52"/>
  <c r="S274" i="58"/>
  <c r="S154" i="58"/>
  <c r="S124" i="55"/>
  <c r="S214" i="53"/>
  <c r="S94" i="52"/>
  <c r="BT44" i="58"/>
  <c r="BT11" i="58"/>
  <c r="BT252" i="58"/>
  <c r="BW15" i="16"/>
  <c r="AH34" i="57"/>
  <c r="G91" i="46"/>
  <c r="AF94" i="55"/>
  <c r="BT162" i="58"/>
  <c r="BT193" i="58"/>
  <c r="BT39" i="58"/>
  <c r="BT222" i="58"/>
  <c r="V259" i="55"/>
  <c r="M59" i="79"/>
  <c r="M61" i="79"/>
  <c r="DR9" i="16"/>
  <c r="V19" i="55"/>
  <c r="BB20" i="55"/>
  <c r="O94" i="58"/>
  <c r="G62" i="41"/>
  <c r="BT77" i="58"/>
  <c r="BT277" i="58"/>
  <c r="BT249" i="58"/>
  <c r="BT226" i="58"/>
  <c r="BT10" i="58"/>
  <c r="BI15" i="16"/>
  <c r="BJ8" i="16"/>
  <c r="E91" i="46"/>
  <c r="O214" i="57"/>
  <c r="AH184" i="52"/>
  <c r="U34" i="53"/>
  <c r="U214" i="52"/>
  <c r="U124" i="55"/>
  <c r="U94" i="53"/>
  <c r="U4" i="41"/>
  <c r="U34" i="59"/>
  <c r="U4" i="59"/>
  <c r="U4" i="58"/>
  <c r="U184" i="52"/>
  <c r="U184" i="55"/>
  <c r="U34" i="52"/>
  <c r="U94" i="55"/>
  <c r="BT8" i="58"/>
  <c r="BT127" i="58"/>
  <c r="DP15" i="16"/>
  <c r="AR94" i="59"/>
  <c r="O4" i="57"/>
  <c r="O4" i="41"/>
  <c r="BT78" i="58"/>
  <c r="BT165" i="58"/>
  <c r="BT99" i="58"/>
  <c r="BT194" i="58"/>
  <c r="BT253" i="58"/>
  <c r="V289" i="59"/>
  <c r="U91" i="41"/>
  <c r="DJ15" i="16"/>
  <c r="AF64" i="59"/>
  <c r="BF80" i="59"/>
  <c r="BF140" i="58"/>
  <c r="M60" i="79"/>
  <c r="AL64" i="57"/>
  <c r="O64" i="55"/>
  <c r="O4" i="59"/>
  <c r="O274" i="53"/>
  <c r="O214" i="52"/>
  <c r="O124" i="52"/>
  <c r="O244" i="55"/>
  <c r="O124" i="57"/>
  <c r="O34" i="58"/>
  <c r="O4" i="55"/>
  <c r="O94" i="57"/>
  <c r="O184" i="52"/>
  <c r="O214" i="58"/>
  <c r="O124" i="53"/>
  <c r="O34" i="55"/>
  <c r="O64" i="59"/>
  <c r="O124" i="58"/>
  <c r="O274" i="52"/>
  <c r="O214" i="53"/>
  <c r="O214" i="55"/>
  <c r="O4" i="53"/>
  <c r="O184" i="57"/>
  <c r="O154" i="59"/>
  <c r="O244" i="57"/>
  <c r="O154" i="55"/>
  <c r="O94" i="55"/>
  <c r="O4" i="58"/>
  <c r="O244" i="59"/>
  <c r="O184" i="58"/>
  <c r="BT103" i="58"/>
  <c r="BT225" i="58"/>
  <c r="BT71" i="58"/>
  <c r="BT138" i="58"/>
  <c r="BF200" i="59"/>
  <c r="V8" i="16"/>
  <c r="BJ9" i="16"/>
  <c r="M62" i="46"/>
  <c r="AL64" i="55"/>
  <c r="G62" i="46"/>
  <c r="O274" i="58"/>
  <c r="AH244" i="52"/>
  <c r="AF244" i="52"/>
  <c r="AH4" i="58"/>
  <c r="CX5" i="16"/>
  <c r="BT187" i="58"/>
  <c r="BT73" i="58"/>
  <c r="BT189" i="58"/>
  <c r="BT74" i="58"/>
  <c r="BT228" i="58"/>
  <c r="O184" i="55"/>
  <c r="AP13" i="16"/>
  <c r="M15" i="16"/>
  <c r="AL184" i="52"/>
  <c r="S62" i="46"/>
  <c r="BH15" i="16"/>
  <c r="I120" i="41"/>
  <c r="H138" i="41"/>
  <c r="H139" i="41" s="1"/>
  <c r="E120" i="41"/>
  <c r="M62" i="41"/>
  <c r="AL64" i="52"/>
  <c r="V13" i="16"/>
  <c r="E33" i="46"/>
  <c r="DR7" i="16"/>
  <c r="E62" i="51"/>
  <c r="AN34" i="55"/>
  <c r="O33" i="46"/>
  <c r="BB110" i="59"/>
  <c r="BB200" i="52"/>
  <c r="BJ12" i="16"/>
  <c r="O4" i="52"/>
  <c r="V6" i="16"/>
  <c r="L138" i="41"/>
  <c r="L139" i="41" s="1"/>
  <c r="O64" i="53"/>
  <c r="AL94" i="52"/>
  <c r="Q244" i="52"/>
  <c r="V11" i="16"/>
  <c r="AL34" i="52"/>
  <c r="J80" i="41"/>
  <c r="J81" i="41" s="1"/>
  <c r="BX157" i="55"/>
  <c r="BX160" i="55"/>
  <c r="BG280" i="59"/>
  <c r="M62" i="79"/>
  <c r="M9" i="82"/>
  <c r="BX70" i="55"/>
  <c r="BX18" i="58"/>
  <c r="BW73" i="59"/>
  <c r="BG256" i="59"/>
  <c r="M38" i="78"/>
  <c r="M86" i="78"/>
  <c r="N15" i="79"/>
  <c r="O15" i="79" s="1"/>
  <c r="N31" i="79"/>
  <c r="N33" i="81"/>
  <c r="O33" i="81" s="1"/>
  <c r="N26" i="82"/>
  <c r="O26" i="82" s="1"/>
  <c r="M42" i="82"/>
  <c r="BS217" i="59"/>
  <c r="N7" i="78"/>
  <c r="N23" i="78"/>
  <c r="O23" i="78" s="1"/>
  <c r="M39" i="78"/>
  <c r="M55" i="78"/>
  <c r="N71" i="78"/>
  <c r="N87" i="78"/>
  <c r="O87" i="78" s="1"/>
  <c r="M16" i="79"/>
  <c r="M32" i="79"/>
  <c r="M48" i="79"/>
  <c r="M64" i="79"/>
  <c r="N50" i="81"/>
  <c r="O50" i="81" s="1"/>
  <c r="M11" i="82"/>
  <c r="N43" i="82"/>
  <c r="O43" i="82" s="1"/>
  <c r="DR6" i="16"/>
  <c r="BA15" i="16"/>
  <c r="U4" i="49"/>
  <c r="Q91" i="41"/>
  <c r="Q64" i="52"/>
  <c r="AN274" i="52"/>
  <c r="AP9" i="16"/>
  <c r="P80" i="41"/>
  <c r="P81" i="41" s="1"/>
  <c r="M8" i="78"/>
  <c r="N24" i="78"/>
  <c r="M40" i="78"/>
  <c r="N88" i="78"/>
  <c r="O88" i="78" s="1"/>
  <c r="N104" i="78"/>
  <c r="O104" i="78" s="1"/>
  <c r="M17" i="79"/>
  <c r="M33" i="79"/>
  <c r="M49" i="79"/>
  <c r="N19" i="81"/>
  <c r="O19" i="81" s="1"/>
  <c r="M28" i="82"/>
  <c r="N21" i="83"/>
  <c r="O21" i="83" s="1"/>
  <c r="AP7" i="16"/>
  <c r="Q154" i="58"/>
  <c r="AD64" i="52"/>
  <c r="R80" i="41"/>
  <c r="R81" i="41" s="1"/>
  <c r="BX190" i="52"/>
  <c r="BX256" i="52"/>
  <c r="BX13" i="53"/>
  <c r="BX37" i="53"/>
  <c r="BX160" i="57"/>
  <c r="BG103" i="59"/>
  <c r="N93" i="83" s="1"/>
  <c r="O93" i="83" s="1"/>
  <c r="M9" i="78"/>
  <c r="M73" i="78"/>
  <c r="M2" i="79"/>
  <c r="N18" i="79"/>
  <c r="M34" i="79"/>
  <c r="M50" i="79"/>
  <c r="N4" i="81"/>
  <c r="N20" i="81"/>
  <c r="N52" i="81"/>
  <c r="N68" i="81"/>
  <c r="M13" i="82"/>
  <c r="N29" i="82"/>
  <c r="O29" i="82" s="1"/>
  <c r="M45" i="82"/>
  <c r="T80" i="50"/>
  <c r="T81" i="50" s="1"/>
  <c r="BW166" i="55"/>
  <c r="BG44" i="58"/>
  <c r="N60" i="82" s="1"/>
  <c r="O60" i="82" s="1"/>
  <c r="BX193" i="58"/>
  <c r="N26" i="78"/>
  <c r="M42" i="78"/>
  <c r="N90" i="78"/>
  <c r="O90" i="78" s="1"/>
  <c r="N3" i="79"/>
  <c r="M19" i="79"/>
  <c r="N35" i="79"/>
  <c r="O35" i="79" s="1"/>
  <c r="M51" i="79"/>
  <c r="M67" i="79"/>
  <c r="N5" i="81"/>
  <c r="N37" i="81"/>
  <c r="O37" i="81" s="1"/>
  <c r="N69" i="81"/>
  <c r="N85" i="81"/>
  <c r="O85" i="81" s="1"/>
  <c r="M14" i="82"/>
  <c r="N30" i="82"/>
  <c r="O30" i="82" s="1"/>
  <c r="M46" i="82"/>
  <c r="DM15" i="16"/>
  <c r="J138" i="46"/>
  <c r="J139" i="46" s="1"/>
  <c r="DR12" i="16"/>
  <c r="BB110" i="55"/>
  <c r="BG15" i="16"/>
  <c r="Q244" i="53"/>
  <c r="Q244" i="57"/>
  <c r="F80" i="50"/>
  <c r="F81" i="50" s="1"/>
  <c r="AH4" i="59"/>
  <c r="BG75" i="53"/>
  <c r="N79" i="79" s="1"/>
  <c r="BW249" i="57"/>
  <c r="BW46" i="58"/>
  <c r="M102" i="82" s="1"/>
  <c r="N27" i="78"/>
  <c r="N43" i="78"/>
  <c r="O43" i="78" s="1"/>
  <c r="N75" i="78"/>
  <c r="O75" i="78" s="1"/>
  <c r="M4" i="79"/>
  <c r="M20" i="79"/>
  <c r="M36" i="79"/>
  <c r="M52" i="79"/>
  <c r="N6" i="81"/>
  <c r="O6" i="81" s="1"/>
  <c r="N38" i="81"/>
  <c r="O38" i="81" s="1"/>
  <c r="N15" i="82"/>
  <c r="O15" i="82" s="1"/>
  <c r="N31" i="82"/>
  <c r="O31" i="82" s="1"/>
  <c r="N47" i="82"/>
  <c r="O47" i="82" s="1"/>
  <c r="K62" i="50"/>
  <c r="BW128" i="57"/>
  <c r="N28" i="78"/>
  <c r="O28" i="78" s="1"/>
  <c r="N44" i="78"/>
  <c r="M5" i="79"/>
  <c r="N21" i="79"/>
  <c r="O21" i="79" s="1"/>
  <c r="M37" i="79"/>
  <c r="M53" i="79"/>
  <c r="N23" i="81"/>
  <c r="O23" i="81" s="1"/>
  <c r="N39" i="81"/>
  <c r="O39" i="81" s="1"/>
  <c r="N55" i="81"/>
  <c r="N16" i="82"/>
  <c r="O16" i="82" s="1"/>
  <c r="N32" i="82"/>
  <c r="O32" i="82" s="1"/>
  <c r="M48" i="82"/>
  <c r="M64" i="82"/>
  <c r="N57" i="83"/>
  <c r="O57" i="83" s="1"/>
  <c r="P80" i="50"/>
  <c r="P81" i="50" s="1"/>
  <c r="M62" i="50"/>
  <c r="E33" i="49"/>
  <c r="O62" i="50"/>
  <c r="AS113" i="58"/>
  <c r="T113" i="58" s="1"/>
  <c r="BF70" i="52"/>
  <c r="BS197" i="55"/>
  <c r="N29" i="78"/>
  <c r="N77" i="78"/>
  <c r="O77" i="78" s="1"/>
  <c r="N93" i="78"/>
  <c r="O93" i="78" s="1"/>
  <c r="M6" i="79"/>
  <c r="M38" i="79"/>
  <c r="M54" i="79"/>
  <c r="N8" i="81"/>
  <c r="O8" i="81" s="1"/>
  <c r="N24" i="81"/>
  <c r="N72" i="81"/>
  <c r="O72" i="81" s="1"/>
  <c r="N33" i="82"/>
  <c r="O33" i="82" s="1"/>
  <c r="N49" i="82"/>
  <c r="O49" i="82" s="1"/>
  <c r="M65" i="82"/>
  <c r="M81" i="82"/>
  <c r="N10" i="83"/>
  <c r="O10" i="83" s="1"/>
  <c r="Q154" i="53"/>
  <c r="Q62" i="50"/>
  <c r="N80" i="50"/>
  <c r="N81" i="50" s="1"/>
  <c r="H80" i="50"/>
  <c r="H81" i="50" s="1"/>
  <c r="U62" i="50"/>
  <c r="L142" i="57"/>
  <c r="BF41" i="52"/>
  <c r="BF14" i="58"/>
  <c r="BF20" i="58" s="1"/>
  <c r="BF256" i="58"/>
  <c r="BF260" i="58" s="1"/>
  <c r="M30" i="78"/>
  <c r="M46" i="78"/>
  <c r="M62" i="78"/>
  <c r="N78" i="78"/>
  <c r="O78" i="78" s="1"/>
  <c r="N94" i="78"/>
  <c r="O94" i="78" s="1"/>
  <c r="N7" i="79"/>
  <c r="M23" i="79"/>
  <c r="N39" i="79"/>
  <c r="O39" i="79" s="1"/>
  <c r="N55" i="79"/>
  <c r="M71" i="79"/>
  <c r="N73" i="81"/>
  <c r="O73" i="81" s="1"/>
  <c r="M2" i="82"/>
  <c r="M34" i="82"/>
  <c r="N50" i="82"/>
  <c r="O50" i="82" s="1"/>
  <c r="M66" i="82"/>
  <c r="M214" i="59"/>
  <c r="Q274" i="55"/>
  <c r="U33" i="50"/>
  <c r="S62" i="50"/>
  <c r="J80" i="50"/>
  <c r="J81" i="50" s="1"/>
  <c r="D262" i="53"/>
  <c r="BF188" i="52"/>
  <c r="BW226" i="55"/>
  <c r="BF40" i="58"/>
  <c r="BF50" i="58" s="1"/>
  <c r="M47" i="78"/>
  <c r="N8" i="79"/>
  <c r="O8" i="79" s="1"/>
  <c r="M24" i="79"/>
  <c r="M40" i="79"/>
  <c r="N10" i="81"/>
  <c r="O10" i="81" s="1"/>
  <c r="N26" i="81"/>
  <c r="N58" i="81"/>
  <c r="N3" i="82"/>
  <c r="O3" i="82" s="1"/>
  <c r="M19" i="82"/>
  <c r="Q244" i="55"/>
  <c r="AT34" i="58"/>
  <c r="E62" i="50"/>
  <c r="CS15" i="16"/>
  <c r="BW38" i="52"/>
  <c r="M72" i="78" s="1"/>
  <c r="BX46" i="57"/>
  <c r="BX67" i="57"/>
  <c r="BF251" i="57"/>
  <c r="M48" i="78"/>
  <c r="M96" i="78"/>
  <c r="M9" i="79"/>
  <c r="M57" i="79"/>
  <c r="N43" i="81"/>
  <c r="O43" i="81" s="1"/>
  <c r="N59" i="81"/>
  <c r="N4" i="82"/>
  <c r="O4" i="82" s="1"/>
  <c r="M68" i="82"/>
  <c r="Q184" i="55"/>
  <c r="B89" i="50"/>
  <c r="D80" i="50"/>
  <c r="D81" i="50" s="1"/>
  <c r="BX286" i="55"/>
  <c r="BF226" i="58"/>
  <c r="BF230" i="58" s="1"/>
  <c r="M17" i="78"/>
  <c r="M97" i="78"/>
  <c r="M42" i="79"/>
  <c r="M58" i="79"/>
  <c r="M90" i="79"/>
  <c r="N28" i="81"/>
  <c r="O28" i="81" s="1"/>
  <c r="N44" i="81"/>
  <c r="N60" i="81"/>
  <c r="M21" i="82"/>
  <c r="N37" i="82"/>
  <c r="O37" i="82" s="1"/>
  <c r="M53" i="82"/>
  <c r="M101" i="82"/>
  <c r="BG223" i="58"/>
  <c r="N95" i="82" s="1"/>
  <c r="O95" i="82" s="1"/>
  <c r="Q64" i="55"/>
  <c r="AP14" i="16"/>
  <c r="N85" i="78"/>
  <c r="O85" i="78" s="1"/>
  <c r="N101" i="78"/>
  <c r="O101" i="78" s="1"/>
  <c r="M83" i="82"/>
  <c r="N40" i="79"/>
  <c r="O40" i="79" s="1"/>
  <c r="N81" i="78"/>
  <c r="O81" i="78" s="1"/>
  <c r="N97" i="78"/>
  <c r="O97" i="78" s="1"/>
  <c r="N95" i="78"/>
  <c r="O95" i="78" s="1"/>
  <c r="P236" i="57"/>
  <c r="AP217" i="57"/>
  <c r="Q217" i="57" s="1"/>
  <c r="M78" i="78"/>
  <c r="R175" i="59"/>
  <c r="AL163" i="57"/>
  <c r="M163" i="57" s="1"/>
  <c r="AF220" i="59"/>
  <c r="G220" i="59" s="1"/>
  <c r="N42" i="79"/>
  <c r="J117" i="57"/>
  <c r="AP163" i="53"/>
  <c r="Q163" i="53" s="1"/>
  <c r="AD280" i="57"/>
  <c r="E280" i="57" s="1"/>
  <c r="M66" i="79"/>
  <c r="AC149" i="55"/>
  <c r="D149" i="55" s="1"/>
  <c r="F177" i="58"/>
  <c r="N87" i="58"/>
  <c r="D297" i="57"/>
  <c r="N34" i="79"/>
  <c r="O34" i="79" s="1"/>
  <c r="AL157" i="55"/>
  <c r="M157" i="55" s="1"/>
  <c r="N79" i="78"/>
  <c r="O79" i="78" s="1"/>
  <c r="AJ256" i="58"/>
  <c r="K256" i="58" s="1"/>
  <c r="N24" i="79"/>
  <c r="N89" i="78"/>
  <c r="O89" i="78" s="1"/>
  <c r="M99" i="82"/>
  <c r="M97" i="82"/>
  <c r="N56" i="57"/>
  <c r="M78" i="82"/>
  <c r="F266" i="57"/>
  <c r="D147" i="55"/>
  <c r="AJ46" i="55"/>
  <c r="K46" i="55" s="1"/>
  <c r="D298" i="57"/>
  <c r="N85" i="58"/>
  <c r="M94" i="82"/>
  <c r="N74" i="78"/>
  <c r="O74" i="78" s="1"/>
  <c r="M35" i="79"/>
  <c r="N117" i="55"/>
  <c r="N58" i="78"/>
  <c r="O58" i="78" s="1"/>
  <c r="N19" i="79"/>
  <c r="AG86" i="55"/>
  <c r="AH70" i="55" s="1"/>
  <c r="I70" i="55" s="1"/>
  <c r="AK88" i="52"/>
  <c r="L88" i="52" s="1"/>
  <c r="J146" i="52"/>
  <c r="M102" i="79"/>
  <c r="M70" i="79"/>
  <c r="J267" i="58"/>
  <c r="L115" i="58"/>
  <c r="AJ97" i="57"/>
  <c r="K97" i="57" s="1"/>
  <c r="D148" i="55"/>
  <c r="M95" i="82"/>
  <c r="N118" i="55"/>
  <c r="H117" i="53"/>
  <c r="AL103" i="59"/>
  <c r="M103" i="59" s="1"/>
  <c r="M55" i="79"/>
  <c r="AE208" i="58"/>
  <c r="F208" i="58" s="1"/>
  <c r="N20" i="79"/>
  <c r="N91" i="78"/>
  <c r="O91" i="78" s="1"/>
  <c r="F238" i="59"/>
  <c r="N52" i="79"/>
  <c r="O52" i="79" s="1"/>
  <c r="AM265" i="57"/>
  <c r="N265" i="57" s="1"/>
  <c r="M68" i="79"/>
  <c r="AK179" i="55"/>
  <c r="AL169" i="55" s="1"/>
  <c r="M169" i="55" s="1"/>
  <c r="AO88" i="59"/>
  <c r="P88" i="59" s="1"/>
  <c r="M91" i="82"/>
  <c r="M92" i="82"/>
  <c r="N58" i="57"/>
  <c r="N32" i="79"/>
  <c r="N103" i="78"/>
  <c r="O103" i="78" s="1"/>
  <c r="N34" i="81"/>
  <c r="O34" i="81" s="1"/>
  <c r="N92" i="78"/>
  <c r="O92" i="78" s="1"/>
  <c r="AL100" i="59"/>
  <c r="M100" i="59" s="1"/>
  <c r="AS116" i="59"/>
  <c r="AT100" i="59" s="1"/>
  <c r="U100" i="59" s="1"/>
  <c r="AC85" i="59"/>
  <c r="AD67" i="59" s="1"/>
  <c r="E67" i="59" s="1"/>
  <c r="N53" i="79"/>
  <c r="O53" i="79" s="1"/>
  <c r="AC178" i="52"/>
  <c r="AD166" i="52" s="1"/>
  <c r="E166" i="52" s="1"/>
  <c r="AI28" i="55"/>
  <c r="AJ16" i="55" s="1"/>
  <c r="K16" i="55" s="1"/>
  <c r="AM25" i="55"/>
  <c r="N25" i="55" s="1"/>
  <c r="N48" i="79"/>
  <c r="O48" i="79" s="1"/>
  <c r="M69" i="79"/>
  <c r="AL166" i="55"/>
  <c r="M166" i="55" s="1"/>
  <c r="AC267" i="53"/>
  <c r="D267" i="53" s="1"/>
  <c r="M95" i="79"/>
  <c r="N76" i="78"/>
  <c r="O76" i="78" s="1"/>
  <c r="AS55" i="55"/>
  <c r="AT37" i="55" s="1"/>
  <c r="U37" i="55" s="1"/>
  <c r="AC178" i="59"/>
  <c r="AD166" i="59" s="1"/>
  <c r="E166" i="59" s="1"/>
  <c r="AK207" i="55"/>
  <c r="L207" i="55" s="1"/>
  <c r="AG237" i="52"/>
  <c r="AH223" i="52" s="1"/>
  <c r="I223" i="52" s="1"/>
  <c r="N17" i="79"/>
  <c r="N102" i="78"/>
  <c r="O102" i="78" s="1"/>
  <c r="M104" i="78"/>
  <c r="N265" i="59"/>
  <c r="AE118" i="59"/>
  <c r="F118" i="59" s="1"/>
  <c r="AM146" i="52"/>
  <c r="AN130" i="52" s="1"/>
  <c r="O130" i="52" s="1"/>
  <c r="AO235" i="53"/>
  <c r="AP217" i="53" s="1"/>
  <c r="Q217" i="53" s="1"/>
  <c r="N148" i="53"/>
  <c r="L176" i="55"/>
  <c r="AG206" i="53"/>
  <c r="AH190" i="53" s="1"/>
  <c r="I190" i="53" s="1"/>
  <c r="P148" i="58"/>
  <c r="M39" i="79"/>
  <c r="M71" i="78"/>
  <c r="M76" i="82"/>
  <c r="AG295" i="59"/>
  <c r="AH277" i="59" s="1"/>
  <c r="I277" i="59" s="1"/>
  <c r="P176" i="53"/>
  <c r="T237" i="52"/>
  <c r="AE117" i="59"/>
  <c r="F117" i="59" s="1"/>
  <c r="AS265" i="52"/>
  <c r="AT247" i="52" s="1"/>
  <c r="U247" i="52" s="1"/>
  <c r="AG296" i="53"/>
  <c r="AH280" i="53" s="1"/>
  <c r="I280" i="53" s="1"/>
  <c r="B9" i="58"/>
  <c r="AJ127" i="52"/>
  <c r="K127" i="52" s="1"/>
  <c r="AK175" i="59"/>
  <c r="L175" i="59" s="1"/>
  <c r="M88" i="78"/>
  <c r="J148" i="52"/>
  <c r="AP283" i="59"/>
  <c r="Q283" i="59" s="1"/>
  <c r="AR160" i="59"/>
  <c r="S160" i="59" s="1"/>
  <c r="AI206" i="59"/>
  <c r="AJ190" i="59" s="1"/>
  <c r="K190" i="59" s="1"/>
  <c r="AG235" i="52"/>
  <c r="AH217" i="52" s="1"/>
  <c r="I217" i="52" s="1"/>
  <c r="AK86" i="52"/>
  <c r="L86" i="52" s="1"/>
  <c r="AQ267" i="59"/>
  <c r="AR253" i="59" s="1"/>
  <c r="S253" i="59" s="1"/>
  <c r="AJ250" i="58"/>
  <c r="K250" i="58" s="1"/>
  <c r="AO86" i="59"/>
  <c r="AP70" i="59" s="1"/>
  <c r="Q70" i="59" s="1"/>
  <c r="AS268" i="58"/>
  <c r="AT256" i="58" s="1"/>
  <c r="U256" i="58" s="1"/>
  <c r="N37" i="79"/>
  <c r="O37" i="79" s="1"/>
  <c r="J85" i="59"/>
  <c r="AI269" i="58"/>
  <c r="J269" i="58" s="1"/>
  <c r="AK268" i="53"/>
  <c r="AL256" i="53" s="1"/>
  <c r="M256" i="53" s="1"/>
  <c r="AK236" i="59"/>
  <c r="L236" i="59" s="1"/>
  <c r="AO237" i="53"/>
  <c r="P237" i="53" s="1"/>
  <c r="AC176" i="52"/>
  <c r="AD160" i="52" s="1"/>
  <c r="E160" i="52" s="1"/>
  <c r="AI149" i="52"/>
  <c r="AJ139" i="52" s="1"/>
  <c r="AE116" i="59"/>
  <c r="F116" i="59" s="1"/>
  <c r="AQ87" i="55"/>
  <c r="AR73" i="55" s="1"/>
  <c r="S73" i="55" s="1"/>
  <c r="M21" i="79"/>
  <c r="N86" i="78"/>
  <c r="O86" i="78" s="1"/>
  <c r="M80" i="82"/>
  <c r="M94" i="78"/>
  <c r="AC206" i="53"/>
  <c r="D206" i="53" s="1"/>
  <c r="AI147" i="53"/>
  <c r="AJ133" i="53" s="1"/>
  <c r="K133" i="53" s="1"/>
  <c r="F237" i="59"/>
  <c r="AP106" i="52"/>
  <c r="Q106" i="52" s="1"/>
  <c r="AG146" i="53"/>
  <c r="AH130" i="53" s="1"/>
  <c r="I130" i="53" s="1"/>
  <c r="AQ178" i="53"/>
  <c r="AR166" i="53" s="1"/>
  <c r="S166" i="53" s="1"/>
  <c r="N16" i="79"/>
  <c r="N88" i="58"/>
  <c r="B7" i="52"/>
  <c r="AC116" i="57"/>
  <c r="AD100" i="57" s="1"/>
  <c r="E100" i="57" s="1"/>
  <c r="M63" i="79"/>
  <c r="AS178" i="53"/>
  <c r="T178" i="53" s="1"/>
  <c r="N23" i="79"/>
  <c r="O23" i="79" s="1"/>
  <c r="N33" i="79"/>
  <c r="O33" i="79" s="1"/>
  <c r="N267" i="59"/>
  <c r="AS175" i="57"/>
  <c r="AT157" i="57" s="1"/>
  <c r="U157" i="57" s="1"/>
  <c r="AG208" i="55"/>
  <c r="AH196" i="55" s="1"/>
  <c r="I196" i="55" s="1"/>
  <c r="AG208" i="53"/>
  <c r="H208" i="53" s="1"/>
  <c r="AD187" i="59"/>
  <c r="E187" i="59" s="1"/>
  <c r="L177" i="55"/>
  <c r="AE85" i="53"/>
  <c r="AF67" i="53" s="1"/>
  <c r="G67" i="53" s="1"/>
  <c r="AQ117" i="53"/>
  <c r="AR103" i="53" s="1"/>
  <c r="S103" i="53" s="1"/>
  <c r="AC115" i="53"/>
  <c r="D115" i="53" s="1"/>
  <c r="M8" i="79"/>
  <c r="AP223" i="57"/>
  <c r="Q223" i="57" s="1"/>
  <c r="AO239" i="57"/>
  <c r="AP229" i="57" s="1"/>
  <c r="Q229" i="57" s="1"/>
  <c r="AS27" i="57"/>
  <c r="AT13" i="57" s="1"/>
  <c r="U13" i="57" s="1"/>
  <c r="AG118" i="55"/>
  <c r="AH106" i="55" s="1"/>
  <c r="I106" i="55" s="1"/>
  <c r="AE206" i="53"/>
  <c r="F206" i="53" s="1"/>
  <c r="D208" i="59"/>
  <c r="M15" i="79"/>
  <c r="AQ85" i="55"/>
  <c r="AR67" i="55" s="1"/>
  <c r="S67" i="55" s="1"/>
  <c r="AM235" i="55"/>
  <c r="N235" i="55" s="1"/>
  <c r="AC117" i="57"/>
  <c r="AD103" i="57" s="1"/>
  <c r="E103" i="57" s="1"/>
  <c r="AQ27" i="55"/>
  <c r="AR13" i="55" s="1"/>
  <c r="S13" i="55" s="1"/>
  <c r="AQ118" i="53"/>
  <c r="AR106" i="53" s="1"/>
  <c r="S106" i="53" s="1"/>
  <c r="B13" i="55"/>
  <c r="AK236" i="55"/>
  <c r="AL220" i="55" s="1"/>
  <c r="M220" i="55" s="1"/>
  <c r="AK238" i="55"/>
  <c r="AL226" i="55" s="1"/>
  <c r="M226" i="55" s="1"/>
  <c r="P178" i="53"/>
  <c r="AH190" i="57"/>
  <c r="I190" i="57" s="1"/>
  <c r="M65" i="79"/>
  <c r="AI145" i="53"/>
  <c r="J145" i="53" s="1"/>
  <c r="AE26" i="53"/>
  <c r="AF10" i="53" s="1"/>
  <c r="G10" i="53" s="1"/>
  <c r="AE268" i="59"/>
  <c r="AF256" i="59" s="1"/>
  <c r="G256" i="59" s="1"/>
  <c r="AG146" i="57"/>
  <c r="H146" i="57" s="1"/>
  <c r="AO148" i="53"/>
  <c r="P148" i="53" s="1"/>
  <c r="AO236" i="53"/>
  <c r="P236" i="53" s="1"/>
  <c r="AS28" i="59"/>
  <c r="AT16" i="59" s="1"/>
  <c r="U16" i="59" s="1"/>
  <c r="AQ298" i="57"/>
  <c r="AR286" i="57" s="1"/>
  <c r="S286" i="57" s="1"/>
  <c r="AC145" i="59"/>
  <c r="D145" i="59" s="1"/>
  <c r="AG205" i="53"/>
  <c r="AH187" i="53" s="1"/>
  <c r="I187" i="53" s="1"/>
  <c r="AK57" i="55"/>
  <c r="AL43" i="55" s="1"/>
  <c r="M43" i="55" s="1"/>
  <c r="AQ55" i="53"/>
  <c r="R55" i="53" s="1"/>
  <c r="AS177" i="53"/>
  <c r="T177" i="53" s="1"/>
  <c r="AC268" i="53"/>
  <c r="AD256" i="53" s="1"/>
  <c r="E256" i="53" s="1"/>
  <c r="AO176" i="58"/>
  <c r="AP160" i="58" s="1"/>
  <c r="Q160" i="58" s="1"/>
  <c r="AK208" i="55"/>
  <c r="L208" i="55" s="1"/>
  <c r="AC175" i="55"/>
  <c r="AD157" i="55" s="1"/>
  <c r="E157" i="55" s="1"/>
  <c r="AG296" i="55"/>
  <c r="AH280" i="55" s="1"/>
  <c r="I280" i="55" s="1"/>
  <c r="AO177" i="57"/>
  <c r="AP163" i="57" s="1"/>
  <c r="Q163" i="57" s="1"/>
  <c r="AI87" i="58"/>
  <c r="AJ73" i="58" s="1"/>
  <c r="K73" i="58" s="1"/>
  <c r="AS27" i="59"/>
  <c r="T27" i="59" s="1"/>
  <c r="L115" i="59"/>
  <c r="AK177" i="59"/>
  <c r="AL163" i="59" s="1"/>
  <c r="M163" i="59" s="1"/>
  <c r="AS115" i="59"/>
  <c r="T115" i="59" s="1"/>
  <c r="AK85" i="53"/>
  <c r="L85" i="53" s="1"/>
  <c r="AG115" i="55"/>
  <c r="AH97" i="55" s="1"/>
  <c r="I97" i="55" s="1"/>
  <c r="AG178" i="53"/>
  <c r="H178" i="53" s="1"/>
  <c r="AK86" i="53"/>
  <c r="L86" i="53" s="1"/>
  <c r="AC265" i="53"/>
  <c r="AD247" i="53" s="1"/>
  <c r="E247" i="53" s="1"/>
  <c r="AK146" i="55"/>
  <c r="L146" i="55" s="1"/>
  <c r="AO85" i="57"/>
  <c r="AP67" i="57" s="1"/>
  <c r="Q67" i="57" s="1"/>
  <c r="AK237" i="55"/>
  <c r="AL223" i="55" s="1"/>
  <c r="M223" i="55" s="1"/>
  <c r="AC298" i="55"/>
  <c r="AD286" i="55" s="1"/>
  <c r="E286" i="55" s="1"/>
  <c r="AS26" i="59"/>
  <c r="T26" i="59" s="1"/>
  <c r="AQ147" i="59"/>
  <c r="AR133" i="59" s="1"/>
  <c r="S133" i="59" s="1"/>
  <c r="AM59" i="57"/>
  <c r="AN49" i="57" s="1"/>
  <c r="O49" i="57" s="1"/>
  <c r="AI177" i="57"/>
  <c r="AJ163" i="57" s="1"/>
  <c r="K163" i="57" s="1"/>
  <c r="AQ208" i="59"/>
  <c r="AR196" i="59" s="1"/>
  <c r="S196" i="59" s="1"/>
  <c r="AC266" i="53"/>
  <c r="D266" i="53" s="1"/>
  <c r="AC147" i="59"/>
  <c r="D147" i="59" s="1"/>
  <c r="AG25" i="53"/>
  <c r="H25" i="53" s="1"/>
  <c r="AS176" i="53"/>
  <c r="T176" i="53" s="1"/>
  <c r="AE27" i="53"/>
  <c r="F27" i="53" s="1"/>
  <c r="AS178" i="55"/>
  <c r="T178" i="55" s="1"/>
  <c r="AK266" i="57"/>
  <c r="AL250" i="57" s="1"/>
  <c r="M250" i="57" s="1"/>
  <c r="AE267" i="55"/>
  <c r="AF253" i="55" s="1"/>
  <c r="G253" i="55" s="1"/>
  <c r="AN100" i="55"/>
  <c r="O100" i="55" s="1"/>
  <c r="AG236" i="59"/>
  <c r="H236" i="59" s="1"/>
  <c r="AQ296" i="57"/>
  <c r="AR280" i="57" s="1"/>
  <c r="S280" i="57" s="1"/>
  <c r="AC176" i="59"/>
  <c r="D176" i="59" s="1"/>
  <c r="AI28" i="53"/>
  <c r="J28" i="53" s="1"/>
  <c r="AI175" i="53"/>
  <c r="J175" i="53" s="1"/>
  <c r="AE115" i="59"/>
  <c r="AF97" i="59" s="1"/>
  <c r="G97" i="59" s="1"/>
  <c r="AK145" i="53"/>
  <c r="L145" i="53" s="1"/>
  <c r="AS175" i="53"/>
  <c r="T175" i="53" s="1"/>
  <c r="AG298" i="53"/>
  <c r="AH286" i="53" s="1"/>
  <c r="I286" i="53" s="1"/>
  <c r="AK26" i="55"/>
  <c r="L26" i="55" s="1"/>
  <c r="AS237" i="55"/>
  <c r="AT223" i="55" s="1"/>
  <c r="U223" i="55" s="1"/>
  <c r="AM207" i="58"/>
  <c r="AN193" i="58" s="1"/>
  <c r="O193" i="58" s="1"/>
  <c r="AL100" i="58"/>
  <c r="M100" i="58" s="1"/>
  <c r="AQ269" i="53"/>
  <c r="R269" i="53" s="1"/>
  <c r="AS25" i="59"/>
  <c r="T25" i="59" s="1"/>
  <c r="AC115" i="55"/>
  <c r="AD97" i="55" s="1"/>
  <c r="E97" i="55" s="1"/>
  <c r="AC237" i="57"/>
  <c r="AD223" i="57" s="1"/>
  <c r="E223" i="57" s="1"/>
  <c r="AM295" i="59"/>
  <c r="N295" i="59" s="1"/>
  <c r="AI146" i="53"/>
  <c r="AJ130" i="53" s="1"/>
  <c r="K130" i="53" s="1"/>
  <c r="AE115" i="53"/>
  <c r="F115" i="53" s="1"/>
  <c r="AQ205" i="59"/>
  <c r="R205" i="59" s="1"/>
  <c r="AE208" i="53"/>
  <c r="F208" i="53" s="1"/>
  <c r="AQ176" i="53"/>
  <c r="AR160" i="53" s="1"/>
  <c r="S160" i="53" s="1"/>
  <c r="AK88" i="53"/>
  <c r="AL76" i="53" s="1"/>
  <c r="M76" i="53" s="1"/>
  <c r="AS297" i="53"/>
  <c r="AT283" i="53" s="1"/>
  <c r="U283" i="53" s="1"/>
  <c r="AM149" i="53"/>
  <c r="AN139" i="53" s="1"/>
  <c r="O139" i="53" s="1"/>
  <c r="AE206" i="55"/>
  <c r="F206" i="55" s="1"/>
  <c r="P238" i="57"/>
  <c r="AC148" i="59"/>
  <c r="D148" i="59" s="1"/>
  <c r="AI178" i="57"/>
  <c r="J178" i="57" s="1"/>
  <c r="AQ266" i="59"/>
  <c r="AR250" i="59" s="1"/>
  <c r="S250" i="59" s="1"/>
  <c r="AM298" i="53"/>
  <c r="N298" i="53" s="1"/>
  <c r="AQ296" i="53"/>
  <c r="AR280" i="53" s="1"/>
  <c r="S280" i="53" s="1"/>
  <c r="AI208" i="59"/>
  <c r="AJ196" i="59" s="1"/>
  <c r="K196" i="59" s="1"/>
  <c r="AQ26" i="53"/>
  <c r="R26" i="53" s="1"/>
  <c r="AQ205" i="53"/>
  <c r="AR187" i="53" s="1"/>
  <c r="S187" i="53" s="1"/>
  <c r="AO238" i="53"/>
  <c r="P238" i="53" s="1"/>
  <c r="AK176" i="53"/>
  <c r="L176" i="53" s="1"/>
  <c r="AE296" i="55"/>
  <c r="AF280" i="55" s="1"/>
  <c r="G280" i="55" s="1"/>
  <c r="AG87" i="58"/>
  <c r="AH73" i="58" s="1"/>
  <c r="I73" i="58" s="1"/>
  <c r="AP187" i="55"/>
  <c r="Q187" i="55" s="1"/>
  <c r="AS267" i="55"/>
  <c r="AT253" i="55" s="1"/>
  <c r="U253" i="55" s="1"/>
  <c r="AH127" i="59"/>
  <c r="I127" i="59" s="1"/>
  <c r="AK206" i="57"/>
  <c r="AL190" i="57" s="1"/>
  <c r="M190" i="57" s="1"/>
  <c r="AK176" i="59"/>
  <c r="L176" i="59" s="1"/>
  <c r="AG235" i="53"/>
  <c r="H235" i="53" s="1"/>
  <c r="AS57" i="53"/>
  <c r="AT43" i="53" s="1"/>
  <c r="U43" i="53" s="1"/>
  <c r="AM295" i="53"/>
  <c r="N295" i="53" s="1"/>
  <c r="AM208" i="53"/>
  <c r="AN196" i="53" s="1"/>
  <c r="O196" i="53" s="1"/>
  <c r="AM205" i="53"/>
  <c r="N205" i="53" s="1"/>
  <c r="AO266" i="57"/>
  <c r="AP250" i="57" s="1"/>
  <c r="Q250" i="57" s="1"/>
  <c r="AQ147" i="53"/>
  <c r="AR133" i="53" s="1"/>
  <c r="S133" i="53" s="1"/>
  <c r="AI176" i="55"/>
  <c r="AJ160" i="55" s="1"/>
  <c r="K160" i="55" s="1"/>
  <c r="AI295" i="58"/>
  <c r="J295" i="58" s="1"/>
  <c r="AI148" i="53"/>
  <c r="J148" i="53" s="1"/>
  <c r="B11" i="59"/>
  <c r="AI235" i="53"/>
  <c r="J235" i="53" s="1"/>
  <c r="AE297" i="53"/>
  <c r="AF283" i="53" s="1"/>
  <c r="G283" i="53" s="1"/>
  <c r="AQ115" i="53"/>
  <c r="R115" i="53" s="1"/>
  <c r="AM85" i="53"/>
  <c r="AN67" i="53" s="1"/>
  <c r="O67" i="53" s="1"/>
  <c r="AG177" i="53"/>
  <c r="H177" i="53" s="1"/>
  <c r="AI207" i="57"/>
  <c r="AJ193" i="57" s="1"/>
  <c r="K193" i="57" s="1"/>
  <c r="AS235" i="55"/>
  <c r="T235" i="55" s="1"/>
  <c r="AN43" i="57"/>
  <c r="O43" i="57" s="1"/>
  <c r="AR256" i="53"/>
  <c r="S256" i="53" s="1"/>
  <c r="AM235" i="53"/>
  <c r="N235" i="53" s="1"/>
  <c r="AE267" i="59"/>
  <c r="AF253" i="59" s="1"/>
  <c r="G253" i="59" s="1"/>
  <c r="AG147" i="57"/>
  <c r="AH133" i="57" s="1"/>
  <c r="AM297" i="59"/>
  <c r="N297" i="59" s="1"/>
  <c r="AC56" i="53"/>
  <c r="AD40" i="53" s="1"/>
  <c r="E40" i="53" s="1"/>
  <c r="AK115" i="53"/>
  <c r="AL97" i="53" s="1"/>
  <c r="M97" i="53" s="1"/>
  <c r="AO28" i="53"/>
  <c r="P28" i="53" s="1"/>
  <c r="AO147" i="53"/>
  <c r="P147" i="53" s="1"/>
  <c r="AG297" i="53"/>
  <c r="H297" i="53" s="1"/>
  <c r="AE87" i="53"/>
  <c r="AF73" i="53" s="1"/>
  <c r="G73" i="53" s="1"/>
  <c r="AM176" i="55"/>
  <c r="N176" i="55" s="1"/>
  <c r="AQ295" i="57"/>
  <c r="AR277" i="57" s="1"/>
  <c r="S277" i="57" s="1"/>
  <c r="AE265" i="55"/>
  <c r="AF247" i="55" s="1"/>
  <c r="G247" i="55" s="1"/>
  <c r="AE28" i="53"/>
  <c r="AF16" i="53" s="1"/>
  <c r="G16" i="53" s="1"/>
  <c r="AS25" i="53"/>
  <c r="T25" i="53" s="1"/>
  <c r="AS115" i="53"/>
  <c r="T115" i="53" s="1"/>
  <c r="AQ298" i="53"/>
  <c r="R298" i="53" s="1"/>
  <c r="AO145" i="55"/>
  <c r="P145" i="55" s="1"/>
  <c r="AS56" i="53"/>
  <c r="T56" i="53" s="1"/>
  <c r="AH136" i="59"/>
  <c r="I136" i="59" s="1"/>
  <c r="AS238" i="55"/>
  <c r="AT226" i="55" s="1"/>
  <c r="U226" i="55" s="1"/>
  <c r="AO87" i="59"/>
  <c r="P87" i="59" s="1"/>
  <c r="AO268" i="55"/>
  <c r="P268" i="55" s="1"/>
  <c r="AS237" i="57"/>
  <c r="T237" i="57" s="1"/>
  <c r="AG238" i="59"/>
  <c r="AH226" i="59" s="1"/>
  <c r="I226" i="59" s="1"/>
  <c r="AI205" i="59"/>
  <c r="AJ187" i="59" s="1"/>
  <c r="K187" i="59" s="1"/>
  <c r="AM265" i="55"/>
  <c r="AN247" i="55" s="1"/>
  <c r="O247" i="55" s="1"/>
  <c r="AE25" i="53"/>
  <c r="F25" i="53" s="1"/>
  <c r="AE175" i="53"/>
  <c r="AF157" i="53" s="1"/>
  <c r="G157" i="53" s="1"/>
  <c r="AK87" i="53"/>
  <c r="AL73" i="53" s="1"/>
  <c r="M73" i="53" s="1"/>
  <c r="AM207" i="53"/>
  <c r="N207" i="53" s="1"/>
  <c r="AQ235" i="55"/>
  <c r="R235" i="55" s="1"/>
  <c r="AI118" i="53"/>
  <c r="AJ106" i="53" s="1"/>
  <c r="K106" i="53" s="1"/>
  <c r="AO267" i="55"/>
  <c r="P267" i="55" s="1"/>
  <c r="AM206" i="53"/>
  <c r="AN190" i="53" s="1"/>
  <c r="O190" i="53" s="1"/>
  <c r="AC295" i="55"/>
  <c r="AD277" i="55" s="1"/>
  <c r="E277" i="55" s="1"/>
  <c r="AK207" i="57"/>
  <c r="AL193" i="57" s="1"/>
  <c r="M193" i="57" s="1"/>
  <c r="AE145" i="59"/>
  <c r="AF127" i="59" s="1"/>
  <c r="G127" i="59" s="1"/>
  <c r="AI146" i="55"/>
  <c r="J146" i="55" s="1"/>
  <c r="AI58" i="53"/>
  <c r="AJ46" i="53" s="1"/>
  <c r="K46" i="53" s="1"/>
  <c r="AM56" i="53"/>
  <c r="AN40" i="53" s="1"/>
  <c r="O40" i="53" s="1"/>
  <c r="AG295" i="53"/>
  <c r="H295" i="53" s="1"/>
  <c r="AK175" i="53"/>
  <c r="L175" i="53" s="1"/>
  <c r="AK27" i="55"/>
  <c r="L27" i="55" s="1"/>
  <c r="AM178" i="55"/>
  <c r="AN166" i="55" s="1"/>
  <c r="O166" i="55" s="1"/>
  <c r="AQ116" i="53"/>
  <c r="AR100" i="53" s="1"/>
  <c r="S100" i="53" s="1"/>
  <c r="F266" i="52"/>
  <c r="AF250" i="52"/>
  <c r="G250" i="52" s="1"/>
  <c r="AE267" i="52"/>
  <c r="AF253" i="52" s="1"/>
  <c r="G253" i="52" s="1"/>
  <c r="N142" i="52"/>
  <c r="AE263" i="52"/>
  <c r="F263" i="52" s="1"/>
  <c r="AG176" i="52"/>
  <c r="H176" i="52" s="1"/>
  <c r="N22" i="52"/>
  <c r="AG178" i="52"/>
  <c r="AH166" i="52" s="1"/>
  <c r="I166" i="52" s="1"/>
  <c r="N202" i="58"/>
  <c r="AQ83" i="52"/>
  <c r="R83" i="52" s="1"/>
  <c r="AI203" i="52"/>
  <c r="J203" i="52" s="1"/>
  <c r="AO53" i="52"/>
  <c r="P53" i="52" s="1"/>
  <c r="T292" i="52"/>
  <c r="AO263" i="57"/>
  <c r="P263" i="57" s="1"/>
  <c r="R262" i="52"/>
  <c r="AQ179" i="59"/>
  <c r="AR169" i="59" s="1"/>
  <c r="S169" i="59" s="1"/>
  <c r="R56" i="52"/>
  <c r="AN130" i="53"/>
  <c r="O130" i="53" s="1"/>
  <c r="R178" i="59"/>
  <c r="AR37" i="52"/>
  <c r="S37" i="52" s="1"/>
  <c r="R55" i="52"/>
  <c r="AM113" i="52"/>
  <c r="N113" i="52" s="1"/>
  <c r="H205" i="57"/>
  <c r="R172" i="55"/>
  <c r="AG293" i="58"/>
  <c r="H293" i="58" s="1"/>
  <c r="AQ53" i="53"/>
  <c r="R53" i="53" s="1"/>
  <c r="AH283" i="58"/>
  <c r="I283" i="58" s="1"/>
  <c r="F142" i="53"/>
  <c r="AN250" i="59"/>
  <c r="O250" i="59" s="1"/>
  <c r="AM269" i="59"/>
  <c r="AN259" i="59" s="1"/>
  <c r="O259" i="59" s="1"/>
  <c r="AK178" i="58"/>
  <c r="L178" i="58" s="1"/>
  <c r="AS239" i="52"/>
  <c r="T239" i="52" s="1"/>
  <c r="T207" i="58"/>
  <c r="AT193" i="58"/>
  <c r="U193" i="58" s="1"/>
  <c r="AI116" i="55"/>
  <c r="R112" i="52"/>
  <c r="T202" i="58"/>
  <c r="L172" i="58"/>
  <c r="AS203" i="58"/>
  <c r="T203" i="58" s="1"/>
  <c r="N232" i="57"/>
  <c r="AK173" i="58"/>
  <c r="L173" i="58" s="1"/>
  <c r="AS205" i="58"/>
  <c r="AI113" i="55"/>
  <c r="J113" i="55" s="1"/>
  <c r="P206" i="55"/>
  <c r="AI233" i="52"/>
  <c r="J233" i="52" s="1"/>
  <c r="AE143" i="58"/>
  <c r="F143" i="58" s="1"/>
  <c r="AS25" i="55"/>
  <c r="T25" i="55" s="1"/>
  <c r="AC267" i="55"/>
  <c r="L292" i="58"/>
  <c r="AK295" i="55"/>
  <c r="AL277" i="55" s="1"/>
  <c r="M277" i="55" s="1"/>
  <c r="F292" i="52"/>
  <c r="J22" i="58"/>
  <c r="AH193" i="57"/>
  <c r="I193" i="57" s="1"/>
  <c r="D262" i="55"/>
  <c r="AC88" i="52"/>
  <c r="AH280" i="58"/>
  <c r="I280" i="58" s="1"/>
  <c r="AC85" i="52"/>
  <c r="AG119" i="53"/>
  <c r="H119" i="53" s="1"/>
  <c r="AH106" i="53"/>
  <c r="I106" i="53" s="1"/>
  <c r="P52" i="58"/>
  <c r="D262" i="58"/>
  <c r="D82" i="52"/>
  <c r="AS208" i="58"/>
  <c r="N172" i="52"/>
  <c r="AS206" i="58"/>
  <c r="T22" i="55"/>
  <c r="F176" i="58"/>
  <c r="U233" i="51"/>
  <c r="U88" i="51"/>
  <c r="B75" i="59"/>
  <c r="AS266" i="59"/>
  <c r="T266" i="59" s="1"/>
  <c r="AQ146" i="59"/>
  <c r="R146" i="59" s="1"/>
  <c r="AS268" i="59"/>
  <c r="AM87" i="59"/>
  <c r="N87" i="59" s="1"/>
  <c r="AG115" i="59"/>
  <c r="AH97" i="59" s="1"/>
  <c r="I97" i="59" s="1"/>
  <c r="AO116" i="59"/>
  <c r="AM118" i="59"/>
  <c r="AQ25" i="59"/>
  <c r="AO176" i="59"/>
  <c r="AP160" i="59" s="1"/>
  <c r="Q160" i="59" s="1"/>
  <c r="AG57" i="59"/>
  <c r="AC117" i="59"/>
  <c r="AO265" i="59"/>
  <c r="AQ148" i="59"/>
  <c r="AR136" i="59" s="1"/>
  <c r="S136" i="59" s="1"/>
  <c r="AS205" i="59"/>
  <c r="AK88" i="59"/>
  <c r="L88" i="59" s="1"/>
  <c r="AC57" i="59"/>
  <c r="AI267" i="59"/>
  <c r="AJ253" i="59" s="1"/>
  <c r="K253" i="59" s="1"/>
  <c r="AC236" i="59"/>
  <c r="D236" i="59" s="1"/>
  <c r="AG56" i="59"/>
  <c r="AH40" i="59" s="1"/>
  <c r="I40" i="59" s="1"/>
  <c r="AQ297" i="59"/>
  <c r="AI145" i="59"/>
  <c r="AI58" i="59"/>
  <c r="AG28" i="59"/>
  <c r="AH16" i="59" s="1"/>
  <c r="I16" i="59" s="1"/>
  <c r="AC86" i="59"/>
  <c r="AO118" i="59"/>
  <c r="AQ298" i="59"/>
  <c r="AC26" i="59"/>
  <c r="AC265" i="59"/>
  <c r="D265" i="59" s="1"/>
  <c r="AQ55" i="59"/>
  <c r="R55" i="59" s="1"/>
  <c r="AG267" i="59"/>
  <c r="AG206" i="59"/>
  <c r="AK145" i="59"/>
  <c r="AO206" i="59"/>
  <c r="P206" i="59" s="1"/>
  <c r="AG55" i="59"/>
  <c r="AI265" i="59"/>
  <c r="J265" i="59" s="1"/>
  <c r="AE146" i="59"/>
  <c r="F146" i="59" s="1"/>
  <c r="AI296" i="59"/>
  <c r="AI177" i="59"/>
  <c r="AE205" i="59"/>
  <c r="AF187" i="59" s="1"/>
  <c r="G187" i="59" s="1"/>
  <c r="AI176" i="59"/>
  <c r="AJ160" i="59" s="1"/>
  <c r="K160" i="59" s="1"/>
  <c r="AG118" i="59"/>
  <c r="AE297" i="59"/>
  <c r="F297" i="59" s="1"/>
  <c r="AI238" i="59"/>
  <c r="AJ226" i="59" s="1"/>
  <c r="K226" i="59" s="1"/>
  <c r="AG266" i="59"/>
  <c r="AH250" i="59" s="1"/>
  <c r="I250" i="59" s="1"/>
  <c r="AC87" i="59"/>
  <c r="D87" i="59" s="1"/>
  <c r="AE86" i="59"/>
  <c r="AE147" i="59"/>
  <c r="AG268" i="59"/>
  <c r="AH256" i="59" s="1"/>
  <c r="I256" i="59" s="1"/>
  <c r="AQ118" i="59"/>
  <c r="AS178" i="59"/>
  <c r="AT166" i="59" s="1"/>
  <c r="U166" i="59" s="1"/>
  <c r="AG116" i="59"/>
  <c r="AH100" i="59" s="1"/>
  <c r="I100" i="59" s="1"/>
  <c r="AC237" i="59"/>
  <c r="AD223" i="59" s="1"/>
  <c r="E223" i="59" s="1"/>
  <c r="AO27" i="59"/>
  <c r="AP13" i="59" s="1"/>
  <c r="Q13" i="59" s="1"/>
  <c r="AC28" i="59"/>
  <c r="AI175" i="59"/>
  <c r="AC58" i="59"/>
  <c r="AE56" i="59"/>
  <c r="F56" i="59" s="1"/>
  <c r="AS177" i="59"/>
  <c r="T177" i="59" s="1"/>
  <c r="AQ27" i="59"/>
  <c r="AR13" i="59" s="1"/>
  <c r="S13" i="59" s="1"/>
  <c r="AG207" i="59"/>
  <c r="AQ115" i="59"/>
  <c r="B41" i="58"/>
  <c r="AM237" i="58"/>
  <c r="N237" i="58" s="1"/>
  <c r="AO27" i="58"/>
  <c r="AQ207" i="58"/>
  <c r="AG206" i="58"/>
  <c r="AE298" i="58"/>
  <c r="AS55" i="58"/>
  <c r="AQ55" i="58"/>
  <c r="AM235" i="58"/>
  <c r="AN217" i="58" s="1"/>
  <c r="O217" i="58" s="1"/>
  <c r="AQ205" i="58"/>
  <c r="AG117" i="58"/>
  <c r="H117" i="58" s="1"/>
  <c r="AM238" i="58"/>
  <c r="AC115" i="59"/>
  <c r="AK57" i="59"/>
  <c r="AS295" i="59"/>
  <c r="AS146" i="59"/>
  <c r="AS267" i="59"/>
  <c r="T267" i="59" s="1"/>
  <c r="AG87" i="59"/>
  <c r="AM238" i="57"/>
  <c r="AN226" i="57" s="1"/>
  <c r="O226" i="57" s="1"/>
  <c r="AM28" i="58"/>
  <c r="AK175" i="58"/>
  <c r="AK237" i="58"/>
  <c r="L237" i="58" s="1"/>
  <c r="AK176" i="58"/>
  <c r="AS58" i="58"/>
  <c r="AO26" i="58"/>
  <c r="AE238" i="58"/>
  <c r="F238" i="58" s="1"/>
  <c r="AI235" i="58"/>
  <c r="AG115" i="58"/>
  <c r="AM236" i="58"/>
  <c r="N236" i="58" s="1"/>
  <c r="AI298" i="58"/>
  <c r="J298" i="58" s="1"/>
  <c r="AQ118" i="58"/>
  <c r="AC116" i="58"/>
  <c r="AS175" i="58"/>
  <c r="AK26" i="58"/>
  <c r="AM265" i="58"/>
  <c r="AQ58" i="58"/>
  <c r="AO265" i="58"/>
  <c r="AP247" i="58" s="1"/>
  <c r="Q247" i="58" s="1"/>
  <c r="AK265" i="58"/>
  <c r="AO268" i="58"/>
  <c r="AP256" i="58" s="1"/>
  <c r="Q256" i="58" s="1"/>
  <c r="AQ268" i="58"/>
  <c r="AG85" i="58"/>
  <c r="H85" i="58" s="1"/>
  <c r="AS86" i="58"/>
  <c r="AC86" i="58"/>
  <c r="AD70" i="58" s="1"/>
  <c r="E70" i="58" s="1"/>
  <c r="AC146" i="58"/>
  <c r="AG207" i="58"/>
  <c r="AK25" i="58"/>
  <c r="AK27" i="58"/>
  <c r="AE295" i="58"/>
  <c r="AM266" i="58"/>
  <c r="AM206" i="58"/>
  <c r="N206" i="58" s="1"/>
  <c r="AO296" i="58"/>
  <c r="AM208" i="58"/>
  <c r="AO116" i="58"/>
  <c r="AM26" i="58"/>
  <c r="AN10" i="58" s="1"/>
  <c r="O10" i="58" s="1"/>
  <c r="AM296" i="58"/>
  <c r="AS116" i="58"/>
  <c r="AI237" i="58"/>
  <c r="AM295" i="58"/>
  <c r="AO118" i="58"/>
  <c r="AP106" i="58" s="1"/>
  <c r="Q106" i="58" s="1"/>
  <c r="AQ206" i="58"/>
  <c r="AM27" i="58"/>
  <c r="B7" i="58"/>
  <c r="AQ267" i="58"/>
  <c r="AE205" i="58"/>
  <c r="F205" i="58" s="1"/>
  <c r="AS177" i="58"/>
  <c r="AS147" i="58"/>
  <c r="AM58" i="58"/>
  <c r="AC265" i="58"/>
  <c r="AO178" i="58"/>
  <c r="AQ296" i="58"/>
  <c r="AS265" i="58"/>
  <c r="AG148" i="58"/>
  <c r="AE207" i="58"/>
  <c r="AF193" i="58" s="1"/>
  <c r="G193" i="58" s="1"/>
  <c r="AI297" i="58"/>
  <c r="AS146" i="58"/>
  <c r="AI296" i="58"/>
  <c r="AS176" i="58"/>
  <c r="AC118" i="58"/>
  <c r="AE237" i="58"/>
  <c r="AF223" i="58" s="1"/>
  <c r="G223" i="58" s="1"/>
  <c r="AC85" i="58"/>
  <c r="AS56" i="58"/>
  <c r="AT40" i="58" s="1"/>
  <c r="U40" i="58" s="1"/>
  <c r="AE235" i="58"/>
  <c r="F235" i="58" s="1"/>
  <c r="AG118" i="58"/>
  <c r="AC115" i="58"/>
  <c r="AG58" i="58"/>
  <c r="AC117" i="58"/>
  <c r="AK177" i="58"/>
  <c r="AI148" i="58"/>
  <c r="AJ136" i="58" s="1"/>
  <c r="K136" i="58" s="1"/>
  <c r="AG208" i="58"/>
  <c r="AS57" i="58"/>
  <c r="AQ56" i="58"/>
  <c r="AI236" i="58"/>
  <c r="AE236" i="58"/>
  <c r="AS267" i="58"/>
  <c r="AQ265" i="58"/>
  <c r="AG55" i="58"/>
  <c r="AK238" i="58"/>
  <c r="AE266" i="58"/>
  <c r="AI146" i="58"/>
  <c r="AG88" i="58"/>
  <c r="AE206" i="58"/>
  <c r="F206" i="58" s="1"/>
  <c r="AC147" i="58"/>
  <c r="AD133" i="58" s="1"/>
  <c r="E133" i="58" s="1"/>
  <c r="AM268" i="58"/>
  <c r="AN256" i="58" s="1"/>
  <c r="O256" i="58" s="1"/>
  <c r="AQ295" i="58"/>
  <c r="AI86" i="58"/>
  <c r="J86" i="58" s="1"/>
  <c r="AQ208" i="58"/>
  <c r="R208" i="58" s="1"/>
  <c r="AO117" i="58"/>
  <c r="AP103" i="58" s="1"/>
  <c r="Q103" i="58" s="1"/>
  <c r="AK236" i="58"/>
  <c r="AQ266" i="58"/>
  <c r="AQ115" i="58"/>
  <c r="AS178" i="58"/>
  <c r="T178" i="58" s="1"/>
  <c r="AQ116" i="58"/>
  <c r="AI145" i="58"/>
  <c r="AQ297" i="58"/>
  <c r="AO115" i="58"/>
  <c r="P115" i="58" s="1"/>
  <c r="AC177" i="58"/>
  <c r="D177" i="58" s="1"/>
  <c r="AC148" i="58"/>
  <c r="D148" i="58" s="1"/>
  <c r="AG116" i="58"/>
  <c r="AO25" i="58"/>
  <c r="AI85" i="58"/>
  <c r="AM205" i="58"/>
  <c r="AG56" i="58"/>
  <c r="AK235" i="58"/>
  <c r="AG86" i="58"/>
  <c r="AM267" i="58"/>
  <c r="AI238" i="58"/>
  <c r="AK268" i="58"/>
  <c r="AG145" i="58"/>
  <c r="AO177" i="58"/>
  <c r="AG205" i="58"/>
  <c r="AQ117" i="58"/>
  <c r="AO298" i="58"/>
  <c r="AE268" i="58"/>
  <c r="AO297" i="58"/>
  <c r="AE297" i="58"/>
  <c r="F297" i="58" s="1"/>
  <c r="AG146" i="58"/>
  <c r="AC87" i="58"/>
  <c r="AM297" i="58"/>
  <c r="AQ298" i="58"/>
  <c r="AO175" i="58"/>
  <c r="AM298" i="58"/>
  <c r="AC88" i="58"/>
  <c r="AS266" i="58"/>
  <c r="AC145" i="58"/>
  <c r="AS87" i="58"/>
  <c r="AS88" i="58"/>
  <c r="AK267" i="58"/>
  <c r="AK266" i="58"/>
  <c r="AS85" i="58"/>
  <c r="AM25" i="58"/>
  <c r="AS145" i="58"/>
  <c r="AK28" i="58"/>
  <c r="AG57" i="58"/>
  <c r="AI147" i="58"/>
  <c r="AE296" i="58"/>
  <c r="AS148" i="58"/>
  <c r="AE265" i="58"/>
  <c r="AO28" i="58"/>
  <c r="AO295" i="58"/>
  <c r="AE267" i="58"/>
  <c r="AG147" i="58"/>
  <c r="AQ57" i="58"/>
  <c r="B46" i="59"/>
  <c r="AK268" i="59"/>
  <c r="L268" i="59" s="1"/>
  <c r="AG298" i="59"/>
  <c r="H298" i="59" s="1"/>
  <c r="AI115" i="59"/>
  <c r="AS296" i="59"/>
  <c r="AT280" i="59" s="1"/>
  <c r="AI26" i="59"/>
  <c r="AM177" i="59"/>
  <c r="AN163" i="59" s="1"/>
  <c r="O163" i="59" s="1"/>
  <c r="AI55" i="59"/>
  <c r="AQ207" i="59"/>
  <c r="AQ28" i="59"/>
  <c r="R28" i="59" s="1"/>
  <c r="AK235" i="59"/>
  <c r="AQ145" i="59"/>
  <c r="AO25" i="59"/>
  <c r="P25" i="59" s="1"/>
  <c r="AO146" i="59"/>
  <c r="AO147" i="59"/>
  <c r="AK85" i="59"/>
  <c r="AM147" i="59"/>
  <c r="AE58" i="59"/>
  <c r="F58" i="59" s="1"/>
  <c r="AQ56" i="59"/>
  <c r="AM175" i="59"/>
  <c r="AO266" i="59"/>
  <c r="AE298" i="59"/>
  <c r="F298" i="59" s="1"/>
  <c r="AC238" i="59"/>
  <c r="AO238" i="59"/>
  <c r="AO178" i="59"/>
  <c r="AP166" i="59" s="1"/>
  <c r="Q166" i="59" s="1"/>
  <c r="AE207" i="59"/>
  <c r="F207" i="59" s="1"/>
  <c r="AK58" i="59"/>
  <c r="L58" i="59" s="1"/>
  <c r="AK237" i="59"/>
  <c r="L237" i="59" s="1"/>
  <c r="AO235" i="59"/>
  <c r="P235" i="59" s="1"/>
  <c r="AI235" i="59"/>
  <c r="AJ217" i="59" s="1"/>
  <c r="K217" i="59" s="1"/>
  <c r="AG208" i="59"/>
  <c r="AM178" i="59"/>
  <c r="N178" i="59" s="1"/>
  <c r="AQ87" i="59"/>
  <c r="R87" i="59" s="1"/>
  <c r="AG205" i="59"/>
  <c r="H205" i="59" s="1"/>
  <c r="AG25" i="59"/>
  <c r="AO177" i="59"/>
  <c r="AI178" i="59"/>
  <c r="AQ88" i="59"/>
  <c r="AM148" i="59"/>
  <c r="AG296" i="59"/>
  <c r="AH280" i="59" s="1"/>
  <c r="I280" i="59" s="1"/>
  <c r="AO26" i="59"/>
  <c r="AE28" i="59"/>
  <c r="AF16" i="59" s="1"/>
  <c r="G16" i="59" s="1"/>
  <c r="AK267" i="59"/>
  <c r="AI57" i="59"/>
  <c r="AI236" i="59"/>
  <c r="J236" i="59" s="1"/>
  <c r="AK146" i="59"/>
  <c r="L146" i="59" s="1"/>
  <c r="AO145" i="59"/>
  <c r="P145" i="59" s="1"/>
  <c r="AG88" i="59"/>
  <c r="AH76" i="59" s="1"/>
  <c r="I76" i="59" s="1"/>
  <c r="AC56" i="59"/>
  <c r="AE55" i="59"/>
  <c r="AF37" i="59" s="1"/>
  <c r="G37" i="59" s="1"/>
  <c r="AM176" i="59"/>
  <c r="N176" i="59" s="1"/>
  <c r="AI297" i="59"/>
  <c r="AO268" i="59"/>
  <c r="AO236" i="59"/>
  <c r="AC116" i="59"/>
  <c r="AD100" i="59" s="1"/>
  <c r="E100" i="59" s="1"/>
  <c r="AO208" i="59"/>
  <c r="P208" i="59" s="1"/>
  <c r="AC267" i="59"/>
  <c r="AQ116" i="59"/>
  <c r="R116" i="59" s="1"/>
  <c r="AK56" i="59"/>
  <c r="L56" i="59" s="1"/>
  <c r="AI56" i="59"/>
  <c r="AQ86" i="59"/>
  <c r="AE87" i="59"/>
  <c r="F87" i="59" s="1"/>
  <c r="AC268" i="59"/>
  <c r="AC298" i="59"/>
  <c r="D298" i="59" s="1"/>
  <c r="AG26" i="59"/>
  <c r="AM117" i="59"/>
  <c r="AN103" i="59" s="1"/>
  <c r="AC296" i="59"/>
  <c r="D296" i="59" s="1"/>
  <c r="AI266" i="59"/>
  <c r="AG85" i="59"/>
  <c r="AM88" i="59"/>
  <c r="AS176" i="59"/>
  <c r="AT160" i="59" s="1"/>
  <c r="U160" i="59" s="1"/>
  <c r="AO207" i="59"/>
  <c r="AP193" i="59" s="1"/>
  <c r="Q193" i="59" s="1"/>
  <c r="AE85" i="59"/>
  <c r="AF67" i="59" s="1"/>
  <c r="G67" i="59" s="1"/>
  <c r="AI25" i="59"/>
  <c r="J25" i="59" s="1"/>
  <c r="AS206" i="59"/>
  <c r="T206" i="59" s="1"/>
  <c r="AG297" i="59"/>
  <c r="AH283" i="59" s="1"/>
  <c r="I283" i="59" s="1"/>
  <c r="AS265" i="59"/>
  <c r="T265" i="59" s="1"/>
  <c r="AC177" i="59"/>
  <c r="AC27" i="59"/>
  <c r="AD13" i="59" s="1"/>
  <c r="E13" i="59" s="1"/>
  <c r="AE266" i="59"/>
  <c r="F266" i="59" s="1"/>
  <c r="AI237" i="59"/>
  <c r="AO205" i="59"/>
  <c r="AI148" i="59"/>
  <c r="AJ136" i="59" s="1"/>
  <c r="K136" i="59" s="1"/>
  <c r="AE265" i="59"/>
  <c r="AF247" i="59" s="1"/>
  <c r="G247" i="59" s="1"/>
  <c r="AE148" i="59"/>
  <c r="AF136" i="59" s="1"/>
  <c r="G136" i="59" s="1"/>
  <c r="AK238" i="59"/>
  <c r="AM115" i="59"/>
  <c r="AE26" i="59"/>
  <c r="F26" i="59" s="1"/>
  <c r="AI268" i="59"/>
  <c r="J268" i="59" s="1"/>
  <c r="AS118" i="59"/>
  <c r="AT106" i="59" s="1"/>
  <c r="U106" i="59" s="1"/>
  <c r="AO237" i="59"/>
  <c r="AS148" i="59"/>
  <c r="AS207" i="59"/>
  <c r="AK265" i="59"/>
  <c r="B18" i="52"/>
  <c r="AO295" i="52"/>
  <c r="AS267" i="52"/>
  <c r="T267" i="52" s="1"/>
  <c r="AG236" i="52"/>
  <c r="AQ296" i="52"/>
  <c r="R296" i="52" s="1"/>
  <c r="AO298" i="52"/>
  <c r="AI87" i="52"/>
  <c r="J87" i="52" s="1"/>
  <c r="AC175" i="52"/>
  <c r="AD157" i="52" s="1"/>
  <c r="E157" i="52" s="1"/>
  <c r="AM148" i="52"/>
  <c r="AQ205" i="52"/>
  <c r="R205" i="52" s="1"/>
  <c r="AS268" i="52"/>
  <c r="B43" i="53"/>
  <c r="AM265" i="53"/>
  <c r="AK207" i="53"/>
  <c r="L207" i="53" s="1"/>
  <c r="AK266" i="53"/>
  <c r="AC295" i="53"/>
  <c r="AI26" i="53"/>
  <c r="AK146" i="53"/>
  <c r="AM238" i="53"/>
  <c r="AM88" i="53"/>
  <c r="AO266" i="53"/>
  <c r="AQ145" i="53"/>
  <c r="AS207" i="53"/>
  <c r="AT193" i="53" s="1"/>
  <c r="U193" i="53" s="1"/>
  <c r="AS148" i="53"/>
  <c r="AE295" i="53"/>
  <c r="AK147" i="53"/>
  <c r="AG237" i="53"/>
  <c r="AO27" i="53"/>
  <c r="AM236" i="53"/>
  <c r="AM267" i="53"/>
  <c r="AI116" i="53"/>
  <c r="AM296" i="53"/>
  <c r="AO297" i="53"/>
  <c r="AK148" i="53"/>
  <c r="AE205" i="53"/>
  <c r="F205" i="53" s="1"/>
  <c r="AS205" i="53"/>
  <c r="AM87" i="53"/>
  <c r="AO86" i="53"/>
  <c r="AQ295" i="53"/>
  <c r="AS28" i="53"/>
  <c r="AC85" i="53"/>
  <c r="AS117" i="53"/>
  <c r="AM297" i="53"/>
  <c r="AK55" i="53"/>
  <c r="AQ297" i="53"/>
  <c r="AC117" i="53"/>
  <c r="AC118" i="53"/>
  <c r="AI178" i="53"/>
  <c r="AQ208" i="53"/>
  <c r="AC148" i="53"/>
  <c r="AS267" i="53"/>
  <c r="AC205" i="53"/>
  <c r="AG87" i="53"/>
  <c r="AK237" i="53"/>
  <c r="AO296" i="53"/>
  <c r="AK58" i="53"/>
  <c r="AC88" i="53"/>
  <c r="AS298" i="53"/>
  <c r="AT286" i="53" s="1"/>
  <c r="U286" i="53" s="1"/>
  <c r="AK265" i="53"/>
  <c r="L265" i="53" s="1"/>
  <c r="AS295" i="53"/>
  <c r="AT277" i="53" s="1"/>
  <c r="U277" i="53" s="1"/>
  <c r="AE207" i="53"/>
  <c r="AF193" i="53" s="1"/>
  <c r="G193" i="53" s="1"/>
  <c r="AG176" i="53"/>
  <c r="AC147" i="53"/>
  <c r="AM86" i="53"/>
  <c r="AG26" i="53"/>
  <c r="AG85" i="53"/>
  <c r="AQ25" i="53"/>
  <c r="R25" i="53" s="1"/>
  <c r="AK238" i="53"/>
  <c r="AK177" i="53"/>
  <c r="AC296" i="53"/>
  <c r="AQ146" i="53"/>
  <c r="AO295" i="53"/>
  <c r="AE178" i="53"/>
  <c r="AF166" i="53" s="1"/>
  <c r="G166" i="53" s="1"/>
  <c r="AG27" i="53"/>
  <c r="AI56" i="53"/>
  <c r="AC57" i="53"/>
  <c r="AO56" i="53"/>
  <c r="AC207" i="53"/>
  <c r="AI117" i="53"/>
  <c r="AI237" i="53"/>
  <c r="AE296" i="53"/>
  <c r="AI176" i="53"/>
  <c r="AQ235" i="53"/>
  <c r="AI55" i="53"/>
  <c r="AO268" i="53"/>
  <c r="AO55" i="53"/>
  <c r="AO88" i="53"/>
  <c r="AQ206" i="53"/>
  <c r="AI25" i="53"/>
  <c r="J25" i="53" s="1"/>
  <c r="AM268" i="53"/>
  <c r="N268" i="53" s="1"/>
  <c r="AI177" i="53"/>
  <c r="J177" i="53" s="1"/>
  <c r="AG238" i="53"/>
  <c r="H238" i="53" s="1"/>
  <c r="AQ57" i="53"/>
  <c r="AR43" i="53" s="1"/>
  <c r="S43" i="53" s="1"/>
  <c r="AC297" i="53"/>
  <c r="D297" i="53" s="1"/>
  <c r="AS268" i="53"/>
  <c r="AT256" i="53" s="1"/>
  <c r="U256" i="53" s="1"/>
  <c r="AE116" i="53"/>
  <c r="F116" i="53" s="1"/>
  <c r="AE177" i="53"/>
  <c r="F177" i="53" s="1"/>
  <c r="AK178" i="53"/>
  <c r="AL166" i="53" s="1"/>
  <c r="M166" i="53" s="1"/>
  <c r="AQ237" i="53"/>
  <c r="R237" i="53" s="1"/>
  <c r="AE88" i="53"/>
  <c r="AS27" i="53"/>
  <c r="AM177" i="53"/>
  <c r="AO85" i="53"/>
  <c r="AK205" i="53"/>
  <c r="AS145" i="53"/>
  <c r="AT127" i="53" s="1"/>
  <c r="U127" i="53" s="1"/>
  <c r="AM57" i="53"/>
  <c r="N57" i="53" s="1"/>
  <c r="AG147" i="53"/>
  <c r="AQ148" i="53"/>
  <c r="R148" i="53" s="1"/>
  <c r="AK235" i="53"/>
  <c r="AM237" i="53"/>
  <c r="AO26" i="53"/>
  <c r="AP10" i="53" s="1"/>
  <c r="Q10" i="53" s="1"/>
  <c r="AO57" i="53"/>
  <c r="P57" i="53" s="1"/>
  <c r="AC55" i="53"/>
  <c r="AM178" i="53"/>
  <c r="AO146" i="53"/>
  <c r="AE298" i="53"/>
  <c r="AC58" i="53"/>
  <c r="D58" i="53" s="1"/>
  <c r="AI57" i="53"/>
  <c r="AO265" i="53"/>
  <c r="AS118" i="53"/>
  <c r="AM55" i="53"/>
  <c r="AG148" i="53"/>
  <c r="AS116" i="53"/>
  <c r="T116" i="53" s="1"/>
  <c r="AK57" i="53"/>
  <c r="L57" i="53" s="1"/>
  <c r="AS296" i="53"/>
  <c r="AQ27" i="53"/>
  <c r="AM266" i="53"/>
  <c r="AQ58" i="53"/>
  <c r="AQ207" i="53"/>
  <c r="AS266" i="53"/>
  <c r="AM58" i="53"/>
  <c r="AN46" i="53" s="1"/>
  <c r="O46" i="53" s="1"/>
  <c r="AC116" i="53"/>
  <c r="AE118" i="53"/>
  <c r="AF106" i="53" s="1"/>
  <c r="G106" i="53" s="1"/>
  <c r="AG236" i="53"/>
  <c r="AM26" i="53"/>
  <c r="N26" i="53" s="1"/>
  <c r="AK118" i="53"/>
  <c r="L118" i="53" s="1"/>
  <c r="AS265" i="53"/>
  <c r="AK116" i="53"/>
  <c r="AO87" i="53"/>
  <c r="AG207" i="53"/>
  <c r="AQ28" i="53"/>
  <c r="AC298" i="53"/>
  <c r="AD286" i="53" s="1"/>
  <c r="E286" i="53" s="1"/>
  <c r="AI236" i="53"/>
  <c r="AC208" i="53"/>
  <c r="AC145" i="53"/>
  <c r="AM176" i="53"/>
  <c r="AI238" i="53"/>
  <c r="AK208" i="53"/>
  <c r="AK117" i="53"/>
  <c r="AS146" i="53"/>
  <c r="AQ177" i="53"/>
  <c r="AI115" i="53"/>
  <c r="AI27" i="53"/>
  <c r="AK56" i="53"/>
  <c r="L56" i="53" s="1"/>
  <c r="AM25" i="53"/>
  <c r="AN7" i="53" s="1"/>
  <c r="O7" i="53" s="1"/>
  <c r="AM28" i="53"/>
  <c r="AE86" i="53"/>
  <c r="F86" i="53" s="1"/>
  <c r="AG86" i="53"/>
  <c r="AS55" i="53"/>
  <c r="AC146" i="53"/>
  <c r="AK236" i="53"/>
  <c r="AL220" i="53" s="1"/>
  <c r="AO298" i="53"/>
  <c r="AS58" i="53"/>
  <c r="AE176" i="53"/>
  <c r="AS147" i="53"/>
  <c r="AE117" i="53"/>
  <c r="F117" i="53" s="1"/>
  <c r="AM175" i="53"/>
  <c r="AQ175" i="53"/>
  <c r="AR157" i="53" s="1"/>
  <c r="S157" i="53" s="1"/>
  <c r="AG88" i="53"/>
  <c r="AO267" i="53"/>
  <c r="AP253" i="53" s="1"/>
  <c r="Q253" i="53" s="1"/>
  <c r="AO25" i="53"/>
  <c r="AC86" i="53"/>
  <c r="AG28" i="53"/>
  <c r="AQ236" i="53"/>
  <c r="AR220" i="53" s="1"/>
  <c r="S220" i="53" s="1"/>
  <c r="AQ56" i="53"/>
  <c r="AO58" i="53"/>
  <c r="AM27" i="53"/>
  <c r="AG145" i="53"/>
  <c r="AC87" i="53"/>
  <c r="AS26" i="53"/>
  <c r="AO145" i="53"/>
  <c r="AK267" i="53"/>
  <c r="B11" i="57"/>
  <c r="AG268" i="57"/>
  <c r="H268" i="57" s="1"/>
  <c r="AC55" i="57"/>
  <c r="AG298" i="57"/>
  <c r="AH286" i="57" s="1"/>
  <c r="AE88" i="57"/>
  <c r="AF76" i="57" s="1"/>
  <c r="G76" i="57" s="1"/>
  <c r="AQ26" i="57"/>
  <c r="AS25" i="57"/>
  <c r="AQ28" i="57"/>
  <c r="AG145" i="57"/>
  <c r="AI205" i="57"/>
  <c r="AE146" i="57"/>
  <c r="AS298" i="57"/>
  <c r="AM206" i="57"/>
  <c r="AK298" i="57"/>
  <c r="AG87" i="57"/>
  <c r="AS177" i="57"/>
  <c r="AO56" i="57"/>
  <c r="AK208" i="57"/>
  <c r="AM27" i="57"/>
  <c r="N27" i="57" s="1"/>
  <c r="AO86" i="57"/>
  <c r="AE116" i="57"/>
  <c r="AF100" i="57" s="1"/>
  <c r="G100" i="57" s="1"/>
  <c r="AO178" i="57"/>
  <c r="AI175" i="57"/>
  <c r="AM207" i="57"/>
  <c r="B98" i="55"/>
  <c r="AI87" i="55"/>
  <c r="AO55" i="55"/>
  <c r="AQ236" i="55"/>
  <c r="AS28" i="55"/>
  <c r="T28" i="55" s="1"/>
  <c r="AG205" i="55"/>
  <c r="H205" i="55" s="1"/>
  <c r="AQ178" i="55"/>
  <c r="AI295" i="55"/>
  <c r="AG145" i="55"/>
  <c r="AE235" i="55"/>
  <c r="AF217" i="55" s="1"/>
  <c r="G217" i="55" s="1"/>
  <c r="AI297" i="55"/>
  <c r="J297" i="55" s="1"/>
  <c r="AQ28" i="55"/>
  <c r="AM145" i="55"/>
  <c r="AN127" i="55" s="1"/>
  <c r="O127" i="55" s="1"/>
  <c r="AG27" i="55"/>
  <c r="AE177" i="55"/>
  <c r="AM55" i="55"/>
  <c r="AS175" i="55"/>
  <c r="T175" i="55" s="1"/>
  <c r="AK115" i="55"/>
  <c r="L115" i="55" s="1"/>
  <c r="AE236" i="55"/>
  <c r="AG207" i="55"/>
  <c r="AE178" i="55"/>
  <c r="AO85" i="55"/>
  <c r="AQ238" i="55"/>
  <c r="T238" i="52"/>
  <c r="AT226" i="52"/>
  <c r="U226" i="52" s="1"/>
  <c r="P298" i="59"/>
  <c r="AP286" i="59"/>
  <c r="Q286" i="59" s="1"/>
  <c r="AN97" i="55"/>
  <c r="O97" i="55" s="1"/>
  <c r="AM119" i="55"/>
  <c r="AQ295" i="55"/>
  <c r="AQ88" i="55"/>
  <c r="R88" i="55" s="1"/>
  <c r="AS177" i="55"/>
  <c r="AT163" i="55" s="1"/>
  <c r="U163" i="55" s="1"/>
  <c r="AO175" i="57"/>
  <c r="AE237" i="55"/>
  <c r="AQ57" i="55"/>
  <c r="AR43" i="55" s="1"/>
  <c r="S43" i="55" s="1"/>
  <c r="AG148" i="55"/>
  <c r="AS176" i="57"/>
  <c r="AC28" i="55"/>
  <c r="D145" i="55"/>
  <c r="AD127" i="55"/>
  <c r="E127" i="55" s="1"/>
  <c r="AH286" i="58"/>
  <c r="I286" i="58" s="1"/>
  <c r="H298" i="58"/>
  <c r="AK56" i="55"/>
  <c r="AL40" i="55" s="1"/>
  <c r="M40" i="55" s="1"/>
  <c r="B10" i="57"/>
  <c r="AG267" i="57"/>
  <c r="AS26" i="57"/>
  <c r="AO176" i="57"/>
  <c r="AE145" i="57"/>
  <c r="AO268" i="57"/>
  <c r="AC235" i="57"/>
  <c r="AG266" i="57"/>
  <c r="AI27" i="57"/>
  <c r="AJ13" i="57" s="1"/>
  <c r="K13" i="57" s="1"/>
  <c r="AM175" i="57"/>
  <c r="AO55" i="57"/>
  <c r="AM267" i="57"/>
  <c r="AG86" i="57"/>
  <c r="AE85" i="57"/>
  <c r="F85" i="57" s="1"/>
  <c r="AG85" i="57"/>
  <c r="AG296" i="57"/>
  <c r="AS296" i="57"/>
  <c r="AT280" i="57" s="1"/>
  <c r="U280" i="57" s="1"/>
  <c r="AG148" i="57"/>
  <c r="AQ25" i="57"/>
  <c r="AR7" i="57" s="1"/>
  <c r="S7" i="57" s="1"/>
  <c r="AM25" i="57"/>
  <c r="AK296" i="57"/>
  <c r="AI208" i="57"/>
  <c r="AQ27" i="57"/>
  <c r="AE117" i="57"/>
  <c r="AG265" i="57"/>
  <c r="AE115" i="57"/>
  <c r="AQ148" i="57"/>
  <c r="AG295" i="57"/>
  <c r="AH277" i="57" s="1"/>
  <c r="AO87" i="57"/>
  <c r="AM178" i="57"/>
  <c r="AK267" i="57"/>
  <c r="AO57" i="57"/>
  <c r="AP43" i="57" s="1"/>
  <c r="Q43" i="57" s="1"/>
  <c r="AC238" i="57"/>
  <c r="AC57" i="57"/>
  <c r="AS295" i="57"/>
  <c r="AT277" i="57" s="1"/>
  <c r="U277" i="57" s="1"/>
  <c r="AM176" i="57"/>
  <c r="N176" i="57" s="1"/>
  <c r="AC236" i="57"/>
  <c r="AM205" i="57"/>
  <c r="AO265" i="57"/>
  <c r="AS297" i="57"/>
  <c r="AE147" i="57"/>
  <c r="F147" i="57" s="1"/>
  <c r="AK297" i="57"/>
  <c r="AE118" i="57"/>
  <c r="AF106" i="57" s="1"/>
  <c r="G106" i="57" s="1"/>
  <c r="AS238" i="57"/>
  <c r="AM28" i="57"/>
  <c r="N28" i="57" s="1"/>
  <c r="AE148" i="57"/>
  <c r="F148" i="57" s="1"/>
  <c r="AC56" i="57"/>
  <c r="AO267" i="57"/>
  <c r="AQ146" i="57"/>
  <c r="AR130" i="57" s="1"/>
  <c r="S130" i="57" s="1"/>
  <c r="AQ145" i="57"/>
  <c r="AR127" i="57" s="1"/>
  <c r="S127" i="57" s="1"/>
  <c r="AQ147" i="57"/>
  <c r="R147" i="57" s="1"/>
  <c r="AM177" i="57"/>
  <c r="AN163" i="57" s="1"/>
  <c r="O163" i="57" s="1"/>
  <c r="AM268" i="57"/>
  <c r="AI28" i="57"/>
  <c r="AI206" i="57"/>
  <c r="AC115" i="57"/>
  <c r="D115" i="57" s="1"/>
  <c r="AM208" i="57"/>
  <c r="AE87" i="57"/>
  <c r="AG297" i="57"/>
  <c r="AI25" i="57"/>
  <c r="AO88" i="57"/>
  <c r="AS178" i="57"/>
  <c r="AK268" i="57"/>
  <c r="AK265" i="57"/>
  <c r="AM266" i="57"/>
  <c r="AG88" i="57"/>
  <c r="AI176" i="57"/>
  <c r="AK295" i="57"/>
  <c r="AS28" i="57"/>
  <c r="AQ297" i="57"/>
  <c r="AI26" i="57"/>
  <c r="P175" i="53"/>
  <c r="AP157" i="53"/>
  <c r="Q157" i="53" s="1"/>
  <c r="AR247" i="53"/>
  <c r="S247" i="53" s="1"/>
  <c r="R265" i="53"/>
  <c r="AN70" i="58"/>
  <c r="O70" i="58" s="1"/>
  <c r="AM89" i="58"/>
  <c r="AT43" i="59"/>
  <c r="U43" i="59" s="1"/>
  <c r="T57" i="59"/>
  <c r="B7" i="59"/>
  <c r="AM145" i="59"/>
  <c r="AO148" i="59"/>
  <c r="P148" i="59" s="1"/>
  <c r="AE208" i="59"/>
  <c r="AF196" i="59" s="1"/>
  <c r="G196" i="59" s="1"/>
  <c r="AQ268" i="59"/>
  <c r="AC88" i="59"/>
  <c r="AQ206" i="59"/>
  <c r="R206" i="59" s="1"/>
  <c r="AG237" i="59"/>
  <c r="AQ26" i="59"/>
  <c r="AC266" i="59"/>
  <c r="AC146" i="59"/>
  <c r="AM116" i="59"/>
  <c r="N116" i="59" s="1"/>
  <c r="AC118" i="59"/>
  <c r="AS208" i="59"/>
  <c r="AI147" i="59"/>
  <c r="AK55" i="59"/>
  <c r="AQ295" i="59"/>
  <c r="AS297" i="59"/>
  <c r="AK148" i="59"/>
  <c r="AG27" i="59"/>
  <c r="H27" i="59" s="1"/>
  <c r="AK298" i="59"/>
  <c r="AI117" i="59"/>
  <c r="AE295" i="59"/>
  <c r="AF277" i="59" s="1"/>
  <c r="G277" i="59" s="1"/>
  <c r="AQ265" i="59"/>
  <c r="AQ58" i="59"/>
  <c r="R58" i="59" s="1"/>
  <c r="AI295" i="59"/>
  <c r="AM298" i="59"/>
  <c r="AN286" i="59" s="1"/>
  <c r="O286" i="59" s="1"/>
  <c r="AS147" i="59"/>
  <c r="AC55" i="59"/>
  <c r="AE206" i="59"/>
  <c r="F206" i="59" s="1"/>
  <c r="AQ57" i="59"/>
  <c r="R57" i="59" s="1"/>
  <c r="AK266" i="59"/>
  <c r="AS145" i="59"/>
  <c r="AM236" i="59"/>
  <c r="AK178" i="59"/>
  <c r="AG58" i="59"/>
  <c r="AK296" i="59"/>
  <c r="AS175" i="59"/>
  <c r="AE88" i="59"/>
  <c r="AF76" i="59" s="1"/>
  <c r="G76" i="59" s="1"/>
  <c r="AG86" i="59"/>
  <c r="AK147" i="59"/>
  <c r="L147" i="59" s="1"/>
  <c r="AK295" i="59"/>
  <c r="AL277" i="59" s="1"/>
  <c r="M277" i="59" s="1"/>
  <c r="AO267" i="59"/>
  <c r="AQ296" i="59"/>
  <c r="R296" i="59" s="1"/>
  <c r="AG265" i="59"/>
  <c r="AH247" i="59" s="1"/>
  <c r="AO85" i="59"/>
  <c r="AG117" i="59"/>
  <c r="AH103" i="59" s="1"/>
  <c r="I103" i="59" s="1"/>
  <c r="AM86" i="59"/>
  <c r="AC235" i="59"/>
  <c r="D235" i="59" s="1"/>
  <c r="AM146" i="59"/>
  <c r="AN130" i="59" s="1"/>
  <c r="O130" i="59" s="1"/>
  <c r="AI146" i="59"/>
  <c r="AK297" i="59"/>
  <c r="AS117" i="59"/>
  <c r="AT103" i="59" s="1"/>
  <c r="U103" i="59" s="1"/>
  <c r="AQ117" i="59"/>
  <c r="AR103" i="59" s="1"/>
  <c r="S103" i="59" s="1"/>
  <c r="AM235" i="59"/>
  <c r="AK87" i="59"/>
  <c r="AO175" i="59"/>
  <c r="AE27" i="59"/>
  <c r="AE296" i="59"/>
  <c r="F296" i="59" s="1"/>
  <c r="AI298" i="59"/>
  <c r="AO117" i="59"/>
  <c r="P117" i="59" s="1"/>
  <c r="AS298" i="59"/>
  <c r="T298" i="59" s="1"/>
  <c r="AM237" i="59"/>
  <c r="N237" i="59" s="1"/>
  <c r="AE57" i="59"/>
  <c r="F57" i="59" s="1"/>
  <c r="AQ85" i="59"/>
  <c r="R85" i="59" s="1"/>
  <c r="AO115" i="59"/>
  <c r="P115" i="59" s="1"/>
  <c r="AK86" i="59"/>
  <c r="AL70" i="59" s="1"/>
  <c r="M70" i="59" s="1"/>
  <c r="AC295" i="59"/>
  <c r="AM238" i="59"/>
  <c r="AN226" i="59" s="1"/>
  <c r="O226" i="59" s="1"/>
  <c r="AC25" i="59"/>
  <c r="AD7" i="59" s="1"/>
  <c r="E7" i="59" s="1"/>
  <c r="AI28" i="59"/>
  <c r="AM296" i="59"/>
  <c r="AC175" i="59"/>
  <c r="AC297" i="59"/>
  <c r="AM85" i="59"/>
  <c r="AI118" i="59"/>
  <c r="AI207" i="59"/>
  <c r="J207" i="59" s="1"/>
  <c r="AO28" i="59"/>
  <c r="AI116" i="59"/>
  <c r="AI27" i="59"/>
  <c r="J27" i="59" s="1"/>
  <c r="AE25" i="59"/>
  <c r="F25" i="59" s="1"/>
  <c r="AG235" i="59"/>
  <c r="AK296" i="55"/>
  <c r="AQ148" i="55"/>
  <c r="AO86" i="55"/>
  <c r="AS148" i="55"/>
  <c r="AQ205" i="55"/>
  <c r="AI177" i="55"/>
  <c r="AI118" i="55"/>
  <c r="AO147" i="55"/>
  <c r="AK297" i="55"/>
  <c r="AQ176" i="55"/>
  <c r="AR160" i="55" s="1"/>
  <c r="S160" i="55" s="1"/>
  <c r="AC178" i="55"/>
  <c r="AM208" i="55"/>
  <c r="N208" i="55" s="1"/>
  <c r="AO118" i="55"/>
  <c r="AI145" i="55"/>
  <c r="AI147" i="55"/>
  <c r="AQ208" i="55"/>
  <c r="AO265" i="55"/>
  <c r="AK206" i="55"/>
  <c r="AI175" i="55"/>
  <c r="AC27" i="55"/>
  <c r="AI207" i="55"/>
  <c r="AK266" i="55"/>
  <c r="AS88" i="55"/>
  <c r="AO238" i="55"/>
  <c r="AG178" i="55"/>
  <c r="AK28" i="55"/>
  <c r="L28" i="55" s="1"/>
  <c r="AI208" i="55"/>
  <c r="AC237" i="55"/>
  <c r="AO58" i="55"/>
  <c r="AG116" i="55"/>
  <c r="AC268" i="55"/>
  <c r="D268" i="55" s="1"/>
  <c r="AC236" i="55"/>
  <c r="AI296" i="55"/>
  <c r="AE298" i="55"/>
  <c r="AF286" i="55" s="1"/>
  <c r="G286" i="55" s="1"/>
  <c r="AG206" i="55"/>
  <c r="AE28" i="55"/>
  <c r="AQ55" i="55"/>
  <c r="AG117" i="55"/>
  <c r="AS86" i="55"/>
  <c r="AE176" i="55"/>
  <c r="AF160" i="55" s="1"/>
  <c r="G160" i="55" s="1"/>
  <c r="AG295" i="55"/>
  <c r="AC25" i="55"/>
  <c r="AQ145" i="55"/>
  <c r="AC86" i="55"/>
  <c r="AC88" i="55"/>
  <c r="AQ175" i="55"/>
  <c r="AE25" i="55"/>
  <c r="AF7" i="55" s="1"/>
  <c r="G7" i="55" s="1"/>
  <c r="AM26" i="55"/>
  <c r="AN10" i="55" s="1"/>
  <c r="AS268" i="55"/>
  <c r="AG297" i="55"/>
  <c r="AG25" i="55"/>
  <c r="AS147" i="55"/>
  <c r="AE147" i="55"/>
  <c r="AF133" i="55" s="1"/>
  <c r="G133" i="55" s="1"/>
  <c r="AE268" i="55"/>
  <c r="AM146" i="55"/>
  <c r="AG298" i="55"/>
  <c r="B7" i="55"/>
  <c r="AM267" i="55"/>
  <c r="AS26" i="55"/>
  <c r="AI27" i="55"/>
  <c r="AQ147" i="55"/>
  <c r="AM57" i="55"/>
  <c r="AG88" i="55"/>
  <c r="H88" i="55" s="1"/>
  <c r="AM175" i="55"/>
  <c r="AG56" i="55"/>
  <c r="AH40" i="55" s="1"/>
  <c r="I40" i="55" s="1"/>
  <c r="AK117" i="55"/>
  <c r="AE205" i="55"/>
  <c r="AI117" i="55"/>
  <c r="AE148" i="55"/>
  <c r="AF136" i="55" s="1"/>
  <c r="G136" i="55" s="1"/>
  <c r="AE207" i="55"/>
  <c r="F207" i="55" s="1"/>
  <c r="AQ86" i="55"/>
  <c r="AC296" i="55"/>
  <c r="AM147" i="55"/>
  <c r="AS145" i="55"/>
  <c r="AK298" i="55"/>
  <c r="AE146" i="55"/>
  <c r="AF130" i="55" s="1"/>
  <c r="G130" i="55" s="1"/>
  <c r="AI85" i="55"/>
  <c r="AO25" i="55"/>
  <c r="AS208" i="55"/>
  <c r="AK265" i="55"/>
  <c r="AE27" i="55"/>
  <c r="F27" i="55" s="1"/>
  <c r="AS58" i="55"/>
  <c r="AO56" i="55"/>
  <c r="AP40" i="55" s="1"/>
  <c r="Q40" i="55" s="1"/>
  <c r="AO176" i="55"/>
  <c r="AP160" i="55" s="1"/>
  <c r="Q160" i="55" s="1"/>
  <c r="AM177" i="55"/>
  <c r="N177" i="55" s="1"/>
  <c r="AK148" i="55"/>
  <c r="L148" i="55" s="1"/>
  <c r="AE297" i="55"/>
  <c r="F297" i="55" s="1"/>
  <c r="AI178" i="55"/>
  <c r="AQ296" i="55"/>
  <c r="AM205" i="55"/>
  <c r="AG85" i="55"/>
  <c r="AK58" i="55"/>
  <c r="AQ146" i="55"/>
  <c r="AR130" i="55" s="1"/>
  <c r="S130" i="55" s="1"/>
  <c r="AC176" i="55"/>
  <c r="AM207" i="55"/>
  <c r="AN193" i="55" s="1"/>
  <c r="AM206" i="55"/>
  <c r="AC87" i="55"/>
  <c r="AE117" i="55"/>
  <c r="AF103" i="55" s="1"/>
  <c r="G103" i="55" s="1"/>
  <c r="AG55" i="55"/>
  <c r="H55" i="55" s="1"/>
  <c r="AO175" i="55"/>
  <c r="AO27" i="55"/>
  <c r="AM297" i="55"/>
  <c r="AS146" i="55"/>
  <c r="T146" i="55" s="1"/>
  <c r="AO117" i="55"/>
  <c r="AK267" i="55"/>
  <c r="L267" i="55" s="1"/>
  <c r="AI26" i="55"/>
  <c r="AM237" i="55"/>
  <c r="AI25" i="55"/>
  <c r="AO266" i="55"/>
  <c r="AM266" i="55"/>
  <c r="AC118" i="55"/>
  <c r="AO87" i="55"/>
  <c r="AQ25" i="55"/>
  <c r="AE208" i="55"/>
  <c r="AS206" i="55"/>
  <c r="AO115" i="55"/>
  <c r="AO237" i="55"/>
  <c r="AC235" i="55"/>
  <c r="AK145" i="55"/>
  <c r="AE118" i="55"/>
  <c r="AK268" i="55"/>
  <c r="AS87" i="55"/>
  <c r="AG147" i="55"/>
  <c r="AH133" i="55" s="1"/>
  <c r="I133" i="55" s="1"/>
  <c r="AS85" i="55"/>
  <c r="AT67" i="55" s="1"/>
  <c r="U67" i="55" s="1"/>
  <c r="AO146" i="55"/>
  <c r="P146" i="55" s="1"/>
  <c r="AQ237" i="55"/>
  <c r="AG57" i="55"/>
  <c r="H57" i="55" s="1"/>
  <c r="AS236" i="55"/>
  <c r="AT220" i="55" s="1"/>
  <c r="U220" i="55" s="1"/>
  <c r="AE266" i="55"/>
  <c r="F266" i="55" s="1"/>
  <c r="AI148" i="55"/>
  <c r="J148" i="55" s="1"/>
  <c r="AK147" i="55"/>
  <c r="AL133" i="55" s="1"/>
  <c r="M133" i="55" s="1"/>
  <c r="AK116" i="55"/>
  <c r="AS176" i="55"/>
  <c r="AE116" i="55"/>
  <c r="AF100" i="55" s="1"/>
  <c r="G100" i="55" s="1"/>
  <c r="AO28" i="55"/>
  <c r="AP16" i="55" s="1"/>
  <c r="Q16" i="55" s="1"/>
  <c r="AE175" i="55"/>
  <c r="F175" i="55" s="1"/>
  <c r="AE145" i="55"/>
  <c r="AF127" i="55" s="1"/>
  <c r="AG177" i="55"/>
  <c r="AK25" i="55"/>
  <c r="AC117" i="55"/>
  <c r="D117" i="55" s="1"/>
  <c r="AG28" i="55"/>
  <c r="AS205" i="55"/>
  <c r="AC26" i="55"/>
  <c r="AM148" i="55"/>
  <c r="AO116" i="55"/>
  <c r="AE238" i="55"/>
  <c r="F238" i="55" s="1"/>
  <c r="AE295" i="55"/>
  <c r="AS266" i="55"/>
  <c r="T266" i="55" s="1"/>
  <c r="AM56" i="55"/>
  <c r="AG146" i="55"/>
  <c r="AH130" i="55" s="1"/>
  <c r="I130" i="55" s="1"/>
  <c r="AM58" i="55"/>
  <c r="N58" i="55" s="1"/>
  <c r="AO148" i="55"/>
  <c r="AK55" i="55"/>
  <c r="AQ297" i="55"/>
  <c r="AG26" i="55"/>
  <c r="AS57" i="55"/>
  <c r="AS27" i="55"/>
  <c r="AQ26" i="55"/>
  <c r="AK235" i="55"/>
  <c r="AE26" i="55"/>
  <c r="AQ298" i="55"/>
  <c r="AC238" i="55"/>
  <c r="AI86" i="55"/>
  <c r="AO57" i="55"/>
  <c r="AI88" i="55"/>
  <c r="AG58" i="55"/>
  <c r="AE115" i="55"/>
  <c r="F115" i="55" s="1"/>
  <c r="AK205" i="55"/>
  <c r="AS56" i="55"/>
  <c r="AG87" i="55"/>
  <c r="AM268" i="55"/>
  <c r="AQ177" i="55"/>
  <c r="AR163" i="59"/>
  <c r="S163" i="59" s="1"/>
  <c r="R177" i="59"/>
  <c r="AQ206" i="55"/>
  <c r="AC58" i="57"/>
  <c r="AD46" i="57" s="1"/>
  <c r="E46" i="57" s="1"/>
  <c r="AC85" i="55"/>
  <c r="AC297" i="55"/>
  <c r="AO178" i="55"/>
  <c r="AC118" i="57"/>
  <c r="D118" i="57" s="1"/>
  <c r="AS266" i="52"/>
  <c r="AT250" i="52" s="1"/>
  <c r="U250" i="52" s="1"/>
  <c r="AM145" i="52"/>
  <c r="AC177" i="52"/>
  <c r="AI207" i="52"/>
  <c r="AG238" i="52"/>
  <c r="AI205" i="52"/>
  <c r="AG148" i="52"/>
  <c r="AI118" i="52"/>
  <c r="J118" i="52" s="1"/>
  <c r="AK85" i="52"/>
  <c r="AM147" i="52"/>
  <c r="AI176" i="52"/>
  <c r="AJ160" i="52" s="1"/>
  <c r="K160" i="52" s="1"/>
  <c r="AO297" i="52"/>
  <c r="AO296" i="52"/>
  <c r="AP280" i="52" s="1"/>
  <c r="Q280" i="52" s="1"/>
  <c r="AI206" i="52"/>
  <c r="J206" i="52" s="1"/>
  <c r="AI237" i="52"/>
  <c r="J237" i="52" s="1"/>
  <c r="AI208" i="52"/>
  <c r="AK87" i="52"/>
  <c r="AM26" i="57"/>
  <c r="AN10" i="57" s="1"/>
  <c r="O10" i="57" s="1"/>
  <c r="AS236" i="57"/>
  <c r="AO209" i="55"/>
  <c r="P209" i="55" s="1"/>
  <c r="AI88" i="58"/>
  <c r="P207" i="55"/>
  <c r="AG265" i="52"/>
  <c r="AH247" i="52" s="1"/>
  <c r="J172" i="57"/>
  <c r="AO115" i="52"/>
  <c r="AO113" i="52"/>
  <c r="P113" i="52" s="1"/>
  <c r="T232" i="55"/>
  <c r="AR46" i="52"/>
  <c r="S46" i="52" s="1"/>
  <c r="AO116" i="52"/>
  <c r="AQ59" i="52"/>
  <c r="AO117" i="52"/>
  <c r="H292" i="57"/>
  <c r="D292" i="52"/>
  <c r="R52" i="57"/>
  <c r="AM85" i="52"/>
  <c r="AK83" i="57"/>
  <c r="L83" i="57" s="1"/>
  <c r="L82" i="57"/>
  <c r="R112" i="57"/>
  <c r="AQ117" i="57"/>
  <c r="AQ113" i="57"/>
  <c r="R113" i="57" s="1"/>
  <c r="AQ115" i="57"/>
  <c r="AQ118" i="57"/>
  <c r="AQ116" i="57"/>
  <c r="AI235" i="57"/>
  <c r="AI236" i="57"/>
  <c r="AI237" i="57"/>
  <c r="AI238" i="57"/>
  <c r="J232" i="57"/>
  <c r="AI233" i="57"/>
  <c r="J233" i="57" s="1"/>
  <c r="AQ263" i="57"/>
  <c r="R263" i="57" s="1"/>
  <c r="R262" i="57"/>
  <c r="AC23" i="58"/>
  <c r="D23" i="58" s="1"/>
  <c r="AC25" i="58"/>
  <c r="AC28" i="58"/>
  <c r="AC27" i="58"/>
  <c r="D22" i="58"/>
  <c r="AC26" i="58"/>
  <c r="J52" i="58"/>
  <c r="AI56" i="58"/>
  <c r="AI53" i="58"/>
  <c r="J53" i="58" s="1"/>
  <c r="AI55" i="58"/>
  <c r="AI58" i="58"/>
  <c r="AI57" i="58"/>
  <c r="P82" i="58"/>
  <c r="AO86" i="58"/>
  <c r="AO83" i="58"/>
  <c r="P83" i="58" s="1"/>
  <c r="AO88" i="58"/>
  <c r="AO85" i="58"/>
  <c r="AO87" i="58"/>
  <c r="P87" i="58" s="1"/>
  <c r="AI205" i="58"/>
  <c r="J202" i="58"/>
  <c r="AI207" i="58"/>
  <c r="AI203" i="58"/>
  <c r="J203" i="58" s="1"/>
  <c r="AI208" i="58"/>
  <c r="AI206" i="58"/>
  <c r="P232" i="58"/>
  <c r="AO236" i="58"/>
  <c r="AO235" i="58"/>
  <c r="AO233" i="58"/>
  <c r="P233" i="58" s="1"/>
  <c r="AO238" i="58"/>
  <c r="AP226" i="58" s="1"/>
  <c r="Q226" i="58" s="1"/>
  <c r="AO237" i="58"/>
  <c r="L22" i="59"/>
  <c r="AK23" i="59"/>
  <c r="L23" i="59" s="1"/>
  <c r="AK25" i="59"/>
  <c r="L25" i="59" s="1"/>
  <c r="AK28" i="59"/>
  <c r="AK26" i="59"/>
  <c r="L26" i="59" s="1"/>
  <c r="AK27" i="59"/>
  <c r="L27" i="59" s="1"/>
  <c r="AM58" i="59"/>
  <c r="AM53" i="59"/>
  <c r="N53" i="59" s="1"/>
  <c r="N52" i="59"/>
  <c r="AM57" i="59"/>
  <c r="AN43" i="59" s="1"/>
  <c r="O43" i="59" s="1"/>
  <c r="T82" i="59"/>
  <c r="AS85" i="59"/>
  <c r="AS88" i="59"/>
  <c r="T88" i="59" s="1"/>
  <c r="AS86" i="59"/>
  <c r="AS87" i="59"/>
  <c r="AE173" i="59"/>
  <c r="F173" i="59" s="1"/>
  <c r="AE177" i="59"/>
  <c r="AF163" i="59" s="1"/>
  <c r="AE176" i="59"/>
  <c r="AE175" i="59"/>
  <c r="AF157" i="59" s="1"/>
  <c r="G157" i="59" s="1"/>
  <c r="AE178" i="59"/>
  <c r="F178" i="59" s="1"/>
  <c r="AK208" i="59"/>
  <c r="L208" i="59" s="1"/>
  <c r="AK207" i="59"/>
  <c r="AK203" i="59"/>
  <c r="L203" i="59" s="1"/>
  <c r="L202" i="59"/>
  <c r="AK206" i="59"/>
  <c r="AQ233" i="59"/>
  <c r="R233" i="59" s="1"/>
  <c r="AQ238" i="59"/>
  <c r="AR226" i="59" s="1"/>
  <c r="S226" i="59" s="1"/>
  <c r="AQ235" i="59"/>
  <c r="AQ236" i="59"/>
  <c r="AR220" i="59" s="1"/>
  <c r="S220" i="59" s="1"/>
  <c r="AK297" i="53"/>
  <c r="AK298" i="53"/>
  <c r="AK295" i="53"/>
  <c r="AK296" i="53"/>
  <c r="AK293" i="53"/>
  <c r="L293" i="53" s="1"/>
  <c r="L292" i="53"/>
  <c r="AG263" i="53"/>
  <c r="H263" i="53" s="1"/>
  <c r="AG267" i="53"/>
  <c r="AG265" i="53"/>
  <c r="AG268" i="53"/>
  <c r="H262" i="53"/>
  <c r="BU157" i="58"/>
  <c r="BU158" i="58" s="1"/>
  <c r="BU159" i="58" s="1"/>
  <c r="BU160" i="58" s="1"/>
  <c r="BU161" i="58" s="1"/>
  <c r="BU162" i="58" s="1"/>
  <c r="BU163" i="58" s="1"/>
  <c r="BU164" i="58" s="1"/>
  <c r="BU165" i="58" s="1"/>
  <c r="BU166" i="58" s="1"/>
  <c r="BU167" i="58" s="1"/>
  <c r="BU168" i="58" s="1"/>
  <c r="AK148" i="58"/>
  <c r="AO267" i="58"/>
  <c r="AQ148" i="58"/>
  <c r="AK298" i="58"/>
  <c r="AO266" i="58"/>
  <c r="AG177" i="58"/>
  <c r="AH163" i="58" s="1"/>
  <c r="AG175" i="58"/>
  <c r="AG237" i="58"/>
  <c r="AM115" i="58"/>
  <c r="AE55" i="58"/>
  <c r="F55" i="58" s="1"/>
  <c r="AE87" i="58"/>
  <c r="F87" i="58" s="1"/>
  <c r="AS295" i="58"/>
  <c r="AI177" i="58"/>
  <c r="AI26" i="58"/>
  <c r="AM146" i="58"/>
  <c r="AM55" i="58"/>
  <c r="AS236" i="58"/>
  <c r="AC268" i="58"/>
  <c r="AC298" i="58"/>
  <c r="D298" i="58" s="1"/>
  <c r="AC207" i="58"/>
  <c r="AI115" i="58"/>
  <c r="AI25" i="58"/>
  <c r="AO56" i="58"/>
  <c r="AK88" i="58"/>
  <c r="L88" i="58" s="1"/>
  <c r="AQ175" i="58"/>
  <c r="AM145" i="58"/>
  <c r="AE116" i="58"/>
  <c r="AI175" i="58"/>
  <c r="AE117" i="58"/>
  <c r="AC208" i="58"/>
  <c r="AE146" i="58"/>
  <c r="AF130" i="58" s="1"/>
  <c r="G130" i="58" s="1"/>
  <c r="AC205" i="58"/>
  <c r="AS115" i="58"/>
  <c r="AE58" i="58"/>
  <c r="AI118" i="58"/>
  <c r="AS298" i="58"/>
  <c r="AK296" i="58"/>
  <c r="AE86" i="58"/>
  <c r="AM116" i="58"/>
  <c r="AS238" i="58"/>
  <c r="AG25" i="58"/>
  <c r="H25" i="58" s="1"/>
  <c r="AG27" i="58"/>
  <c r="AK87" i="58"/>
  <c r="AQ146" i="58"/>
  <c r="AG268" i="58"/>
  <c r="AC266" i="58"/>
  <c r="AO207" i="58"/>
  <c r="AQ28" i="58"/>
  <c r="AM117" i="58"/>
  <c r="N117" i="58" s="1"/>
  <c r="AM178" i="58"/>
  <c r="AC237" i="58"/>
  <c r="AQ176" i="58"/>
  <c r="AS296" i="58"/>
  <c r="AI116" i="58"/>
  <c r="AE118" i="58"/>
  <c r="F118" i="58" s="1"/>
  <c r="AE88" i="58"/>
  <c r="AF76" i="58" s="1"/>
  <c r="G76" i="58" s="1"/>
  <c r="AM57" i="58"/>
  <c r="N57" i="58" s="1"/>
  <c r="AO58" i="58"/>
  <c r="AM148" i="58"/>
  <c r="AG265" i="58"/>
  <c r="AI178" i="58"/>
  <c r="J178" i="58" s="1"/>
  <c r="AE148" i="58"/>
  <c r="F148" i="58" s="1"/>
  <c r="AS28" i="58"/>
  <c r="AC267" i="58"/>
  <c r="AI28" i="58"/>
  <c r="AQ178" i="58"/>
  <c r="AC295" i="58"/>
  <c r="AS237" i="58"/>
  <c r="AS117" i="58"/>
  <c r="AE115" i="58"/>
  <c r="AG28" i="58"/>
  <c r="AS26" i="58"/>
  <c r="AG266" i="58"/>
  <c r="AC296" i="58"/>
  <c r="AQ147" i="58"/>
  <c r="AK86" i="58"/>
  <c r="AG235" i="58"/>
  <c r="AQ145" i="58"/>
  <c r="AQ25" i="58"/>
  <c r="AR7" i="58" s="1"/>
  <c r="S7" i="58" s="1"/>
  <c r="AS27" i="58"/>
  <c r="AK85" i="58"/>
  <c r="AO208" i="58"/>
  <c r="AI27" i="58"/>
  <c r="AE85" i="58"/>
  <c r="AG267" i="58"/>
  <c r="AK297" i="58"/>
  <c r="AC235" i="58"/>
  <c r="AC297" i="58"/>
  <c r="AG238" i="58"/>
  <c r="AG176" i="58"/>
  <c r="AE147" i="58"/>
  <c r="AC206" i="58"/>
  <c r="AM56" i="58"/>
  <c r="AK145" i="58"/>
  <c r="AG26" i="58"/>
  <c r="AS25" i="58"/>
  <c r="AI117" i="58"/>
  <c r="J117" i="58" s="1"/>
  <c r="AE145" i="58"/>
  <c r="F145" i="58" s="1"/>
  <c r="AE57" i="58"/>
  <c r="AF43" i="58" s="1"/>
  <c r="G43" i="58" s="1"/>
  <c r="AO206" i="58"/>
  <c r="AP190" i="58" s="1"/>
  <c r="Q190" i="58" s="1"/>
  <c r="AI176" i="58"/>
  <c r="J176" i="58" s="1"/>
  <c r="AC236" i="58"/>
  <c r="AD220" i="58" s="1"/>
  <c r="E220" i="58" s="1"/>
  <c r="AM118" i="58"/>
  <c r="AO57" i="58"/>
  <c r="AM176" i="58"/>
  <c r="AQ27" i="58"/>
  <c r="AS118" i="58"/>
  <c r="AG178" i="58"/>
  <c r="AG236" i="58"/>
  <c r="AM175" i="58"/>
  <c r="AM147" i="58"/>
  <c r="AK295" i="58"/>
  <c r="AQ177" i="58"/>
  <c r="AM177" i="58"/>
  <c r="AK146" i="58"/>
  <c r="AC238" i="58"/>
  <c r="D58" i="58"/>
  <c r="BU37" i="52"/>
  <c r="BU38" i="52" s="1"/>
  <c r="BU39" i="52" s="1"/>
  <c r="BU40" i="52" s="1"/>
  <c r="BU41" i="52" s="1"/>
  <c r="BU42" i="52" s="1"/>
  <c r="BU43" i="52" s="1"/>
  <c r="BU44" i="52" s="1"/>
  <c r="BU45" i="52" s="1"/>
  <c r="BU46" i="52" s="1"/>
  <c r="BU47" i="52" s="1"/>
  <c r="BU48" i="52" s="1"/>
  <c r="AK27" i="52"/>
  <c r="L27" i="52" s="1"/>
  <c r="AO145" i="52"/>
  <c r="AE297" i="52"/>
  <c r="AF283" i="52" s="1"/>
  <c r="G283" i="52" s="1"/>
  <c r="AS175" i="52"/>
  <c r="AT157" i="52" s="1"/>
  <c r="U157" i="52" s="1"/>
  <c r="AK58" i="52"/>
  <c r="L58" i="52" s="1"/>
  <c r="AG297" i="52"/>
  <c r="AI85" i="52"/>
  <c r="AM87" i="52"/>
  <c r="AI86" i="52"/>
  <c r="AI27" i="52"/>
  <c r="AQ297" i="52"/>
  <c r="AK146" i="52"/>
  <c r="AC145" i="52"/>
  <c r="AC296" i="52"/>
  <c r="AQ295" i="52"/>
  <c r="AE236" i="52"/>
  <c r="F236" i="52" s="1"/>
  <c r="AI175" i="52"/>
  <c r="AQ268" i="52"/>
  <c r="AK175" i="52"/>
  <c r="AQ116" i="52"/>
  <c r="AS88" i="52"/>
  <c r="AM117" i="52"/>
  <c r="AQ298" i="52"/>
  <c r="AK206" i="52"/>
  <c r="AO265" i="52"/>
  <c r="AE298" i="52"/>
  <c r="AE87" i="52"/>
  <c r="AF73" i="52" s="1"/>
  <c r="G73" i="52" s="1"/>
  <c r="AI88" i="52"/>
  <c r="AO176" i="52"/>
  <c r="AG207" i="52"/>
  <c r="AG28" i="52"/>
  <c r="AI177" i="52"/>
  <c r="AC265" i="52"/>
  <c r="AC236" i="52"/>
  <c r="AK177" i="52"/>
  <c r="AG266" i="52"/>
  <c r="AE205" i="52"/>
  <c r="F205" i="52" s="1"/>
  <c r="AE56" i="52"/>
  <c r="F56" i="52" s="1"/>
  <c r="AQ235" i="52"/>
  <c r="AS298" i="52"/>
  <c r="AK116" i="52"/>
  <c r="AS206" i="52"/>
  <c r="T206" i="52" s="1"/>
  <c r="AM55" i="52"/>
  <c r="AK25" i="52"/>
  <c r="AC208" i="52"/>
  <c r="AS58" i="52"/>
  <c r="AQ206" i="52"/>
  <c r="AE57" i="52"/>
  <c r="AF43" i="52" s="1"/>
  <c r="G43" i="52" s="1"/>
  <c r="AC147" i="52"/>
  <c r="AS205" i="52"/>
  <c r="AS117" i="52"/>
  <c r="AK26" i="52"/>
  <c r="AG296" i="52"/>
  <c r="AE177" i="52"/>
  <c r="F177" i="52" s="1"/>
  <c r="AG147" i="52"/>
  <c r="H147" i="52" s="1"/>
  <c r="AC58" i="52"/>
  <c r="AC295" i="52"/>
  <c r="AK205" i="52"/>
  <c r="AE207" i="52"/>
  <c r="F207" i="52" s="1"/>
  <c r="AM175" i="52"/>
  <c r="AS86" i="52"/>
  <c r="AI295" i="52"/>
  <c r="AE147" i="52"/>
  <c r="AG85" i="52"/>
  <c r="AH67" i="52" s="1"/>
  <c r="I67" i="52" s="1"/>
  <c r="AE178" i="52"/>
  <c r="AI296" i="52"/>
  <c r="AO26" i="52"/>
  <c r="AQ238" i="52"/>
  <c r="AM236" i="52"/>
  <c r="AO25" i="52"/>
  <c r="AE296" i="52"/>
  <c r="AF280" i="52" s="1"/>
  <c r="G280" i="52" s="1"/>
  <c r="AM116" i="52"/>
  <c r="AQ267" i="52"/>
  <c r="AS296" i="52"/>
  <c r="AO85" i="52"/>
  <c r="AG87" i="52"/>
  <c r="AS56" i="52"/>
  <c r="AO178" i="52"/>
  <c r="AE58" i="52"/>
  <c r="AC27" i="52"/>
  <c r="AE208" i="52"/>
  <c r="F208" i="52" s="1"/>
  <c r="AQ176" i="52"/>
  <c r="AG117" i="52"/>
  <c r="H117" i="52" s="1"/>
  <c r="AS295" i="52"/>
  <c r="AG267" i="52"/>
  <c r="H267" i="52" s="1"/>
  <c r="AK236" i="52"/>
  <c r="AO268" i="52"/>
  <c r="AI28" i="52"/>
  <c r="AO266" i="52"/>
  <c r="AC26" i="52"/>
  <c r="D26" i="52" s="1"/>
  <c r="AC267" i="52"/>
  <c r="AG208" i="52"/>
  <c r="AI26" i="52"/>
  <c r="AO177" i="52"/>
  <c r="AQ236" i="52"/>
  <c r="AO88" i="52"/>
  <c r="AC205" i="52"/>
  <c r="AK178" i="52"/>
  <c r="AC237" i="52"/>
  <c r="AM26" i="52"/>
  <c r="AS178" i="52"/>
  <c r="AK28" i="52"/>
  <c r="AM56" i="52"/>
  <c r="N56" i="52" s="1"/>
  <c r="AE146" i="52"/>
  <c r="AF130" i="52" s="1"/>
  <c r="G130" i="52" s="1"/>
  <c r="AG116" i="52"/>
  <c r="AE235" i="52"/>
  <c r="AM178" i="52"/>
  <c r="AQ115" i="52"/>
  <c r="AE88" i="52"/>
  <c r="AG146" i="52"/>
  <c r="AC56" i="52"/>
  <c r="AM238" i="52"/>
  <c r="AM177" i="52"/>
  <c r="AG115" i="52"/>
  <c r="AE176" i="52"/>
  <c r="AM86" i="52"/>
  <c r="AI116" i="52"/>
  <c r="AS115" i="52"/>
  <c r="AC297" i="52"/>
  <c r="AK55" i="52"/>
  <c r="AO147" i="52"/>
  <c r="AG298" i="52"/>
  <c r="AS55" i="52"/>
  <c r="AM295" i="52"/>
  <c r="AC266" i="52"/>
  <c r="AK56" i="52"/>
  <c r="AI178" i="52"/>
  <c r="AG268" i="52"/>
  <c r="AM58" i="52"/>
  <c r="AQ265" i="52"/>
  <c r="AM27" i="52"/>
  <c r="N27" i="52" s="1"/>
  <c r="AM265" i="52"/>
  <c r="AS177" i="52"/>
  <c r="AM28" i="52"/>
  <c r="AK148" i="52"/>
  <c r="AE295" i="52"/>
  <c r="F295" i="52" s="1"/>
  <c r="AM298" i="52"/>
  <c r="AO148" i="52"/>
  <c r="AG25" i="52"/>
  <c r="AO28" i="52"/>
  <c r="AS208" i="52"/>
  <c r="AG145" i="52"/>
  <c r="H145" i="52" s="1"/>
  <c r="AE85" i="52"/>
  <c r="F85" i="52" s="1"/>
  <c r="AS118" i="52"/>
  <c r="AO237" i="52"/>
  <c r="AK115" i="52"/>
  <c r="AO87" i="52"/>
  <c r="AM118" i="52"/>
  <c r="AC298" i="52"/>
  <c r="AM115" i="52"/>
  <c r="AO238" i="52"/>
  <c r="AK176" i="52"/>
  <c r="AC148" i="52"/>
  <c r="AQ266" i="52"/>
  <c r="AE206" i="52"/>
  <c r="AG86" i="52"/>
  <c r="AE25" i="52"/>
  <c r="AQ86" i="52"/>
  <c r="AC238" i="52"/>
  <c r="AO236" i="52"/>
  <c r="AM235" i="52"/>
  <c r="AN217" i="52" s="1"/>
  <c r="O217" i="52" s="1"/>
  <c r="AO175" i="52"/>
  <c r="AM176" i="52"/>
  <c r="AQ118" i="52"/>
  <c r="AI297" i="52"/>
  <c r="AG205" i="52"/>
  <c r="AK145" i="52"/>
  <c r="AK237" i="52"/>
  <c r="AI238" i="52"/>
  <c r="AC146" i="52"/>
  <c r="AC28" i="52"/>
  <c r="AI236" i="52"/>
  <c r="AS297" i="52"/>
  <c r="AG118" i="52"/>
  <c r="AC207" i="52"/>
  <c r="AE28" i="52"/>
  <c r="AF16" i="52" s="1"/>
  <c r="G16" i="52" s="1"/>
  <c r="AQ177" i="52"/>
  <c r="AE86" i="52"/>
  <c r="AE148" i="52"/>
  <c r="F148" i="52" s="1"/>
  <c r="AO56" i="52"/>
  <c r="AM88" i="52"/>
  <c r="AM267" i="52"/>
  <c r="AK238" i="52"/>
  <c r="AL226" i="52" s="1"/>
  <c r="M226" i="52" s="1"/>
  <c r="AC206" i="52"/>
  <c r="AD190" i="52" s="1"/>
  <c r="E190" i="52" s="1"/>
  <c r="AO86" i="52"/>
  <c r="AP70" i="52" s="1"/>
  <c r="Q70" i="52" s="1"/>
  <c r="AM268" i="52"/>
  <c r="AN256" i="52" s="1"/>
  <c r="O256" i="52" s="1"/>
  <c r="AC25" i="52"/>
  <c r="AD7" i="52" s="1"/>
  <c r="E7" i="52" s="1"/>
  <c r="AM296" i="52"/>
  <c r="N296" i="52" s="1"/>
  <c r="AC57" i="52"/>
  <c r="D57" i="52" s="1"/>
  <c r="AC235" i="52"/>
  <c r="AI25" i="52"/>
  <c r="J25" i="52" s="1"/>
  <c r="AI235" i="52"/>
  <c r="AJ217" i="52" s="1"/>
  <c r="K217" i="52" s="1"/>
  <c r="AE237" i="52"/>
  <c r="AM237" i="52"/>
  <c r="AK147" i="52"/>
  <c r="AM25" i="52"/>
  <c r="AS207" i="52"/>
  <c r="AO57" i="52"/>
  <c r="AC55" i="52"/>
  <c r="AS87" i="52"/>
  <c r="AG26" i="52"/>
  <c r="AK57" i="52"/>
  <c r="AQ117" i="52"/>
  <c r="AE26" i="52"/>
  <c r="AF10" i="52" s="1"/>
  <c r="G10" i="52" s="1"/>
  <c r="AO58" i="52"/>
  <c r="AK235" i="52"/>
  <c r="AO235" i="52"/>
  <c r="AI115" i="52"/>
  <c r="AQ237" i="52"/>
  <c r="AQ207" i="52"/>
  <c r="AO267" i="52"/>
  <c r="AI117" i="52"/>
  <c r="AJ103" i="52" s="1"/>
  <c r="K103" i="52" s="1"/>
  <c r="AM297" i="52"/>
  <c r="AG206" i="52"/>
  <c r="AM266" i="52"/>
  <c r="AE55" i="52"/>
  <c r="F55" i="52" s="1"/>
  <c r="AG88" i="52"/>
  <c r="AQ175" i="52"/>
  <c r="AS116" i="52"/>
  <c r="AQ208" i="52"/>
  <c r="AK208" i="52"/>
  <c r="AO55" i="52"/>
  <c r="AS85" i="52"/>
  <c r="AS57" i="52"/>
  <c r="AQ28" i="52"/>
  <c r="AQ26" i="52"/>
  <c r="AQ25" i="52"/>
  <c r="R22" i="52"/>
  <c r="AQ23" i="52"/>
  <c r="R23" i="52" s="1"/>
  <c r="AG53" i="52"/>
  <c r="H53" i="52" s="1"/>
  <c r="AG58" i="52"/>
  <c r="AH46" i="52" s="1"/>
  <c r="AG57" i="52"/>
  <c r="AG56" i="52"/>
  <c r="AG55" i="52"/>
  <c r="H55" i="52" s="1"/>
  <c r="AC113" i="52"/>
  <c r="D113" i="52" s="1"/>
  <c r="AC115" i="52"/>
  <c r="AC117" i="52"/>
  <c r="AC118" i="52"/>
  <c r="AQ143" i="52"/>
  <c r="R143" i="52" s="1"/>
  <c r="AQ146" i="52"/>
  <c r="AQ148" i="52"/>
  <c r="AQ147" i="52"/>
  <c r="AQ145" i="52"/>
  <c r="AR127" i="52" s="1"/>
  <c r="S127" i="52" s="1"/>
  <c r="N202" i="52"/>
  <c r="AM206" i="52"/>
  <c r="AN190" i="52" s="1"/>
  <c r="O190" i="52" s="1"/>
  <c r="AM205" i="52"/>
  <c r="AM207" i="52"/>
  <c r="AM203" i="52"/>
  <c r="N203" i="52" s="1"/>
  <c r="J262" i="52"/>
  <c r="AI267" i="52"/>
  <c r="AI268" i="52"/>
  <c r="AI265" i="52"/>
  <c r="AJ247" i="52" s="1"/>
  <c r="K247" i="52" s="1"/>
  <c r="AI266" i="52"/>
  <c r="D52" i="55"/>
  <c r="AC53" i="55"/>
  <c r="D53" i="55" s="1"/>
  <c r="AC55" i="55"/>
  <c r="AC56" i="55"/>
  <c r="AK83" i="55"/>
  <c r="L83" i="55" s="1"/>
  <c r="AK86" i="55"/>
  <c r="AL70" i="55" s="1"/>
  <c r="M70" i="55" s="1"/>
  <c r="AK88" i="55"/>
  <c r="L88" i="55" s="1"/>
  <c r="AK85" i="55"/>
  <c r="AK87" i="55"/>
  <c r="AQ113" i="55"/>
  <c r="R113" i="55" s="1"/>
  <c r="AQ117" i="55"/>
  <c r="AQ115" i="55"/>
  <c r="R112" i="55"/>
  <c r="AQ116" i="55"/>
  <c r="AQ118" i="55"/>
  <c r="AG238" i="55"/>
  <c r="AG236" i="55"/>
  <c r="AG235" i="55"/>
  <c r="H262" i="55"/>
  <c r="AG267" i="55"/>
  <c r="AG265" i="55"/>
  <c r="AM293" i="55"/>
  <c r="N293" i="55" s="1"/>
  <c r="AM296" i="55"/>
  <c r="AM295" i="55"/>
  <c r="N292" i="55"/>
  <c r="AM298" i="55"/>
  <c r="AE53" i="57"/>
  <c r="F53" i="57" s="1"/>
  <c r="AE56" i="57"/>
  <c r="F52" i="57"/>
  <c r="AE58" i="57"/>
  <c r="AE57" i="57"/>
  <c r="AE145" i="52"/>
  <c r="AK207" i="52"/>
  <c r="AE27" i="52"/>
  <c r="AF13" i="52" s="1"/>
  <c r="G13" i="52" s="1"/>
  <c r="AS297" i="58"/>
  <c r="AK117" i="52"/>
  <c r="AM55" i="59"/>
  <c r="AM56" i="59"/>
  <c r="AG295" i="52"/>
  <c r="AK205" i="59"/>
  <c r="AE55" i="57"/>
  <c r="AP277" i="59"/>
  <c r="Q277" i="59" s="1"/>
  <c r="P295" i="59"/>
  <c r="AO299" i="59"/>
  <c r="AI298" i="52"/>
  <c r="AS235" i="58"/>
  <c r="AQ87" i="52"/>
  <c r="AC268" i="52"/>
  <c r="AQ88" i="52"/>
  <c r="AR76" i="52" s="1"/>
  <c r="AO55" i="58"/>
  <c r="AC116" i="52"/>
  <c r="AQ27" i="52"/>
  <c r="AS176" i="52"/>
  <c r="AO205" i="58"/>
  <c r="AQ26" i="58"/>
  <c r="J88" i="59"/>
  <c r="AT37" i="59"/>
  <c r="U37" i="59" s="1"/>
  <c r="T55" i="59"/>
  <c r="J265" i="58"/>
  <c r="AJ247" i="58"/>
  <c r="K247" i="58" s="1"/>
  <c r="AH157" i="52"/>
  <c r="I157" i="52" s="1"/>
  <c r="H175" i="52"/>
  <c r="D87" i="52"/>
  <c r="AD73" i="52"/>
  <c r="E73" i="52" s="1"/>
  <c r="AO27" i="52"/>
  <c r="AK147" i="58"/>
  <c r="AQ85" i="52"/>
  <c r="AQ237" i="59"/>
  <c r="AK118" i="52"/>
  <c r="AM57" i="52"/>
  <c r="AQ178" i="52"/>
  <c r="AE175" i="52"/>
  <c r="F175" i="52" s="1"/>
  <c r="AE238" i="52"/>
  <c r="AE56" i="58"/>
  <c r="AF40" i="58" s="1"/>
  <c r="G40" i="58" s="1"/>
  <c r="AG27" i="52"/>
  <c r="H27" i="52" s="1"/>
  <c r="AO146" i="52"/>
  <c r="AG266" i="53"/>
  <c r="AC58" i="55"/>
  <c r="D58" i="55" s="1"/>
  <c r="AJ133" i="52"/>
  <c r="K133" i="52" s="1"/>
  <c r="J147" i="52"/>
  <c r="T235" i="52"/>
  <c r="AD220" i="53"/>
  <c r="E220" i="53" s="1"/>
  <c r="T292" i="57"/>
  <c r="AC263" i="52"/>
  <c r="D263" i="52" s="1"/>
  <c r="AE87" i="55"/>
  <c r="AP196" i="55"/>
  <c r="AE86" i="55"/>
  <c r="AF70" i="55" s="1"/>
  <c r="G70" i="55" s="1"/>
  <c r="F112" i="58"/>
  <c r="L22" i="52"/>
  <c r="P208" i="55"/>
  <c r="AO179" i="53"/>
  <c r="AP169" i="53" s="1"/>
  <c r="R268" i="55"/>
  <c r="AE88" i="55"/>
  <c r="AF76" i="55" s="1"/>
  <c r="G76" i="55" s="1"/>
  <c r="L172" i="55"/>
  <c r="AE85" i="55"/>
  <c r="AM263" i="53"/>
  <c r="N263" i="53" s="1"/>
  <c r="AO143" i="57"/>
  <c r="P143" i="57" s="1"/>
  <c r="L112" i="55"/>
  <c r="N86" i="58"/>
  <c r="R267" i="53"/>
  <c r="AM23" i="55"/>
  <c r="N23" i="55" s="1"/>
  <c r="AM53" i="53"/>
  <c r="N53" i="53" s="1"/>
  <c r="M103" i="58"/>
  <c r="BU247" i="53"/>
  <c r="BU248" i="53" s="1"/>
  <c r="BU249" i="53" s="1"/>
  <c r="BU250" i="53" s="1"/>
  <c r="BU251" i="53" s="1"/>
  <c r="BU252" i="53" s="1"/>
  <c r="BU253" i="53" s="1"/>
  <c r="BU254" i="53" s="1"/>
  <c r="BU255" i="53" s="1"/>
  <c r="BU256" i="53" s="1"/>
  <c r="BU257" i="53" s="1"/>
  <c r="BU258" i="53" s="1"/>
  <c r="AE145" i="53"/>
  <c r="AQ86" i="53"/>
  <c r="AI266" i="53"/>
  <c r="AS237" i="53"/>
  <c r="AS238" i="53"/>
  <c r="AG58" i="53"/>
  <c r="AI265" i="53"/>
  <c r="AS236" i="53"/>
  <c r="AQ88" i="53"/>
  <c r="AC178" i="53"/>
  <c r="AC177" i="53"/>
  <c r="AM118" i="53"/>
  <c r="AK25" i="53"/>
  <c r="AQ87" i="53"/>
  <c r="AM117" i="53"/>
  <c r="AK28" i="53"/>
  <c r="AG56" i="53"/>
  <c r="AM116" i="53"/>
  <c r="AI267" i="53"/>
  <c r="AQ85" i="53"/>
  <c r="AC176" i="53"/>
  <c r="AG57" i="53"/>
  <c r="AC175" i="53"/>
  <c r="AE146" i="53"/>
  <c r="AK27" i="53"/>
  <c r="AO205" i="53"/>
  <c r="AS235" i="53"/>
  <c r="AO208" i="53"/>
  <c r="AG55" i="53"/>
  <c r="AM115" i="53"/>
  <c r="BU127" i="57"/>
  <c r="BU128" i="57" s="1"/>
  <c r="BU129" i="57" s="1"/>
  <c r="BU130" i="57" s="1"/>
  <c r="BU131" i="57" s="1"/>
  <c r="BU132" i="57" s="1"/>
  <c r="BU133" i="57" s="1"/>
  <c r="BU134" i="57" s="1"/>
  <c r="BU135" i="57" s="1"/>
  <c r="BU136" i="57" s="1"/>
  <c r="BU137" i="57" s="1"/>
  <c r="BU138" i="57" s="1"/>
  <c r="AS85" i="57"/>
  <c r="AI267" i="57"/>
  <c r="AQ268" i="57"/>
  <c r="AC25" i="57"/>
  <c r="AK86" i="57"/>
  <c r="AK58" i="57"/>
  <c r="AI87" i="57"/>
  <c r="AQ55" i="57"/>
  <c r="AM236" i="57"/>
  <c r="AE27" i="57"/>
  <c r="F27" i="57" s="1"/>
  <c r="AQ176" i="57"/>
  <c r="AK28" i="57"/>
  <c r="AQ237" i="57"/>
  <c r="AQ235" i="57"/>
  <c r="AQ58" i="57"/>
  <c r="AS205" i="57"/>
  <c r="AQ207" i="57"/>
  <c r="AE176" i="57"/>
  <c r="AG27" i="57"/>
  <c r="AQ267" i="57"/>
  <c r="AO297" i="57"/>
  <c r="AO28" i="57"/>
  <c r="AI147" i="57"/>
  <c r="AC26" i="57"/>
  <c r="AE298" i="57"/>
  <c r="F298" i="57" s="1"/>
  <c r="AC176" i="57"/>
  <c r="AK145" i="57"/>
  <c r="AK118" i="57"/>
  <c r="AO27" i="57"/>
  <c r="AC177" i="57"/>
  <c r="AC148" i="57"/>
  <c r="AS88" i="57"/>
  <c r="AO146" i="57"/>
  <c r="AO145" i="57"/>
  <c r="AE178" i="57"/>
  <c r="F178" i="57" s="1"/>
  <c r="AE26" i="57"/>
  <c r="F26" i="57" s="1"/>
  <c r="AK85" i="57"/>
  <c r="AK57" i="57"/>
  <c r="AM148" i="57"/>
  <c r="AE206" i="57"/>
  <c r="AI88" i="57"/>
  <c r="AE237" i="57"/>
  <c r="AE235" i="57"/>
  <c r="AF217" i="57" s="1"/>
  <c r="G217" i="57" s="1"/>
  <c r="AG115" i="57"/>
  <c r="AO25" i="57"/>
  <c r="AM297" i="57"/>
  <c r="AQ177" i="57"/>
  <c r="AK147" i="57"/>
  <c r="AE175" i="57"/>
  <c r="AK116" i="57"/>
  <c r="AQ206" i="57"/>
  <c r="AO116" i="57"/>
  <c r="AK146" i="57"/>
  <c r="AO298" i="57"/>
  <c r="AO115" i="57"/>
  <c r="AM235" i="57"/>
  <c r="AQ238" i="57"/>
  <c r="AI298" i="57"/>
  <c r="AC175" i="57"/>
  <c r="AO205" i="57"/>
  <c r="AC267" i="57"/>
  <c r="AQ208" i="57"/>
  <c r="AE205" i="57"/>
  <c r="AF187" i="57" s="1"/>
  <c r="G187" i="57" s="1"/>
  <c r="AC86" i="57"/>
  <c r="D86" i="57" s="1"/>
  <c r="AM237" i="57"/>
  <c r="AK26" i="57"/>
  <c r="L26" i="57" s="1"/>
  <c r="AO148" i="57"/>
  <c r="AP136" i="57" s="1"/>
  <c r="Q136" i="57" s="1"/>
  <c r="AG118" i="57"/>
  <c r="AI265" i="57"/>
  <c r="AE207" i="57"/>
  <c r="F207" i="57" s="1"/>
  <c r="AK87" i="57"/>
  <c r="L87" i="57" s="1"/>
  <c r="AS57" i="57"/>
  <c r="AE25" i="57"/>
  <c r="AC27" i="57"/>
  <c r="AE295" i="57"/>
  <c r="F295" i="57" s="1"/>
  <c r="AK27" i="57"/>
  <c r="AM118" i="57"/>
  <c r="AG235" i="57"/>
  <c r="AI57" i="57"/>
  <c r="AQ266" i="57"/>
  <c r="AE297" i="57"/>
  <c r="AK88" i="57"/>
  <c r="AC265" i="57"/>
  <c r="AO118" i="57"/>
  <c r="AI296" i="57"/>
  <c r="AG175" i="57"/>
  <c r="AM115" i="57"/>
  <c r="AM146" i="57"/>
  <c r="AI58" i="57"/>
  <c r="AC28" i="57"/>
  <c r="AS87" i="57"/>
  <c r="AC268" i="57"/>
  <c r="AO26" i="57"/>
  <c r="AO295" i="57"/>
  <c r="AQ56" i="57"/>
  <c r="AR40" i="57" s="1"/>
  <c r="S40" i="57" s="1"/>
  <c r="AE177" i="57"/>
  <c r="AQ265" i="57"/>
  <c r="AR247" i="57" s="1"/>
  <c r="S247" i="57" s="1"/>
  <c r="AG236" i="57"/>
  <c r="AE208" i="57"/>
  <c r="AC88" i="57"/>
  <c r="AE296" i="57"/>
  <c r="AF280" i="57" s="1"/>
  <c r="AM296" i="57"/>
  <c r="AS56" i="57"/>
  <c r="AQ236" i="57"/>
  <c r="AO117" i="57"/>
  <c r="AI145" i="57"/>
  <c r="AI55" i="57"/>
  <c r="AQ175" i="57"/>
  <c r="AK55" i="57"/>
  <c r="AM295" i="57"/>
  <c r="N295" i="57" s="1"/>
  <c r="AO206" i="57"/>
  <c r="AK117" i="57"/>
  <c r="AI86" i="57"/>
  <c r="AM116" i="57"/>
  <c r="AS58" i="57"/>
  <c r="AC266" i="57"/>
  <c r="AG117" i="57"/>
  <c r="AG25" i="57"/>
  <c r="AM117" i="57"/>
  <c r="AS207" i="57"/>
  <c r="AE28" i="57"/>
  <c r="AM298" i="57"/>
  <c r="AG116" i="57"/>
  <c r="AI295" i="57"/>
  <c r="AG26" i="57"/>
  <c r="AI268" i="57"/>
  <c r="AK148" i="57"/>
  <c r="AG178" i="57"/>
  <c r="AI85" i="57"/>
  <c r="AK25" i="57"/>
  <c r="AK115" i="57"/>
  <c r="AG237" i="57"/>
  <c r="AO208" i="57"/>
  <c r="AC147" i="57"/>
  <c r="AQ57" i="57"/>
  <c r="AS208" i="57"/>
  <c r="AI266" i="57"/>
  <c r="AQ178" i="57"/>
  <c r="AG238" i="57"/>
  <c r="AO147" i="57"/>
  <c r="AE238" i="57"/>
  <c r="AI297" i="57"/>
  <c r="AM145" i="57"/>
  <c r="AI146" i="57"/>
  <c r="AC85" i="57"/>
  <c r="AC178" i="57"/>
  <c r="AK56" i="57"/>
  <c r="AO296" i="57"/>
  <c r="AP280" i="57" s="1"/>
  <c r="AC145" i="57"/>
  <c r="AC146" i="57"/>
  <c r="AJ187" i="53"/>
  <c r="K187" i="53" s="1"/>
  <c r="J205" i="53"/>
  <c r="AC299" i="57"/>
  <c r="D295" i="57"/>
  <c r="AD277" i="57"/>
  <c r="E277" i="57" s="1"/>
  <c r="AS23" i="52"/>
  <c r="T23" i="52" s="1"/>
  <c r="T22" i="52"/>
  <c r="AS26" i="52"/>
  <c r="AS28" i="52"/>
  <c r="AS27" i="52"/>
  <c r="AS25" i="52"/>
  <c r="J52" i="52"/>
  <c r="AI55" i="52"/>
  <c r="AI56" i="52"/>
  <c r="AI58" i="52"/>
  <c r="AI57" i="52"/>
  <c r="AE118" i="52"/>
  <c r="AF106" i="52" s="1"/>
  <c r="AE115" i="52"/>
  <c r="AE117" i="52"/>
  <c r="AE113" i="52"/>
  <c r="F113" i="52" s="1"/>
  <c r="F112" i="52"/>
  <c r="AE116" i="52"/>
  <c r="AF100" i="52" s="1"/>
  <c r="G100" i="52" s="1"/>
  <c r="T142" i="52"/>
  <c r="AS143" i="52"/>
  <c r="T143" i="52" s="1"/>
  <c r="AS148" i="52"/>
  <c r="AS146" i="52"/>
  <c r="AT130" i="52" s="1"/>
  <c r="U130" i="52" s="1"/>
  <c r="AS147" i="52"/>
  <c r="AO203" i="52"/>
  <c r="P203" i="52" s="1"/>
  <c r="AO206" i="52"/>
  <c r="AO207" i="52"/>
  <c r="AO205" i="52"/>
  <c r="P202" i="52"/>
  <c r="L262" i="52"/>
  <c r="AK263" i="52"/>
  <c r="L263" i="52" s="1"/>
  <c r="AK265" i="52"/>
  <c r="AK268" i="52"/>
  <c r="AK267" i="52"/>
  <c r="AE56" i="55"/>
  <c r="F56" i="55" s="1"/>
  <c r="F52" i="55"/>
  <c r="AE58" i="55"/>
  <c r="AF46" i="55" s="1"/>
  <c r="G46" i="55" s="1"/>
  <c r="AE53" i="55"/>
  <c r="F53" i="55" s="1"/>
  <c r="AE57" i="55"/>
  <c r="F57" i="55" s="1"/>
  <c r="AE55" i="55"/>
  <c r="AF37" i="55" s="1"/>
  <c r="G37" i="55" s="1"/>
  <c r="N82" i="55"/>
  <c r="AM86" i="55"/>
  <c r="AM87" i="55"/>
  <c r="AM88" i="55"/>
  <c r="AM83" i="55"/>
  <c r="N83" i="55" s="1"/>
  <c r="AM85" i="55"/>
  <c r="N85" i="55" s="1"/>
  <c r="AS115" i="55"/>
  <c r="AS116" i="55"/>
  <c r="AS118" i="55"/>
  <c r="AS117" i="55"/>
  <c r="AS113" i="55"/>
  <c r="T113" i="55" s="1"/>
  <c r="T112" i="55"/>
  <c r="AC203" i="55"/>
  <c r="D203" i="55" s="1"/>
  <c r="D202" i="55"/>
  <c r="AC208" i="55"/>
  <c r="AC205" i="55"/>
  <c r="AC206" i="55"/>
  <c r="AI233" i="55"/>
  <c r="J233" i="55" s="1"/>
  <c r="AI237" i="55"/>
  <c r="J232" i="55"/>
  <c r="AI238" i="55"/>
  <c r="AI236" i="55"/>
  <c r="AI235" i="55"/>
  <c r="AI263" i="55"/>
  <c r="J263" i="55" s="1"/>
  <c r="J262" i="55"/>
  <c r="AI268" i="55"/>
  <c r="AI266" i="55"/>
  <c r="AI265" i="55"/>
  <c r="AO298" i="55"/>
  <c r="AO296" i="55"/>
  <c r="AO295" i="55"/>
  <c r="AO293" i="55"/>
  <c r="P293" i="55" s="1"/>
  <c r="P292" i="55"/>
  <c r="AO297" i="55"/>
  <c r="AG57" i="57"/>
  <c r="H52" i="57"/>
  <c r="AG55" i="57"/>
  <c r="AG58" i="57"/>
  <c r="AG53" i="57"/>
  <c r="H53" i="57" s="1"/>
  <c r="AG56" i="57"/>
  <c r="AM83" i="57"/>
  <c r="N83" i="57" s="1"/>
  <c r="AM88" i="57"/>
  <c r="AM87" i="57"/>
  <c r="AM85" i="57"/>
  <c r="AM86" i="57"/>
  <c r="N82" i="57"/>
  <c r="AS117" i="57"/>
  <c r="AS118" i="57"/>
  <c r="AS115" i="57"/>
  <c r="AS113" i="57"/>
  <c r="T113" i="57" s="1"/>
  <c r="T112" i="57"/>
  <c r="AS116" i="57"/>
  <c r="AC203" i="57"/>
  <c r="D203" i="57" s="1"/>
  <c r="AC208" i="57"/>
  <c r="D202" i="57"/>
  <c r="AC205" i="57"/>
  <c r="AC207" i="57"/>
  <c r="AC206" i="57"/>
  <c r="AK235" i="57"/>
  <c r="AK238" i="57"/>
  <c r="AK236" i="57"/>
  <c r="AK237" i="57"/>
  <c r="AK233" i="57"/>
  <c r="L233" i="57" s="1"/>
  <c r="L232" i="57"/>
  <c r="AS263" i="57"/>
  <c r="T263" i="57" s="1"/>
  <c r="AS266" i="57"/>
  <c r="AS268" i="57"/>
  <c r="AS265" i="57"/>
  <c r="AS267" i="57"/>
  <c r="AE23" i="58"/>
  <c r="F23" i="58" s="1"/>
  <c r="AE25" i="58"/>
  <c r="AE28" i="58"/>
  <c r="AE26" i="58"/>
  <c r="F26" i="58" s="1"/>
  <c r="AK53" i="58"/>
  <c r="L53" i="58" s="1"/>
  <c r="AK56" i="58"/>
  <c r="AK55" i="58"/>
  <c r="AK57" i="58"/>
  <c r="AK58" i="58"/>
  <c r="AQ83" i="58"/>
  <c r="R83" i="58" s="1"/>
  <c r="AQ86" i="58"/>
  <c r="AQ87" i="58"/>
  <c r="AQ85" i="58"/>
  <c r="AC178" i="58"/>
  <c r="AC176" i="58"/>
  <c r="AC173" i="58"/>
  <c r="D173" i="58" s="1"/>
  <c r="D172" i="58"/>
  <c r="AC175" i="58"/>
  <c r="L202" i="58"/>
  <c r="AK206" i="58"/>
  <c r="AK205" i="58"/>
  <c r="AK203" i="58"/>
  <c r="L203" i="58" s="1"/>
  <c r="AK207" i="58"/>
  <c r="AK208" i="58"/>
  <c r="AQ236" i="58"/>
  <c r="R236" i="58" s="1"/>
  <c r="R232" i="58"/>
  <c r="AQ233" i="58"/>
  <c r="R233" i="58" s="1"/>
  <c r="AM28" i="59"/>
  <c r="AM27" i="59"/>
  <c r="AM23" i="59"/>
  <c r="N23" i="59" s="1"/>
  <c r="N22" i="59"/>
  <c r="AM26" i="59"/>
  <c r="AN10" i="59" s="1"/>
  <c r="O10" i="59" s="1"/>
  <c r="AM25" i="59"/>
  <c r="AO53" i="59"/>
  <c r="P53" i="59" s="1"/>
  <c r="AO58" i="59"/>
  <c r="AO56" i="59"/>
  <c r="P52" i="59"/>
  <c r="AO55" i="59"/>
  <c r="AO57" i="59"/>
  <c r="AG176" i="59"/>
  <c r="AG178" i="59"/>
  <c r="AG175" i="59"/>
  <c r="AG177" i="59"/>
  <c r="H172" i="59"/>
  <c r="AG173" i="59"/>
  <c r="H173" i="59" s="1"/>
  <c r="AM205" i="59"/>
  <c r="AN187" i="59" s="1"/>
  <c r="AM207" i="59"/>
  <c r="AM203" i="59"/>
  <c r="N203" i="59" s="1"/>
  <c r="N202" i="59"/>
  <c r="AM206" i="59"/>
  <c r="AM208" i="59"/>
  <c r="T232" i="59"/>
  <c r="AS235" i="59"/>
  <c r="AT217" i="59" s="1"/>
  <c r="AS236" i="59"/>
  <c r="AS237" i="59"/>
  <c r="AS233" i="59"/>
  <c r="T233" i="59" s="1"/>
  <c r="AS238" i="59"/>
  <c r="AI297" i="53"/>
  <c r="J292" i="53"/>
  <c r="AI293" i="53"/>
  <c r="J293" i="53" s="1"/>
  <c r="AI295" i="53"/>
  <c r="AI296" i="53"/>
  <c r="AI298" i="53"/>
  <c r="AE263" i="53"/>
  <c r="F263" i="53" s="1"/>
  <c r="F262" i="53"/>
  <c r="AE268" i="53"/>
  <c r="AF256" i="53" s="1"/>
  <c r="G256" i="53" s="1"/>
  <c r="AE265" i="53"/>
  <c r="AF247" i="53" s="1"/>
  <c r="G247" i="53" s="1"/>
  <c r="AE267" i="53"/>
  <c r="AE266" i="53"/>
  <c r="AF250" i="53" s="1"/>
  <c r="G250" i="53" s="1"/>
  <c r="AE238" i="53"/>
  <c r="F238" i="53" s="1"/>
  <c r="AE235" i="53"/>
  <c r="AF217" i="53" s="1"/>
  <c r="G217" i="53" s="1"/>
  <c r="AE236" i="53"/>
  <c r="AE233" i="53"/>
  <c r="F233" i="53" s="1"/>
  <c r="F232" i="53"/>
  <c r="AE237" i="53"/>
  <c r="AO116" i="53"/>
  <c r="AO115" i="53"/>
  <c r="AO117" i="53"/>
  <c r="P112" i="53"/>
  <c r="AO113" i="53"/>
  <c r="P113" i="53" s="1"/>
  <c r="AO118" i="53"/>
  <c r="AI83" i="53"/>
  <c r="J83" i="53" s="1"/>
  <c r="AI85" i="53"/>
  <c r="AI87" i="53"/>
  <c r="J82" i="53"/>
  <c r="AI88" i="53"/>
  <c r="AI86" i="53"/>
  <c r="AE55" i="53"/>
  <c r="AE58" i="53"/>
  <c r="F58" i="53" s="1"/>
  <c r="AE57" i="53"/>
  <c r="AE56" i="53"/>
  <c r="AE53" i="53"/>
  <c r="F53" i="53" s="1"/>
  <c r="F52" i="53"/>
  <c r="AC23" i="53"/>
  <c r="D23" i="53" s="1"/>
  <c r="AC28" i="53"/>
  <c r="AC25" i="53"/>
  <c r="AC26" i="53"/>
  <c r="AC27" i="53"/>
  <c r="D22" i="53"/>
  <c r="AQ205" i="57"/>
  <c r="AI56" i="57"/>
  <c r="AO207" i="53"/>
  <c r="AE27" i="58"/>
  <c r="F27" i="58" s="1"/>
  <c r="AC87" i="57"/>
  <c r="AG176" i="57"/>
  <c r="AS145" i="52"/>
  <c r="AE148" i="53"/>
  <c r="AQ88" i="58"/>
  <c r="AM147" i="57"/>
  <c r="AE236" i="57"/>
  <c r="F236" i="57" s="1"/>
  <c r="AS86" i="57"/>
  <c r="AK26" i="53"/>
  <c r="AD223" i="53"/>
  <c r="E223" i="53" s="1"/>
  <c r="AC239" i="53"/>
  <c r="D237" i="53"/>
  <c r="AO208" i="52"/>
  <c r="AL106" i="59"/>
  <c r="M106" i="59" s="1"/>
  <c r="AK119" i="59"/>
  <c r="L118" i="59"/>
  <c r="AD190" i="59"/>
  <c r="E190" i="59" s="1"/>
  <c r="D206" i="59"/>
  <c r="AC209" i="59"/>
  <c r="AQ235" i="58"/>
  <c r="AS206" i="57"/>
  <c r="AO206" i="53"/>
  <c r="AE147" i="53"/>
  <c r="AS55" i="57"/>
  <c r="AK266" i="52"/>
  <c r="AI268" i="53"/>
  <c r="AR253" i="55"/>
  <c r="S253" i="55" s="1"/>
  <c r="R267" i="55"/>
  <c r="T148" i="57"/>
  <c r="AT136" i="57"/>
  <c r="U136" i="57" s="1"/>
  <c r="AQ237" i="58"/>
  <c r="AO263" i="53"/>
  <c r="P263" i="53" s="1"/>
  <c r="AS85" i="53"/>
  <c r="F172" i="59"/>
  <c r="L232" i="58"/>
  <c r="H202" i="53"/>
  <c r="AK83" i="58"/>
  <c r="L83" i="58" s="1"/>
  <c r="AS87" i="53"/>
  <c r="T87" i="53" s="1"/>
  <c r="R232" i="59"/>
  <c r="AM83" i="59"/>
  <c r="N83" i="59" s="1"/>
  <c r="F202" i="59"/>
  <c r="AM208" i="52"/>
  <c r="AM263" i="57"/>
  <c r="N263" i="57" s="1"/>
  <c r="F232" i="57"/>
  <c r="AE203" i="57"/>
  <c r="F203" i="57" s="1"/>
  <c r="D112" i="52"/>
  <c r="T262" i="57"/>
  <c r="AI263" i="52"/>
  <c r="J263" i="52" s="1"/>
  <c r="AO113" i="57"/>
  <c r="P113" i="57" s="1"/>
  <c r="AM53" i="52"/>
  <c r="N53" i="52" s="1"/>
  <c r="R82" i="55"/>
  <c r="L52" i="58"/>
  <c r="F262" i="55"/>
  <c r="AI56" i="55"/>
  <c r="AN37" i="57"/>
  <c r="AT133" i="57"/>
  <c r="U133" i="57" s="1"/>
  <c r="AI55" i="55"/>
  <c r="AQ263" i="59"/>
  <c r="R263" i="59" s="1"/>
  <c r="F22" i="58"/>
  <c r="AI57" i="55"/>
  <c r="J262" i="53"/>
  <c r="R82" i="58"/>
  <c r="AE233" i="55"/>
  <c r="F233" i="55" s="1"/>
  <c r="AC53" i="57"/>
  <c r="D53" i="57" s="1"/>
  <c r="P52" i="53"/>
  <c r="AO83" i="57"/>
  <c r="P83" i="57" s="1"/>
  <c r="H52" i="59"/>
  <c r="AS145" i="57"/>
  <c r="D202" i="52"/>
  <c r="AS146" i="57"/>
  <c r="L82" i="55"/>
  <c r="AS83" i="59"/>
  <c r="T83" i="59" s="1"/>
  <c r="R22" i="57"/>
  <c r="AQ238" i="58"/>
  <c r="T142" i="57"/>
  <c r="AS86" i="53"/>
  <c r="R142" i="52"/>
  <c r="H52" i="52"/>
  <c r="AG23" i="59"/>
  <c r="H23" i="59" s="1"/>
  <c r="T142" i="55"/>
  <c r="AS88" i="53"/>
  <c r="AG143" i="52"/>
  <c r="H143" i="52" s="1"/>
  <c r="N82" i="53"/>
  <c r="T202" i="52"/>
  <c r="D56" i="58"/>
  <c r="AD40" i="58"/>
  <c r="E40" i="58" s="1"/>
  <c r="AP127" i="58"/>
  <c r="Q127" i="58" s="1"/>
  <c r="AN256" i="59"/>
  <c r="O256" i="59" s="1"/>
  <c r="AN127" i="53"/>
  <c r="O127" i="53" s="1"/>
  <c r="E37" i="58"/>
  <c r="D207" i="59"/>
  <c r="AD193" i="59"/>
  <c r="AR250" i="53"/>
  <c r="R266" i="53"/>
  <c r="AJ190" i="53"/>
  <c r="J206" i="53"/>
  <c r="AL277" i="52"/>
  <c r="M277" i="52" s="1"/>
  <c r="L295" i="52"/>
  <c r="R266" i="55"/>
  <c r="AR250" i="55"/>
  <c r="S250" i="55" s="1"/>
  <c r="P262" i="58"/>
  <c r="H232" i="58"/>
  <c r="D235" i="53"/>
  <c r="L232" i="52"/>
  <c r="AG113" i="57"/>
  <c r="H113" i="57" s="1"/>
  <c r="J142" i="57"/>
  <c r="J82" i="57"/>
  <c r="AG263" i="55"/>
  <c r="H263" i="55" s="1"/>
  <c r="AO149" i="58"/>
  <c r="AG237" i="55"/>
  <c r="R292" i="58"/>
  <c r="AP130" i="58"/>
  <c r="Q130" i="58" s="1"/>
  <c r="AG209" i="57"/>
  <c r="AC113" i="59"/>
  <c r="D113" i="59" s="1"/>
  <c r="AC293" i="53"/>
  <c r="D293" i="53" s="1"/>
  <c r="N82" i="52"/>
  <c r="AG23" i="58"/>
  <c r="H23" i="58" s="1"/>
  <c r="P22" i="52"/>
  <c r="H232" i="55"/>
  <c r="AN133" i="53"/>
  <c r="AO173" i="57"/>
  <c r="P173" i="57" s="1"/>
  <c r="AR43" i="52"/>
  <c r="AH100" i="53"/>
  <c r="I100" i="53" s="1"/>
  <c r="AK293" i="55"/>
  <c r="L293" i="55" s="1"/>
  <c r="P112" i="58"/>
  <c r="AE203" i="55"/>
  <c r="F203" i="55" s="1"/>
  <c r="D238" i="53"/>
  <c r="H262" i="59"/>
  <c r="AQ269" i="55"/>
  <c r="J87" i="59"/>
  <c r="AH97" i="53"/>
  <c r="H115" i="53"/>
  <c r="AG299" i="58"/>
  <c r="H295" i="58"/>
  <c r="AH277" i="58"/>
  <c r="F265" i="52"/>
  <c r="H208" i="57"/>
  <c r="AR247" i="55"/>
  <c r="R265" i="55"/>
  <c r="AP133" i="58"/>
  <c r="P147" i="58"/>
  <c r="T236" i="52"/>
  <c r="F205" i="45"/>
  <c r="F263" i="45"/>
  <c r="U30" i="46"/>
  <c r="F118" i="45"/>
  <c r="F175" i="58"/>
  <c r="U146" i="49"/>
  <c r="U117" i="49"/>
  <c r="AE179" i="58"/>
  <c r="AF169" i="58" s="1"/>
  <c r="G169" i="58" s="1"/>
  <c r="U262" i="49"/>
  <c r="U30" i="49"/>
  <c r="U204" i="49"/>
  <c r="F234" i="45"/>
  <c r="U117" i="41"/>
  <c r="F89" i="45"/>
  <c r="U88" i="49"/>
  <c r="F267" i="57"/>
  <c r="F60" i="45"/>
  <c r="U175" i="49"/>
  <c r="F31" i="45"/>
  <c r="U1" i="49"/>
  <c r="Q6" i="94" s="1"/>
  <c r="F147" i="45"/>
  <c r="F176" i="45"/>
  <c r="F235" i="59"/>
  <c r="U1" i="52"/>
  <c r="AE239" i="59"/>
  <c r="F2" i="55"/>
  <c r="G166" i="58"/>
  <c r="U117" i="46"/>
  <c r="U204" i="46"/>
  <c r="U233" i="46"/>
  <c r="F268" i="52"/>
  <c r="U1" i="46"/>
  <c r="Q6" i="93" s="1"/>
  <c r="U175" i="46"/>
  <c r="U59" i="46"/>
  <c r="U146" i="46"/>
  <c r="U88" i="46"/>
  <c r="F178" i="58"/>
  <c r="F31" i="49"/>
  <c r="F147" i="41"/>
  <c r="F118" i="41"/>
  <c r="F176" i="41"/>
  <c r="F2" i="41"/>
  <c r="E8" i="89" s="1"/>
  <c r="F234" i="41"/>
  <c r="F60" i="41"/>
  <c r="F89" i="41"/>
  <c r="F147" i="49"/>
  <c r="F205" i="41"/>
  <c r="F234" i="49"/>
  <c r="F89" i="49"/>
  <c r="F31" i="41"/>
  <c r="F2" i="49"/>
  <c r="E8" i="94" s="1"/>
  <c r="F60" i="49"/>
  <c r="F205" i="49"/>
  <c r="F2" i="52"/>
  <c r="F263" i="49"/>
  <c r="G163" i="58"/>
  <c r="F60" i="50"/>
  <c r="U233" i="41"/>
  <c r="U59" i="41"/>
  <c r="U88" i="41"/>
  <c r="U146" i="41"/>
  <c r="U175" i="41"/>
  <c r="U204" i="41"/>
  <c r="F2" i="50"/>
  <c r="E8" i="91" s="1"/>
  <c r="F118" i="50"/>
  <c r="U1" i="41"/>
  <c r="Q6" i="89" s="1"/>
  <c r="F176" i="50"/>
  <c r="U262" i="41"/>
  <c r="F31" i="50"/>
  <c r="F263" i="50"/>
  <c r="G223" i="59"/>
  <c r="G160" i="58"/>
  <c r="G247" i="52"/>
  <c r="U1" i="59"/>
  <c r="A2" i="69"/>
  <c r="BF50" i="59"/>
  <c r="BT257" i="58"/>
  <c r="N49" i="83"/>
  <c r="O49" i="83" s="1"/>
  <c r="N37" i="83"/>
  <c r="O37" i="83" s="1"/>
  <c r="N9" i="83"/>
  <c r="O9" i="83" s="1"/>
  <c r="N4" i="83"/>
  <c r="O4" i="83" s="1"/>
  <c r="N26" i="83"/>
  <c r="O26" i="83" s="1"/>
  <c r="N31" i="83"/>
  <c r="O31" i="83" s="1"/>
  <c r="N20" i="83"/>
  <c r="O20" i="83" s="1"/>
  <c r="N14" i="83"/>
  <c r="O14" i="83" s="1"/>
  <c r="N32" i="83"/>
  <c r="O32" i="83" s="1"/>
  <c r="N55" i="83"/>
  <c r="O55" i="83" s="1"/>
  <c r="N68" i="83"/>
  <c r="O68" i="83" s="1"/>
  <c r="N52" i="83"/>
  <c r="O52" i="83" s="1"/>
  <c r="N46" i="83"/>
  <c r="O46" i="83" s="1"/>
  <c r="N65" i="83"/>
  <c r="O65" i="83" s="1"/>
  <c r="N60" i="83"/>
  <c r="O60" i="83" s="1"/>
  <c r="N42" i="83"/>
  <c r="O42" i="83" s="1"/>
  <c r="N45" i="83"/>
  <c r="O45" i="83" s="1"/>
  <c r="N33" i="83"/>
  <c r="O33" i="83" s="1"/>
  <c r="N2" i="83"/>
  <c r="O2" i="83" s="1"/>
  <c r="N70" i="83"/>
  <c r="O70" i="83" s="1"/>
  <c r="N51" i="83"/>
  <c r="O51" i="83" s="1"/>
  <c r="N54" i="83"/>
  <c r="O54" i="83" s="1"/>
  <c r="N41" i="83"/>
  <c r="O41" i="83" s="1"/>
  <c r="N30" i="83"/>
  <c r="O30" i="83" s="1"/>
  <c r="N22" i="83"/>
  <c r="O22" i="83" s="1"/>
  <c r="N16" i="83"/>
  <c r="O16" i="83" s="1"/>
  <c r="N73" i="83"/>
  <c r="O73" i="83" s="1"/>
  <c r="N35" i="83"/>
  <c r="O35" i="83" s="1"/>
  <c r="N18" i="83"/>
  <c r="O18" i="83" s="1"/>
  <c r="N3" i="83"/>
  <c r="O3" i="83" s="1"/>
  <c r="N50" i="83"/>
  <c r="O50" i="83" s="1"/>
  <c r="N5" i="83"/>
  <c r="O5" i="83" s="1"/>
  <c r="N8" i="83"/>
  <c r="O8" i="83" s="1"/>
  <c r="N36" i="83"/>
  <c r="O36" i="83" s="1"/>
  <c r="N12" i="83"/>
  <c r="O12" i="83" s="1"/>
  <c r="N53" i="83"/>
  <c r="O53" i="83" s="1"/>
  <c r="N59" i="83"/>
  <c r="O59" i="83" s="1"/>
  <c r="N61" i="83"/>
  <c r="O61" i="83" s="1"/>
  <c r="N64" i="83"/>
  <c r="O64" i="83" s="1"/>
  <c r="N66" i="83"/>
  <c r="O66" i="83" s="1"/>
  <c r="N15" i="83"/>
  <c r="O15" i="83" s="1"/>
  <c r="N71" i="83"/>
  <c r="O71" i="83" s="1"/>
  <c r="N58" i="83"/>
  <c r="O58" i="83" s="1"/>
  <c r="N56" i="83"/>
  <c r="O56" i="83" s="1"/>
  <c r="N38" i="83"/>
  <c r="O38" i="83" s="1"/>
  <c r="N24" i="83"/>
  <c r="O24" i="83" s="1"/>
  <c r="N72" i="83"/>
  <c r="O72" i="83" s="1"/>
  <c r="N17" i="83"/>
  <c r="O17" i="83" s="1"/>
  <c r="N23" i="83"/>
  <c r="O23" i="83" s="1"/>
  <c r="N39" i="83"/>
  <c r="O39" i="83" s="1"/>
  <c r="N47" i="83"/>
  <c r="O47" i="83" s="1"/>
  <c r="N44" i="83"/>
  <c r="O44" i="83" s="1"/>
  <c r="N7" i="83"/>
  <c r="O7" i="83" s="1"/>
  <c r="N69" i="83"/>
  <c r="O69" i="83" s="1"/>
  <c r="N43" i="83"/>
  <c r="O43" i="83" s="1"/>
  <c r="N40" i="83"/>
  <c r="O40" i="83" s="1"/>
  <c r="N62" i="83"/>
  <c r="O62" i="83" s="1"/>
  <c r="N34" i="83"/>
  <c r="O34" i="83" s="1"/>
  <c r="N88" i="83"/>
  <c r="O88" i="83" s="1"/>
  <c r="M31" i="82"/>
  <c r="M36" i="82"/>
  <c r="M26" i="82"/>
  <c r="M10" i="82"/>
  <c r="M73" i="82"/>
  <c r="M37" i="82"/>
  <c r="M57" i="82"/>
  <c r="M41" i="82"/>
  <c r="M62" i="82"/>
  <c r="M50" i="82"/>
  <c r="M15" i="82"/>
  <c r="M70" i="82"/>
  <c r="M38" i="82"/>
  <c r="M56" i="82"/>
  <c r="M4" i="82"/>
  <c r="M49" i="82"/>
  <c r="M52" i="82"/>
  <c r="M35" i="82"/>
  <c r="M17" i="82"/>
  <c r="M7" i="82"/>
  <c r="M43" i="82"/>
  <c r="M23" i="82"/>
  <c r="M51" i="82"/>
  <c r="M39" i="82"/>
  <c r="M8" i="82"/>
  <c r="M3" i="82"/>
  <c r="M29" i="82"/>
  <c r="M27" i="82"/>
  <c r="M12" i="82"/>
  <c r="M47" i="82"/>
  <c r="M58" i="82"/>
  <c r="M32" i="82"/>
  <c r="M69" i="82"/>
  <c r="M55" i="82"/>
  <c r="M30" i="82"/>
  <c r="M16" i="82"/>
  <c r="M67" i="82"/>
  <c r="M18" i="82"/>
  <c r="M54" i="82"/>
  <c r="M71" i="82"/>
  <c r="M40" i="82"/>
  <c r="M60" i="82"/>
  <c r="M24" i="82"/>
  <c r="M22" i="82"/>
  <c r="M5" i="82"/>
  <c r="M33" i="82"/>
  <c r="M44" i="82"/>
  <c r="M6" i="82"/>
  <c r="N25" i="82"/>
  <c r="O25" i="82" s="1"/>
  <c r="N10" i="82"/>
  <c r="O10" i="82" s="1"/>
  <c r="N42" i="82"/>
  <c r="O42" i="82" s="1"/>
  <c r="N9" i="82"/>
  <c r="O9" i="82" s="1"/>
  <c r="N7" i="82"/>
  <c r="O7" i="82" s="1"/>
  <c r="N11" i="82"/>
  <c r="O11" i="82" s="1"/>
  <c r="N61" i="82"/>
  <c r="O61" i="82" s="1"/>
  <c r="N28" i="82"/>
  <c r="O28" i="82" s="1"/>
  <c r="N45" i="82"/>
  <c r="O45" i="82" s="1"/>
  <c r="N46" i="82"/>
  <c r="O46" i="82" s="1"/>
  <c r="N13" i="82"/>
  <c r="O13" i="82" s="1"/>
  <c r="N14" i="82"/>
  <c r="O14" i="82" s="1"/>
  <c r="N36" i="82"/>
  <c r="O36" i="82" s="1"/>
  <c r="N52" i="82"/>
  <c r="O52" i="82" s="1"/>
  <c r="N19" i="82"/>
  <c r="O19" i="82" s="1"/>
  <c r="N35" i="82"/>
  <c r="O35" i="82" s="1"/>
  <c r="N17" i="82"/>
  <c r="O17" i="82" s="1"/>
  <c r="N23" i="82"/>
  <c r="O23" i="82" s="1"/>
  <c r="N2" i="82"/>
  <c r="O2" i="82" s="1"/>
  <c r="N20" i="82"/>
  <c r="O20" i="82" s="1"/>
  <c r="N21" i="82"/>
  <c r="O21" i="82" s="1"/>
  <c r="N51" i="82"/>
  <c r="O51" i="82" s="1"/>
  <c r="N27" i="82"/>
  <c r="O27" i="82" s="1"/>
  <c r="N41" i="82"/>
  <c r="O41" i="82" s="1"/>
  <c r="N59" i="82"/>
  <c r="O59" i="82" s="1"/>
  <c r="N5" i="82"/>
  <c r="O5" i="82" s="1"/>
  <c r="N22" i="82"/>
  <c r="O22" i="82" s="1"/>
  <c r="N39" i="82"/>
  <c r="O39" i="82" s="1"/>
  <c r="N8" i="82"/>
  <c r="O8" i="82" s="1"/>
  <c r="N34" i="82"/>
  <c r="O34" i="82" s="1"/>
  <c r="N54" i="82"/>
  <c r="O54" i="82" s="1"/>
  <c r="N24" i="82"/>
  <c r="O24" i="82" s="1"/>
  <c r="N44" i="82"/>
  <c r="O44" i="82" s="1"/>
  <c r="N48" i="82"/>
  <c r="O48" i="82" s="1"/>
  <c r="N18" i="82"/>
  <c r="O18" i="82" s="1"/>
  <c r="N56" i="82"/>
  <c r="O56" i="82" s="1"/>
  <c r="N53" i="82"/>
  <c r="O53" i="82" s="1"/>
  <c r="N40" i="82"/>
  <c r="O40" i="82" s="1"/>
  <c r="N55" i="82"/>
  <c r="O55" i="82" s="1"/>
  <c r="N12" i="82"/>
  <c r="O12" i="82" s="1"/>
  <c r="N6" i="82"/>
  <c r="O6" i="82" s="1"/>
  <c r="N37" i="78"/>
  <c r="O37" i="78" s="1"/>
  <c r="N5" i="78"/>
  <c r="N21" i="78"/>
  <c r="N25" i="78"/>
  <c r="N22" i="78"/>
  <c r="O22" i="78" s="1"/>
  <c r="N69" i="78"/>
  <c r="N49" i="78"/>
  <c r="N62" i="78"/>
  <c r="O62" i="78" s="1"/>
  <c r="N47" i="78"/>
  <c r="O47" i="78" s="1"/>
  <c r="N15" i="78"/>
  <c r="N3" i="78"/>
  <c r="O3" i="78" s="1"/>
  <c r="N63" i="78"/>
  <c r="O63" i="78" s="1"/>
  <c r="N19" i="78"/>
  <c r="N35" i="78"/>
  <c r="O35" i="78" s="1"/>
  <c r="N61" i="78"/>
  <c r="N51" i="78"/>
  <c r="O51" i="78" s="1"/>
  <c r="N6" i="78"/>
  <c r="N14" i="78"/>
  <c r="N32" i="78"/>
  <c r="N67" i="78"/>
  <c r="N56" i="78"/>
  <c r="N64" i="78"/>
  <c r="O64" i="78" s="1"/>
  <c r="N72" i="78"/>
  <c r="O72" i="78" s="1"/>
  <c r="N2" i="78"/>
  <c r="N13" i="78"/>
  <c r="N65" i="78"/>
  <c r="N18" i="78"/>
  <c r="O18" i="78" s="1"/>
  <c r="N4" i="78"/>
  <c r="N39" i="78"/>
  <c r="O39" i="78" s="1"/>
  <c r="N59" i="78"/>
  <c r="N40" i="78"/>
  <c r="O40" i="78" s="1"/>
  <c r="N34" i="78"/>
  <c r="O34" i="78" s="1"/>
  <c r="N53" i="78"/>
  <c r="O53" i="78" s="1"/>
  <c r="N46" i="78"/>
  <c r="N50" i="78"/>
  <c r="O50" i="78" s="1"/>
  <c r="N42" i="78"/>
  <c r="N17" i="78"/>
  <c r="O17" i="78" s="1"/>
  <c r="N73" i="78"/>
  <c r="O73" i="78" s="1"/>
  <c r="N33" i="78"/>
  <c r="O33" i="78" s="1"/>
  <c r="N66" i="78"/>
  <c r="N38" i="78"/>
  <c r="O38" i="78" s="1"/>
  <c r="N55" i="78"/>
  <c r="N10" i="78"/>
  <c r="N31" i="78"/>
  <c r="N52" i="78"/>
  <c r="N20" i="78"/>
  <c r="N41" i="78"/>
  <c r="O41" i="78" s="1"/>
  <c r="N36" i="78"/>
  <c r="O36" i="78" s="1"/>
  <c r="N60" i="78"/>
  <c r="N8" i="78"/>
  <c r="M2" i="83"/>
  <c r="M45" i="83"/>
  <c r="M18" i="83"/>
  <c r="BT40" i="58"/>
  <c r="BT197" i="58"/>
  <c r="BT41" i="58"/>
  <c r="BT280" i="58"/>
  <c r="BT160" i="58"/>
  <c r="BT168" i="58"/>
  <c r="BT68" i="58"/>
  <c r="BT97" i="58"/>
  <c r="BT7" i="58"/>
  <c r="BT104" i="58"/>
  <c r="BT159" i="58"/>
  <c r="N25" i="83"/>
  <c r="O25" i="83" s="1"/>
  <c r="N19" i="83"/>
  <c r="O19" i="83" s="1"/>
  <c r="AQ238" i="53"/>
  <c r="AS206" i="53"/>
  <c r="B76" i="53"/>
  <c r="Q120" i="41"/>
  <c r="S15" i="16"/>
  <c r="AP124" i="52"/>
  <c r="V9" i="16"/>
  <c r="N29" i="83"/>
  <c r="O29" i="83" s="1"/>
  <c r="AG268" i="55"/>
  <c r="AC57" i="55"/>
  <c r="AQ56" i="55"/>
  <c r="AC265" i="55"/>
  <c r="AG266" i="55"/>
  <c r="AC177" i="55"/>
  <c r="N9" i="79"/>
  <c r="N2" i="81"/>
  <c r="M26" i="78"/>
  <c r="M5" i="78"/>
  <c r="M6" i="78"/>
  <c r="M21" i="78"/>
  <c r="M72" i="82"/>
  <c r="AN15" i="16"/>
  <c r="S33" i="45"/>
  <c r="AP6" i="16"/>
  <c r="N13" i="83"/>
  <c r="O13" i="83" s="1"/>
  <c r="AO88" i="55"/>
  <c r="AK205" i="57"/>
  <c r="AS235" i="57"/>
  <c r="B13" i="57"/>
  <c r="AO58" i="57"/>
  <c r="AE86" i="57"/>
  <c r="N28" i="83"/>
  <c r="O28" i="83" s="1"/>
  <c r="N58" i="79"/>
  <c r="O58" i="79" s="1"/>
  <c r="AG175" i="53"/>
  <c r="N61" i="79"/>
  <c r="AG28" i="57"/>
  <c r="AO235" i="55"/>
  <c r="AO177" i="55"/>
  <c r="N36" i="81"/>
  <c r="O36" i="81" s="1"/>
  <c r="N64" i="81"/>
  <c r="O64" i="81" s="1"/>
  <c r="N28" i="80"/>
  <c r="O28" i="80" s="1"/>
  <c r="N67" i="80"/>
  <c r="AQ58" i="55"/>
  <c r="AI206" i="55"/>
  <c r="AC266" i="55"/>
  <c r="AI205" i="55"/>
  <c r="AM238" i="55"/>
  <c r="N41" i="79"/>
  <c r="AK206" i="53"/>
  <c r="N36" i="79"/>
  <c r="O36" i="79" s="1"/>
  <c r="N48" i="83"/>
  <c r="O48" i="83" s="1"/>
  <c r="N27" i="83"/>
  <c r="O27" i="83" s="1"/>
  <c r="N46" i="79"/>
  <c r="N49" i="79"/>
  <c r="O49" i="79" s="1"/>
  <c r="N14" i="79"/>
  <c r="N5" i="79"/>
  <c r="N2" i="79"/>
  <c r="N30" i="79"/>
  <c r="N47" i="79"/>
  <c r="O47" i="79" s="1"/>
  <c r="N38" i="79"/>
  <c r="O38" i="79" s="1"/>
  <c r="N62" i="79"/>
  <c r="O62" i="79" s="1"/>
  <c r="N29" i="79"/>
  <c r="N50" i="79"/>
  <c r="O50" i="79" s="1"/>
  <c r="N71" i="79"/>
  <c r="N35" i="81"/>
  <c r="O35" i="81" s="1"/>
  <c r="N25" i="81"/>
  <c r="N17" i="81"/>
  <c r="N63" i="81"/>
  <c r="O63" i="81" s="1"/>
  <c r="AO207" i="57"/>
  <c r="AM28" i="55"/>
  <c r="AI148" i="57"/>
  <c r="AS207" i="55"/>
  <c r="N41" i="81"/>
  <c r="O41" i="81" s="1"/>
  <c r="N4" i="79"/>
  <c r="O4" i="79" s="1"/>
  <c r="BF15" i="16"/>
  <c r="O4" i="46"/>
  <c r="AN4" i="55"/>
  <c r="AC116" i="55"/>
  <c r="N56" i="79"/>
  <c r="N53" i="81"/>
  <c r="N64" i="79"/>
  <c r="O64" i="79" s="1"/>
  <c r="H138" i="49"/>
  <c r="H139" i="49" s="1"/>
  <c r="E120" i="49"/>
  <c r="U120" i="49"/>
  <c r="M120" i="49"/>
  <c r="R138" i="49"/>
  <c r="R139" i="49" s="1"/>
  <c r="B119" i="49"/>
  <c r="S120" i="49"/>
  <c r="J138" i="49"/>
  <c r="J139" i="49" s="1"/>
  <c r="B147" i="49"/>
  <c r="P138" i="49"/>
  <c r="P139" i="49" s="1"/>
  <c r="L138" i="49"/>
  <c r="L139" i="49" s="1"/>
  <c r="K4" i="46"/>
  <c r="BD15" i="16"/>
  <c r="AJ4" i="55"/>
  <c r="BJ5" i="16"/>
  <c r="I120" i="49"/>
  <c r="AF274" i="55"/>
  <c r="BJ14" i="16"/>
  <c r="N11" i="83"/>
  <c r="O11" i="83" s="1"/>
  <c r="AO26" i="55"/>
  <c r="CB15" i="16"/>
  <c r="N40" i="81"/>
  <c r="O40" i="81" s="1"/>
  <c r="AI115" i="55"/>
  <c r="AO236" i="55"/>
  <c r="N54" i="79"/>
  <c r="AG176" i="55"/>
  <c r="AC207" i="55"/>
  <c r="B40" i="55"/>
  <c r="AM27" i="55"/>
  <c r="AI267" i="55"/>
  <c r="AG175" i="55"/>
  <c r="N6" i="83"/>
  <c r="O6" i="83" s="1"/>
  <c r="AS208" i="53"/>
  <c r="N66" i="81"/>
  <c r="O66" i="81" s="1"/>
  <c r="N22" i="81"/>
  <c r="O22" i="81" s="1"/>
  <c r="O120" i="49"/>
  <c r="AI298" i="55"/>
  <c r="AS265" i="55"/>
  <c r="AQ207" i="55"/>
  <c r="N6" i="79"/>
  <c r="AG177" i="57"/>
  <c r="AK118" i="55"/>
  <c r="AM236" i="55"/>
  <c r="N16" i="81"/>
  <c r="N48" i="81"/>
  <c r="O48" i="81" s="1"/>
  <c r="AL94" i="59"/>
  <c r="AP214" i="59"/>
  <c r="E62" i="49"/>
  <c r="BF230" i="55"/>
  <c r="AP8" i="16"/>
  <c r="O91" i="45"/>
  <c r="M46" i="79"/>
  <c r="M274" i="55"/>
  <c r="M154" i="55"/>
  <c r="M4" i="41"/>
  <c r="M274" i="53"/>
  <c r="M274" i="57"/>
  <c r="M244" i="57"/>
  <c r="M214" i="57"/>
  <c r="M94" i="58"/>
  <c r="M244" i="55"/>
  <c r="M34" i="59"/>
  <c r="M124" i="58"/>
  <c r="M214" i="52"/>
  <c r="M184" i="58"/>
  <c r="M214" i="55"/>
  <c r="M4" i="53"/>
  <c r="M64" i="58"/>
  <c r="M94" i="52"/>
  <c r="M244" i="58"/>
  <c r="M154" i="58"/>
  <c r="M184" i="52"/>
  <c r="M34" i="55"/>
  <c r="M4" i="57"/>
  <c r="M184" i="59"/>
  <c r="M124" i="55"/>
  <c r="M184" i="57"/>
  <c r="M34" i="58"/>
  <c r="AL4" i="52"/>
  <c r="M274" i="58"/>
  <c r="M274" i="59"/>
  <c r="M154" i="52"/>
  <c r="M124" i="52"/>
  <c r="M64" i="55"/>
  <c r="M4" i="58"/>
  <c r="M244" i="52"/>
  <c r="M154" i="53"/>
  <c r="M214" i="58"/>
  <c r="AD274" i="52"/>
  <c r="BJ7" i="16"/>
  <c r="Q62" i="46"/>
  <c r="M33" i="46"/>
  <c r="BE15" i="16"/>
  <c r="M30" i="79"/>
  <c r="H167" i="46"/>
  <c r="H168" i="46" s="1"/>
  <c r="T167" i="46"/>
  <c r="T168" i="46" s="1"/>
  <c r="B148" i="46"/>
  <c r="K149" i="46"/>
  <c r="P167" i="46"/>
  <c r="P168" i="46" s="1"/>
  <c r="I149" i="46"/>
  <c r="AT274" i="57"/>
  <c r="CD14" i="16"/>
  <c r="M149" i="46"/>
  <c r="K91" i="46"/>
  <c r="N45" i="78"/>
  <c r="N30" i="78"/>
  <c r="N70" i="78"/>
  <c r="N54" i="78"/>
  <c r="N9" i="81"/>
  <c r="O9" i="81" s="1"/>
  <c r="N7" i="81"/>
  <c r="U149" i="46"/>
  <c r="BJ6" i="16"/>
  <c r="M27" i="78"/>
  <c r="BF290" i="55"/>
  <c r="BF170" i="55"/>
  <c r="N49" i="81"/>
  <c r="O49" i="81" s="1"/>
  <c r="AP64" i="55"/>
  <c r="AN64" i="55"/>
  <c r="O62" i="46"/>
  <c r="AP64" i="52"/>
  <c r="Q62" i="41"/>
  <c r="V7" i="16"/>
  <c r="M47" i="79"/>
  <c r="M15" i="81"/>
  <c r="M25" i="82"/>
  <c r="M31" i="79"/>
  <c r="M14" i="79"/>
  <c r="U94" i="52"/>
  <c r="U214" i="59"/>
  <c r="U184" i="57"/>
  <c r="S120" i="46"/>
  <c r="DN15" i="16"/>
  <c r="U184" i="58"/>
  <c r="Q274" i="59"/>
  <c r="Q244" i="58"/>
  <c r="S94" i="58"/>
  <c r="S4" i="55"/>
  <c r="S4" i="58"/>
  <c r="S4" i="59"/>
  <c r="S94" i="55"/>
  <c r="AJ15" i="16"/>
  <c r="U214" i="58"/>
  <c r="U4" i="53"/>
  <c r="U244" i="53"/>
  <c r="U120" i="46"/>
  <c r="N138" i="46"/>
  <c r="N139" i="46" s="1"/>
  <c r="U244" i="52"/>
  <c r="Q124" i="58"/>
  <c r="N48" i="78"/>
  <c r="O48" i="78" s="1"/>
  <c r="AD244" i="52"/>
  <c r="AL34" i="59"/>
  <c r="M33" i="51"/>
  <c r="M7" i="79"/>
  <c r="U4" i="57"/>
  <c r="U124" i="59"/>
  <c r="U214" i="57"/>
  <c r="U244" i="59"/>
  <c r="AP34" i="58"/>
  <c r="CU15" i="16"/>
  <c r="AT64" i="52"/>
  <c r="O124" i="59"/>
  <c r="U214" i="53"/>
  <c r="M41" i="80"/>
  <c r="DR5" i="16"/>
  <c r="AF154" i="57"/>
  <c r="U34" i="55"/>
  <c r="AP34" i="52"/>
  <c r="AT34" i="57"/>
  <c r="U154" i="57"/>
  <c r="AF154" i="52"/>
  <c r="U64" i="57"/>
  <c r="O274" i="57"/>
  <c r="R15" i="16"/>
  <c r="N9" i="78"/>
  <c r="U184" i="59"/>
  <c r="AT4" i="52"/>
  <c r="I33" i="41"/>
  <c r="Q94" i="58"/>
  <c r="Q124" i="59"/>
  <c r="Q184" i="59"/>
  <c r="AP4" i="52"/>
  <c r="Q124" i="52"/>
  <c r="Q94" i="52"/>
  <c r="Q34" i="52"/>
  <c r="AP4" i="59"/>
  <c r="U64" i="52"/>
  <c r="U154" i="52"/>
  <c r="V259" i="53"/>
  <c r="AL274" i="52"/>
  <c r="U34" i="58"/>
  <c r="U244" i="58"/>
  <c r="Q64" i="53"/>
  <c r="Q124" i="55"/>
  <c r="M3" i="79"/>
  <c r="U244" i="57"/>
  <c r="U214" i="55"/>
  <c r="AP34" i="57"/>
  <c r="G62" i="49"/>
  <c r="J80" i="49"/>
  <c r="J81" i="49" s="1"/>
  <c r="AC86" i="52"/>
  <c r="AD4" i="59"/>
  <c r="P109" i="50"/>
  <c r="P110" i="50" s="1"/>
  <c r="AT34" i="52"/>
  <c r="I274" i="57"/>
  <c r="I184" i="55"/>
  <c r="B118" i="50"/>
  <c r="BX44" i="55"/>
  <c r="BS136" i="55"/>
  <c r="BW47" i="57"/>
  <c r="BW247" i="55"/>
  <c r="M35" i="80" s="1"/>
  <c r="BG18" i="55"/>
  <c r="N55" i="80" s="1"/>
  <c r="BW77" i="59"/>
  <c r="M50" i="83" s="1"/>
  <c r="Q280" i="59"/>
  <c r="M7" i="78"/>
  <c r="M52" i="78"/>
  <c r="M4" i="78"/>
  <c r="M61" i="78"/>
  <c r="M64" i="78"/>
  <c r="M63" i="78"/>
  <c r="M68" i="78"/>
  <c r="M56" i="78"/>
  <c r="M67" i="78"/>
  <c r="M3" i="78"/>
  <c r="M34" i="78"/>
  <c r="M15" i="78"/>
  <c r="M16" i="78"/>
  <c r="M23" i="78"/>
  <c r="M37" i="78"/>
  <c r="M53" i="78"/>
  <c r="M69" i="78"/>
  <c r="M59" i="78"/>
  <c r="M51" i="78"/>
  <c r="M65" i="78"/>
  <c r="M32" i="78"/>
  <c r="M28" i="78"/>
  <c r="M43" i="78"/>
  <c r="M22" i="78"/>
  <c r="M31" i="78"/>
  <c r="M35" i="78"/>
  <c r="M49" i="78"/>
  <c r="M12" i="78"/>
  <c r="M60" i="78"/>
  <c r="M41" i="78"/>
  <c r="M66" i="78"/>
  <c r="H177" i="52"/>
  <c r="M14" i="78"/>
  <c r="M44" i="78"/>
  <c r="M11" i="78"/>
  <c r="M24" i="78"/>
  <c r="M54" i="78"/>
  <c r="M20" i="78"/>
  <c r="M19" i="78"/>
  <c r="M50" i="78"/>
  <c r="M29" i="78"/>
  <c r="I163" i="52"/>
  <c r="N7" i="80"/>
  <c r="N23" i="80"/>
  <c r="O23" i="80" s="1"/>
  <c r="N8" i="80"/>
  <c r="O8" i="80" s="1"/>
  <c r="N40" i="80"/>
  <c r="O40" i="80" s="1"/>
  <c r="N56" i="80"/>
  <c r="BF170" i="57" l="1"/>
  <c r="BB200" i="57"/>
  <c r="BB260" i="57"/>
  <c r="BF260" i="57"/>
  <c r="BF290" i="57"/>
  <c r="BF230" i="57"/>
  <c r="BB20" i="57"/>
  <c r="BB230" i="57"/>
  <c r="BF50" i="57"/>
  <c r="V49" i="57"/>
  <c r="BB50" i="57"/>
  <c r="V139" i="57"/>
  <c r="BB140" i="57"/>
  <c r="V79" i="57"/>
  <c r="BT10" i="57"/>
  <c r="BT165" i="57"/>
  <c r="V169" i="57"/>
  <c r="BB170" i="57"/>
  <c r="BT108" i="57"/>
  <c r="BT68" i="57"/>
  <c r="BT101" i="57"/>
  <c r="F265" i="57"/>
  <c r="AJ100" i="57"/>
  <c r="K100" i="57" s="1"/>
  <c r="R88" i="57"/>
  <c r="R87" i="57"/>
  <c r="AI119" i="57"/>
  <c r="AJ109" i="57" s="1"/>
  <c r="K109" i="57" s="1"/>
  <c r="AJ106" i="57"/>
  <c r="K106" i="57" s="1"/>
  <c r="AE269" i="57"/>
  <c r="AF259" i="57" s="1"/>
  <c r="AL166" i="57"/>
  <c r="M166" i="57" s="1"/>
  <c r="R86" i="57"/>
  <c r="AQ89" i="57"/>
  <c r="R89" i="57" s="1"/>
  <c r="R85" i="57"/>
  <c r="CD6" i="16"/>
  <c r="CD10" i="16"/>
  <c r="AH4" i="57"/>
  <c r="I4" i="49"/>
  <c r="O91" i="49"/>
  <c r="M33" i="49"/>
  <c r="AL34" i="57"/>
  <c r="E4" i="49"/>
  <c r="AD4" i="57"/>
  <c r="BU15" i="16"/>
  <c r="O62" i="49"/>
  <c r="AN64" i="57"/>
  <c r="K120" i="49"/>
  <c r="S62" i="49"/>
  <c r="CC15" i="16"/>
  <c r="F268" i="57"/>
  <c r="P296" i="59"/>
  <c r="CD12" i="16"/>
  <c r="K91" i="49"/>
  <c r="CD11" i="16"/>
  <c r="AT283" i="55"/>
  <c r="U283" i="55" s="1"/>
  <c r="BZ15" i="16"/>
  <c r="CA15" i="16"/>
  <c r="U62" i="49"/>
  <c r="AT64" i="57"/>
  <c r="AI89" i="59"/>
  <c r="J86" i="59"/>
  <c r="S91" i="49"/>
  <c r="AJ4" i="57"/>
  <c r="K4" i="49"/>
  <c r="M22" i="79"/>
  <c r="BB290" i="55"/>
  <c r="BF260" i="55"/>
  <c r="V229" i="55"/>
  <c r="BB200" i="55"/>
  <c r="AH133" i="59"/>
  <c r="I133" i="59" s="1"/>
  <c r="V79" i="55"/>
  <c r="V49" i="55"/>
  <c r="M90" i="78"/>
  <c r="M92" i="78"/>
  <c r="N82" i="81"/>
  <c r="O82" i="81" s="1"/>
  <c r="N81" i="81"/>
  <c r="O81" i="81" s="1"/>
  <c r="BT167" i="58"/>
  <c r="BT223" i="58"/>
  <c r="BT217" i="58"/>
  <c r="N78" i="81"/>
  <c r="O78" i="81" s="1"/>
  <c r="BT256" i="58"/>
  <c r="BF170" i="53"/>
  <c r="BF20" i="53"/>
  <c r="BT16" i="58"/>
  <c r="AT64" i="53"/>
  <c r="U62" i="45"/>
  <c r="AD34" i="53"/>
  <c r="E33" i="45"/>
  <c r="N89" i="81"/>
  <c r="O89" i="81" s="1"/>
  <c r="M96" i="82"/>
  <c r="BT46" i="58"/>
  <c r="BY222" i="57"/>
  <c r="BT227" i="57"/>
  <c r="BT162" i="57"/>
  <c r="N103" i="79"/>
  <c r="BT284" i="58"/>
  <c r="BT247" i="58"/>
  <c r="BF110" i="53"/>
  <c r="N91" i="81"/>
  <c r="O91" i="81" s="1"/>
  <c r="N92" i="81"/>
  <c r="O92" i="81" s="1"/>
  <c r="BF80" i="57"/>
  <c r="AH4" i="53"/>
  <c r="I4" i="45"/>
  <c r="G91" i="45"/>
  <c r="N76" i="83"/>
  <c r="O76" i="83" s="1"/>
  <c r="N93" i="81"/>
  <c r="O93" i="81" s="1"/>
  <c r="BY133" i="59"/>
  <c r="BT37" i="57"/>
  <c r="BT157" i="58"/>
  <c r="BT134" i="58"/>
  <c r="BT76" i="58"/>
  <c r="AD94" i="57"/>
  <c r="E91" i="49"/>
  <c r="CD8" i="16"/>
  <c r="AL124" i="57"/>
  <c r="CD9" i="16"/>
  <c r="R80" i="50"/>
  <c r="R81" i="50" s="1"/>
  <c r="B61" i="50"/>
  <c r="I62" i="50"/>
  <c r="L80" i="50"/>
  <c r="L81" i="50" s="1"/>
  <c r="G62" i="50"/>
  <c r="N99" i="81"/>
  <c r="O99" i="81" s="1"/>
  <c r="N95" i="81"/>
  <c r="O95" i="81" s="1"/>
  <c r="BF20" i="57"/>
  <c r="BT98" i="58"/>
  <c r="BT17" i="58"/>
  <c r="M87" i="78"/>
  <c r="M89" i="79"/>
  <c r="N83" i="81"/>
  <c r="O83" i="81" s="1"/>
  <c r="BT195" i="58"/>
  <c r="BT219" i="58"/>
  <c r="BT9" i="58"/>
  <c r="J138" i="41"/>
  <c r="J139" i="41" s="1"/>
  <c r="BY250" i="57"/>
  <c r="BF140" i="57"/>
  <c r="BT135" i="58"/>
  <c r="AD154" i="53"/>
  <c r="AP10" i="16"/>
  <c r="N74" i="81"/>
  <c r="N103" i="81"/>
  <c r="O103" i="81" s="1"/>
  <c r="N82" i="83"/>
  <c r="O82" i="83" s="1"/>
  <c r="AT34" i="53"/>
  <c r="U33" i="45"/>
  <c r="AL94" i="53"/>
  <c r="M91" i="45"/>
  <c r="N87" i="81"/>
  <c r="O87" i="81" s="1"/>
  <c r="N101" i="81"/>
  <c r="O101" i="81" s="1"/>
  <c r="BT283" i="58"/>
  <c r="BT42" i="58"/>
  <c r="BT278" i="58"/>
  <c r="AR64" i="53"/>
  <c r="S62" i="45"/>
  <c r="S4" i="45"/>
  <c r="AR4" i="53"/>
  <c r="Q62" i="45"/>
  <c r="AP64" i="53"/>
  <c r="AM15" i="16"/>
  <c r="N79" i="81"/>
  <c r="O79" i="81" s="1"/>
  <c r="BY73" i="59"/>
  <c r="BT250" i="58"/>
  <c r="BT18" i="58"/>
  <c r="AL15" i="16"/>
  <c r="M75" i="78"/>
  <c r="N77" i="82"/>
  <c r="O77" i="82" s="1"/>
  <c r="N94" i="83"/>
  <c r="O94" i="83" s="1"/>
  <c r="N75" i="83"/>
  <c r="O75" i="83" s="1"/>
  <c r="N102" i="81"/>
  <c r="O102" i="81" s="1"/>
  <c r="K120" i="41"/>
  <c r="BT47" i="58"/>
  <c r="G120" i="41"/>
  <c r="BT130" i="58"/>
  <c r="T138" i="41"/>
  <c r="T139" i="41" s="1"/>
  <c r="BT281" i="58"/>
  <c r="BF230" i="52"/>
  <c r="AP4" i="57"/>
  <c r="BT158" i="58"/>
  <c r="K91" i="45"/>
  <c r="M4" i="49"/>
  <c r="AL4" i="57"/>
  <c r="AF4" i="53"/>
  <c r="AP5" i="16"/>
  <c r="G4" i="45"/>
  <c r="AN34" i="53"/>
  <c r="O33" i="45"/>
  <c r="AH15" i="16"/>
  <c r="M98" i="82"/>
  <c r="N86" i="81"/>
  <c r="O86" i="81" s="1"/>
  <c r="N96" i="81"/>
  <c r="O96" i="81" s="1"/>
  <c r="U120" i="41"/>
  <c r="BT15" i="58"/>
  <c r="N82" i="78"/>
  <c r="O82" i="78" s="1"/>
  <c r="BT255" i="58"/>
  <c r="Q4" i="49"/>
  <c r="BY15" i="16"/>
  <c r="BT43" i="58"/>
  <c r="M4" i="45"/>
  <c r="AL4" i="53"/>
  <c r="BY48" i="57"/>
  <c r="M82" i="82"/>
  <c r="N104" i="81"/>
  <c r="O104" i="81" s="1"/>
  <c r="N100" i="81"/>
  <c r="O100" i="81" s="1"/>
  <c r="M75" i="82"/>
  <c r="N80" i="81"/>
  <c r="O80" i="81" s="1"/>
  <c r="BT108" i="58"/>
  <c r="BT192" i="58"/>
  <c r="I91" i="49"/>
  <c r="AL34" i="53"/>
  <c r="M33" i="45"/>
  <c r="BV15" i="16"/>
  <c r="N88" i="81"/>
  <c r="O88" i="81" s="1"/>
  <c r="N84" i="81"/>
  <c r="O84" i="81" s="1"/>
  <c r="N102" i="79"/>
  <c r="O102" i="79" s="1"/>
  <c r="M86" i="79"/>
  <c r="BT258" i="58"/>
  <c r="AL184" i="53"/>
  <c r="AP11" i="16"/>
  <c r="M95" i="78"/>
  <c r="BT285" i="58"/>
  <c r="CD5" i="16"/>
  <c r="BT190" i="58"/>
  <c r="AL244" i="57"/>
  <c r="CD13" i="16"/>
  <c r="AF34" i="53"/>
  <c r="G33" i="45"/>
  <c r="M79" i="82"/>
  <c r="N76" i="81"/>
  <c r="O76" i="81" s="1"/>
  <c r="M100" i="82"/>
  <c r="N98" i="81"/>
  <c r="O98" i="81" s="1"/>
  <c r="N97" i="81"/>
  <c r="O97" i="81" s="1"/>
  <c r="BT101" i="58"/>
  <c r="BT254" i="58"/>
  <c r="BY14" i="58"/>
  <c r="BT129" i="58"/>
  <c r="AO15" i="16"/>
  <c r="U4" i="45"/>
  <c r="AT4" i="53"/>
  <c r="BX15" i="16"/>
  <c r="O19" i="79"/>
  <c r="BF230" i="53"/>
  <c r="BF200" i="53"/>
  <c r="O5" i="79"/>
  <c r="BF260" i="53"/>
  <c r="O42" i="79"/>
  <c r="BB80" i="53"/>
  <c r="O26" i="79"/>
  <c r="AK299" i="52"/>
  <c r="BF80" i="53"/>
  <c r="BB200" i="53"/>
  <c r="N67" i="79"/>
  <c r="N67" i="84" s="1"/>
  <c r="BF50" i="53"/>
  <c r="O61" i="79"/>
  <c r="V19" i="53"/>
  <c r="O2" i="79"/>
  <c r="O6" i="79"/>
  <c r="O7" i="79"/>
  <c r="O3" i="79"/>
  <c r="O17" i="79"/>
  <c r="O10" i="79"/>
  <c r="BB290" i="53"/>
  <c r="V289" i="53"/>
  <c r="M11" i="79"/>
  <c r="O11" i="79" s="1"/>
  <c r="O14" i="79"/>
  <c r="AL283" i="52"/>
  <c r="M283" i="52" s="1"/>
  <c r="L296" i="52"/>
  <c r="AT280" i="55"/>
  <c r="U280" i="55" s="1"/>
  <c r="H146" i="59"/>
  <c r="H115" i="59"/>
  <c r="O9" i="79"/>
  <c r="O13" i="79"/>
  <c r="O45" i="79"/>
  <c r="O22" i="79"/>
  <c r="O12" i="79"/>
  <c r="O44" i="79"/>
  <c r="O32" i="79"/>
  <c r="O51" i="79"/>
  <c r="O46" i="79"/>
  <c r="O29" i="79"/>
  <c r="O31" i="79"/>
  <c r="O25" i="79"/>
  <c r="O30" i="79"/>
  <c r="BY191" i="53"/>
  <c r="O27" i="79"/>
  <c r="BY70" i="53"/>
  <c r="BY9" i="53"/>
  <c r="O24" i="79"/>
  <c r="O71" i="79"/>
  <c r="O41" i="79"/>
  <c r="BY43" i="53"/>
  <c r="BY99" i="53"/>
  <c r="BY163" i="53"/>
  <c r="BY217" i="53"/>
  <c r="BY16" i="53"/>
  <c r="BY13" i="53"/>
  <c r="O20" i="79"/>
  <c r="AJ157" i="53"/>
  <c r="K157" i="53" s="1"/>
  <c r="O16" i="79"/>
  <c r="O18" i="79"/>
  <c r="BB110" i="53"/>
  <c r="V109" i="53"/>
  <c r="O56" i="79"/>
  <c r="BB170" i="53"/>
  <c r="O55" i="79"/>
  <c r="M6" i="84"/>
  <c r="AI209" i="53"/>
  <c r="J209" i="53" s="1"/>
  <c r="O54" i="79"/>
  <c r="AL106" i="58"/>
  <c r="M106" i="58" s="1"/>
  <c r="AG149" i="59"/>
  <c r="AH139" i="59" s="1"/>
  <c r="I139" i="59" s="1"/>
  <c r="J207" i="53"/>
  <c r="L117" i="58"/>
  <c r="D57" i="58"/>
  <c r="J208" i="53"/>
  <c r="AK179" i="57"/>
  <c r="L179" i="57" s="1"/>
  <c r="AK119" i="58"/>
  <c r="AL109" i="58" s="1"/>
  <c r="M109" i="58" s="1"/>
  <c r="AL160" i="57"/>
  <c r="M160" i="57" s="1"/>
  <c r="BT224" i="53"/>
  <c r="BT39" i="53"/>
  <c r="BT191" i="53"/>
  <c r="BT283" i="53"/>
  <c r="BT166" i="53"/>
  <c r="BT131" i="53"/>
  <c r="BT104" i="53"/>
  <c r="BT68" i="53"/>
  <c r="BT107" i="53"/>
  <c r="BT157" i="53"/>
  <c r="BT196" i="53"/>
  <c r="BT220" i="53"/>
  <c r="BT187" i="53"/>
  <c r="BT225" i="53"/>
  <c r="BT43" i="53"/>
  <c r="BT73" i="53"/>
  <c r="BT167" i="53"/>
  <c r="BT249" i="53"/>
  <c r="BT221" i="53"/>
  <c r="BT129" i="53"/>
  <c r="BT162" i="53"/>
  <c r="BT72" i="53"/>
  <c r="BT76" i="53"/>
  <c r="BT77" i="53"/>
  <c r="BT228" i="53"/>
  <c r="BT158" i="53"/>
  <c r="BT288" i="53"/>
  <c r="BT102" i="53"/>
  <c r="BT285" i="53"/>
  <c r="BT15" i="53"/>
  <c r="BT42" i="53"/>
  <c r="BT217" i="53"/>
  <c r="BT132" i="53"/>
  <c r="BT188" i="53"/>
  <c r="BT190" i="53"/>
  <c r="BT165" i="53"/>
  <c r="BT159" i="53"/>
  <c r="BT70" i="53"/>
  <c r="BT69" i="53"/>
  <c r="BT137" i="53"/>
  <c r="BT47" i="53"/>
  <c r="BT194" i="53"/>
  <c r="BT135" i="53"/>
  <c r="BT11" i="53"/>
  <c r="BT218" i="53"/>
  <c r="BT48" i="53"/>
  <c r="BT45" i="53"/>
  <c r="BT252" i="53"/>
  <c r="BT163" i="53"/>
  <c r="BT7" i="53"/>
  <c r="BT74" i="53"/>
  <c r="BT127" i="53"/>
  <c r="BT279" i="53"/>
  <c r="BT278" i="53"/>
  <c r="BT193" i="53"/>
  <c r="BT18" i="53"/>
  <c r="BT277" i="53"/>
  <c r="BT226" i="53"/>
  <c r="BT106" i="53"/>
  <c r="BT75" i="53"/>
  <c r="BT254" i="53"/>
  <c r="BT256" i="53"/>
  <c r="BT130" i="53"/>
  <c r="BT189" i="53"/>
  <c r="BT38" i="53"/>
  <c r="BT281" i="53"/>
  <c r="BT37" i="53"/>
  <c r="BT257" i="53"/>
  <c r="BT192" i="53"/>
  <c r="BT99" i="53"/>
  <c r="BT247" i="53"/>
  <c r="BT108" i="53"/>
  <c r="BT197" i="53"/>
  <c r="BT9" i="53"/>
  <c r="BT253" i="53"/>
  <c r="BT100" i="53"/>
  <c r="BT46" i="53"/>
  <c r="BT255" i="53"/>
  <c r="BT78" i="53"/>
  <c r="BT287" i="53"/>
  <c r="BT250" i="53"/>
  <c r="BT161" i="53"/>
  <c r="BT136" i="53"/>
  <c r="BT101" i="53"/>
  <c r="BT222" i="53"/>
  <c r="BT16" i="53"/>
  <c r="BT10" i="53"/>
  <c r="BT13" i="53"/>
  <c r="BT44" i="53"/>
  <c r="BT98" i="53"/>
  <c r="BT198" i="53"/>
  <c r="BT103" i="53"/>
  <c r="BT258" i="53"/>
  <c r="BT41" i="53"/>
  <c r="BT71" i="53"/>
  <c r="BT160" i="53"/>
  <c r="BT17" i="53"/>
  <c r="BT40" i="53"/>
  <c r="BT223" i="53"/>
  <c r="BT219" i="53"/>
  <c r="BT134" i="53"/>
  <c r="BT133" i="53"/>
  <c r="BT248" i="53"/>
  <c r="BT67" i="53"/>
  <c r="BT8" i="53"/>
  <c r="BT164" i="53"/>
  <c r="BT14" i="53"/>
  <c r="BT138" i="53"/>
  <c r="BT249" i="57"/>
  <c r="BT16" i="57"/>
  <c r="BT282" i="57"/>
  <c r="F138" i="49"/>
  <c r="F139" i="49" s="1"/>
  <c r="Q120" i="49"/>
  <c r="G120" i="49"/>
  <c r="N138" i="49"/>
  <c r="N139" i="49" s="1"/>
  <c r="T138" i="49"/>
  <c r="T139" i="49" s="1"/>
  <c r="D138" i="49"/>
  <c r="D139" i="49" s="1"/>
  <c r="N77" i="83"/>
  <c r="O77" i="83" s="1"/>
  <c r="BY224" i="57"/>
  <c r="N90" i="83"/>
  <c r="O90" i="83" s="1"/>
  <c r="M76" i="78"/>
  <c r="M83" i="79"/>
  <c r="M96" i="79"/>
  <c r="BY77" i="57"/>
  <c r="F138" i="45"/>
  <c r="F139" i="45" s="1"/>
  <c r="BT193" i="57"/>
  <c r="BT45" i="57"/>
  <c r="BT222" i="57"/>
  <c r="BT255" i="57"/>
  <c r="BT105" i="57"/>
  <c r="BY130" i="59"/>
  <c r="BT285" i="57"/>
  <c r="BT281" i="57"/>
  <c r="N91" i="83"/>
  <c r="O91" i="83" s="1"/>
  <c r="N84" i="83"/>
  <c r="O84" i="83" s="1"/>
  <c r="BY157" i="57"/>
  <c r="BT78" i="57"/>
  <c r="BT74" i="57"/>
  <c r="BT256" i="57"/>
  <c r="BT258" i="57"/>
  <c r="BT190" i="57"/>
  <c r="BY106" i="59"/>
  <c r="N90" i="81"/>
  <c r="O90" i="81" s="1"/>
  <c r="N75" i="81"/>
  <c r="O75" i="81" s="1"/>
  <c r="V289" i="57"/>
  <c r="BB290" i="57"/>
  <c r="BT282" i="53"/>
  <c r="M94" i="79"/>
  <c r="BY160" i="59"/>
  <c r="BY71" i="57"/>
  <c r="BY136" i="57"/>
  <c r="BT100" i="57"/>
  <c r="BT223" i="57"/>
  <c r="BT226" i="57"/>
  <c r="BT251" i="57"/>
  <c r="BT191" i="57"/>
  <c r="BY220" i="59"/>
  <c r="BT136" i="57"/>
  <c r="O120" i="45"/>
  <c r="Q120" i="45"/>
  <c r="N72" i="79"/>
  <c r="O72" i="79" s="1"/>
  <c r="M74" i="79"/>
  <c r="M79" i="79"/>
  <c r="O79" i="79" s="1"/>
  <c r="M78" i="79"/>
  <c r="BY220" i="57"/>
  <c r="H138" i="45"/>
  <c r="H139" i="45" s="1"/>
  <c r="BT159" i="57"/>
  <c r="BT189" i="57"/>
  <c r="BT280" i="57"/>
  <c r="BT166" i="57"/>
  <c r="N80" i="78"/>
  <c r="O80" i="78" s="1"/>
  <c r="BY70" i="59"/>
  <c r="BT158" i="57"/>
  <c r="BT67" i="57"/>
  <c r="BT14" i="58"/>
  <c r="BT70" i="57"/>
  <c r="BT286" i="53"/>
  <c r="BT138" i="57"/>
  <c r="BY256" i="53"/>
  <c r="BY15" i="57"/>
  <c r="M104" i="82"/>
  <c r="G120" i="45"/>
  <c r="BT8" i="57"/>
  <c r="BT192" i="57"/>
  <c r="BT41" i="57"/>
  <c r="BT218" i="57"/>
  <c r="BT99" i="57"/>
  <c r="BT219" i="57"/>
  <c r="N83" i="78"/>
  <c r="O83" i="78" s="1"/>
  <c r="BY69" i="59"/>
  <c r="J167" i="46"/>
  <c r="J168" i="46" s="1"/>
  <c r="O149" i="46"/>
  <c r="B176" i="46"/>
  <c r="S149" i="46"/>
  <c r="F167" i="46"/>
  <c r="F168" i="46" s="1"/>
  <c r="E149" i="46"/>
  <c r="D167" i="46"/>
  <c r="D168" i="46" s="1"/>
  <c r="N167" i="46"/>
  <c r="N168" i="46" s="1"/>
  <c r="L167" i="46"/>
  <c r="L168" i="46" s="1"/>
  <c r="Q149" i="46"/>
  <c r="R167" i="46"/>
  <c r="R168" i="46" s="1"/>
  <c r="G149" i="46"/>
  <c r="BT75" i="58"/>
  <c r="BT105" i="58"/>
  <c r="BT197" i="57"/>
  <c r="M80" i="79"/>
  <c r="M79" i="78"/>
  <c r="N103" i="83"/>
  <c r="O103" i="83" s="1"/>
  <c r="M103" i="78"/>
  <c r="M101" i="78"/>
  <c r="BY69" i="57"/>
  <c r="D138" i="45"/>
  <c r="D139" i="45" s="1"/>
  <c r="BY8" i="58"/>
  <c r="BT48" i="57"/>
  <c r="BT225" i="57"/>
  <c r="BT194" i="57"/>
  <c r="BT254" i="57"/>
  <c r="BT131" i="57"/>
  <c r="BT228" i="57"/>
  <c r="BY218" i="59"/>
  <c r="BY165" i="59"/>
  <c r="BY16" i="59"/>
  <c r="BY47" i="59"/>
  <c r="BY45" i="59"/>
  <c r="BY281" i="59"/>
  <c r="BY15" i="59"/>
  <c r="BY105" i="59"/>
  <c r="BY98" i="59"/>
  <c r="BY223" i="59"/>
  <c r="BY46" i="59"/>
  <c r="BY14" i="59"/>
  <c r="BY221" i="59"/>
  <c r="BY77" i="59"/>
  <c r="BY37" i="59"/>
  <c r="BY68" i="59"/>
  <c r="BY251" i="59"/>
  <c r="BY228" i="59"/>
  <c r="BY222" i="59"/>
  <c r="BY191" i="59"/>
  <c r="BY278" i="59"/>
  <c r="BY158" i="59"/>
  <c r="BY167" i="59"/>
  <c r="BY76" i="59"/>
  <c r="BY162" i="59"/>
  <c r="BY100" i="59"/>
  <c r="BY187" i="59"/>
  <c r="BY277" i="59"/>
  <c r="BY17" i="59"/>
  <c r="BY107" i="59"/>
  <c r="BY12" i="59"/>
  <c r="BY247" i="59"/>
  <c r="BY279" i="59"/>
  <c r="BY102" i="59"/>
  <c r="BY188" i="59"/>
  <c r="BY194" i="59"/>
  <c r="BY41" i="59"/>
  <c r="BY44" i="59"/>
  <c r="BY67" i="59"/>
  <c r="BY255" i="59"/>
  <c r="BY168" i="59"/>
  <c r="BY135" i="59"/>
  <c r="BY282" i="59"/>
  <c r="BY189" i="59"/>
  <c r="BY134" i="59"/>
  <c r="BY166" i="59"/>
  <c r="BY161" i="59"/>
  <c r="BY157" i="59"/>
  <c r="BY287" i="59"/>
  <c r="BY39" i="59"/>
  <c r="BY198" i="59"/>
  <c r="BY75" i="59"/>
  <c r="BY226" i="59"/>
  <c r="BY43" i="59"/>
  <c r="BY78" i="59"/>
  <c r="BY285" i="59"/>
  <c r="BY197" i="59"/>
  <c r="BY13" i="59"/>
  <c r="BY9" i="59"/>
  <c r="BY8" i="59"/>
  <c r="BY195" i="59"/>
  <c r="BY159" i="59"/>
  <c r="BY224" i="59"/>
  <c r="BY190" i="59"/>
  <c r="BY196" i="59"/>
  <c r="BY163" i="59"/>
  <c r="BY71" i="59"/>
  <c r="BY10" i="59"/>
  <c r="BY132" i="59"/>
  <c r="BY131" i="59"/>
  <c r="BY257" i="59"/>
  <c r="BY38" i="59"/>
  <c r="BY103" i="59"/>
  <c r="BY108" i="59"/>
  <c r="BY283" i="59"/>
  <c r="BY104" i="59"/>
  <c r="BY284" i="59"/>
  <c r="BY137" i="59"/>
  <c r="BY129" i="59"/>
  <c r="BY97" i="59"/>
  <c r="BY127" i="59"/>
  <c r="BY101" i="59"/>
  <c r="BY258" i="59"/>
  <c r="BY225" i="59"/>
  <c r="BY192" i="59"/>
  <c r="BY99" i="59"/>
  <c r="BY74" i="59"/>
  <c r="BY219" i="59"/>
  <c r="BY72" i="59"/>
  <c r="BY42" i="59"/>
  <c r="N92" i="83"/>
  <c r="O92" i="83" s="1"/>
  <c r="N104" i="83"/>
  <c r="O104" i="83" s="1"/>
  <c r="N87" i="83"/>
  <c r="O87" i="83" s="1"/>
  <c r="M97" i="79"/>
  <c r="M102" i="78"/>
  <c r="BY75" i="57"/>
  <c r="B119" i="45"/>
  <c r="P138" i="45"/>
  <c r="P139" i="45" s="1"/>
  <c r="BY288" i="59"/>
  <c r="BT198" i="57"/>
  <c r="BT287" i="57"/>
  <c r="BT97" i="57"/>
  <c r="BT248" i="57"/>
  <c r="BT40" i="57"/>
  <c r="BT77" i="57"/>
  <c r="BY40" i="59"/>
  <c r="BY48" i="59"/>
  <c r="BY138" i="59"/>
  <c r="BT168" i="53"/>
  <c r="BY18" i="57"/>
  <c r="BY7" i="59"/>
  <c r="BT102" i="57"/>
  <c r="BT134" i="57"/>
  <c r="BT127" i="57"/>
  <c r="BT278" i="57"/>
  <c r="BT250" i="57"/>
  <c r="M75" i="79"/>
  <c r="BY280" i="59"/>
  <c r="E91" i="51"/>
  <c r="G91" i="51"/>
  <c r="T109" i="51"/>
  <c r="T110" i="51" s="1"/>
  <c r="H109" i="51"/>
  <c r="H110" i="51" s="1"/>
  <c r="I91" i="51"/>
  <c r="N109" i="51"/>
  <c r="N110" i="51" s="1"/>
  <c r="U91" i="51"/>
  <c r="J109" i="51"/>
  <c r="J110" i="51" s="1"/>
  <c r="L109" i="51"/>
  <c r="L110" i="51" s="1"/>
  <c r="O91" i="51"/>
  <c r="B90" i="51"/>
  <c r="Q91" i="51"/>
  <c r="R109" i="51"/>
  <c r="R110" i="51" s="1"/>
  <c r="D109" i="51"/>
  <c r="D110" i="51" s="1"/>
  <c r="S91" i="51"/>
  <c r="K91" i="51"/>
  <c r="P109" i="51"/>
  <c r="P110" i="51" s="1"/>
  <c r="B118" i="51"/>
  <c r="F109" i="51"/>
  <c r="F110" i="51" s="1"/>
  <c r="BT128" i="57"/>
  <c r="M77" i="78"/>
  <c r="N78" i="83"/>
  <c r="O78" i="83" s="1"/>
  <c r="M81" i="78"/>
  <c r="M98" i="79"/>
  <c r="BT284" i="53"/>
  <c r="I120" i="45"/>
  <c r="BY164" i="59"/>
  <c r="BT106" i="57"/>
  <c r="BT196" i="57"/>
  <c r="BT43" i="57"/>
  <c r="BT15" i="57"/>
  <c r="BT73" i="57"/>
  <c r="AC59" i="58"/>
  <c r="AD49" i="58" s="1"/>
  <c r="E49" i="58" s="1"/>
  <c r="BY256" i="59"/>
  <c r="BT14" i="57"/>
  <c r="M76" i="83"/>
  <c r="BF200" i="52"/>
  <c r="BY193" i="58"/>
  <c r="M82" i="79"/>
  <c r="N100" i="83"/>
  <c r="O100" i="83" s="1"/>
  <c r="N89" i="83"/>
  <c r="O89" i="83" s="1"/>
  <c r="M77" i="79"/>
  <c r="BT251" i="53"/>
  <c r="R138" i="45"/>
  <c r="R139" i="45" s="1"/>
  <c r="M86" i="82"/>
  <c r="BY18" i="59"/>
  <c r="BT277" i="57"/>
  <c r="BT44" i="57"/>
  <c r="BT11" i="57"/>
  <c r="BT75" i="57"/>
  <c r="BT135" i="57"/>
  <c r="BY253" i="59"/>
  <c r="BY248" i="59"/>
  <c r="BT131" i="58"/>
  <c r="BT163" i="58"/>
  <c r="BT191" i="58"/>
  <c r="BT248" i="58"/>
  <c r="BT133" i="58"/>
  <c r="BT282" i="58"/>
  <c r="BT13" i="58"/>
  <c r="BT227" i="58"/>
  <c r="BT72" i="58"/>
  <c r="BT198" i="58"/>
  <c r="BT102" i="58"/>
  <c r="BT128" i="58"/>
  <c r="BT196" i="58"/>
  <c r="BT218" i="58"/>
  <c r="BT251" i="58"/>
  <c r="BT166" i="58"/>
  <c r="L298" i="52"/>
  <c r="M99" i="79"/>
  <c r="M104" i="79"/>
  <c r="M101" i="79"/>
  <c r="BT97" i="53"/>
  <c r="L138" i="45"/>
  <c r="L139" i="45" s="1"/>
  <c r="M85" i="82"/>
  <c r="BY252" i="59"/>
  <c r="BT283" i="57"/>
  <c r="BT46" i="57"/>
  <c r="BT130" i="57"/>
  <c r="BT76" i="57"/>
  <c r="BT279" i="57"/>
  <c r="M93" i="79"/>
  <c r="BY250" i="59"/>
  <c r="BT224" i="57"/>
  <c r="BT220" i="57"/>
  <c r="BT221" i="58"/>
  <c r="BT163" i="57"/>
  <c r="M84" i="79"/>
  <c r="BY67" i="58"/>
  <c r="T138" i="45"/>
  <c r="T139" i="45" s="1"/>
  <c r="BY249" i="59"/>
  <c r="BT71" i="57"/>
  <c r="BT39" i="57"/>
  <c r="BT160" i="57"/>
  <c r="BT104" i="57"/>
  <c r="BT7" i="57"/>
  <c r="BY217" i="59"/>
  <c r="BT280" i="53"/>
  <c r="BT288" i="58"/>
  <c r="BT287" i="58"/>
  <c r="BT279" i="58"/>
  <c r="BT286" i="58"/>
  <c r="BT128" i="53"/>
  <c r="BY227" i="59"/>
  <c r="M85" i="79"/>
  <c r="M100" i="79"/>
  <c r="N83" i="79"/>
  <c r="M93" i="82"/>
  <c r="M84" i="82"/>
  <c r="M80" i="78"/>
  <c r="M103" i="79"/>
  <c r="N101" i="83"/>
  <c r="O101" i="83" s="1"/>
  <c r="BT254" i="59"/>
  <c r="M73" i="79"/>
  <c r="N94" i="81"/>
  <c r="O94" i="81" s="1"/>
  <c r="M120" i="45"/>
  <c r="BY128" i="59"/>
  <c r="BT161" i="57"/>
  <c r="BT187" i="57"/>
  <c r="BT69" i="57"/>
  <c r="BT18" i="57"/>
  <c r="BT157" i="57"/>
  <c r="BY193" i="59"/>
  <c r="BB20" i="59"/>
  <c r="V19" i="59"/>
  <c r="F138" i="41"/>
  <c r="F139" i="41" s="1"/>
  <c r="P138" i="41"/>
  <c r="P139" i="41" s="1"/>
  <c r="S120" i="41"/>
  <c r="B119" i="41"/>
  <c r="N138" i="41"/>
  <c r="N139" i="41" s="1"/>
  <c r="B147" i="41"/>
  <c r="D138" i="41"/>
  <c r="D139" i="41" s="1"/>
  <c r="M120" i="41"/>
  <c r="R138" i="41"/>
  <c r="R139" i="41" s="1"/>
  <c r="BT161" i="58"/>
  <c r="BY11" i="59"/>
  <c r="M87" i="79"/>
  <c r="M88" i="79"/>
  <c r="N86" i="83"/>
  <c r="O86" i="83" s="1"/>
  <c r="N85" i="83"/>
  <c r="O85" i="83" s="1"/>
  <c r="N99" i="83"/>
  <c r="O99" i="83" s="1"/>
  <c r="N98" i="83"/>
  <c r="O98" i="83" s="1"/>
  <c r="M103" i="82"/>
  <c r="U120" i="45"/>
  <c r="BY254" i="59"/>
  <c r="BT98" i="57"/>
  <c r="BT286" i="57"/>
  <c r="BT137" i="57"/>
  <c r="BT38" i="57"/>
  <c r="BT107" i="57"/>
  <c r="BY286" i="59"/>
  <c r="M91" i="79"/>
  <c r="M92" i="79"/>
  <c r="M76" i="79"/>
  <c r="BT48" i="58"/>
  <c r="BT12" i="58"/>
  <c r="BT70" i="58"/>
  <c r="BT132" i="58"/>
  <c r="BT195" i="53"/>
  <c r="M93" i="78"/>
  <c r="M77" i="82"/>
  <c r="M89" i="78"/>
  <c r="BY73" i="57"/>
  <c r="E120" i="45"/>
  <c r="BT103" i="57"/>
  <c r="BT167" i="57"/>
  <c r="BT188" i="57"/>
  <c r="BT195" i="57"/>
  <c r="BY136" i="59"/>
  <c r="BT42" i="57"/>
  <c r="BT217" i="57"/>
  <c r="BT13" i="57"/>
  <c r="BT221" i="57"/>
  <c r="BT247" i="57"/>
  <c r="BT47" i="57"/>
  <c r="BT253" i="57"/>
  <c r="BT12" i="57"/>
  <c r="BT164" i="57"/>
  <c r="BT133" i="57"/>
  <c r="BT132" i="57"/>
  <c r="BT252" i="57"/>
  <c r="BT17" i="57"/>
  <c r="BT284" i="57"/>
  <c r="BT9" i="57"/>
  <c r="BT257" i="57"/>
  <c r="BT168" i="57"/>
  <c r="BT288" i="57"/>
  <c r="BT129" i="57"/>
  <c r="BT72" i="57"/>
  <c r="BT12" i="53"/>
  <c r="BT105" i="53"/>
  <c r="BT227" i="53"/>
  <c r="R175" i="53"/>
  <c r="AT46" i="59"/>
  <c r="U46" i="59" s="1"/>
  <c r="F207" i="58"/>
  <c r="AT286" i="55"/>
  <c r="U286" i="55" s="1"/>
  <c r="D55" i="58"/>
  <c r="AT277" i="55"/>
  <c r="U277" i="55" s="1"/>
  <c r="AS59" i="59"/>
  <c r="AT49" i="59" s="1"/>
  <c r="U49" i="59" s="1"/>
  <c r="T56" i="59"/>
  <c r="AS299" i="55"/>
  <c r="T299" i="55" s="1"/>
  <c r="N235" i="58"/>
  <c r="AL106" i="53"/>
  <c r="M106" i="53" s="1"/>
  <c r="AL157" i="57"/>
  <c r="M157" i="57" s="1"/>
  <c r="L175" i="57"/>
  <c r="BF290" i="52"/>
  <c r="O16" i="78"/>
  <c r="O21" i="78"/>
  <c r="O19" i="78"/>
  <c r="V289" i="52"/>
  <c r="BB290" i="52"/>
  <c r="O20" i="78"/>
  <c r="O60" i="78"/>
  <c r="O59" i="78"/>
  <c r="O61" i="78"/>
  <c r="O42" i="78"/>
  <c r="O71" i="78"/>
  <c r="O55" i="78"/>
  <c r="V229" i="52"/>
  <c r="O69" i="78"/>
  <c r="O68" i="78"/>
  <c r="O29" i="78"/>
  <c r="O32" i="78"/>
  <c r="O31" i="78"/>
  <c r="O30" i="78"/>
  <c r="O56" i="78"/>
  <c r="O67" i="78"/>
  <c r="O54" i="78"/>
  <c r="O46" i="78"/>
  <c r="O45" i="78"/>
  <c r="BF140" i="52"/>
  <c r="O49" i="78"/>
  <c r="BB140" i="52"/>
  <c r="O13" i="78"/>
  <c r="O52" i="78"/>
  <c r="O44" i="78"/>
  <c r="BF110" i="52"/>
  <c r="O66" i="78"/>
  <c r="O15" i="78"/>
  <c r="O14" i="78"/>
  <c r="O12" i="78"/>
  <c r="BB110" i="52"/>
  <c r="V109" i="52"/>
  <c r="AT97" i="59"/>
  <c r="U97" i="59" s="1"/>
  <c r="M2" i="84"/>
  <c r="O25" i="78"/>
  <c r="BF80" i="52"/>
  <c r="O8" i="78"/>
  <c r="O65" i="78"/>
  <c r="O27" i="78"/>
  <c r="O26" i="78"/>
  <c r="BB80" i="52"/>
  <c r="O24" i="78"/>
  <c r="AR190" i="59"/>
  <c r="S190" i="59" s="1"/>
  <c r="AF133" i="57"/>
  <c r="G133" i="57" s="1"/>
  <c r="F88" i="59"/>
  <c r="D175" i="52"/>
  <c r="O10" i="78"/>
  <c r="BF50" i="52"/>
  <c r="O9" i="78"/>
  <c r="O11" i="78"/>
  <c r="BY256" i="52"/>
  <c r="BY164" i="52"/>
  <c r="BT254" i="52"/>
  <c r="O5" i="78"/>
  <c r="BT196" i="52"/>
  <c r="BT287" i="52"/>
  <c r="BT70" i="52"/>
  <c r="BT187" i="52"/>
  <c r="BT195" i="52"/>
  <c r="BT157" i="52"/>
  <c r="BT102" i="52"/>
  <c r="BT78" i="52"/>
  <c r="BT106" i="52"/>
  <c r="BT44" i="52"/>
  <c r="BT128" i="52"/>
  <c r="BT7" i="52"/>
  <c r="BT45" i="52"/>
  <c r="BT132" i="52"/>
  <c r="BT130" i="52"/>
  <c r="BT108" i="52"/>
  <c r="BT165" i="52"/>
  <c r="BT104" i="52"/>
  <c r="BT225" i="52"/>
  <c r="BT162" i="52"/>
  <c r="BT72" i="52"/>
  <c r="BT256" i="52"/>
  <c r="BT103" i="52"/>
  <c r="BT226" i="52"/>
  <c r="BT38" i="52"/>
  <c r="BT99" i="52"/>
  <c r="BT97" i="52"/>
  <c r="BT9" i="52"/>
  <c r="BT133" i="52"/>
  <c r="BT281" i="52"/>
  <c r="BT285" i="52"/>
  <c r="BT188" i="52"/>
  <c r="BT136" i="52"/>
  <c r="BT47" i="52"/>
  <c r="BT17" i="52"/>
  <c r="BT248" i="52"/>
  <c r="BT71" i="52"/>
  <c r="BT129" i="52"/>
  <c r="BT166" i="52"/>
  <c r="BT48" i="52"/>
  <c r="BT284" i="52"/>
  <c r="BT100" i="52"/>
  <c r="BT161" i="52"/>
  <c r="BT288" i="52"/>
  <c r="BT8" i="52"/>
  <c r="BT98" i="52"/>
  <c r="BT74" i="52"/>
  <c r="BT251" i="52"/>
  <c r="BT160" i="52"/>
  <c r="BT105" i="52"/>
  <c r="BT43" i="52"/>
  <c r="BT10" i="52"/>
  <c r="BT167" i="52"/>
  <c r="BT135" i="52"/>
  <c r="BT249" i="52"/>
  <c r="BT131" i="52"/>
  <c r="BT134" i="52"/>
  <c r="BT192" i="52"/>
  <c r="BT73" i="52"/>
  <c r="BT168" i="52"/>
  <c r="BT253" i="52"/>
  <c r="BT39" i="52"/>
  <c r="BT283" i="52"/>
  <c r="BT224" i="52"/>
  <c r="BT75" i="52"/>
  <c r="BT77" i="52"/>
  <c r="BT159" i="52"/>
  <c r="BT13" i="52"/>
  <c r="BT228" i="52"/>
  <c r="BT137" i="52"/>
  <c r="BT221" i="52"/>
  <c r="BT193" i="52"/>
  <c r="BY128" i="52"/>
  <c r="BT194" i="52"/>
  <c r="BT42" i="52"/>
  <c r="BT107" i="52"/>
  <c r="BT11" i="52"/>
  <c r="BT197" i="52"/>
  <c r="BT279" i="52"/>
  <c r="BT76" i="52"/>
  <c r="BT218" i="52"/>
  <c r="BT15" i="52"/>
  <c r="BT257" i="52"/>
  <c r="BT163" i="52"/>
  <c r="BT258" i="52"/>
  <c r="BT164" i="52"/>
  <c r="BT12" i="52"/>
  <c r="BT101" i="52"/>
  <c r="BT252" i="52"/>
  <c r="BT278" i="52"/>
  <c r="BT219" i="52"/>
  <c r="BT127" i="52"/>
  <c r="BT222" i="52"/>
  <c r="BT255" i="52"/>
  <c r="BT227" i="52"/>
  <c r="BT282" i="52"/>
  <c r="BY283" i="52"/>
  <c r="BT68" i="52"/>
  <c r="BT67" i="52"/>
  <c r="BT247" i="52"/>
  <c r="BT286" i="52"/>
  <c r="BT198" i="52"/>
  <c r="BT138" i="52"/>
  <c r="BT41" i="52"/>
  <c r="BY220" i="52"/>
  <c r="BY9" i="52"/>
  <c r="BT277" i="52"/>
  <c r="BT69" i="52"/>
  <c r="BT217" i="52"/>
  <c r="BT220" i="52"/>
  <c r="BT18" i="52"/>
  <c r="BT16" i="52"/>
  <c r="BT40" i="52"/>
  <c r="BT191" i="52"/>
  <c r="BT158" i="52"/>
  <c r="BT46" i="52"/>
  <c r="BT250" i="52"/>
  <c r="BT14" i="52"/>
  <c r="BT223" i="52"/>
  <c r="BT37" i="52"/>
  <c r="BT280" i="52"/>
  <c r="BT190" i="52"/>
  <c r="BT189" i="52"/>
  <c r="O4" i="78"/>
  <c r="O7" i="78"/>
  <c r="BB20" i="52"/>
  <c r="O6" i="78"/>
  <c r="AT229" i="52"/>
  <c r="U229" i="52" s="1"/>
  <c r="AH103" i="58"/>
  <c r="I103" i="58" s="1"/>
  <c r="I91" i="50"/>
  <c r="U91" i="50"/>
  <c r="J109" i="50"/>
  <c r="J110" i="50" s="1"/>
  <c r="O91" i="50"/>
  <c r="H109" i="50"/>
  <c r="H110" i="50" s="1"/>
  <c r="F109" i="50"/>
  <c r="F110" i="50" s="1"/>
  <c r="N109" i="50"/>
  <c r="N110" i="50" s="1"/>
  <c r="L109" i="50"/>
  <c r="L110" i="50" s="1"/>
  <c r="E91" i="50"/>
  <c r="M91" i="50"/>
  <c r="Q91" i="50"/>
  <c r="B90" i="50"/>
  <c r="R109" i="50"/>
  <c r="R110" i="50" s="1"/>
  <c r="K91" i="50"/>
  <c r="S91" i="50"/>
  <c r="D109" i="50"/>
  <c r="D110" i="50" s="1"/>
  <c r="G91" i="50"/>
  <c r="T109" i="50"/>
  <c r="T110" i="50" s="1"/>
  <c r="N78" i="82"/>
  <c r="O78" i="82" s="1"/>
  <c r="M61" i="82"/>
  <c r="BY13" i="52"/>
  <c r="BY106" i="52"/>
  <c r="BY221" i="53"/>
  <c r="BY282" i="57"/>
  <c r="BY76" i="57"/>
  <c r="BY14" i="57"/>
  <c r="BY251" i="53"/>
  <c r="BY12" i="53"/>
  <c r="BY41" i="52"/>
  <c r="BY73" i="58"/>
  <c r="BY226" i="57"/>
  <c r="BY165" i="57"/>
  <c r="BY18" i="53"/>
  <c r="N62" i="82"/>
  <c r="O62" i="82" s="1"/>
  <c r="BY168" i="53"/>
  <c r="BY103" i="53"/>
  <c r="BY134" i="53"/>
  <c r="J176" i="59"/>
  <c r="N57" i="79"/>
  <c r="O57" i="79" s="1"/>
  <c r="N75" i="79"/>
  <c r="N60" i="79"/>
  <c r="O60" i="79" s="1"/>
  <c r="N59" i="79"/>
  <c r="O59" i="79" s="1"/>
  <c r="N77" i="79"/>
  <c r="N89" i="79"/>
  <c r="N93" i="79"/>
  <c r="N76" i="79"/>
  <c r="N92" i="79"/>
  <c r="N91" i="79"/>
  <c r="BY252" i="53"/>
  <c r="BY219" i="53"/>
  <c r="BY195" i="57"/>
  <c r="BY222" i="53"/>
  <c r="BY130" i="57"/>
  <c r="N65" i="82"/>
  <c r="O65" i="82" s="1"/>
  <c r="BY41" i="53"/>
  <c r="N78" i="79"/>
  <c r="O78" i="79" s="1"/>
  <c r="M74" i="78"/>
  <c r="M57" i="78"/>
  <c r="M57" i="84" s="1"/>
  <c r="M89" i="82"/>
  <c r="BY257" i="52"/>
  <c r="BY167" i="57"/>
  <c r="BY12" i="57"/>
  <c r="BY287" i="57"/>
  <c r="BY227" i="53"/>
  <c r="BY131" i="53"/>
  <c r="BY74" i="58"/>
  <c r="BY11" i="57"/>
  <c r="BY44" i="53"/>
  <c r="BY196" i="57"/>
  <c r="N68" i="82"/>
  <c r="O68" i="82" s="1"/>
  <c r="BY280" i="53"/>
  <c r="BY45" i="53"/>
  <c r="N94" i="79"/>
  <c r="BY67" i="57"/>
  <c r="N100" i="79"/>
  <c r="M58" i="78"/>
  <c r="M58" i="84" s="1"/>
  <c r="N92" i="82"/>
  <c r="O92" i="82" s="1"/>
  <c r="N91" i="82"/>
  <c r="O91" i="82" s="1"/>
  <c r="N95" i="79"/>
  <c r="O95" i="79" s="1"/>
  <c r="BY37" i="52"/>
  <c r="BY158" i="57"/>
  <c r="BY74" i="57"/>
  <c r="BY253" i="57"/>
  <c r="BY108" i="53"/>
  <c r="BY254" i="53"/>
  <c r="BY193" i="53"/>
  <c r="BY220" i="53"/>
  <c r="N64" i="82"/>
  <c r="O64" i="82" s="1"/>
  <c r="BY130" i="53"/>
  <c r="BY249" i="53"/>
  <c r="N81" i="82"/>
  <c r="O81" i="82" s="1"/>
  <c r="N89" i="82"/>
  <c r="O89" i="82" s="1"/>
  <c r="N84" i="82"/>
  <c r="O84" i="82" s="1"/>
  <c r="BY9" i="57"/>
  <c r="BY101" i="57"/>
  <c r="BY225" i="57"/>
  <c r="BY227" i="57"/>
  <c r="BY279" i="57"/>
  <c r="BY247" i="57"/>
  <c r="BY248" i="57"/>
  <c r="BY42" i="57"/>
  <c r="BY102" i="57"/>
  <c r="BY39" i="57"/>
  <c r="BY46" i="57"/>
  <c r="BY258" i="57"/>
  <c r="BY288" i="57"/>
  <c r="BY127" i="57"/>
  <c r="BY106" i="57"/>
  <c r="BY197" i="57"/>
  <c r="BY37" i="57"/>
  <c r="BY249" i="57"/>
  <c r="BY104" i="57"/>
  <c r="BY188" i="57"/>
  <c r="BY285" i="57"/>
  <c r="BY218" i="57"/>
  <c r="BY281" i="57"/>
  <c r="BY99" i="57"/>
  <c r="BY78" i="57"/>
  <c r="BY217" i="57"/>
  <c r="BY129" i="57"/>
  <c r="BY166" i="57"/>
  <c r="BY17" i="57"/>
  <c r="BY221" i="57"/>
  <c r="BY133" i="57"/>
  <c r="BY103" i="57"/>
  <c r="BY38" i="57"/>
  <c r="N84" i="79"/>
  <c r="N76" i="82"/>
  <c r="O76" i="82" s="1"/>
  <c r="BY163" i="52"/>
  <c r="M88" i="82"/>
  <c r="BY137" i="57"/>
  <c r="BY161" i="57"/>
  <c r="BY43" i="57"/>
  <c r="BY78" i="53"/>
  <c r="BY283" i="53"/>
  <c r="BY197" i="53"/>
  <c r="BY193" i="57"/>
  <c r="BY137" i="53"/>
  <c r="BY254" i="57"/>
  <c r="BY256" i="57"/>
  <c r="BY160" i="53"/>
  <c r="BY286" i="53"/>
  <c r="M82" i="78"/>
  <c r="M84" i="78"/>
  <c r="M83" i="78"/>
  <c r="M98" i="78"/>
  <c r="M100" i="78"/>
  <c r="M99" i="78"/>
  <c r="N68" i="79"/>
  <c r="O68" i="79" s="1"/>
  <c r="N79" i="83"/>
  <c r="O79" i="83" s="1"/>
  <c r="N96" i="83"/>
  <c r="O96" i="83" s="1"/>
  <c r="N97" i="83"/>
  <c r="O97" i="83" s="1"/>
  <c r="N95" i="83"/>
  <c r="O95" i="83" s="1"/>
  <c r="N80" i="83"/>
  <c r="O80" i="83" s="1"/>
  <c r="N63" i="83"/>
  <c r="O63" i="83" s="1"/>
  <c r="N81" i="83"/>
  <c r="O81" i="83" s="1"/>
  <c r="M59" i="82"/>
  <c r="N63" i="79"/>
  <c r="O63" i="79" s="1"/>
  <c r="BT136" i="59"/>
  <c r="BY251" i="57"/>
  <c r="BY131" i="57"/>
  <c r="BY228" i="57"/>
  <c r="BY278" i="57"/>
  <c r="BY106" i="53"/>
  <c r="BY248" i="53"/>
  <c r="BY74" i="53"/>
  <c r="BY71" i="53"/>
  <c r="BY129" i="53"/>
  <c r="M66" i="83"/>
  <c r="BY228" i="53"/>
  <c r="BY258" i="53"/>
  <c r="N82" i="82"/>
  <c r="O82" i="82" s="1"/>
  <c r="N75" i="82"/>
  <c r="O75" i="82" s="1"/>
  <c r="N104" i="79"/>
  <c r="N87" i="79"/>
  <c r="BY160" i="57"/>
  <c r="BT73" i="59"/>
  <c r="BY7" i="57"/>
  <c r="BY168" i="57"/>
  <c r="BY255" i="57"/>
  <c r="BY189" i="57"/>
  <c r="BY75" i="53"/>
  <c r="BY157" i="53"/>
  <c r="BY70" i="57"/>
  <c r="BY132" i="53"/>
  <c r="BY279" i="53"/>
  <c r="M68" i="83"/>
  <c r="BY39" i="53"/>
  <c r="BY127" i="53"/>
  <c r="BY17" i="53"/>
  <c r="N97" i="79"/>
  <c r="N88" i="79"/>
  <c r="BY37" i="53"/>
  <c r="BY128" i="57"/>
  <c r="BY45" i="57"/>
  <c r="BY192" i="57"/>
  <c r="BY284" i="57"/>
  <c r="BY247" i="53"/>
  <c r="BY162" i="53"/>
  <c r="N102" i="82"/>
  <c r="O102" i="82" s="1"/>
  <c r="N104" i="82"/>
  <c r="O104" i="82" s="1"/>
  <c r="N86" i="82"/>
  <c r="O86" i="82" s="1"/>
  <c r="N87" i="82"/>
  <c r="O87" i="82" s="1"/>
  <c r="N103" i="82"/>
  <c r="O103" i="82" s="1"/>
  <c r="N88" i="82"/>
  <c r="O88" i="82" s="1"/>
  <c r="BY277" i="53"/>
  <c r="BY218" i="53"/>
  <c r="BY135" i="53"/>
  <c r="BY281" i="53"/>
  <c r="BY7" i="53"/>
  <c r="BY166" i="53"/>
  <c r="BY107" i="53"/>
  <c r="BY164" i="53"/>
  <c r="BY101" i="53"/>
  <c r="BY285" i="53"/>
  <c r="BY158" i="53"/>
  <c r="BY104" i="53"/>
  <c r="BY257" i="53"/>
  <c r="BY10" i="53"/>
  <c r="BY15" i="53"/>
  <c r="BY136" i="53"/>
  <c r="BY187" i="53"/>
  <c r="BY253" i="53"/>
  <c r="BY188" i="53"/>
  <c r="BY194" i="53"/>
  <c r="BY223" i="53"/>
  <c r="BY14" i="53"/>
  <c r="BY69" i="53"/>
  <c r="BY287" i="53"/>
  <c r="BY46" i="53"/>
  <c r="BY190" i="53"/>
  <c r="BY42" i="53"/>
  <c r="BY67" i="53"/>
  <c r="BY278" i="53"/>
  <c r="BY40" i="53"/>
  <c r="BY105" i="53"/>
  <c r="BY159" i="53"/>
  <c r="BY225" i="53"/>
  <c r="BY224" i="53"/>
  <c r="BY138" i="53"/>
  <c r="BY102" i="53"/>
  <c r="BT38" i="59"/>
  <c r="BT284" i="59"/>
  <c r="BT97" i="59"/>
  <c r="BT43" i="59"/>
  <c r="BT162" i="59"/>
  <c r="BT68" i="59"/>
  <c r="BT253" i="59"/>
  <c r="BT164" i="59"/>
  <c r="BT134" i="59"/>
  <c r="BT47" i="59"/>
  <c r="BT8" i="59"/>
  <c r="BT163" i="59"/>
  <c r="BT277" i="59"/>
  <c r="BT283" i="59"/>
  <c r="BT279" i="59"/>
  <c r="BT16" i="59"/>
  <c r="BT101" i="59"/>
  <c r="BT191" i="59"/>
  <c r="BT196" i="59"/>
  <c r="BT220" i="59"/>
  <c r="BT99" i="59"/>
  <c r="BT221" i="59"/>
  <c r="BT15" i="59"/>
  <c r="BT193" i="59"/>
  <c r="BT257" i="59"/>
  <c r="BT282" i="59"/>
  <c r="BT129" i="59"/>
  <c r="BT251" i="59"/>
  <c r="BT225" i="59"/>
  <c r="BT138" i="59"/>
  <c r="BT103" i="59"/>
  <c r="BT44" i="59"/>
  <c r="BT189" i="59"/>
  <c r="BT46" i="59"/>
  <c r="BT194" i="59"/>
  <c r="BT17" i="59"/>
  <c r="BT158" i="59"/>
  <c r="BT69" i="59"/>
  <c r="BT224" i="59"/>
  <c r="BT250" i="59"/>
  <c r="BT255" i="59"/>
  <c r="BT74" i="59"/>
  <c r="BT167" i="59"/>
  <c r="BT102" i="59"/>
  <c r="BT76" i="59"/>
  <c r="BT39" i="59"/>
  <c r="BT42" i="59"/>
  <c r="BT161" i="59"/>
  <c r="BT218" i="59"/>
  <c r="BT131" i="59"/>
  <c r="BT37" i="59"/>
  <c r="BT132" i="59"/>
  <c r="BT105" i="59"/>
  <c r="BT13" i="59"/>
  <c r="BT9" i="59"/>
  <c r="BT280" i="59"/>
  <c r="BT106" i="59"/>
  <c r="BT41" i="59"/>
  <c r="BT227" i="59"/>
  <c r="BT7" i="59"/>
  <c r="BT159" i="59"/>
  <c r="BT11" i="59"/>
  <c r="BT256" i="59"/>
  <c r="BT217" i="59"/>
  <c r="BT67" i="59"/>
  <c r="BT222" i="59"/>
  <c r="BT228" i="59"/>
  <c r="BT285" i="59"/>
  <c r="BT78" i="59"/>
  <c r="BT192" i="59"/>
  <c r="BT137" i="59"/>
  <c r="BT288" i="59"/>
  <c r="BT10" i="59"/>
  <c r="BT258" i="59"/>
  <c r="BT107" i="59"/>
  <c r="BT166" i="59"/>
  <c r="BT18" i="59"/>
  <c r="BT157" i="59"/>
  <c r="BT71" i="59"/>
  <c r="BT168" i="59"/>
  <c r="BT287" i="59"/>
  <c r="BT248" i="59"/>
  <c r="BT104" i="59"/>
  <c r="BT188" i="59"/>
  <c r="BT278" i="59"/>
  <c r="BT127" i="59"/>
  <c r="BT100" i="59"/>
  <c r="BT75" i="59"/>
  <c r="BT195" i="59"/>
  <c r="BT165" i="59"/>
  <c r="BT128" i="59"/>
  <c r="BT14" i="59"/>
  <c r="BT286" i="59"/>
  <c r="BT45" i="59"/>
  <c r="BT252" i="59"/>
  <c r="BT281" i="59"/>
  <c r="BT77" i="59"/>
  <c r="BT72" i="59"/>
  <c r="BT98" i="59"/>
  <c r="BT40" i="59"/>
  <c r="BT12" i="59"/>
  <c r="BT198" i="59"/>
  <c r="BT249" i="59"/>
  <c r="BT226" i="59"/>
  <c r="BT247" i="59"/>
  <c r="BT219" i="59"/>
  <c r="BT223" i="59"/>
  <c r="BT130" i="59"/>
  <c r="BT160" i="59"/>
  <c r="BY165" i="53"/>
  <c r="BY250" i="53"/>
  <c r="M90" i="83"/>
  <c r="N71" i="82"/>
  <c r="O71" i="82" s="1"/>
  <c r="N73" i="82"/>
  <c r="O73" i="82" s="1"/>
  <c r="BY72" i="53"/>
  <c r="N98" i="79"/>
  <c r="N100" i="82"/>
  <c r="O100" i="82" s="1"/>
  <c r="N79" i="82"/>
  <c r="O79" i="82" s="1"/>
  <c r="BT70" i="59"/>
  <c r="BY190" i="57"/>
  <c r="BY164" i="57"/>
  <c r="BY100" i="57"/>
  <c r="BY40" i="57"/>
  <c r="BY167" i="53"/>
  <c r="BY189" i="53"/>
  <c r="BY187" i="57"/>
  <c r="BY284" i="53"/>
  <c r="N70" i="82"/>
  <c r="O70" i="82" s="1"/>
  <c r="N58" i="82"/>
  <c r="O58" i="82" s="1"/>
  <c r="BY47" i="53"/>
  <c r="N90" i="82"/>
  <c r="O90" i="82" s="1"/>
  <c r="N101" i="79"/>
  <c r="N70" i="79"/>
  <c r="O70" i="79" s="1"/>
  <c r="N85" i="79"/>
  <c r="M63" i="82"/>
  <c r="M91" i="78"/>
  <c r="N99" i="79"/>
  <c r="BY105" i="52"/>
  <c r="BY159" i="52"/>
  <c r="BY278" i="52"/>
  <c r="BY107" i="52"/>
  <c r="BY196" i="52"/>
  <c r="BY44" i="52"/>
  <c r="BY284" i="52"/>
  <c r="BY217" i="52"/>
  <c r="BY191" i="52"/>
  <c r="BY281" i="52"/>
  <c r="BY18" i="52"/>
  <c r="BY71" i="52"/>
  <c r="BY104" i="52"/>
  <c r="BY17" i="52"/>
  <c r="BY68" i="52"/>
  <c r="BY127" i="52"/>
  <c r="BY130" i="52"/>
  <c r="BY197" i="52"/>
  <c r="BY97" i="52"/>
  <c r="BY134" i="52"/>
  <c r="BY133" i="52"/>
  <c r="BY277" i="52"/>
  <c r="BY38" i="52"/>
  <c r="BY194" i="52"/>
  <c r="BY223" i="52"/>
  <c r="BY77" i="52"/>
  <c r="BY47" i="52"/>
  <c r="BY227" i="52"/>
  <c r="BY247" i="52"/>
  <c r="BY252" i="52"/>
  <c r="BY161" i="52"/>
  <c r="BY14" i="52"/>
  <c r="BY7" i="52"/>
  <c r="BY108" i="52"/>
  <c r="BY75" i="52"/>
  <c r="BY219" i="52"/>
  <c r="BY160" i="52"/>
  <c r="BY10" i="52"/>
  <c r="BY280" i="52"/>
  <c r="BY74" i="52"/>
  <c r="BY168" i="52"/>
  <c r="BY254" i="52"/>
  <c r="BY226" i="52"/>
  <c r="BY190" i="52"/>
  <c r="BY285" i="52"/>
  <c r="BY228" i="52"/>
  <c r="BY279" i="52"/>
  <c r="BY102" i="52"/>
  <c r="BY103" i="52"/>
  <c r="BY250" i="52"/>
  <c r="BY135" i="52"/>
  <c r="BY132" i="52"/>
  <c r="BY72" i="52"/>
  <c r="BY15" i="52"/>
  <c r="BY157" i="52"/>
  <c r="BY225" i="52"/>
  <c r="BY131" i="52"/>
  <c r="BY224" i="52"/>
  <c r="BY40" i="52"/>
  <c r="BY286" i="52"/>
  <c r="BY158" i="52"/>
  <c r="BY288" i="52"/>
  <c r="BY48" i="52"/>
  <c r="BY187" i="52"/>
  <c r="BY282" i="52"/>
  <c r="BY67" i="52"/>
  <c r="BY43" i="52"/>
  <c r="BY12" i="52"/>
  <c r="BY251" i="52"/>
  <c r="BY192" i="52"/>
  <c r="BY138" i="52"/>
  <c r="BY189" i="52"/>
  <c r="BY165" i="52"/>
  <c r="BY76" i="52"/>
  <c r="BY287" i="52"/>
  <c r="BY221" i="52"/>
  <c r="BY129" i="52"/>
  <c r="BY222" i="52"/>
  <c r="BY100" i="52"/>
  <c r="BY188" i="52"/>
  <c r="BY98" i="52"/>
  <c r="BY78" i="52"/>
  <c r="BY167" i="52"/>
  <c r="BY70" i="52"/>
  <c r="BY193" i="52"/>
  <c r="BY258" i="52"/>
  <c r="BY99" i="52"/>
  <c r="BY39" i="52"/>
  <c r="BY248" i="52"/>
  <c r="BY45" i="52"/>
  <c r="BY162" i="52"/>
  <c r="BY137" i="52"/>
  <c r="BY166" i="52"/>
  <c r="BY136" i="52"/>
  <c r="BY16" i="52"/>
  <c r="BY69" i="52"/>
  <c r="BY42" i="52"/>
  <c r="BY11" i="52"/>
  <c r="BY249" i="52"/>
  <c r="BY8" i="52"/>
  <c r="BY101" i="52"/>
  <c r="BY195" i="52"/>
  <c r="BY46" i="52"/>
  <c r="BY218" i="52"/>
  <c r="N83" i="83"/>
  <c r="O83" i="83" s="1"/>
  <c r="M70" i="78"/>
  <c r="M85" i="78"/>
  <c r="BT108" i="59"/>
  <c r="BT190" i="59"/>
  <c r="BY107" i="57"/>
  <c r="BY257" i="57"/>
  <c r="BY280" i="57"/>
  <c r="BY163" i="57"/>
  <c r="BY134" i="57"/>
  <c r="BY100" i="53"/>
  <c r="BY133" i="53"/>
  <c r="BY8" i="57"/>
  <c r="BT187" i="59"/>
  <c r="BY105" i="57"/>
  <c r="BY11" i="53"/>
  <c r="N66" i="82"/>
  <c r="O66" i="82" s="1"/>
  <c r="BY161" i="53"/>
  <c r="N86" i="79"/>
  <c r="N96" i="79"/>
  <c r="N101" i="82"/>
  <c r="O101" i="82" s="1"/>
  <c r="N85" i="82"/>
  <c r="O85" i="82" s="1"/>
  <c r="N73" i="79"/>
  <c r="N74" i="83"/>
  <c r="O74" i="83" s="1"/>
  <c r="N69" i="79"/>
  <c r="O69" i="79" s="1"/>
  <c r="N102" i="83"/>
  <c r="O102" i="83" s="1"/>
  <c r="N66" i="79"/>
  <c r="O66" i="79" s="1"/>
  <c r="N67" i="83"/>
  <c r="O67" i="83" s="1"/>
  <c r="BY253" i="52"/>
  <c r="BT48" i="59"/>
  <c r="BT133" i="59"/>
  <c r="BY97" i="57"/>
  <c r="BY194" i="57"/>
  <c r="BY138" i="57"/>
  <c r="BY13" i="57"/>
  <c r="BY41" i="57"/>
  <c r="BY10" i="57"/>
  <c r="BY73" i="53"/>
  <c r="BY38" i="53"/>
  <c r="BY47" i="57"/>
  <c r="BY98" i="53"/>
  <c r="BY135" i="57"/>
  <c r="BY97" i="53"/>
  <c r="N74" i="79"/>
  <c r="N99" i="82"/>
  <c r="O99" i="82" s="1"/>
  <c r="N80" i="79"/>
  <c r="M90" i="82"/>
  <c r="BY255" i="52"/>
  <c r="BT135" i="59"/>
  <c r="BY68" i="57"/>
  <c r="BY277" i="57"/>
  <c r="BY108" i="57"/>
  <c r="BY191" i="57"/>
  <c r="BY44" i="57"/>
  <c r="BY192" i="53"/>
  <c r="BY77" i="53"/>
  <c r="BY226" i="53"/>
  <c r="BY45" i="58"/>
  <c r="BY223" i="57"/>
  <c r="BY132" i="57"/>
  <c r="M87" i="82"/>
  <c r="N69" i="82"/>
  <c r="O69" i="82" s="1"/>
  <c r="F145" i="59"/>
  <c r="N74" i="82"/>
  <c r="O74" i="82" s="1"/>
  <c r="N81" i="79"/>
  <c r="O81" i="79" s="1"/>
  <c r="N98" i="82"/>
  <c r="O98" i="82" s="1"/>
  <c r="N82" i="79"/>
  <c r="N90" i="79"/>
  <c r="O90" i="79" s="1"/>
  <c r="N83" i="82"/>
  <c r="O83" i="82" s="1"/>
  <c r="N97" i="82"/>
  <c r="O97" i="82" s="1"/>
  <c r="N93" i="82"/>
  <c r="O93" i="82" s="1"/>
  <c r="M74" i="82"/>
  <c r="BY73" i="52"/>
  <c r="BT197" i="59"/>
  <c r="BY198" i="53"/>
  <c r="BY283" i="57"/>
  <c r="BY16" i="57"/>
  <c r="BY252" i="57"/>
  <c r="BY98" i="57"/>
  <c r="BY288" i="53"/>
  <c r="G149" i="45"/>
  <c r="H167" i="45"/>
  <c r="H168" i="45" s="1"/>
  <c r="N167" i="45"/>
  <c r="N168" i="45" s="1"/>
  <c r="K149" i="45"/>
  <c r="M149" i="45"/>
  <c r="U149" i="45"/>
  <c r="E149" i="45"/>
  <c r="J167" i="45"/>
  <c r="J168" i="45" s="1"/>
  <c r="F167" i="45"/>
  <c r="F168" i="45" s="1"/>
  <c r="B176" i="45"/>
  <c r="T167" i="45"/>
  <c r="T168" i="45" s="1"/>
  <c r="S149" i="45"/>
  <c r="P167" i="45"/>
  <c r="P168" i="45" s="1"/>
  <c r="B148" i="45"/>
  <c r="O149" i="45"/>
  <c r="I149" i="45"/>
  <c r="R167" i="45"/>
  <c r="R168" i="45" s="1"/>
  <c r="L167" i="45"/>
  <c r="L168" i="45" s="1"/>
  <c r="D167" i="45"/>
  <c r="D168" i="45" s="1"/>
  <c r="Q149" i="45"/>
  <c r="BY48" i="53"/>
  <c r="BY128" i="53"/>
  <c r="BY219" i="57"/>
  <c r="BY198" i="57"/>
  <c r="BY255" i="53"/>
  <c r="N63" i="82"/>
  <c r="O63" i="82" s="1"/>
  <c r="N57" i="82"/>
  <c r="O57" i="82" s="1"/>
  <c r="BY8" i="53"/>
  <c r="N96" i="82"/>
  <c r="O96" i="82" s="1"/>
  <c r="N67" i="82"/>
  <c r="O67" i="82" s="1"/>
  <c r="N80" i="82"/>
  <c r="O80" i="82" s="1"/>
  <c r="N94" i="82"/>
  <c r="O94" i="82" s="1"/>
  <c r="N65" i="79"/>
  <c r="O65" i="79" s="1"/>
  <c r="BY190" i="58"/>
  <c r="BY223" i="58"/>
  <c r="BY194" i="58"/>
  <c r="BY287" i="58"/>
  <c r="BY137" i="58"/>
  <c r="BY9" i="58"/>
  <c r="BY77" i="58"/>
  <c r="BY284" i="58"/>
  <c r="BY196" i="58"/>
  <c r="BY227" i="58"/>
  <c r="BY253" i="58"/>
  <c r="BY225" i="58"/>
  <c r="BY277" i="58"/>
  <c r="BY191" i="58"/>
  <c r="BY40" i="58"/>
  <c r="BY72" i="58"/>
  <c r="BY195" i="58"/>
  <c r="BY48" i="58"/>
  <c r="BY18" i="58"/>
  <c r="BY249" i="58"/>
  <c r="BY97" i="58"/>
  <c r="BY160" i="58"/>
  <c r="BY288" i="58"/>
  <c r="BY127" i="58"/>
  <c r="BY286" i="58"/>
  <c r="BY75" i="58"/>
  <c r="BY10" i="58"/>
  <c r="BY76" i="58"/>
  <c r="BY256" i="58"/>
  <c r="BY257" i="58"/>
  <c r="BY228" i="58"/>
  <c r="BY13" i="58"/>
  <c r="BY252" i="58"/>
  <c r="BY105" i="58"/>
  <c r="BY46" i="58"/>
  <c r="BY197" i="58"/>
  <c r="BY128" i="58"/>
  <c r="BY279" i="58"/>
  <c r="BY102" i="58"/>
  <c r="BY222" i="58"/>
  <c r="BY226" i="58"/>
  <c r="BY78" i="58"/>
  <c r="BY11" i="58"/>
  <c r="BY248" i="58"/>
  <c r="BY164" i="58"/>
  <c r="BY187" i="58"/>
  <c r="BY251" i="58"/>
  <c r="BY41" i="58"/>
  <c r="BY159" i="58"/>
  <c r="BY217" i="58"/>
  <c r="BY157" i="58"/>
  <c r="BY188" i="58"/>
  <c r="BY134" i="58"/>
  <c r="BY43" i="58"/>
  <c r="BY130" i="58"/>
  <c r="BY135" i="58"/>
  <c r="BY44" i="58"/>
  <c r="BY71" i="58"/>
  <c r="BY167" i="58"/>
  <c r="BY161" i="58"/>
  <c r="BY15" i="58"/>
  <c r="BY224" i="58"/>
  <c r="BY16" i="58"/>
  <c r="BY103" i="58"/>
  <c r="BY68" i="58"/>
  <c r="BY220" i="58"/>
  <c r="BY136" i="58"/>
  <c r="BY162" i="58"/>
  <c r="BY133" i="58"/>
  <c r="BY165" i="58"/>
  <c r="BY101" i="58"/>
  <c r="BY7" i="58"/>
  <c r="BY38" i="58"/>
  <c r="BY283" i="58"/>
  <c r="BY17" i="58"/>
  <c r="BY99" i="58"/>
  <c r="BY255" i="58"/>
  <c r="BY163" i="58"/>
  <c r="BY69" i="58"/>
  <c r="BY129" i="58"/>
  <c r="BY247" i="58"/>
  <c r="BY138" i="58"/>
  <c r="BY254" i="58"/>
  <c r="BY258" i="58"/>
  <c r="BY189" i="58"/>
  <c r="BY198" i="58"/>
  <c r="BY100" i="58"/>
  <c r="BY166" i="58"/>
  <c r="BY131" i="58"/>
  <c r="BY107" i="58"/>
  <c r="BY250" i="58"/>
  <c r="BY98" i="58"/>
  <c r="BY218" i="58"/>
  <c r="BY282" i="58"/>
  <c r="BY132" i="58"/>
  <c r="BY104" i="58"/>
  <c r="BY12" i="58"/>
  <c r="BY42" i="58"/>
  <c r="BY108" i="58"/>
  <c r="BY39" i="58"/>
  <c r="BY158" i="58"/>
  <c r="BY219" i="58"/>
  <c r="BY168" i="58"/>
  <c r="BY192" i="58"/>
  <c r="BY278" i="58"/>
  <c r="BY70" i="58"/>
  <c r="BY221" i="58"/>
  <c r="BY47" i="58"/>
  <c r="BY37" i="58"/>
  <c r="BY106" i="58"/>
  <c r="BY285" i="58"/>
  <c r="BY198" i="52"/>
  <c r="BY280" i="58"/>
  <c r="BY68" i="53"/>
  <c r="BY72" i="57"/>
  <c r="BY162" i="57"/>
  <c r="BY159" i="57"/>
  <c r="BY282" i="53"/>
  <c r="BY195" i="53"/>
  <c r="BY76" i="53"/>
  <c r="BY281" i="58"/>
  <c r="N72" i="82"/>
  <c r="O72" i="82" s="1"/>
  <c r="BY196" i="53"/>
  <c r="BY286" i="57"/>
  <c r="T265" i="52"/>
  <c r="T237" i="55"/>
  <c r="AH286" i="59"/>
  <c r="I286" i="59" s="1"/>
  <c r="AD97" i="53"/>
  <c r="E97" i="53" s="1"/>
  <c r="AF106" i="59"/>
  <c r="G106" i="59" s="1"/>
  <c r="AR97" i="53"/>
  <c r="S97" i="53" s="1"/>
  <c r="AH283" i="53"/>
  <c r="I283" i="53" s="1"/>
  <c r="AT160" i="53"/>
  <c r="U160" i="53" s="1"/>
  <c r="P86" i="59"/>
  <c r="AT166" i="53"/>
  <c r="U166" i="53" s="1"/>
  <c r="P235" i="53"/>
  <c r="AH253" i="52"/>
  <c r="I253" i="52" s="1"/>
  <c r="J148" i="59"/>
  <c r="L238" i="55"/>
  <c r="AD280" i="59"/>
  <c r="E280" i="59" s="1"/>
  <c r="AL160" i="59"/>
  <c r="M160" i="59" s="1"/>
  <c r="T268" i="58"/>
  <c r="AJ259" i="58"/>
  <c r="K259" i="58" s="1"/>
  <c r="L236" i="55"/>
  <c r="AL196" i="59"/>
  <c r="M196" i="59" s="1"/>
  <c r="AH256" i="57"/>
  <c r="I256" i="57" s="1"/>
  <c r="AJ13" i="59"/>
  <c r="K13" i="59" s="1"/>
  <c r="P176" i="58"/>
  <c r="AL10" i="59"/>
  <c r="M10" i="59" s="1"/>
  <c r="N146" i="52"/>
  <c r="P239" i="57"/>
  <c r="AT223" i="57"/>
  <c r="U223" i="57" s="1"/>
  <c r="H296" i="53"/>
  <c r="AN223" i="58"/>
  <c r="O223" i="58" s="1"/>
  <c r="F148" i="55"/>
  <c r="AL193" i="55"/>
  <c r="M193" i="55" s="1"/>
  <c r="M18" i="84"/>
  <c r="N177" i="59"/>
  <c r="F147" i="55"/>
  <c r="H206" i="53"/>
  <c r="T175" i="57"/>
  <c r="F295" i="59"/>
  <c r="AR37" i="59"/>
  <c r="S37" i="59" s="1"/>
  <c r="AF283" i="59"/>
  <c r="G283" i="59" s="1"/>
  <c r="AJ7" i="53"/>
  <c r="K7" i="53" s="1"/>
  <c r="AJ223" i="52"/>
  <c r="K223" i="52" s="1"/>
  <c r="L179" i="55"/>
  <c r="AR280" i="59"/>
  <c r="S280" i="59" s="1"/>
  <c r="AF67" i="57"/>
  <c r="G67" i="57" s="1"/>
  <c r="AL16" i="55"/>
  <c r="M16" i="55" s="1"/>
  <c r="AD283" i="53"/>
  <c r="E283" i="53" s="1"/>
  <c r="AL46" i="59"/>
  <c r="M46" i="59" s="1"/>
  <c r="J87" i="58"/>
  <c r="AF40" i="59"/>
  <c r="G40" i="59" s="1"/>
  <c r="AL67" i="53"/>
  <c r="M67" i="53" s="1"/>
  <c r="AH130" i="57"/>
  <c r="I130" i="57" s="1"/>
  <c r="AR217" i="55"/>
  <c r="S217" i="55" s="1"/>
  <c r="AL10" i="57"/>
  <c r="M10" i="57" s="1"/>
  <c r="AR187" i="59"/>
  <c r="S187" i="59" s="1"/>
  <c r="N59" i="57"/>
  <c r="H147" i="57"/>
  <c r="AD247" i="59"/>
  <c r="E247" i="59" s="1"/>
  <c r="AP73" i="59"/>
  <c r="Q73" i="59" s="1"/>
  <c r="AP136" i="53"/>
  <c r="Q136" i="53" s="1"/>
  <c r="AG179" i="52"/>
  <c r="H179" i="52" s="1"/>
  <c r="D116" i="59"/>
  <c r="R296" i="57"/>
  <c r="J177" i="57"/>
  <c r="AL40" i="59"/>
  <c r="M40" i="59" s="1"/>
  <c r="H266" i="59"/>
  <c r="R148" i="59"/>
  <c r="T176" i="59"/>
  <c r="H237" i="52"/>
  <c r="AD73" i="59"/>
  <c r="E73" i="59" s="1"/>
  <c r="AJ277" i="58"/>
  <c r="K277" i="58" s="1"/>
  <c r="AJ127" i="53"/>
  <c r="K127" i="53" s="1"/>
  <c r="L266" i="57"/>
  <c r="AP76" i="59"/>
  <c r="Q76" i="59" s="1"/>
  <c r="N238" i="57"/>
  <c r="L268" i="53"/>
  <c r="AL97" i="55"/>
  <c r="M97" i="55" s="1"/>
  <c r="AP97" i="58"/>
  <c r="Q97" i="58" s="1"/>
  <c r="D178" i="52"/>
  <c r="AK29" i="55"/>
  <c r="AL19" i="55" s="1"/>
  <c r="M19" i="55" s="1"/>
  <c r="R27" i="55"/>
  <c r="AF280" i="59"/>
  <c r="G280" i="59" s="1"/>
  <c r="T28" i="59"/>
  <c r="AF103" i="53"/>
  <c r="G103" i="53" s="1"/>
  <c r="T296" i="59"/>
  <c r="R27" i="59"/>
  <c r="R118" i="53"/>
  <c r="AL253" i="55"/>
  <c r="M253" i="55" s="1"/>
  <c r="AN16" i="57"/>
  <c r="O16" i="57" s="1"/>
  <c r="N298" i="59"/>
  <c r="L88" i="53"/>
  <c r="AT157" i="53"/>
  <c r="U157" i="53" s="1"/>
  <c r="AD250" i="53"/>
  <c r="E250" i="53" s="1"/>
  <c r="AF37" i="52"/>
  <c r="G37" i="52" s="1"/>
  <c r="AL130" i="59"/>
  <c r="M130" i="59" s="1"/>
  <c r="AL76" i="58"/>
  <c r="M76" i="58" s="1"/>
  <c r="J176" i="55"/>
  <c r="L177" i="59"/>
  <c r="L115" i="53"/>
  <c r="J207" i="57"/>
  <c r="AT163" i="59"/>
  <c r="U163" i="59" s="1"/>
  <c r="D117" i="57"/>
  <c r="N206" i="53"/>
  <c r="AL157" i="59"/>
  <c r="M157" i="59" s="1"/>
  <c r="AJ16" i="53"/>
  <c r="K16" i="53" s="1"/>
  <c r="F267" i="59"/>
  <c r="AR259" i="53"/>
  <c r="S259" i="53" s="1"/>
  <c r="AL170" i="55"/>
  <c r="M170" i="55" s="1"/>
  <c r="AQ209" i="59"/>
  <c r="R209" i="59" s="1"/>
  <c r="R147" i="53"/>
  <c r="AN7" i="55"/>
  <c r="O7" i="55" s="1"/>
  <c r="R147" i="59"/>
  <c r="F237" i="58"/>
  <c r="AL13" i="59"/>
  <c r="M13" i="59" s="1"/>
  <c r="AP199" i="55"/>
  <c r="Q199" i="55" s="1"/>
  <c r="AF97" i="53"/>
  <c r="G97" i="53" s="1"/>
  <c r="R178" i="53"/>
  <c r="D265" i="53"/>
  <c r="AF40" i="55"/>
  <c r="G40" i="55" s="1"/>
  <c r="AT40" i="53"/>
  <c r="U40" i="53" s="1"/>
  <c r="AS179" i="53"/>
  <c r="R295" i="57"/>
  <c r="AP217" i="59"/>
  <c r="Q217" i="59" s="1"/>
  <c r="H177" i="58"/>
  <c r="AD139" i="55"/>
  <c r="E139" i="55" s="1"/>
  <c r="R205" i="53"/>
  <c r="H86" i="55"/>
  <c r="AJ166" i="57"/>
  <c r="K166" i="57" s="1"/>
  <c r="F268" i="59"/>
  <c r="T55" i="55"/>
  <c r="AL76" i="59"/>
  <c r="M76" i="59" s="1"/>
  <c r="H238" i="59"/>
  <c r="N56" i="53"/>
  <c r="AF226" i="58"/>
  <c r="G226" i="58" s="1"/>
  <c r="AH76" i="55"/>
  <c r="I76" i="55" s="1"/>
  <c r="AF196" i="53"/>
  <c r="G196" i="53" s="1"/>
  <c r="R87" i="55"/>
  <c r="H295" i="59"/>
  <c r="F296" i="55"/>
  <c r="AF10" i="59"/>
  <c r="G10" i="59" s="1"/>
  <c r="H116" i="59"/>
  <c r="M49" i="84"/>
  <c r="M21" i="84"/>
  <c r="L207" i="57"/>
  <c r="T267" i="55"/>
  <c r="AP220" i="53"/>
  <c r="Q220" i="53" s="1"/>
  <c r="F25" i="55"/>
  <c r="AP196" i="59"/>
  <c r="Q196" i="59" s="1"/>
  <c r="N206" i="52"/>
  <c r="F178" i="53"/>
  <c r="AR133" i="57"/>
  <c r="S133" i="57" s="1"/>
  <c r="R85" i="55"/>
  <c r="F115" i="59"/>
  <c r="F85" i="59"/>
  <c r="AN13" i="57"/>
  <c r="O13" i="57" s="1"/>
  <c r="H56" i="59"/>
  <c r="AN283" i="59"/>
  <c r="O283" i="59" s="1"/>
  <c r="AR67" i="59"/>
  <c r="S67" i="59" s="1"/>
  <c r="AI149" i="53"/>
  <c r="J149" i="53" s="1"/>
  <c r="AJ247" i="59"/>
  <c r="K247" i="59" s="1"/>
  <c r="AJ136" i="53"/>
  <c r="K136" i="53" s="1"/>
  <c r="AN187" i="53"/>
  <c r="O187" i="53" s="1"/>
  <c r="D175" i="55"/>
  <c r="AT13" i="59"/>
  <c r="U13" i="59" s="1"/>
  <c r="M24" i="84"/>
  <c r="AF7" i="59"/>
  <c r="G7" i="59" s="1"/>
  <c r="P268" i="58"/>
  <c r="M51" i="84"/>
  <c r="M42" i="84"/>
  <c r="F267" i="52"/>
  <c r="AF283" i="58"/>
  <c r="G283" i="58" s="1"/>
  <c r="T295" i="57"/>
  <c r="AN40" i="52"/>
  <c r="O40" i="52" s="1"/>
  <c r="AL46" i="52"/>
  <c r="M46" i="52" s="1"/>
  <c r="H296" i="59"/>
  <c r="AM209" i="53"/>
  <c r="N209" i="53" s="1"/>
  <c r="R145" i="57"/>
  <c r="AF196" i="58"/>
  <c r="G196" i="58" s="1"/>
  <c r="N208" i="53"/>
  <c r="AP133" i="53"/>
  <c r="Q133" i="53" s="1"/>
  <c r="R176" i="55"/>
  <c r="R265" i="57"/>
  <c r="N207" i="55"/>
  <c r="AD256" i="55"/>
  <c r="E256" i="55" s="1"/>
  <c r="D206" i="52"/>
  <c r="T236" i="55"/>
  <c r="P207" i="59"/>
  <c r="P266" i="57"/>
  <c r="AH7" i="53"/>
  <c r="I7" i="53" s="1"/>
  <c r="J208" i="59"/>
  <c r="AH109" i="53"/>
  <c r="I109" i="53" s="1"/>
  <c r="N268" i="58"/>
  <c r="T238" i="55"/>
  <c r="AF190" i="55"/>
  <c r="G190" i="55" s="1"/>
  <c r="AH196" i="53"/>
  <c r="I196" i="53" s="1"/>
  <c r="J28" i="55"/>
  <c r="M53" i="84"/>
  <c r="AD217" i="59"/>
  <c r="E217" i="59" s="1"/>
  <c r="F148" i="59"/>
  <c r="AN160" i="59"/>
  <c r="O160" i="59" s="1"/>
  <c r="R208" i="59"/>
  <c r="F297" i="53"/>
  <c r="D298" i="55"/>
  <c r="AN217" i="55"/>
  <c r="O217" i="55" s="1"/>
  <c r="AJ166" i="58"/>
  <c r="K166" i="58" s="1"/>
  <c r="P178" i="59"/>
  <c r="AD46" i="53"/>
  <c r="E46" i="53" s="1"/>
  <c r="R117" i="53"/>
  <c r="AE269" i="52"/>
  <c r="F269" i="52" s="1"/>
  <c r="N57" i="59"/>
  <c r="AF136" i="57"/>
  <c r="G136" i="57" s="1"/>
  <c r="AF43" i="59"/>
  <c r="G43" i="59" s="1"/>
  <c r="AN100" i="59"/>
  <c r="O100" i="59" s="1"/>
  <c r="P26" i="53"/>
  <c r="L237" i="55"/>
  <c r="AL76" i="55"/>
  <c r="M76" i="55" s="1"/>
  <c r="T175" i="52"/>
  <c r="AI209" i="59"/>
  <c r="J209" i="59" s="1"/>
  <c r="AT10" i="59"/>
  <c r="U10" i="59" s="1"/>
  <c r="H298" i="53"/>
  <c r="AM119" i="59"/>
  <c r="N119" i="59" s="1"/>
  <c r="AF166" i="59"/>
  <c r="G166" i="59" s="1"/>
  <c r="J117" i="52"/>
  <c r="AN160" i="55"/>
  <c r="O160" i="55" s="1"/>
  <c r="J146" i="53"/>
  <c r="D295" i="55"/>
  <c r="J238" i="59"/>
  <c r="AJ286" i="58"/>
  <c r="K286" i="58" s="1"/>
  <c r="AD160" i="59"/>
  <c r="E160" i="59" s="1"/>
  <c r="AF103" i="59"/>
  <c r="G103" i="59" s="1"/>
  <c r="AO239" i="53"/>
  <c r="P239" i="53" s="1"/>
  <c r="T297" i="53"/>
  <c r="AD10" i="52"/>
  <c r="E10" i="52" s="1"/>
  <c r="J206" i="59"/>
  <c r="H28" i="59"/>
  <c r="AF97" i="55"/>
  <c r="G97" i="55" s="1"/>
  <c r="AR10" i="53"/>
  <c r="S10" i="53" s="1"/>
  <c r="H296" i="55"/>
  <c r="AL76" i="52"/>
  <c r="M76" i="52" s="1"/>
  <c r="AF73" i="58"/>
  <c r="G73" i="58" s="1"/>
  <c r="AP230" i="57"/>
  <c r="Q230" i="57" s="1"/>
  <c r="AJ217" i="53"/>
  <c r="K217" i="53" s="1"/>
  <c r="D178" i="59"/>
  <c r="F85" i="53"/>
  <c r="P177" i="57"/>
  <c r="AH37" i="52"/>
  <c r="I37" i="52" s="1"/>
  <c r="AN103" i="58"/>
  <c r="O103" i="58" s="1"/>
  <c r="AN217" i="53"/>
  <c r="O217" i="53" s="1"/>
  <c r="AQ119" i="53"/>
  <c r="R119" i="53" s="1"/>
  <c r="H147" i="55"/>
  <c r="AQ299" i="57"/>
  <c r="R299" i="57" s="1"/>
  <c r="AS269" i="58"/>
  <c r="AT259" i="58" s="1"/>
  <c r="AL133" i="59"/>
  <c r="M133" i="59" s="1"/>
  <c r="F26" i="53"/>
  <c r="AP223" i="53"/>
  <c r="Q223" i="53" s="1"/>
  <c r="M55" i="84"/>
  <c r="AP73" i="58"/>
  <c r="Q73" i="58" s="1"/>
  <c r="AT130" i="55"/>
  <c r="U130" i="55" s="1"/>
  <c r="D56" i="53"/>
  <c r="D116" i="57"/>
  <c r="R298" i="57"/>
  <c r="AL127" i="53"/>
  <c r="M127" i="53" s="1"/>
  <c r="F118" i="57"/>
  <c r="AK89" i="53"/>
  <c r="L89" i="53" s="1"/>
  <c r="AD133" i="59"/>
  <c r="E133" i="59" s="1"/>
  <c r="M13" i="84"/>
  <c r="AE29" i="53"/>
  <c r="AF19" i="53" s="1"/>
  <c r="G19" i="53" s="1"/>
  <c r="AN43" i="53"/>
  <c r="O43" i="53" s="1"/>
  <c r="AR76" i="55"/>
  <c r="S76" i="55" s="1"/>
  <c r="D298" i="53"/>
  <c r="AF190" i="53"/>
  <c r="G190" i="53" s="1"/>
  <c r="AD253" i="53"/>
  <c r="E253" i="53" s="1"/>
  <c r="L57" i="55"/>
  <c r="F296" i="52"/>
  <c r="AD190" i="53"/>
  <c r="E190" i="53" s="1"/>
  <c r="M44" i="84"/>
  <c r="AF100" i="59"/>
  <c r="G100" i="59" s="1"/>
  <c r="P267" i="53"/>
  <c r="M47" i="84"/>
  <c r="M46" i="84"/>
  <c r="M26" i="84"/>
  <c r="R88" i="52"/>
  <c r="AF7" i="53"/>
  <c r="G7" i="53" s="1"/>
  <c r="M8" i="84"/>
  <c r="M5" i="84"/>
  <c r="M4" i="84"/>
  <c r="M52" i="84"/>
  <c r="M19" i="84"/>
  <c r="AN160" i="57"/>
  <c r="O160" i="57" s="1"/>
  <c r="H298" i="57"/>
  <c r="D86" i="58"/>
  <c r="AN256" i="53"/>
  <c r="O256" i="53" s="1"/>
  <c r="P117" i="58"/>
  <c r="F87" i="53"/>
  <c r="AL196" i="55"/>
  <c r="M196" i="55" s="1"/>
  <c r="AR286" i="53"/>
  <c r="S286" i="53" s="1"/>
  <c r="AF13" i="53"/>
  <c r="AF136" i="58"/>
  <c r="G136" i="58" s="1"/>
  <c r="T268" i="53"/>
  <c r="AP7" i="59"/>
  <c r="Q7" i="59" s="1"/>
  <c r="M41" i="84"/>
  <c r="H118" i="55"/>
  <c r="H178" i="52"/>
  <c r="M37" i="84"/>
  <c r="M30" i="84"/>
  <c r="M23" i="84"/>
  <c r="H58" i="52"/>
  <c r="M12" i="84"/>
  <c r="M16" i="84"/>
  <c r="M15" i="84"/>
  <c r="N85" i="53"/>
  <c r="N177" i="57"/>
  <c r="R116" i="53"/>
  <c r="AH160" i="52"/>
  <c r="I160" i="52" s="1"/>
  <c r="AP127" i="55"/>
  <c r="Q127" i="55" s="1"/>
  <c r="M39" i="84"/>
  <c r="M27" i="84"/>
  <c r="AJ220" i="59"/>
  <c r="K220" i="59" s="1"/>
  <c r="H265" i="52"/>
  <c r="AK239" i="55"/>
  <c r="AL229" i="55" s="1"/>
  <c r="P118" i="58"/>
  <c r="J235" i="59"/>
  <c r="AT247" i="59"/>
  <c r="U247" i="59" s="1"/>
  <c r="N265" i="55"/>
  <c r="AT7" i="53"/>
  <c r="U7" i="53" s="1"/>
  <c r="AD127" i="59"/>
  <c r="E127" i="59" s="1"/>
  <c r="AL10" i="55"/>
  <c r="M10" i="55" s="1"/>
  <c r="M33" i="84"/>
  <c r="T116" i="59"/>
  <c r="T298" i="53"/>
  <c r="AC179" i="59"/>
  <c r="M48" i="84"/>
  <c r="M35" i="84"/>
  <c r="M3" i="84"/>
  <c r="R236" i="53"/>
  <c r="J149" i="52"/>
  <c r="AL193" i="53"/>
  <c r="M193" i="53" s="1"/>
  <c r="AR187" i="52"/>
  <c r="S187" i="52" s="1"/>
  <c r="D85" i="59"/>
  <c r="M10" i="84"/>
  <c r="M17" i="84"/>
  <c r="M34" i="84"/>
  <c r="M50" i="84"/>
  <c r="AE119" i="59"/>
  <c r="F119" i="59" s="1"/>
  <c r="AF73" i="59"/>
  <c r="G73" i="59" s="1"/>
  <c r="AO89" i="57"/>
  <c r="P89" i="57" s="1"/>
  <c r="AN277" i="53"/>
  <c r="O277" i="53" s="1"/>
  <c r="AT166" i="58"/>
  <c r="U166" i="58" s="1"/>
  <c r="H146" i="53"/>
  <c r="D237" i="57"/>
  <c r="N149" i="53"/>
  <c r="M9" i="84"/>
  <c r="AH133" i="52"/>
  <c r="I133" i="52" s="1"/>
  <c r="M43" i="84"/>
  <c r="AK89" i="52"/>
  <c r="AL79" i="52" s="1"/>
  <c r="AL40" i="53"/>
  <c r="M40" i="53" s="1"/>
  <c r="AT7" i="55"/>
  <c r="U7" i="55" s="1"/>
  <c r="R57" i="55"/>
  <c r="AC89" i="59"/>
  <c r="AD79" i="59" s="1"/>
  <c r="E79" i="59" s="1"/>
  <c r="AL70" i="52"/>
  <c r="M70" i="52" s="1"/>
  <c r="R296" i="53"/>
  <c r="R267" i="59"/>
  <c r="M25" i="84"/>
  <c r="M28" i="84"/>
  <c r="N26" i="55"/>
  <c r="AJ256" i="59"/>
  <c r="K256" i="59" s="1"/>
  <c r="AL13" i="55"/>
  <c r="M13" i="55" s="1"/>
  <c r="AN247" i="57"/>
  <c r="O247" i="57" s="1"/>
  <c r="M40" i="84"/>
  <c r="M29" i="84"/>
  <c r="M22" i="84"/>
  <c r="M56" i="84"/>
  <c r="M20" i="84"/>
  <c r="M54" i="84"/>
  <c r="M32" i="84"/>
  <c r="AP97" i="59"/>
  <c r="Q97" i="59" s="1"/>
  <c r="N146" i="59"/>
  <c r="AH220" i="59"/>
  <c r="I220" i="59" s="1"/>
  <c r="N207" i="58"/>
  <c r="AL160" i="53"/>
  <c r="M160" i="53" s="1"/>
  <c r="M36" i="84"/>
  <c r="M45" i="84"/>
  <c r="M38" i="84"/>
  <c r="AS29" i="59"/>
  <c r="AL70" i="53"/>
  <c r="M70" i="53" s="1"/>
  <c r="R266" i="59"/>
  <c r="T27" i="57"/>
  <c r="AL130" i="55"/>
  <c r="M130" i="55" s="1"/>
  <c r="H208" i="55"/>
  <c r="AS179" i="59"/>
  <c r="AT169" i="59" s="1"/>
  <c r="U169" i="59" s="1"/>
  <c r="F145" i="55"/>
  <c r="AJ193" i="59"/>
  <c r="K193" i="59" s="1"/>
  <c r="AR280" i="52"/>
  <c r="S280" i="52" s="1"/>
  <c r="AG299" i="52"/>
  <c r="H299" i="52" s="1"/>
  <c r="AP256" i="55"/>
  <c r="Q256" i="55" s="1"/>
  <c r="H205" i="53"/>
  <c r="AN286" i="53"/>
  <c r="O286" i="53" s="1"/>
  <c r="AC269" i="53"/>
  <c r="D269" i="53" s="1"/>
  <c r="AG239" i="52"/>
  <c r="AH229" i="52" s="1"/>
  <c r="AF10" i="57"/>
  <c r="G10" i="57" s="1"/>
  <c r="AN46" i="55"/>
  <c r="O46" i="55" s="1"/>
  <c r="D175" i="59"/>
  <c r="AC59" i="57"/>
  <c r="D59" i="57" s="1"/>
  <c r="AJ130" i="55"/>
  <c r="K130" i="55" s="1"/>
  <c r="AL157" i="53"/>
  <c r="M157" i="53" s="1"/>
  <c r="H235" i="52"/>
  <c r="AD157" i="59"/>
  <c r="E157" i="59" s="1"/>
  <c r="AK179" i="59"/>
  <c r="AL169" i="59" s="1"/>
  <c r="M169" i="59" s="1"/>
  <c r="AH163" i="53"/>
  <c r="I163" i="53" s="1"/>
  <c r="F28" i="53"/>
  <c r="AT7" i="59"/>
  <c r="U7" i="59" s="1"/>
  <c r="AR37" i="53"/>
  <c r="S37" i="53" s="1"/>
  <c r="D268" i="53"/>
  <c r="AT166" i="55"/>
  <c r="U166" i="55" s="1"/>
  <c r="T207" i="53"/>
  <c r="J205" i="59"/>
  <c r="AG299" i="53"/>
  <c r="AN193" i="53"/>
  <c r="O193" i="53" s="1"/>
  <c r="H115" i="55"/>
  <c r="AH166" i="53"/>
  <c r="I166" i="53" s="1"/>
  <c r="P85" i="57"/>
  <c r="AT190" i="52"/>
  <c r="U190" i="52" s="1"/>
  <c r="T266" i="52"/>
  <c r="F265" i="55"/>
  <c r="AH217" i="53"/>
  <c r="I217" i="53" s="1"/>
  <c r="F116" i="52"/>
  <c r="AD70" i="57"/>
  <c r="E70" i="57" s="1"/>
  <c r="AQ239" i="55"/>
  <c r="F267" i="55"/>
  <c r="AT163" i="53"/>
  <c r="U163" i="53" s="1"/>
  <c r="J58" i="53"/>
  <c r="AT217" i="55"/>
  <c r="U217" i="55" s="1"/>
  <c r="AQ269" i="58"/>
  <c r="R269" i="58" s="1"/>
  <c r="D176" i="52"/>
  <c r="AL220" i="59"/>
  <c r="M220" i="59" s="1"/>
  <c r="AP103" i="59"/>
  <c r="Q103" i="59" s="1"/>
  <c r="L206" i="57"/>
  <c r="T57" i="53"/>
  <c r="AD136" i="59"/>
  <c r="E136" i="59" s="1"/>
  <c r="D115" i="55"/>
  <c r="AF283" i="55"/>
  <c r="G283" i="55" s="1"/>
  <c r="P296" i="57"/>
  <c r="J27" i="57"/>
  <c r="J147" i="53"/>
  <c r="L87" i="53"/>
  <c r="L295" i="55"/>
  <c r="M7" i="84"/>
  <c r="AC209" i="53"/>
  <c r="AD199" i="53" s="1"/>
  <c r="E199" i="53" s="1"/>
  <c r="M31" i="84"/>
  <c r="AN277" i="59"/>
  <c r="O277" i="59" s="1"/>
  <c r="AP16" i="53"/>
  <c r="Q16" i="53" s="1"/>
  <c r="H87" i="58"/>
  <c r="AI59" i="53"/>
  <c r="AJ49" i="53" s="1"/>
  <c r="K49" i="53" s="1"/>
  <c r="AT97" i="53"/>
  <c r="U97" i="53" s="1"/>
  <c r="AP253" i="55"/>
  <c r="Q253" i="55" s="1"/>
  <c r="AH277" i="53"/>
  <c r="I277" i="53" s="1"/>
  <c r="F175" i="53"/>
  <c r="J118" i="53"/>
  <c r="AP226" i="53"/>
  <c r="Q226" i="53" s="1"/>
  <c r="R176" i="53"/>
  <c r="M14" i="84"/>
  <c r="M69" i="84"/>
  <c r="M60" i="84"/>
  <c r="M65" i="84"/>
  <c r="M61" i="84"/>
  <c r="M68" i="84"/>
  <c r="M66" i="84"/>
  <c r="M67" i="84"/>
  <c r="M59" i="84"/>
  <c r="M72" i="84"/>
  <c r="M62" i="84"/>
  <c r="N178" i="55"/>
  <c r="M64" i="84"/>
  <c r="M63" i="84"/>
  <c r="P176" i="59"/>
  <c r="AF193" i="59"/>
  <c r="G193" i="59" s="1"/>
  <c r="AJ7" i="59"/>
  <c r="K7" i="59" s="1"/>
  <c r="AN220" i="58"/>
  <c r="O220" i="58" s="1"/>
  <c r="AK269" i="53"/>
  <c r="AL259" i="53" s="1"/>
  <c r="M259" i="53" s="1"/>
  <c r="F28" i="59"/>
  <c r="AS119" i="53"/>
  <c r="AT109" i="53" s="1"/>
  <c r="U109" i="53" s="1"/>
  <c r="AT253" i="59"/>
  <c r="U253" i="59" s="1"/>
  <c r="N25" i="53"/>
  <c r="AR16" i="59"/>
  <c r="S16" i="59" s="1"/>
  <c r="AL247" i="53"/>
  <c r="M247" i="53" s="1"/>
  <c r="AT100" i="53"/>
  <c r="U100" i="53" s="1"/>
  <c r="R179" i="59"/>
  <c r="AM239" i="58"/>
  <c r="AJ163" i="53"/>
  <c r="K163" i="53" s="1"/>
  <c r="F116" i="57"/>
  <c r="F88" i="57"/>
  <c r="AM209" i="55"/>
  <c r="AN199" i="55" s="1"/>
  <c r="O199" i="55" s="1"/>
  <c r="AR100" i="59"/>
  <c r="S100" i="59" s="1"/>
  <c r="AQ29" i="59"/>
  <c r="R29" i="59" s="1"/>
  <c r="T118" i="59"/>
  <c r="AN196" i="55"/>
  <c r="O196" i="55" s="1"/>
  <c r="P57" i="57"/>
  <c r="AC299" i="53"/>
  <c r="AD289" i="53" s="1"/>
  <c r="E289" i="53" s="1"/>
  <c r="AF37" i="58"/>
  <c r="G37" i="58" s="1"/>
  <c r="P179" i="53"/>
  <c r="AH103" i="52"/>
  <c r="I103" i="52" s="1"/>
  <c r="AK89" i="58"/>
  <c r="AL79" i="58" s="1"/>
  <c r="M79" i="58" s="1"/>
  <c r="AR46" i="59"/>
  <c r="S46" i="59" s="1"/>
  <c r="AL13" i="52"/>
  <c r="M13" i="52" s="1"/>
  <c r="L147" i="55"/>
  <c r="AN190" i="58"/>
  <c r="O190" i="58" s="1"/>
  <c r="P148" i="57"/>
  <c r="F177" i="59"/>
  <c r="AF196" i="52"/>
  <c r="G196" i="52" s="1"/>
  <c r="AF166" i="57"/>
  <c r="G166" i="57" s="1"/>
  <c r="AR220" i="58"/>
  <c r="S220" i="58" s="1"/>
  <c r="AE179" i="57"/>
  <c r="AF169" i="57" s="1"/>
  <c r="G169" i="57" s="1"/>
  <c r="L238" i="52"/>
  <c r="D27" i="59"/>
  <c r="AP127" i="59"/>
  <c r="Q127" i="59" s="1"/>
  <c r="AP136" i="59"/>
  <c r="Q136" i="59" s="1"/>
  <c r="N269" i="59"/>
  <c r="N235" i="52"/>
  <c r="AF217" i="58"/>
  <c r="G217" i="58" s="1"/>
  <c r="AC269" i="59"/>
  <c r="D269" i="59" s="1"/>
  <c r="AE239" i="58"/>
  <c r="AF229" i="58" s="1"/>
  <c r="G229" i="58" s="1"/>
  <c r="AF13" i="55"/>
  <c r="G13" i="55" s="1"/>
  <c r="R236" i="59"/>
  <c r="L86" i="59"/>
  <c r="H56" i="55"/>
  <c r="AT76" i="59"/>
  <c r="U76" i="59" s="1"/>
  <c r="P206" i="58"/>
  <c r="AP43" i="53"/>
  <c r="Q43" i="53" s="1"/>
  <c r="AS149" i="55"/>
  <c r="AT139" i="55" s="1"/>
  <c r="U139" i="55" s="1"/>
  <c r="AF100" i="53"/>
  <c r="G100" i="53" s="1"/>
  <c r="AO149" i="59"/>
  <c r="P149" i="59" s="1"/>
  <c r="AE59" i="59"/>
  <c r="F59" i="59" s="1"/>
  <c r="AG59" i="52"/>
  <c r="AH49" i="52" s="1"/>
  <c r="I49" i="52" s="1"/>
  <c r="AQ179" i="55"/>
  <c r="AR169" i="55" s="1"/>
  <c r="S169" i="55" s="1"/>
  <c r="AD136" i="58"/>
  <c r="E136" i="58" s="1"/>
  <c r="AM299" i="59"/>
  <c r="AN289" i="59" s="1"/>
  <c r="AG119" i="58"/>
  <c r="H119" i="58" s="1"/>
  <c r="AG119" i="55"/>
  <c r="AH109" i="55" s="1"/>
  <c r="I109" i="55" s="1"/>
  <c r="AK299" i="57"/>
  <c r="AL289" i="57" s="1"/>
  <c r="AK119" i="53"/>
  <c r="L119" i="53" s="1"/>
  <c r="AM89" i="53"/>
  <c r="N89" i="53" s="1"/>
  <c r="F175" i="59"/>
  <c r="AS179" i="52"/>
  <c r="AT169" i="52" s="1"/>
  <c r="U169" i="52" s="1"/>
  <c r="AS269" i="53"/>
  <c r="T269" i="53" s="1"/>
  <c r="AI179" i="53"/>
  <c r="AJ169" i="53" s="1"/>
  <c r="K169" i="53" s="1"/>
  <c r="AG89" i="58"/>
  <c r="AH79" i="58" s="1"/>
  <c r="I79" i="58" s="1"/>
  <c r="AE299" i="53"/>
  <c r="AF289" i="53" s="1"/>
  <c r="G289" i="53" s="1"/>
  <c r="AI29" i="53"/>
  <c r="J29" i="53" s="1"/>
  <c r="AK29" i="59"/>
  <c r="L29" i="59" s="1"/>
  <c r="AN13" i="52"/>
  <c r="O13" i="52" s="1"/>
  <c r="AL7" i="59"/>
  <c r="M7" i="59" s="1"/>
  <c r="AE179" i="52"/>
  <c r="F179" i="52" s="1"/>
  <c r="P27" i="59"/>
  <c r="AF157" i="52"/>
  <c r="G157" i="52" s="1"/>
  <c r="AO29" i="59"/>
  <c r="AP19" i="59" s="1"/>
  <c r="AH67" i="58"/>
  <c r="I67" i="58" s="1"/>
  <c r="AJ70" i="58"/>
  <c r="K70" i="58" s="1"/>
  <c r="AF163" i="53"/>
  <c r="G163" i="53" s="1"/>
  <c r="AJ136" i="55"/>
  <c r="K136" i="55" s="1"/>
  <c r="AE179" i="53"/>
  <c r="F179" i="53" s="1"/>
  <c r="AN166" i="59"/>
  <c r="O166" i="59" s="1"/>
  <c r="L236" i="53"/>
  <c r="AF226" i="55"/>
  <c r="G226" i="55" s="1"/>
  <c r="AD163" i="58"/>
  <c r="E163" i="58" s="1"/>
  <c r="H88" i="59"/>
  <c r="D58" i="57"/>
  <c r="F208" i="59"/>
  <c r="AL166" i="58"/>
  <c r="M166" i="58" s="1"/>
  <c r="AG269" i="52"/>
  <c r="H269" i="52" s="1"/>
  <c r="P86" i="52"/>
  <c r="F117" i="55"/>
  <c r="F298" i="55"/>
  <c r="F296" i="53"/>
  <c r="AK89" i="59"/>
  <c r="L89" i="59" s="1"/>
  <c r="AG239" i="59"/>
  <c r="H239" i="59" s="1"/>
  <c r="AM179" i="59"/>
  <c r="N179" i="59" s="1"/>
  <c r="AF280" i="53"/>
  <c r="G280" i="53" s="1"/>
  <c r="AG89" i="59"/>
  <c r="H89" i="59" s="1"/>
  <c r="AE29" i="55"/>
  <c r="F29" i="55" s="1"/>
  <c r="AS59" i="53"/>
  <c r="AT49" i="53" s="1"/>
  <c r="U49" i="53" s="1"/>
  <c r="AQ299" i="58"/>
  <c r="AR289" i="58" s="1"/>
  <c r="S289" i="58" s="1"/>
  <c r="AH13" i="59"/>
  <c r="I13" i="59" s="1"/>
  <c r="AE299" i="55"/>
  <c r="F299" i="55" s="1"/>
  <c r="AM59" i="55"/>
  <c r="N59" i="55" s="1"/>
  <c r="AC149" i="53"/>
  <c r="D149" i="53" s="1"/>
  <c r="AO299" i="52"/>
  <c r="P299" i="52" s="1"/>
  <c r="AI239" i="59"/>
  <c r="J239" i="59" s="1"/>
  <c r="AG29" i="59"/>
  <c r="AH19" i="59" s="1"/>
  <c r="I19" i="59" s="1"/>
  <c r="AM149" i="59"/>
  <c r="N149" i="59" s="1"/>
  <c r="AO119" i="58"/>
  <c r="AP109" i="58" s="1"/>
  <c r="Q109" i="58" s="1"/>
  <c r="AF250" i="59"/>
  <c r="G250" i="59" s="1"/>
  <c r="AD286" i="59"/>
  <c r="E286" i="59" s="1"/>
  <c r="D25" i="59"/>
  <c r="N117" i="59"/>
  <c r="F57" i="52"/>
  <c r="AR130" i="59"/>
  <c r="S130" i="59" s="1"/>
  <c r="T117" i="59"/>
  <c r="AT157" i="55"/>
  <c r="U157" i="55" s="1"/>
  <c r="AR223" i="53"/>
  <c r="S223" i="53" s="1"/>
  <c r="F296" i="57"/>
  <c r="AS269" i="52"/>
  <c r="D236" i="58"/>
  <c r="AD97" i="57"/>
  <c r="E97" i="57" s="1"/>
  <c r="P28" i="55"/>
  <c r="AE239" i="52"/>
  <c r="AF229" i="52" s="1"/>
  <c r="G229" i="52" s="1"/>
  <c r="R117" i="59"/>
  <c r="AE209" i="58"/>
  <c r="AF199" i="58" s="1"/>
  <c r="AF67" i="52"/>
  <c r="G67" i="52" s="1"/>
  <c r="AF187" i="53"/>
  <c r="G187" i="53" s="1"/>
  <c r="N238" i="59"/>
  <c r="P56" i="55"/>
  <c r="P265" i="58"/>
  <c r="D147" i="58"/>
  <c r="L178" i="53"/>
  <c r="AF220" i="52"/>
  <c r="G220" i="52" s="1"/>
  <c r="N26" i="58"/>
  <c r="AT253" i="52"/>
  <c r="U253" i="52" s="1"/>
  <c r="AL223" i="58"/>
  <c r="M223" i="58" s="1"/>
  <c r="AC119" i="57"/>
  <c r="AD109" i="57" s="1"/>
  <c r="E109" i="57" s="1"/>
  <c r="T178" i="59"/>
  <c r="AR73" i="59"/>
  <c r="S73" i="59" s="1"/>
  <c r="AF106" i="58"/>
  <c r="G106" i="58" s="1"/>
  <c r="AR7" i="53"/>
  <c r="S7" i="53" s="1"/>
  <c r="AL256" i="59"/>
  <c r="M256" i="59" s="1"/>
  <c r="AT250" i="55"/>
  <c r="U250" i="55" s="1"/>
  <c r="AF190" i="58"/>
  <c r="G190" i="58" s="1"/>
  <c r="AQ29" i="53"/>
  <c r="AR19" i="53" s="1"/>
  <c r="S19" i="53" s="1"/>
  <c r="AH37" i="55"/>
  <c r="I37" i="55" s="1"/>
  <c r="AD220" i="59"/>
  <c r="E220" i="59" s="1"/>
  <c r="H85" i="52"/>
  <c r="P296" i="52"/>
  <c r="F55" i="59"/>
  <c r="P176" i="55"/>
  <c r="AC149" i="58"/>
  <c r="D149" i="58" s="1"/>
  <c r="AM29" i="52"/>
  <c r="AN19" i="52" s="1"/>
  <c r="O19" i="52" s="1"/>
  <c r="AM59" i="53"/>
  <c r="J235" i="52"/>
  <c r="P238" i="58"/>
  <c r="AM239" i="57"/>
  <c r="N239" i="57" s="1"/>
  <c r="N58" i="53"/>
  <c r="AF46" i="59"/>
  <c r="G46" i="59" s="1"/>
  <c r="AK269" i="55"/>
  <c r="AL259" i="55" s="1"/>
  <c r="M259" i="55" s="1"/>
  <c r="AI179" i="55"/>
  <c r="AJ169" i="55" s="1"/>
  <c r="AM179" i="57"/>
  <c r="AN169" i="57" s="1"/>
  <c r="O169" i="57" s="1"/>
  <c r="AO149" i="53"/>
  <c r="AP139" i="53" s="1"/>
  <c r="Q139" i="53" s="1"/>
  <c r="AK179" i="53"/>
  <c r="L179" i="53" s="1"/>
  <c r="AI89" i="58"/>
  <c r="AJ79" i="58" s="1"/>
  <c r="K79" i="58" s="1"/>
  <c r="AC239" i="59"/>
  <c r="AN73" i="59"/>
  <c r="O73" i="59" s="1"/>
  <c r="D237" i="59"/>
  <c r="AE149" i="59"/>
  <c r="AF139" i="59" s="1"/>
  <c r="AE269" i="59"/>
  <c r="AF259" i="59" s="1"/>
  <c r="AK89" i="55"/>
  <c r="AL79" i="55" s="1"/>
  <c r="M79" i="55" s="1"/>
  <c r="F118" i="53"/>
  <c r="J176" i="52"/>
  <c r="AL136" i="55"/>
  <c r="M136" i="55" s="1"/>
  <c r="AG149" i="55"/>
  <c r="AG149" i="58"/>
  <c r="AH139" i="58" s="1"/>
  <c r="AD106" i="57"/>
  <c r="E106" i="57" s="1"/>
  <c r="AG119" i="52"/>
  <c r="AH109" i="52" s="1"/>
  <c r="AE179" i="59"/>
  <c r="AF169" i="59" s="1"/>
  <c r="AN280" i="59"/>
  <c r="O280" i="59" s="1"/>
  <c r="J148" i="58"/>
  <c r="N296" i="59"/>
  <c r="AE119" i="53"/>
  <c r="AF109" i="53" s="1"/>
  <c r="AF130" i="59"/>
  <c r="G130" i="59" s="1"/>
  <c r="AS209" i="57"/>
  <c r="AT199" i="57" s="1"/>
  <c r="AC299" i="59"/>
  <c r="D299" i="59" s="1"/>
  <c r="AE29" i="59"/>
  <c r="F29" i="59" s="1"/>
  <c r="AQ179" i="53"/>
  <c r="AR169" i="53" s="1"/>
  <c r="S169" i="53" s="1"/>
  <c r="AO269" i="53"/>
  <c r="P269" i="53" s="1"/>
  <c r="AO89" i="53"/>
  <c r="P89" i="53" s="1"/>
  <c r="AQ89" i="59"/>
  <c r="R89" i="59" s="1"/>
  <c r="AI299" i="58"/>
  <c r="AJ289" i="58" s="1"/>
  <c r="AC29" i="59"/>
  <c r="AD19" i="59" s="1"/>
  <c r="AO119" i="59"/>
  <c r="AP109" i="59" s="1"/>
  <c r="F265" i="59"/>
  <c r="H146" i="55"/>
  <c r="F176" i="55"/>
  <c r="AM29" i="57"/>
  <c r="AN19" i="57" s="1"/>
  <c r="O19" i="57" s="1"/>
  <c r="AT16" i="55"/>
  <c r="U16" i="55" s="1"/>
  <c r="T235" i="59"/>
  <c r="D28" i="59"/>
  <c r="D85" i="52"/>
  <c r="AD67" i="52"/>
  <c r="E67" i="52" s="1"/>
  <c r="AG29" i="58"/>
  <c r="AH19" i="58" s="1"/>
  <c r="AD16" i="59"/>
  <c r="E16" i="59" s="1"/>
  <c r="AI239" i="52"/>
  <c r="J239" i="52" s="1"/>
  <c r="AG89" i="52"/>
  <c r="AH79" i="52" s="1"/>
  <c r="AO239" i="58"/>
  <c r="P239" i="58" s="1"/>
  <c r="AS179" i="57"/>
  <c r="AT169" i="57" s="1"/>
  <c r="U169" i="57" s="1"/>
  <c r="AF157" i="55"/>
  <c r="G157" i="55" s="1"/>
  <c r="AE179" i="55"/>
  <c r="AF169" i="55" s="1"/>
  <c r="G169" i="55" s="1"/>
  <c r="AR196" i="58"/>
  <c r="S196" i="58" s="1"/>
  <c r="AT187" i="58"/>
  <c r="U187" i="58" s="1"/>
  <c r="AS209" i="58"/>
  <c r="T205" i="58"/>
  <c r="AF286" i="59"/>
  <c r="G286" i="59" s="1"/>
  <c r="N26" i="57"/>
  <c r="D267" i="55"/>
  <c r="AD253" i="55"/>
  <c r="E253" i="55" s="1"/>
  <c r="AJ73" i="52"/>
  <c r="K73" i="52" s="1"/>
  <c r="AE299" i="59"/>
  <c r="F299" i="59" s="1"/>
  <c r="AK239" i="53"/>
  <c r="AL229" i="53" s="1"/>
  <c r="M229" i="53" s="1"/>
  <c r="AQ119" i="58"/>
  <c r="R119" i="58" s="1"/>
  <c r="AT190" i="58"/>
  <c r="U190" i="58" s="1"/>
  <c r="T206" i="58"/>
  <c r="AD76" i="52"/>
  <c r="E76" i="52" s="1"/>
  <c r="D88" i="52"/>
  <c r="AQ209" i="58"/>
  <c r="AR199" i="58" s="1"/>
  <c r="S199" i="58" s="1"/>
  <c r="J116" i="55"/>
  <c r="AJ100" i="55"/>
  <c r="K100" i="55" s="1"/>
  <c r="AS239" i="55"/>
  <c r="AT229" i="55" s="1"/>
  <c r="AN10" i="53"/>
  <c r="O10" i="53" s="1"/>
  <c r="T208" i="58"/>
  <c r="AT196" i="58"/>
  <c r="U196" i="58" s="1"/>
  <c r="AF193" i="57"/>
  <c r="G193" i="57" s="1"/>
  <c r="AG59" i="55"/>
  <c r="AH49" i="55" s="1"/>
  <c r="I49" i="55" s="1"/>
  <c r="AR223" i="55"/>
  <c r="S223" i="55" s="1"/>
  <c r="AQ119" i="59"/>
  <c r="R119" i="59" s="1"/>
  <c r="AM299" i="53"/>
  <c r="N299" i="53" s="1"/>
  <c r="N268" i="52"/>
  <c r="AI149" i="58"/>
  <c r="J149" i="58" s="1"/>
  <c r="AK239" i="58"/>
  <c r="AL229" i="58" s="1"/>
  <c r="M229" i="58" s="1"/>
  <c r="AS59" i="58"/>
  <c r="T59" i="58" s="1"/>
  <c r="AM269" i="58"/>
  <c r="AN259" i="58" s="1"/>
  <c r="AC89" i="58"/>
  <c r="AD79" i="58" s="1"/>
  <c r="E79" i="58" s="1"/>
  <c r="AJ106" i="52"/>
  <c r="K106" i="52" s="1"/>
  <c r="AG149" i="52"/>
  <c r="H149" i="52" s="1"/>
  <c r="AO59" i="55"/>
  <c r="AP49" i="55" s="1"/>
  <c r="Q49" i="55" s="1"/>
  <c r="AK59" i="53"/>
  <c r="AL49" i="53" s="1"/>
  <c r="M49" i="53" s="1"/>
  <c r="AO29" i="53"/>
  <c r="P29" i="53" s="1"/>
  <c r="AK269" i="59"/>
  <c r="L269" i="59" s="1"/>
  <c r="AI209" i="52"/>
  <c r="AJ199" i="52" s="1"/>
  <c r="K199" i="52" s="1"/>
  <c r="AI29" i="55"/>
  <c r="J29" i="55" s="1"/>
  <c r="AQ89" i="55"/>
  <c r="R89" i="55" s="1"/>
  <c r="AC239" i="52"/>
  <c r="AK299" i="53"/>
  <c r="AL289" i="53" s="1"/>
  <c r="R237" i="55"/>
  <c r="AE89" i="58"/>
  <c r="AF79" i="58" s="1"/>
  <c r="AE119" i="57"/>
  <c r="F119" i="57" s="1"/>
  <c r="AM299" i="52"/>
  <c r="N299" i="52" s="1"/>
  <c r="AC239" i="58"/>
  <c r="D239" i="58" s="1"/>
  <c r="AG29" i="52"/>
  <c r="AH19" i="52" s="1"/>
  <c r="AF187" i="52"/>
  <c r="G187" i="52" s="1"/>
  <c r="AE209" i="55"/>
  <c r="F209" i="55" s="1"/>
  <c r="AF193" i="55"/>
  <c r="G193" i="55" s="1"/>
  <c r="AE89" i="59"/>
  <c r="F89" i="59" s="1"/>
  <c r="AF277" i="52"/>
  <c r="G277" i="52" s="1"/>
  <c r="AF10" i="58"/>
  <c r="G10" i="58" s="1"/>
  <c r="F58" i="55"/>
  <c r="AE149" i="57"/>
  <c r="F149" i="57" s="1"/>
  <c r="AE119" i="58"/>
  <c r="AF109" i="58" s="1"/>
  <c r="G109" i="58" s="1"/>
  <c r="F116" i="55"/>
  <c r="F86" i="55"/>
  <c r="F146" i="52"/>
  <c r="AF40" i="52"/>
  <c r="G40" i="52" s="1"/>
  <c r="F28" i="52"/>
  <c r="F146" i="58"/>
  <c r="AE59" i="52"/>
  <c r="F59" i="52" s="1"/>
  <c r="AF13" i="57"/>
  <c r="G13" i="57" s="1"/>
  <c r="AE149" i="52"/>
  <c r="F149" i="52" s="1"/>
  <c r="AE119" i="55"/>
  <c r="AF109" i="55" s="1"/>
  <c r="AE299" i="52"/>
  <c r="AF289" i="52" s="1"/>
  <c r="G289" i="52" s="1"/>
  <c r="AF163" i="52"/>
  <c r="G163" i="52" s="1"/>
  <c r="F88" i="58"/>
  <c r="AF136" i="52"/>
  <c r="G136" i="52" s="1"/>
  <c r="F27" i="52"/>
  <c r="F297" i="52"/>
  <c r="AE209" i="52"/>
  <c r="F209" i="52" s="1"/>
  <c r="F205" i="59"/>
  <c r="AF277" i="57"/>
  <c r="G277" i="57" s="1"/>
  <c r="AF106" i="55"/>
  <c r="G106" i="55" s="1"/>
  <c r="AF250" i="55"/>
  <c r="G250" i="55" s="1"/>
  <c r="F235" i="57"/>
  <c r="F118" i="55"/>
  <c r="F118" i="52"/>
  <c r="AI89" i="55"/>
  <c r="J85" i="55"/>
  <c r="AJ67" i="55"/>
  <c r="AN220" i="53"/>
  <c r="O220" i="53" s="1"/>
  <c r="N236" i="53"/>
  <c r="T87" i="58"/>
  <c r="AT73" i="58"/>
  <c r="U73" i="58" s="1"/>
  <c r="AH37" i="58"/>
  <c r="I37" i="58" s="1"/>
  <c r="H55" i="58"/>
  <c r="AG59" i="58"/>
  <c r="AM239" i="53"/>
  <c r="N239" i="53" s="1"/>
  <c r="T56" i="58"/>
  <c r="L56" i="55"/>
  <c r="AQ149" i="53"/>
  <c r="AR139" i="53" s="1"/>
  <c r="S139" i="53" s="1"/>
  <c r="AD103" i="55"/>
  <c r="E103" i="55" s="1"/>
  <c r="AS269" i="59"/>
  <c r="AH43" i="55"/>
  <c r="T85" i="55"/>
  <c r="AR10" i="55"/>
  <c r="S10" i="55" s="1"/>
  <c r="R26" i="55"/>
  <c r="AT187" i="55"/>
  <c r="U187" i="55" s="1"/>
  <c r="T205" i="55"/>
  <c r="AN250" i="55"/>
  <c r="O250" i="55" s="1"/>
  <c r="N266" i="55"/>
  <c r="AD160" i="55"/>
  <c r="E160" i="55" s="1"/>
  <c r="D176" i="55"/>
  <c r="P25" i="55"/>
  <c r="AP7" i="55"/>
  <c r="Q7" i="55" s="1"/>
  <c r="N57" i="55"/>
  <c r="AN43" i="55"/>
  <c r="O43" i="55" s="1"/>
  <c r="R175" i="55"/>
  <c r="AR157" i="55"/>
  <c r="S157" i="55" s="1"/>
  <c r="AH100" i="55"/>
  <c r="I100" i="55" s="1"/>
  <c r="H116" i="55"/>
  <c r="AJ127" i="55"/>
  <c r="K127" i="55" s="1"/>
  <c r="J145" i="55"/>
  <c r="N86" i="59"/>
  <c r="AN70" i="59"/>
  <c r="O70" i="59" s="1"/>
  <c r="L266" i="59"/>
  <c r="AL250" i="59"/>
  <c r="M250" i="59" s="1"/>
  <c r="AL37" i="59"/>
  <c r="M37" i="59" s="1"/>
  <c r="L55" i="59"/>
  <c r="H88" i="57"/>
  <c r="AH76" i="57"/>
  <c r="I76" i="57" s="1"/>
  <c r="AD43" i="57"/>
  <c r="E43" i="57" s="1"/>
  <c r="D57" i="57"/>
  <c r="H148" i="57"/>
  <c r="AH136" i="57"/>
  <c r="I136" i="57" s="1"/>
  <c r="AH253" i="57"/>
  <c r="I253" i="57" s="1"/>
  <c r="H267" i="57"/>
  <c r="AP157" i="57"/>
  <c r="Q157" i="57" s="1"/>
  <c r="P175" i="57"/>
  <c r="AO179" i="57"/>
  <c r="R28" i="55"/>
  <c r="AR16" i="55"/>
  <c r="S16" i="55" s="1"/>
  <c r="N207" i="57"/>
  <c r="AN193" i="57"/>
  <c r="O193" i="57" s="1"/>
  <c r="AR16" i="57"/>
  <c r="S16" i="57" s="1"/>
  <c r="R28" i="57"/>
  <c r="AH70" i="53"/>
  <c r="I70" i="53" s="1"/>
  <c r="H86" i="53"/>
  <c r="AR13" i="53"/>
  <c r="S13" i="53" s="1"/>
  <c r="R27" i="53"/>
  <c r="AN223" i="53"/>
  <c r="O223" i="53" s="1"/>
  <c r="N237" i="53"/>
  <c r="D207" i="53"/>
  <c r="AD193" i="53"/>
  <c r="E193" i="53" s="1"/>
  <c r="H176" i="53"/>
  <c r="AH160" i="53"/>
  <c r="I160" i="53" s="1"/>
  <c r="D117" i="53"/>
  <c r="AD103" i="53"/>
  <c r="E103" i="53" s="1"/>
  <c r="AN253" i="53"/>
  <c r="O253" i="53" s="1"/>
  <c r="N267" i="53"/>
  <c r="AT193" i="59"/>
  <c r="U193" i="59" s="1"/>
  <c r="T207" i="59"/>
  <c r="R86" i="59"/>
  <c r="AR70" i="59"/>
  <c r="S70" i="59" s="1"/>
  <c r="AO239" i="59"/>
  <c r="AR43" i="58"/>
  <c r="S43" i="58" s="1"/>
  <c r="R57" i="58"/>
  <c r="AT76" i="58"/>
  <c r="U76" i="58" s="1"/>
  <c r="T88" i="58"/>
  <c r="AH187" i="58"/>
  <c r="AG209" i="58"/>
  <c r="H205" i="58"/>
  <c r="R297" i="58"/>
  <c r="AR283" i="58"/>
  <c r="S283" i="58" s="1"/>
  <c r="AF250" i="58"/>
  <c r="G250" i="58" s="1"/>
  <c r="F266" i="58"/>
  <c r="AT133" i="58"/>
  <c r="U133" i="58" s="1"/>
  <c r="T147" i="58"/>
  <c r="L26" i="58"/>
  <c r="AL10" i="58"/>
  <c r="M10" i="58" s="1"/>
  <c r="AH37" i="59"/>
  <c r="AG59" i="59"/>
  <c r="H55" i="59"/>
  <c r="J147" i="59"/>
  <c r="AJ133" i="59"/>
  <c r="K133" i="59" s="1"/>
  <c r="P56" i="53"/>
  <c r="AP40" i="53"/>
  <c r="Q40" i="53" s="1"/>
  <c r="AE29" i="52"/>
  <c r="F29" i="52" s="1"/>
  <c r="H296" i="57"/>
  <c r="AH280" i="57"/>
  <c r="I280" i="57" s="1"/>
  <c r="AQ149" i="55"/>
  <c r="AR139" i="55" s="1"/>
  <c r="AJ76" i="58"/>
  <c r="K76" i="58" s="1"/>
  <c r="J88" i="58"/>
  <c r="AH226" i="52"/>
  <c r="I226" i="52" s="1"/>
  <c r="H238" i="52"/>
  <c r="N268" i="55"/>
  <c r="AN256" i="55"/>
  <c r="O256" i="55" s="1"/>
  <c r="AH10" i="55"/>
  <c r="I10" i="55" s="1"/>
  <c r="H26" i="55"/>
  <c r="AL7" i="55"/>
  <c r="M7" i="55" s="1"/>
  <c r="L25" i="55"/>
  <c r="AN223" i="55"/>
  <c r="O223" i="55" s="1"/>
  <c r="N237" i="55"/>
  <c r="AH67" i="55"/>
  <c r="H85" i="55"/>
  <c r="AG89" i="55"/>
  <c r="AL286" i="55"/>
  <c r="M286" i="55" s="1"/>
  <c r="L298" i="55"/>
  <c r="T26" i="55"/>
  <c r="AS29" i="55"/>
  <c r="AT10" i="55"/>
  <c r="U10" i="55" s="1"/>
  <c r="R145" i="55"/>
  <c r="AR127" i="55"/>
  <c r="S127" i="55" s="1"/>
  <c r="AJ196" i="55"/>
  <c r="K196" i="55" s="1"/>
  <c r="J208" i="55"/>
  <c r="AD166" i="55"/>
  <c r="D178" i="55"/>
  <c r="H265" i="59"/>
  <c r="AG269" i="59"/>
  <c r="D55" i="59"/>
  <c r="AD37" i="59"/>
  <c r="E37" i="59" s="1"/>
  <c r="AC59" i="59"/>
  <c r="D118" i="59"/>
  <c r="AD106" i="59"/>
  <c r="E106" i="59" s="1"/>
  <c r="L268" i="57"/>
  <c r="AL256" i="57"/>
  <c r="M256" i="57" s="1"/>
  <c r="D56" i="57"/>
  <c r="AD40" i="57"/>
  <c r="E40" i="57" s="1"/>
  <c r="L267" i="57"/>
  <c r="AL253" i="57"/>
  <c r="M253" i="57" s="1"/>
  <c r="H85" i="57"/>
  <c r="AG89" i="57"/>
  <c r="AH67" i="57"/>
  <c r="R295" i="55"/>
  <c r="AR277" i="55"/>
  <c r="AQ299" i="55"/>
  <c r="H145" i="55"/>
  <c r="AH127" i="55"/>
  <c r="I127" i="55" s="1"/>
  <c r="P25" i="53"/>
  <c r="AP7" i="53"/>
  <c r="Q7" i="53" s="1"/>
  <c r="AP73" i="53"/>
  <c r="Q73" i="53" s="1"/>
  <c r="P87" i="53"/>
  <c r="AH133" i="53"/>
  <c r="I133" i="53" s="1"/>
  <c r="H147" i="53"/>
  <c r="AJ40" i="53"/>
  <c r="K40" i="53" s="1"/>
  <c r="J56" i="53"/>
  <c r="N297" i="53"/>
  <c r="AN283" i="53"/>
  <c r="O283" i="53" s="1"/>
  <c r="H237" i="53"/>
  <c r="AH223" i="53"/>
  <c r="I223" i="53" s="1"/>
  <c r="T268" i="52"/>
  <c r="AT256" i="52"/>
  <c r="U256" i="52" s="1"/>
  <c r="AI29" i="59"/>
  <c r="P295" i="58"/>
  <c r="AP277" i="58"/>
  <c r="Q277" i="58" s="1"/>
  <c r="AO299" i="58"/>
  <c r="AT250" i="58"/>
  <c r="U250" i="58" s="1"/>
  <c r="T266" i="58"/>
  <c r="L268" i="58"/>
  <c r="AL256" i="58"/>
  <c r="M256" i="58" s="1"/>
  <c r="AS179" i="58"/>
  <c r="AR247" i="58"/>
  <c r="S247" i="58" s="1"/>
  <c r="R265" i="58"/>
  <c r="R267" i="58"/>
  <c r="AR253" i="58"/>
  <c r="S253" i="58" s="1"/>
  <c r="L27" i="58"/>
  <c r="AL13" i="58"/>
  <c r="M13" i="58" s="1"/>
  <c r="R118" i="58"/>
  <c r="AR106" i="58"/>
  <c r="S106" i="58" s="1"/>
  <c r="AM269" i="55"/>
  <c r="AF133" i="59"/>
  <c r="G133" i="59" s="1"/>
  <c r="F147" i="59"/>
  <c r="AH190" i="59"/>
  <c r="I190" i="59" s="1"/>
  <c r="H206" i="59"/>
  <c r="R147" i="55"/>
  <c r="AR133" i="55"/>
  <c r="S133" i="55" s="1"/>
  <c r="AR16" i="53"/>
  <c r="S16" i="53" s="1"/>
  <c r="R28" i="53"/>
  <c r="R118" i="59"/>
  <c r="AR106" i="59"/>
  <c r="S106" i="59" s="1"/>
  <c r="H148" i="52"/>
  <c r="AT196" i="59"/>
  <c r="U196" i="59" s="1"/>
  <c r="T208" i="59"/>
  <c r="AD43" i="53"/>
  <c r="E43" i="53" s="1"/>
  <c r="D57" i="53"/>
  <c r="AL217" i="59"/>
  <c r="M217" i="59" s="1"/>
  <c r="L235" i="59"/>
  <c r="F207" i="53"/>
  <c r="AR170" i="59"/>
  <c r="S170" i="59" s="1"/>
  <c r="F146" i="55"/>
  <c r="F57" i="58"/>
  <c r="AR136" i="53"/>
  <c r="S136" i="53" s="1"/>
  <c r="AK59" i="59"/>
  <c r="AL49" i="59" s="1"/>
  <c r="AP16" i="59"/>
  <c r="Q16" i="59" s="1"/>
  <c r="T295" i="53"/>
  <c r="AP130" i="55"/>
  <c r="Q130" i="55" s="1"/>
  <c r="AJ193" i="52"/>
  <c r="K193" i="52" s="1"/>
  <c r="J207" i="52"/>
  <c r="H87" i="55"/>
  <c r="AH73" i="55"/>
  <c r="I73" i="55" s="1"/>
  <c r="R297" i="55"/>
  <c r="AR283" i="55"/>
  <c r="S283" i="55" s="1"/>
  <c r="AH163" i="55"/>
  <c r="I163" i="55" s="1"/>
  <c r="H177" i="55"/>
  <c r="T87" i="55"/>
  <c r="AT73" i="55"/>
  <c r="U73" i="55" s="1"/>
  <c r="AJ10" i="55"/>
  <c r="K10" i="55" s="1"/>
  <c r="J26" i="55"/>
  <c r="AN187" i="55"/>
  <c r="O187" i="55" s="1"/>
  <c r="N205" i="55"/>
  <c r="T145" i="55"/>
  <c r="AT127" i="55"/>
  <c r="U127" i="55" s="1"/>
  <c r="AN253" i="55"/>
  <c r="O253" i="55" s="1"/>
  <c r="N267" i="55"/>
  <c r="D25" i="55"/>
  <c r="AC29" i="55"/>
  <c r="AD7" i="55"/>
  <c r="AJ106" i="59"/>
  <c r="K106" i="59" s="1"/>
  <c r="J118" i="59"/>
  <c r="J298" i="59"/>
  <c r="AJ286" i="59"/>
  <c r="K286" i="59" s="1"/>
  <c r="AT133" i="59"/>
  <c r="U133" i="59" s="1"/>
  <c r="T147" i="59"/>
  <c r="T178" i="57"/>
  <c r="AT166" i="57"/>
  <c r="U166" i="57" s="1"/>
  <c r="N178" i="57"/>
  <c r="AN166" i="57"/>
  <c r="O166" i="57" s="1"/>
  <c r="AJ277" i="55"/>
  <c r="K277" i="55" s="1"/>
  <c r="J295" i="55"/>
  <c r="P86" i="57"/>
  <c r="AP70" i="57"/>
  <c r="Q70" i="57" s="1"/>
  <c r="AL100" i="53"/>
  <c r="M100" i="53" s="1"/>
  <c r="L116" i="53"/>
  <c r="AH136" i="53"/>
  <c r="I136" i="53" s="1"/>
  <c r="H148" i="53"/>
  <c r="H27" i="53"/>
  <c r="AH13" i="53"/>
  <c r="I13" i="53" s="1"/>
  <c r="AT103" i="53"/>
  <c r="U103" i="53" s="1"/>
  <c r="T117" i="53"/>
  <c r="AL133" i="53"/>
  <c r="M133" i="53" s="1"/>
  <c r="L147" i="53"/>
  <c r="AD253" i="59"/>
  <c r="E253" i="59" s="1"/>
  <c r="D267" i="59"/>
  <c r="P26" i="59"/>
  <c r="AP10" i="59"/>
  <c r="Q10" i="59" s="1"/>
  <c r="R207" i="59"/>
  <c r="AR193" i="59"/>
  <c r="S193" i="59" s="1"/>
  <c r="AP16" i="58"/>
  <c r="Q16" i="58" s="1"/>
  <c r="P28" i="58"/>
  <c r="AD76" i="58"/>
  <c r="E76" i="58" s="1"/>
  <c r="D88" i="58"/>
  <c r="AJ226" i="58"/>
  <c r="K226" i="58" s="1"/>
  <c r="J238" i="58"/>
  <c r="AR97" i="58"/>
  <c r="R115" i="58"/>
  <c r="T267" i="58"/>
  <c r="AT253" i="58"/>
  <c r="U253" i="58" s="1"/>
  <c r="D118" i="58"/>
  <c r="AD106" i="58"/>
  <c r="E106" i="58" s="1"/>
  <c r="AL7" i="58"/>
  <c r="AK29" i="58"/>
  <c r="L25" i="58"/>
  <c r="AT277" i="59"/>
  <c r="U277" i="59" s="1"/>
  <c r="AS299" i="59"/>
  <c r="T295" i="59"/>
  <c r="AF70" i="59"/>
  <c r="G70" i="59" s="1"/>
  <c r="F86" i="59"/>
  <c r="H267" i="59"/>
  <c r="AH253" i="59"/>
  <c r="I253" i="59" s="1"/>
  <c r="T205" i="59"/>
  <c r="AT187" i="59"/>
  <c r="U187" i="59" s="1"/>
  <c r="D86" i="53"/>
  <c r="AD70" i="53"/>
  <c r="E70" i="53" s="1"/>
  <c r="AF277" i="58"/>
  <c r="G277" i="58" s="1"/>
  <c r="F295" i="58"/>
  <c r="AS299" i="57"/>
  <c r="T299" i="57" s="1"/>
  <c r="AT250" i="59"/>
  <c r="AE299" i="58"/>
  <c r="AF289" i="58" s="1"/>
  <c r="G289" i="58" s="1"/>
  <c r="P28" i="59"/>
  <c r="AT220" i="57"/>
  <c r="U220" i="57" s="1"/>
  <c r="T236" i="57"/>
  <c r="AD163" i="52"/>
  <c r="E163" i="52" s="1"/>
  <c r="D177" i="52"/>
  <c r="T56" i="55"/>
  <c r="AT40" i="55"/>
  <c r="U40" i="55" s="1"/>
  <c r="AS59" i="55"/>
  <c r="AL37" i="55"/>
  <c r="M37" i="55" s="1"/>
  <c r="L55" i="55"/>
  <c r="L268" i="55"/>
  <c r="AL256" i="55"/>
  <c r="M256" i="55" s="1"/>
  <c r="R296" i="55"/>
  <c r="AR280" i="55"/>
  <c r="S280" i="55" s="1"/>
  <c r="AN133" i="55"/>
  <c r="O133" i="55" s="1"/>
  <c r="N147" i="55"/>
  <c r="AG299" i="55"/>
  <c r="H295" i="55"/>
  <c r="AH277" i="55"/>
  <c r="H178" i="55"/>
  <c r="AH166" i="55"/>
  <c r="I166" i="55" s="1"/>
  <c r="L297" i="55"/>
  <c r="AL283" i="55"/>
  <c r="M283" i="55" s="1"/>
  <c r="AN67" i="59"/>
  <c r="O67" i="59" s="1"/>
  <c r="N85" i="59"/>
  <c r="AM89" i="59"/>
  <c r="AP253" i="59"/>
  <c r="Q253" i="59" s="1"/>
  <c r="P267" i="59"/>
  <c r="AD130" i="59"/>
  <c r="D146" i="59"/>
  <c r="AC149" i="59"/>
  <c r="AN79" i="58"/>
  <c r="N89" i="58"/>
  <c r="AP76" i="57"/>
  <c r="Q76" i="57" s="1"/>
  <c r="P88" i="57"/>
  <c r="AP73" i="57"/>
  <c r="Q73" i="57" s="1"/>
  <c r="P87" i="57"/>
  <c r="H86" i="57"/>
  <c r="AH70" i="57"/>
  <c r="I70" i="57" s="1"/>
  <c r="R238" i="55"/>
  <c r="AR226" i="55"/>
  <c r="S226" i="55" s="1"/>
  <c r="R178" i="55"/>
  <c r="AR166" i="55"/>
  <c r="S166" i="55" s="1"/>
  <c r="D55" i="57"/>
  <c r="AD37" i="57"/>
  <c r="E37" i="57" s="1"/>
  <c r="AH76" i="53"/>
  <c r="I76" i="53" s="1"/>
  <c r="H88" i="53"/>
  <c r="J27" i="53"/>
  <c r="AJ13" i="53"/>
  <c r="K13" i="53" s="1"/>
  <c r="T265" i="53"/>
  <c r="AT247" i="53"/>
  <c r="U247" i="53" s="1"/>
  <c r="AN37" i="53"/>
  <c r="O37" i="53" s="1"/>
  <c r="N55" i="53"/>
  <c r="T145" i="53"/>
  <c r="AS149" i="53"/>
  <c r="AD76" i="53"/>
  <c r="E76" i="53" s="1"/>
  <c r="D88" i="53"/>
  <c r="AC89" i="53"/>
  <c r="AD67" i="53"/>
  <c r="D85" i="53"/>
  <c r="AF277" i="53"/>
  <c r="G277" i="53" s="1"/>
  <c r="F295" i="53"/>
  <c r="AN136" i="52"/>
  <c r="O136" i="52" s="1"/>
  <c r="N148" i="52"/>
  <c r="AP226" i="59"/>
  <c r="Q226" i="59" s="1"/>
  <c r="P238" i="59"/>
  <c r="AJ37" i="59"/>
  <c r="J55" i="59"/>
  <c r="AI59" i="59"/>
  <c r="F265" i="58"/>
  <c r="AE269" i="58"/>
  <c r="AF247" i="58"/>
  <c r="N298" i="58"/>
  <c r="AN286" i="58"/>
  <c r="O286" i="58" s="1"/>
  <c r="AN253" i="58"/>
  <c r="O253" i="58" s="1"/>
  <c r="N267" i="58"/>
  <c r="R266" i="58"/>
  <c r="AR250" i="58"/>
  <c r="S250" i="58" s="1"/>
  <c r="AF220" i="58"/>
  <c r="F236" i="58"/>
  <c r="AT160" i="58"/>
  <c r="U160" i="58" s="1"/>
  <c r="T176" i="58"/>
  <c r="AN13" i="58"/>
  <c r="O13" i="58" s="1"/>
  <c r="N27" i="58"/>
  <c r="AH193" i="58"/>
  <c r="I193" i="58" s="1"/>
  <c r="H207" i="58"/>
  <c r="AN226" i="58"/>
  <c r="O226" i="58" s="1"/>
  <c r="N238" i="58"/>
  <c r="AR97" i="59"/>
  <c r="S97" i="59" s="1"/>
  <c r="R115" i="59"/>
  <c r="J116" i="59"/>
  <c r="AJ100" i="59"/>
  <c r="K100" i="59" s="1"/>
  <c r="AH16" i="53"/>
  <c r="I16" i="53" s="1"/>
  <c r="H28" i="53"/>
  <c r="J57" i="59"/>
  <c r="AJ43" i="59"/>
  <c r="K43" i="59" s="1"/>
  <c r="AQ59" i="59"/>
  <c r="AN16" i="53"/>
  <c r="O16" i="53" s="1"/>
  <c r="N28" i="53"/>
  <c r="D57" i="59"/>
  <c r="AD43" i="59"/>
  <c r="E43" i="59" s="1"/>
  <c r="AH13" i="52"/>
  <c r="I13" i="52" s="1"/>
  <c r="AR43" i="59"/>
  <c r="S43" i="59" s="1"/>
  <c r="AT190" i="59"/>
  <c r="U190" i="59" s="1"/>
  <c r="D235" i="52"/>
  <c r="AS179" i="55"/>
  <c r="AT169" i="55" s="1"/>
  <c r="AN280" i="52"/>
  <c r="O280" i="52" s="1"/>
  <c r="AJ7" i="55"/>
  <c r="N145" i="52"/>
  <c r="AN127" i="52"/>
  <c r="O127" i="52" s="1"/>
  <c r="AM149" i="52"/>
  <c r="AL187" i="55"/>
  <c r="L205" i="55"/>
  <c r="AP136" i="55"/>
  <c r="Q136" i="55" s="1"/>
  <c r="P148" i="55"/>
  <c r="AP103" i="55"/>
  <c r="Q103" i="55" s="1"/>
  <c r="P117" i="55"/>
  <c r="J178" i="55"/>
  <c r="AJ166" i="55"/>
  <c r="K166" i="55" s="1"/>
  <c r="D296" i="55"/>
  <c r="AD280" i="55"/>
  <c r="AC299" i="55"/>
  <c r="H298" i="55"/>
  <c r="AH286" i="55"/>
  <c r="I286" i="55" s="1"/>
  <c r="AP226" i="55"/>
  <c r="Q226" i="55" s="1"/>
  <c r="P238" i="55"/>
  <c r="P147" i="55"/>
  <c r="AP133" i="55"/>
  <c r="Q133" i="55" s="1"/>
  <c r="AD283" i="59"/>
  <c r="E283" i="59" s="1"/>
  <c r="D297" i="59"/>
  <c r="AF13" i="59"/>
  <c r="G13" i="59" s="1"/>
  <c r="F27" i="59"/>
  <c r="L295" i="59"/>
  <c r="AK299" i="59"/>
  <c r="AJ277" i="59"/>
  <c r="K277" i="59" s="1"/>
  <c r="J295" i="59"/>
  <c r="AI299" i="59"/>
  <c r="D266" i="59"/>
  <c r="AD250" i="59"/>
  <c r="E250" i="59" s="1"/>
  <c r="AJ7" i="57"/>
  <c r="K7" i="57" s="1"/>
  <c r="AI29" i="57"/>
  <c r="J25" i="57"/>
  <c r="T238" i="57"/>
  <c r="AT226" i="57"/>
  <c r="U226" i="57" s="1"/>
  <c r="I277" i="57"/>
  <c r="H295" i="57"/>
  <c r="N267" i="57"/>
  <c r="AN253" i="57"/>
  <c r="O253" i="57" s="1"/>
  <c r="AP67" i="55"/>
  <c r="Q67" i="55" s="1"/>
  <c r="P85" i="55"/>
  <c r="AH187" i="55"/>
  <c r="AG209" i="55"/>
  <c r="L208" i="57"/>
  <c r="AL196" i="57"/>
  <c r="M196" i="57" s="1"/>
  <c r="J115" i="53"/>
  <c r="AJ97" i="53"/>
  <c r="AI119" i="53"/>
  <c r="AT106" i="53"/>
  <c r="U106" i="53" s="1"/>
  <c r="T118" i="53"/>
  <c r="AL187" i="53"/>
  <c r="M187" i="53" s="1"/>
  <c r="L205" i="53"/>
  <c r="AQ209" i="53"/>
  <c r="AR190" i="53"/>
  <c r="S190" i="53" s="1"/>
  <c r="R206" i="53"/>
  <c r="AP277" i="53"/>
  <c r="AO299" i="53"/>
  <c r="P295" i="53"/>
  <c r="L58" i="53"/>
  <c r="AL46" i="53"/>
  <c r="M46" i="53" s="1"/>
  <c r="AT16" i="53"/>
  <c r="U16" i="53" s="1"/>
  <c r="T28" i="53"/>
  <c r="AT136" i="53"/>
  <c r="U136" i="53" s="1"/>
  <c r="T148" i="53"/>
  <c r="AN97" i="59"/>
  <c r="O97" i="59" s="1"/>
  <c r="N115" i="59"/>
  <c r="N148" i="59"/>
  <c r="AN136" i="59"/>
  <c r="O136" i="59" s="1"/>
  <c r="D238" i="59"/>
  <c r="AD226" i="59"/>
  <c r="E226" i="59" s="1"/>
  <c r="AT136" i="58"/>
  <c r="U136" i="58" s="1"/>
  <c r="T148" i="58"/>
  <c r="P175" i="58"/>
  <c r="AP157" i="58"/>
  <c r="AO179" i="58"/>
  <c r="AH70" i="58"/>
  <c r="I70" i="58" s="1"/>
  <c r="H86" i="58"/>
  <c r="L236" i="58"/>
  <c r="AL220" i="58"/>
  <c r="M220" i="58" s="1"/>
  <c r="AJ220" i="58"/>
  <c r="K220" i="58" s="1"/>
  <c r="J236" i="58"/>
  <c r="J296" i="58"/>
  <c r="AJ280" i="58"/>
  <c r="K280" i="58" s="1"/>
  <c r="AR190" i="58"/>
  <c r="S190" i="58" s="1"/>
  <c r="R206" i="58"/>
  <c r="D146" i="58"/>
  <c r="AD130" i="58"/>
  <c r="E130" i="58" s="1"/>
  <c r="AH97" i="58"/>
  <c r="H115" i="58"/>
  <c r="H87" i="59"/>
  <c r="AH73" i="59"/>
  <c r="I73" i="59" s="1"/>
  <c r="AH193" i="59"/>
  <c r="I193" i="59" s="1"/>
  <c r="H207" i="59"/>
  <c r="AP247" i="59"/>
  <c r="Q247" i="59" s="1"/>
  <c r="P265" i="59"/>
  <c r="AO269" i="59"/>
  <c r="AH16" i="55"/>
  <c r="I16" i="55" s="1"/>
  <c r="H28" i="55"/>
  <c r="T148" i="59"/>
  <c r="AT136" i="59"/>
  <c r="U136" i="59" s="1"/>
  <c r="AH133" i="58"/>
  <c r="I133" i="58" s="1"/>
  <c r="H147" i="58"/>
  <c r="AE89" i="53"/>
  <c r="F89" i="53" s="1"/>
  <c r="J205" i="52"/>
  <c r="AJ187" i="52"/>
  <c r="P178" i="57"/>
  <c r="AP166" i="57"/>
  <c r="Q166" i="57" s="1"/>
  <c r="H145" i="58"/>
  <c r="AH127" i="58"/>
  <c r="I127" i="58" s="1"/>
  <c r="AE209" i="53"/>
  <c r="F209" i="53" s="1"/>
  <c r="AL223" i="59"/>
  <c r="M223" i="59" s="1"/>
  <c r="AT286" i="59"/>
  <c r="U286" i="59" s="1"/>
  <c r="AG299" i="57"/>
  <c r="H299" i="57" s="1"/>
  <c r="AG239" i="53"/>
  <c r="J25" i="55"/>
  <c r="AL73" i="52"/>
  <c r="M73" i="52" s="1"/>
  <c r="L87" i="52"/>
  <c r="AL127" i="55"/>
  <c r="M127" i="55" s="1"/>
  <c r="L145" i="55"/>
  <c r="AR70" i="55"/>
  <c r="R86" i="55"/>
  <c r="N146" i="55"/>
  <c r="AN130" i="55"/>
  <c r="O130" i="55" s="1"/>
  <c r="AT70" i="55"/>
  <c r="U70" i="55" s="1"/>
  <c r="T86" i="55"/>
  <c r="AT76" i="55"/>
  <c r="U76" i="55" s="1"/>
  <c r="T88" i="55"/>
  <c r="AJ106" i="55"/>
  <c r="K106" i="55" s="1"/>
  <c r="J118" i="55"/>
  <c r="AP157" i="59"/>
  <c r="P175" i="59"/>
  <c r="AO179" i="59"/>
  <c r="R26" i="59"/>
  <c r="AR10" i="59"/>
  <c r="S10" i="59" s="1"/>
  <c r="AH283" i="57"/>
  <c r="I283" i="57" s="1"/>
  <c r="H297" i="57"/>
  <c r="AR136" i="57"/>
  <c r="S136" i="57" s="1"/>
  <c r="R148" i="57"/>
  <c r="AP37" i="57"/>
  <c r="Q37" i="57" s="1"/>
  <c r="P55" i="57"/>
  <c r="AF166" i="55"/>
  <c r="G166" i="55" s="1"/>
  <c r="F178" i="55"/>
  <c r="P56" i="57"/>
  <c r="AP40" i="57"/>
  <c r="Q40" i="57" s="1"/>
  <c r="N175" i="53"/>
  <c r="AN157" i="53"/>
  <c r="AM179" i="53"/>
  <c r="AR163" i="53"/>
  <c r="R177" i="53"/>
  <c r="AP247" i="53"/>
  <c r="Q247" i="53" s="1"/>
  <c r="P265" i="53"/>
  <c r="P85" i="53"/>
  <c r="AP67" i="53"/>
  <c r="Q67" i="53" s="1"/>
  <c r="AP76" i="53"/>
  <c r="Q76" i="53" s="1"/>
  <c r="P88" i="53"/>
  <c r="R146" i="53"/>
  <c r="AR130" i="53"/>
  <c r="S130" i="53" s="1"/>
  <c r="AP280" i="53"/>
  <c r="Q280" i="53" s="1"/>
  <c r="P296" i="53"/>
  <c r="R295" i="53"/>
  <c r="AR277" i="53"/>
  <c r="AQ299" i="53"/>
  <c r="L238" i="59"/>
  <c r="AL226" i="59"/>
  <c r="M226" i="59" s="1"/>
  <c r="AN76" i="59"/>
  <c r="O76" i="59" s="1"/>
  <c r="N88" i="59"/>
  <c r="AP220" i="59"/>
  <c r="P236" i="59"/>
  <c r="R88" i="59"/>
  <c r="AR76" i="59"/>
  <c r="S76" i="59" s="1"/>
  <c r="J26" i="59"/>
  <c r="AJ10" i="59"/>
  <c r="K10" i="59" s="1"/>
  <c r="AF280" i="58"/>
  <c r="G280" i="58" s="1"/>
  <c r="F296" i="58"/>
  <c r="AR286" i="58"/>
  <c r="S286" i="58" s="1"/>
  <c r="R298" i="58"/>
  <c r="L235" i="58"/>
  <c r="AL217" i="58"/>
  <c r="M217" i="58" s="1"/>
  <c r="R56" i="58"/>
  <c r="AR40" i="58"/>
  <c r="S40" i="58" s="1"/>
  <c r="T146" i="58"/>
  <c r="AT130" i="58"/>
  <c r="U130" i="58" s="1"/>
  <c r="AJ217" i="58"/>
  <c r="AI239" i="58"/>
  <c r="J235" i="58"/>
  <c r="AR187" i="58"/>
  <c r="S187" i="58" s="1"/>
  <c r="R205" i="58"/>
  <c r="D26" i="59"/>
  <c r="AD10" i="59"/>
  <c r="E10" i="59" s="1"/>
  <c r="D117" i="59"/>
  <c r="AD103" i="59"/>
  <c r="E103" i="59" s="1"/>
  <c r="T27" i="55"/>
  <c r="AT13" i="55"/>
  <c r="U13" i="55" s="1"/>
  <c r="L58" i="55"/>
  <c r="AL46" i="55"/>
  <c r="M46" i="55" s="1"/>
  <c r="AD127" i="58"/>
  <c r="E127" i="58" s="1"/>
  <c r="D145" i="58"/>
  <c r="AE209" i="59"/>
  <c r="F209" i="59" s="1"/>
  <c r="AE239" i="55"/>
  <c r="F239" i="55" s="1"/>
  <c r="T296" i="57"/>
  <c r="R146" i="55"/>
  <c r="AO149" i="55"/>
  <c r="AP139" i="55" s="1"/>
  <c r="J208" i="52"/>
  <c r="AJ196" i="52"/>
  <c r="K196" i="52" s="1"/>
  <c r="AH46" i="55"/>
  <c r="I46" i="55" s="1"/>
  <c r="H58" i="55"/>
  <c r="AC239" i="55"/>
  <c r="D235" i="55"/>
  <c r="AD217" i="55"/>
  <c r="N297" i="55"/>
  <c r="AN283" i="55"/>
  <c r="O283" i="55" s="1"/>
  <c r="AF256" i="55"/>
  <c r="G256" i="55" s="1"/>
  <c r="F268" i="55"/>
  <c r="AH103" i="55"/>
  <c r="I103" i="55" s="1"/>
  <c r="H117" i="55"/>
  <c r="AL250" i="55"/>
  <c r="M250" i="55" s="1"/>
  <c r="L266" i="55"/>
  <c r="J177" i="55"/>
  <c r="AJ163" i="55"/>
  <c r="K163" i="55" s="1"/>
  <c r="AL73" i="59"/>
  <c r="M73" i="59" s="1"/>
  <c r="L87" i="59"/>
  <c r="AH70" i="59"/>
  <c r="I70" i="59" s="1"/>
  <c r="H86" i="59"/>
  <c r="AR247" i="59"/>
  <c r="S247" i="59" s="1"/>
  <c r="R265" i="59"/>
  <c r="AQ269" i="59"/>
  <c r="AH223" i="59"/>
  <c r="I223" i="59" s="1"/>
  <c r="H237" i="59"/>
  <c r="AF73" i="57"/>
  <c r="G73" i="57" s="1"/>
  <c r="F87" i="57"/>
  <c r="L297" i="57"/>
  <c r="AL283" i="57"/>
  <c r="M283" i="57" s="1"/>
  <c r="F115" i="57"/>
  <c r="AF97" i="57"/>
  <c r="G97" i="57" s="1"/>
  <c r="AN157" i="57"/>
  <c r="O157" i="57" s="1"/>
  <c r="N175" i="57"/>
  <c r="AK209" i="55"/>
  <c r="AH193" i="55"/>
  <c r="I193" i="55" s="1"/>
  <c r="H207" i="55"/>
  <c r="R236" i="55"/>
  <c r="AR220" i="55"/>
  <c r="S220" i="55" s="1"/>
  <c r="AT163" i="57"/>
  <c r="U163" i="57" s="1"/>
  <c r="T177" i="57"/>
  <c r="AL253" i="53"/>
  <c r="M253" i="53" s="1"/>
  <c r="L267" i="53"/>
  <c r="AT130" i="53"/>
  <c r="U130" i="53" s="1"/>
  <c r="T146" i="53"/>
  <c r="H236" i="53"/>
  <c r="AH220" i="53"/>
  <c r="I220" i="53" s="1"/>
  <c r="J57" i="53"/>
  <c r="AJ43" i="53"/>
  <c r="K43" i="53" s="1"/>
  <c r="N177" i="53"/>
  <c r="AN163" i="53"/>
  <c r="O163" i="53" s="1"/>
  <c r="AO59" i="53"/>
  <c r="P55" i="53"/>
  <c r="AP37" i="53"/>
  <c r="Q37" i="53" s="1"/>
  <c r="D296" i="53"/>
  <c r="AD280" i="53"/>
  <c r="E280" i="53" s="1"/>
  <c r="AL223" i="53"/>
  <c r="M223" i="53" s="1"/>
  <c r="L237" i="53"/>
  <c r="P86" i="53"/>
  <c r="AP70" i="53"/>
  <c r="Q70" i="53" s="1"/>
  <c r="AR127" i="53"/>
  <c r="S127" i="53" s="1"/>
  <c r="R145" i="53"/>
  <c r="P298" i="52"/>
  <c r="AP286" i="52"/>
  <c r="Q286" i="52" s="1"/>
  <c r="AH67" i="59"/>
  <c r="I67" i="59" s="1"/>
  <c r="H85" i="59"/>
  <c r="P268" i="59"/>
  <c r="AP256" i="59"/>
  <c r="Q256" i="59" s="1"/>
  <c r="J178" i="59"/>
  <c r="AJ166" i="59"/>
  <c r="K166" i="59" s="1"/>
  <c r="AP250" i="59"/>
  <c r="Q250" i="59" s="1"/>
  <c r="P266" i="59"/>
  <c r="AJ133" i="58"/>
  <c r="K133" i="58" s="1"/>
  <c r="J147" i="58"/>
  <c r="AN283" i="58"/>
  <c r="O283" i="58" s="1"/>
  <c r="N297" i="58"/>
  <c r="H56" i="58"/>
  <c r="AH40" i="58"/>
  <c r="I40" i="58" s="1"/>
  <c r="T57" i="58"/>
  <c r="AT43" i="58"/>
  <c r="U43" i="58" s="1"/>
  <c r="AJ283" i="58"/>
  <c r="K283" i="58" s="1"/>
  <c r="J297" i="58"/>
  <c r="N295" i="58"/>
  <c r="AN277" i="58"/>
  <c r="AM299" i="58"/>
  <c r="AT70" i="58"/>
  <c r="U70" i="58" s="1"/>
  <c r="T86" i="58"/>
  <c r="AT130" i="59"/>
  <c r="U130" i="59" s="1"/>
  <c r="T146" i="59"/>
  <c r="AR286" i="59"/>
  <c r="S286" i="59" s="1"/>
  <c r="R298" i="59"/>
  <c r="AH43" i="59"/>
  <c r="I43" i="59" s="1"/>
  <c r="H57" i="59"/>
  <c r="AT163" i="58"/>
  <c r="U163" i="58" s="1"/>
  <c r="T177" i="58"/>
  <c r="AT43" i="55"/>
  <c r="U43" i="55" s="1"/>
  <c r="T57" i="55"/>
  <c r="AP67" i="59"/>
  <c r="P85" i="59"/>
  <c r="H207" i="53"/>
  <c r="AH193" i="53"/>
  <c r="AK59" i="55"/>
  <c r="AL49" i="55" s="1"/>
  <c r="H268" i="59"/>
  <c r="AC59" i="53"/>
  <c r="AP166" i="55"/>
  <c r="Q166" i="55" s="1"/>
  <c r="P178" i="55"/>
  <c r="J88" i="55"/>
  <c r="AJ76" i="55"/>
  <c r="K76" i="55" s="1"/>
  <c r="N56" i="55"/>
  <c r="AN40" i="55"/>
  <c r="O40" i="55" s="1"/>
  <c r="AT160" i="55"/>
  <c r="U160" i="55" s="1"/>
  <c r="T176" i="55"/>
  <c r="P237" i="55"/>
  <c r="AP223" i="55"/>
  <c r="Q223" i="55" s="1"/>
  <c r="P27" i="55"/>
  <c r="AP13" i="55"/>
  <c r="Q13" i="55" s="1"/>
  <c r="AM179" i="55"/>
  <c r="AN163" i="55"/>
  <c r="O163" i="55" s="1"/>
  <c r="AR37" i="55"/>
  <c r="S37" i="55" s="1"/>
  <c r="R55" i="55"/>
  <c r="J207" i="55"/>
  <c r="AJ193" i="55"/>
  <c r="K193" i="55" s="1"/>
  <c r="R205" i="55"/>
  <c r="AR187" i="55"/>
  <c r="S187" i="55" s="1"/>
  <c r="J28" i="59"/>
  <c r="AJ16" i="59"/>
  <c r="K16" i="59" s="1"/>
  <c r="N235" i="59"/>
  <c r="AM239" i="59"/>
  <c r="AN217" i="59"/>
  <c r="O217" i="59" s="1"/>
  <c r="AN196" i="57"/>
  <c r="O196" i="57" s="1"/>
  <c r="N208" i="57"/>
  <c r="H265" i="57"/>
  <c r="AH247" i="57"/>
  <c r="AG269" i="57"/>
  <c r="D28" i="55"/>
  <c r="AD16" i="55"/>
  <c r="E16" i="55" s="1"/>
  <c r="F236" i="55"/>
  <c r="AF220" i="55"/>
  <c r="G220" i="55" s="1"/>
  <c r="AP37" i="55"/>
  <c r="P55" i="55"/>
  <c r="H87" i="57"/>
  <c r="AH73" i="57"/>
  <c r="I73" i="57" s="1"/>
  <c r="P145" i="53"/>
  <c r="AP127" i="53"/>
  <c r="Q127" i="53" s="1"/>
  <c r="T147" i="53"/>
  <c r="AT133" i="53"/>
  <c r="U133" i="53" s="1"/>
  <c r="L117" i="53"/>
  <c r="AL103" i="53"/>
  <c r="M103" i="53" s="1"/>
  <c r="T27" i="53"/>
  <c r="AT13" i="53"/>
  <c r="U13" i="53" s="1"/>
  <c r="AP256" i="53"/>
  <c r="Q256" i="53" s="1"/>
  <c r="P268" i="53"/>
  <c r="AL163" i="53"/>
  <c r="M163" i="53" s="1"/>
  <c r="L177" i="53"/>
  <c r="H87" i="53"/>
  <c r="AH73" i="53"/>
  <c r="I73" i="53" s="1"/>
  <c r="N87" i="53"/>
  <c r="AN73" i="53"/>
  <c r="O73" i="53" s="1"/>
  <c r="P266" i="53"/>
  <c r="AP250" i="53"/>
  <c r="Q250" i="53" s="1"/>
  <c r="J266" i="59"/>
  <c r="AJ250" i="59"/>
  <c r="K250" i="59" s="1"/>
  <c r="AJ283" i="59"/>
  <c r="K283" i="59" s="1"/>
  <c r="J297" i="59"/>
  <c r="AP163" i="59"/>
  <c r="Q163" i="59" s="1"/>
  <c r="P177" i="59"/>
  <c r="N175" i="59"/>
  <c r="AN157" i="59"/>
  <c r="O157" i="59" s="1"/>
  <c r="J115" i="59"/>
  <c r="AI119" i="59"/>
  <c r="AJ97" i="59"/>
  <c r="K97" i="59" s="1"/>
  <c r="H57" i="58"/>
  <c r="AH43" i="58"/>
  <c r="I43" i="58" s="1"/>
  <c r="D87" i="58"/>
  <c r="AD73" i="58"/>
  <c r="E73" i="58" s="1"/>
  <c r="N205" i="58"/>
  <c r="AN187" i="58"/>
  <c r="O187" i="58" s="1"/>
  <c r="AM209" i="58"/>
  <c r="AH196" i="58"/>
  <c r="I196" i="58" s="1"/>
  <c r="H208" i="58"/>
  <c r="AJ223" i="58"/>
  <c r="K223" i="58" s="1"/>
  <c r="J237" i="58"/>
  <c r="AP10" i="58"/>
  <c r="Q10" i="58" s="1"/>
  <c r="P26" i="58"/>
  <c r="L57" i="59"/>
  <c r="AL43" i="59"/>
  <c r="M43" i="59" s="1"/>
  <c r="R55" i="58"/>
  <c r="AQ59" i="58"/>
  <c r="AR37" i="58"/>
  <c r="AH106" i="59"/>
  <c r="I106" i="59" s="1"/>
  <c r="H118" i="59"/>
  <c r="AP106" i="59"/>
  <c r="Q106" i="59" s="1"/>
  <c r="P118" i="59"/>
  <c r="P118" i="55"/>
  <c r="AP106" i="55"/>
  <c r="Q106" i="55" s="1"/>
  <c r="AT7" i="57"/>
  <c r="U7" i="57" s="1"/>
  <c r="T25" i="57"/>
  <c r="AS29" i="57"/>
  <c r="AR127" i="59"/>
  <c r="S127" i="59" s="1"/>
  <c r="R145" i="59"/>
  <c r="AP223" i="59"/>
  <c r="Q223" i="59" s="1"/>
  <c r="P237" i="59"/>
  <c r="AF253" i="58"/>
  <c r="G253" i="58" s="1"/>
  <c r="F267" i="58"/>
  <c r="AH136" i="52"/>
  <c r="I136" i="52" s="1"/>
  <c r="AI149" i="59"/>
  <c r="AF70" i="53"/>
  <c r="G70" i="53" s="1"/>
  <c r="AH226" i="53"/>
  <c r="I226" i="53" s="1"/>
  <c r="AS89" i="55"/>
  <c r="T89" i="55" s="1"/>
  <c r="AD283" i="55"/>
  <c r="E283" i="55" s="1"/>
  <c r="D297" i="55"/>
  <c r="P57" i="55"/>
  <c r="AP43" i="55"/>
  <c r="Q43" i="55" s="1"/>
  <c r="AL100" i="55"/>
  <c r="M100" i="55" s="1"/>
  <c r="L116" i="55"/>
  <c r="P115" i="55"/>
  <c r="AP97" i="55"/>
  <c r="AO119" i="55"/>
  <c r="P175" i="55"/>
  <c r="AP157" i="55"/>
  <c r="Q157" i="55" s="1"/>
  <c r="J117" i="55"/>
  <c r="AJ103" i="55"/>
  <c r="K103" i="55" s="1"/>
  <c r="T147" i="55"/>
  <c r="AT133" i="55"/>
  <c r="U133" i="55" s="1"/>
  <c r="F28" i="55"/>
  <c r="AF16" i="55"/>
  <c r="G16" i="55" s="1"/>
  <c r="AD13" i="55"/>
  <c r="E13" i="55" s="1"/>
  <c r="D27" i="55"/>
  <c r="T148" i="55"/>
  <c r="AT136" i="55"/>
  <c r="U136" i="55" s="1"/>
  <c r="T175" i="59"/>
  <c r="AT157" i="59"/>
  <c r="AJ103" i="59"/>
  <c r="K103" i="59" s="1"/>
  <c r="J117" i="59"/>
  <c r="D88" i="59"/>
  <c r="AD76" i="59"/>
  <c r="E76" i="59" s="1"/>
  <c r="T297" i="57"/>
  <c r="AT283" i="57"/>
  <c r="U283" i="57" s="1"/>
  <c r="F117" i="57"/>
  <c r="AF103" i="57"/>
  <c r="G103" i="57" s="1"/>
  <c r="H266" i="57"/>
  <c r="AH250" i="57"/>
  <c r="I250" i="57" s="1"/>
  <c r="J87" i="55"/>
  <c r="AJ73" i="55"/>
  <c r="K73" i="55" s="1"/>
  <c r="L298" i="57"/>
  <c r="AL286" i="57"/>
  <c r="M286" i="57" s="1"/>
  <c r="T26" i="53"/>
  <c r="AS29" i="53"/>
  <c r="AT10" i="53"/>
  <c r="U10" i="53" s="1"/>
  <c r="AF160" i="53"/>
  <c r="G160" i="53" s="1"/>
  <c r="F176" i="53"/>
  <c r="AL196" i="53"/>
  <c r="M196" i="53" s="1"/>
  <c r="L208" i="53"/>
  <c r="D116" i="53"/>
  <c r="AC119" i="53"/>
  <c r="AD100" i="53"/>
  <c r="AF286" i="53"/>
  <c r="G286" i="53" s="1"/>
  <c r="F298" i="53"/>
  <c r="F88" i="53"/>
  <c r="AF76" i="53"/>
  <c r="G76" i="53" s="1"/>
  <c r="AJ37" i="53"/>
  <c r="J55" i="53"/>
  <c r="L238" i="53"/>
  <c r="AL226" i="53"/>
  <c r="M226" i="53" s="1"/>
  <c r="D205" i="53"/>
  <c r="AD187" i="53"/>
  <c r="AT187" i="53"/>
  <c r="U187" i="53" s="1"/>
  <c r="T205" i="53"/>
  <c r="AN76" i="53"/>
  <c r="O76" i="53" s="1"/>
  <c r="N88" i="53"/>
  <c r="AH220" i="52"/>
  <c r="I220" i="52" s="1"/>
  <c r="H236" i="52"/>
  <c r="AH7" i="59"/>
  <c r="I7" i="59" s="1"/>
  <c r="H25" i="59"/>
  <c r="AR40" i="59"/>
  <c r="S40" i="59" s="1"/>
  <c r="R56" i="59"/>
  <c r="AL16" i="58"/>
  <c r="M16" i="58" s="1"/>
  <c r="L28" i="58"/>
  <c r="H146" i="58"/>
  <c r="AH130" i="58"/>
  <c r="I130" i="58" s="1"/>
  <c r="J85" i="58"/>
  <c r="AJ67" i="58"/>
  <c r="K67" i="58" s="1"/>
  <c r="R295" i="58"/>
  <c r="AR277" i="58"/>
  <c r="S277" i="58" s="1"/>
  <c r="H148" i="58"/>
  <c r="AH136" i="58"/>
  <c r="I136" i="58" s="1"/>
  <c r="T116" i="58"/>
  <c r="AT100" i="58"/>
  <c r="U100" i="58" s="1"/>
  <c r="AR256" i="58"/>
  <c r="S256" i="58" s="1"/>
  <c r="R268" i="58"/>
  <c r="T58" i="58"/>
  <c r="AT46" i="58"/>
  <c r="U46" i="58" s="1"/>
  <c r="D115" i="59"/>
  <c r="AD97" i="59"/>
  <c r="AC119" i="59"/>
  <c r="AT37" i="58"/>
  <c r="U37" i="58" s="1"/>
  <c r="T55" i="58"/>
  <c r="D58" i="59"/>
  <c r="AD46" i="59"/>
  <c r="E46" i="59" s="1"/>
  <c r="D86" i="59"/>
  <c r="AD70" i="59"/>
  <c r="E70" i="59" s="1"/>
  <c r="R25" i="59"/>
  <c r="AR7" i="59"/>
  <c r="S7" i="59" s="1"/>
  <c r="N266" i="57"/>
  <c r="AN250" i="57"/>
  <c r="O250" i="57" s="1"/>
  <c r="AJ157" i="57"/>
  <c r="K157" i="57" s="1"/>
  <c r="AI179" i="57"/>
  <c r="J175" i="57"/>
  <c r="AN247" i="53"/>
  <c r="N265" i="53"/>
  <c r="AM269" i="53"/>
  <c r="AN250" i="58"/>
  <c r="O250" i="58" s="1"/>
  <c r="N266" i="58"/>
  <c r="AL247" i="57"/>
  <c r="M247" i="57" s="1"/>
  <c r="AK269" i="57"/>
  <c r="L265" i="57"/>
  <c r="D85" i="58"/>
  <c r="AD67" i="58"/>
  <c r="E67" i="58" s="1"/>
  <c r="F26" i="52"/>
  <c r="AD286" i="58"/>
  <c r="E286" i="58" s="1"/>
  <c r="AL253" i="59"/>
  <c r="AM269" i="57"/>
  <c r="AN259" i="57" s="1"/>
  <c r="O259" i="57" s="1"/>
  <c r="AS209" i="59"/>
  <c r="AT199" i="59" s="1"/>
  <c r="U199" i="59" s="1"/>
  <c r="J265" i="52"/>
  <c r="AQ59" i="53"/>
  <c r="AR49" i="53" s="1"/>
  <c r="S49" i="53" s="1"/>
  <c r="AM239" i="52"/>
  <c r="N239" i="52" s="1"/>
  <c r="R146" i="57"/>
  <c r="AE269" i="55"/>
  <c r="AQ149" i="59"/>
  <c r="D85" i="55"/>
  <c r="AD67" i="55"/>
  <c r="AC89" i="55"/>
  <c r="AJ70" i="55"/>
  <c r="K70" i="55" s="1"/>
  <c r="J86" i="55"/>
  <c r="AF277" i="55"/>
  <c r="G277" i="55" s="1"/>
  <c r="F295" i="55"/>
  <c r="AK149" i="55"/>
  <c r="AT190" i="55"/>
  <c r="U190" i="55" s="1"/>
  <c r="T206" i="55"/>
  <c r="AF187" i="55"/>
  <c r="G187" i="55" s="1"/>
  <c r="F205" i="55"/>
  <c r="H25" i="55"/>
  <c r="AH7" i="55"/>
  <c r="I7" i="55" s="1"/>
  <c r="AG29" i="55"/>
  <c r="H206" i="55"/>
  <c r="AH190" i="55"/>
  <c r="I190" i="55" s="1"/>
  <c r="AJ157" i="55"/>
  <c r="K157" i="55" s="1"/>
  <c r="J175" i="55"/>
  <c r="AP70" i="55"/>
  <c r="Q70" i="55" s="1"/>
  <c r="P86" i="55"/>
  <c r="L296" i="59"/>
  <c r="AL280" i="59"/>
  <c r="L298" i="59"/>
  <c r="AL286" i="59"/>
  <c r="M286" i="59" s="1"/>
  <c r="AR256" i="59"/>
  <c r="S256" i="59" s="1"/>
  <c r="R268" i="59"/>
  <c r="AJ10" i="57"/>
  <c r="K10" i="57" s="1"/>
  <c r="J26" i="57"/>
  <c r="J206" i="57"/>
  <c r="AJ190" i="57"/>
  <c r="K190" i="57" s="1"/>
  <c r="AP247" i="57"/>
  <c r="AO269" i="57"/>
  <c r="P265" i="57"/>
  <c r="R27" i="57"/>
  <c r="AR13" i="57"/>
  <c r="S13" i="57" s="1"/>
  <c r="AD217" i="57"/>
  <c r="E217" i="57" s="1"/>
  <c r="AC239" i="57"/>
  <c r="D235" i="57"/>
  <c r="AN190" i="57"/>
  <c r="O190" i="57" s="1"/>
  <c r="N206" i="57"/>
  <c r="D87" i="53"/>
  <c r="AD73" i="53"/>
  <c r="E73" i="53" s="1"/>
  <c r="AT46" i="53"/>
  <c r="U46" i="53" s="1"/>
  <c r="T58" i="53"/>
  <c r="AJ226" i="53"/>
  <c r="K226" i="53" s="1"/>
  <c r="J238" i="53"/>
  <c r="AP130" i="53"/>
  <c r="Q130" i="53" s="1"/>
  <c r="P146" i="53"/>
  <c r="R235" i="53"/>
  <c r="AR217" i="53"/>
  <c r="S217" i="53" s="1"/>
  <c r="T267" i="53"/>
  <c r="AT253" i="53"/>
  <c r="U253" i="53" s="1"/>
  <c r="AN226" i="53"/>
  <c r="O226" i="53" s="1"/>
  <c r="N238" i="53"/>
  <c r="AP187" i="59"/>
  <c r="Q187" i="59" s="1"/>
  <c r="AO209" i="59"/>
  <c r="P205" i="59"/>
  <c r="AH187" i="59"/>
  <c r="AG209" i="59"/>
  <c r="AT127" i="58"/>
  <c r="T145" i="58"/>
  <c r="AS149" i="58"/>
  <c r="AO29" i="58"/>
  <c r="AP7" i="58"/>
  <c r="P25" i="58"/>
  <c r="L177" i="58"/>
  <c r="AL163" i="58"/>
  <c r="M163" i="58" s="1"/>
  <c r="T265" i="58"/>
  <c r="AT247" i="58"/>
  <c r="U247" i="58" s="1"/>
  <c r="AN280" i="58"/>
  <c r="O280" i="58" s="1"/>
  <c r="N296" i="58"/>
  <c r="L176" i="58"/>
  <c r="AL160" i="58"/>
  <c r="M160" i="58" s="1"/>
  <c r="AF286" i="58"/>
  <c r="G286" i="58" s="1"/>
  <c r="F298" i="58"/>
  <c r="J175" i="59"/>
  <c r="AI179" i="59"/>
  <c r="AJ157" i="59"/>
  <c r="AN106" i="59"/>
  <c r="O106" i="59" s="1"/>
  <c r="N118" i="59"/>
  <c r="AL217" i="53"/>
  <c r="M217" i="53" s="1"/>
  <c r="L235" i="53"/>
  <c r="AP163" i="58"/>
  <c r="Q163" i="58" s="1"/>
  <c r="P177" i="58"/>
  <c r="D86" i="55"/>
  <c r="AD70" i="55"/>
  <c r="E70" i="55" s="1"/>
  <c r="R116" i="58"/>
  <c r="AR100" i="58"/>
  <c r="S100" i="58" s="1"/>
  <c r="AF220" i="57"/>
  <c r="G220" i="57" s="1"/>
  <c r="T177" i="55"/>
  <c r="AE239" i="57"/>
  <c r="AF229" i="57" s="1"/>
  <c r="R145" i="52"/>
  <c r="J267" i="59"/>
  <c r="AJ283" i="55"/>
  <c r="K283" i="55" s="1"/>
  <c r="AP283" i="52"/>
  <c r="Q283" i="52" s="1"/>
  <c r="P297" i="52"/>
  <c r="D238" i="55"/>
  <c r="AD226" i="55"/>
  <c r="E226" i="55" s="1"/>
  <c r="AI149" i="55"/>
  <c r="AF196" i="55"/>
  <c r="G196" i="55" s="1"/>
  <c r="F208" i="55"/>
  <c r="T58" i="55"/>
  <c r="AT46" i="55"/>
  <c r="U46" i="55" s="1"/>
  <c r="AL103" i="55"/>
  <c r="M103" i="55" s="1"/>
  <c r="L117" i="55"/>
  <c r="H297" i="55"/>
  <c r="AH283" i="55"/>
  <c r="I283" i="55" s="1"/>
  <c r="AL190" i="55"/>
  <c r="M190" i="55" s="1"/>
  <c r="L206" i="55"/>
  <c r="AR136" i="55"/>
  <c r="S136" i="55" s="1"/>
  <c r="R148" i="55"/>
  <c r="AD277" i="59"/>
  <c r="D295" i="59"/>
  <c r="L297" i="59"/>
  <c r="AL283" i="59"/>
  <c r="M283" i="59" s="1"/>
  <c r="H58" i="59"/>
  <c r="AH46" i="59"/>
  <c r="I46" i="59" s="1"/>
  <c r="R297" i="57"/>
  <c r="AR283" i="57"/>
  <c r="S283" i="57" s="1"/>
  <c r="J28" i="57"/>
  <c r="AJ16" i="57"/>
  <c r="K16" i="57" s="1"/>
  <c r="N205" i="57"/>
  <c r="AM209" i="57"/>
  <c r="AN187" i="57"/>
  <c r="AJ196" i="57"/>
  <c r="K196" i="57" s="1"/>
  <c r="J208" i="57"/>
  <c r="AP256" i="57"/>
  <c r="Q256" i="57" s="1"/>
  <c r="P268" i="57"/>
  <c r="T176" i="57"/>
  <c r="AT160" i="57"/>
  <c r="N119" i="55"/>
  <c r="AN109" i="55"/>
  <c r="AN37" i="55"/>
  <c r="O37" i="55" s="1"/>
  <c r="N55" i="55"/>
  <c r="T298" i="57"/>
  <c r="AT286" i="57"/>
  <c r="U286" i="57" s="1"/>
  <c r="H145" i="53"/>
  <c r="AH127" i="53"/>
  <c r="AG149" i="53"/>
  <c r="P298" i="53"/>
  <c r="AP286" i="53"/>
  <c r="Q286" i="53" s="1"/>
  <c r="N176" i="53"/>
  <c r="AN160" i="53"/>
  <c r="O160" i="53" s="1"/>
  <c r="AT250" i="53"/>
  <c r="U250" i="53" s="1"/>
  <c r="T266" i="53"/>
  <c r="AN166" i="53"/>
  <c r="O166" i="53" s="1"/>
  <c r="N178" i="53"/>
  <c r="AJ160" i="53"/>
  <c r="K160" i="53" s="1"/>
  <c r="J176" i="53"/>
  <c r="AH67" i="53"/>
  <c r="I67" i="53" s="1"/>
  <c r="AG89" i="53"/>
  <c r="H85" i="53"/>
  <c r="AD136" i="53"/>
  <c r="E136" i="53" s="1"/>
  <c r="D148" i="53"/>
  <c r="AL136" i="53"/>
  <c r="M136" i="53" s="1"/>
  <c r="L148" i="53"/>
  <c r="L146" i="53"/>
  <c r="AK149" i="53"/>
  <c r="AL130" i="53"/>
  <c r="P295" i="52"/>
  <c r="AP277" i="52"/>
  <c r="Q277" i="52" s="1"/>
  <c r="AJ223" i="59"/>
  <c r="K223" i="59" s="1"/>
  <c r="J237" i="59"/>
  <c r="AH10" i="59"/>
  <c r="I10" i="59" s="1"/>
  <c r="H26" i="59"/>
  <c r="D56" i="59"/>
  <c r="AD40" i="59"/>
  <c r="E40" i="59" s="1"/>
  <c r="AN133" i="59"/>
  <c r="O133" i="59" s="1"/>
  <c r="N147" i="59"/>
  <c r="AN7" i="58"/>
  <c r="O7" i="58" s="1"/>
  <c r="N25" i="58"/>
  <c r="AM29" i="58"/>
  <c r="P297" i="58"/>
  <c r="AP283" i="58"/>
  <c r="Q283" i="58" s="1"/>
  <c r="AH100" i="58"/>
  <c r="I100" i="58" s="1"/>
  <c r="H116" i="58"/>
  <c r="D117" i="58"/>
  <c r="AD103" i="58"/>
  <c r="E103" i="58" s="1"/>
  <c r="R296" i="58"/>
  <c r="AR280" i="58"/>
  <c r="S280" i="58" s="1"/>
  <c r="AL247" i="58"/>
  <c r="L265" i="58"/>
  <c r="AK269" i="58"/>
  <c r="H206" i="58"/>
  <c r="AH190" i="58"/>
  <c r="I190" i="58" s="1"/>
  <c r="AJ163" i="59"/>
  <c r="K163" i="59" s="1"/>
  <c r="J177" i="59"/>
  <c r="AJ46" i="59"/>
  <c r="K46" i="59" s="1"/>
  <c r="J58" i="59"/>
  <c r="AP100" i="59"/>
  <c r="Q100" i="59" s="1"/>
  <c r="P116" i="59"/>
  <c r="P266" i="55"/>
  <c r="AP250" i="55"/>
  <c r="Q250" i="55" s="1"/>
  <c r="R297" i="53"/>
  <c r="AR283" i="53"/>
  <c r="S283" i="53" s="1"/>
  <c r="AL226" i="58"/>
  <c r="M226" i="58" s="1"/>
  <c r="L238" i="58"/>
  <c r="AR163" i="55"/>
  <c r="S163" i="55" s="1"/>
  <c r="R177" i="55"/>
  <c r="J27" i="55"/>
  <c r="AJ13" i="55"/>
  <c r="K13" i="55" s="1"/>
  <c r="AP253" i="57"/>
  <c r="Q253" i="57" s="1"/>
  <c r="P267" i="57"/>
  <c r="AP13" i="53"/>
  <c r="Q13" i="53" s="1"/>
  <c r="P27" i="53"/>
  <c r="AL127" i="59"/>
  <c r="M127" i="59" s="1"/>
  <c r="L145" i="59"/>
  <c r="AK149" i="59"/>
  <c r="AG119" i="59"/>
  <c r="H119" i="59" s="1"/>
  <c r="L267" i="59"/>
  <c r="F235" i="55"/>
  <c r="AN223" i="59"/>
  <c r="O223" i="59" s="1"/>
  <c r="AO89" i="59"/>
  <c r="AP79" i="59" s="1"/>
  <c r="Q79" i="59" s="1"/>
  <c r="AI269" i="59"/>
  <c r="AG299" i="59"/>
  <c r="R57" i="53"/>
  <c r="AR190" i="55"/>
  <c r="S190" i="55" s="1"/>
  <c r="R206" i="55"/>
  <c r="R298" i="55"/>
  <c r="AR286" i="55"/>
  <c r="S286" i="55" s="1"/>
  <c r="AP100" i="55"/>
  <c r="Q100" i="55" s="1"/>
  <c r="P116" i="55"/>
  <c r="R25" i="55"/>
  <c r="AQ29" i="55"/>
  <c r="AR7" i="55"/>
  <c r="S7" i="55" s="1"/>
  <c r="AD73" i="55"/>
  <c r="E73" i="55" s="1"/>
  <c r="D87" i="55"/>
  <c r="AT256" i="55"/>
  <c r="U256" i="55" s="1"/>
  <c r="T268" i="55"/>
  <c r="J296" i="55"/>
  <c r="AJ280" i="55"/>
  <c r="K280" i="55" s="1"/>
  <c r="P265" i="55"/>
  <c r="AP247" i="55"/>
  <c r="AO269" i="55"/>
  <c r="AL280" i="55"/>
  <c r="L296" i="55"/>
  <c r="AJ130" i="59"/>
  <c r="K130" i="59" s="1"/>
  <c r="J146" i="59"/>
  <c r="AL166" i="59"/>
  <c r="M166" i="59" s="1"/>
  <c r="L178" i="59"/>
  <c r="AL136" i="59"/>
  <c r="M136" i="59" s="1"/>
  <c r="L148" i="59"/>
  <c r="T28" i="57"/>
  <c r="AT16" i="57"/>
  <c r="U16" i="57" s="1"/>
  <c r="AN256" i="57"/>
  <c r="O256" i="57" s="1"/>
  <c r="N268" i="57"/>
  <c r="D236" i="57"/>
  <c r="AD220" i="57"/>
  <c r="E220" i="57" s="1"/>
  <c r="L296" i="57"/>
  <c r="AL280" i="57"/>
  <c r="M280" i="57" s="1"/>
  <c r="AF127" i="57"/>
  <c r="G127" i="57" s="1"/>
  <c r="F145" i="57"/>
  <c r="AH136" i="55"/>
  <c r="H148" i="55"/>
  <c r="AF163" i="55"/>
  <c r="G163" i="55" s="1"/>
  <c r="F177" i="55"/>
  <c r="AF130" i="57"/>
  <c r="G130" i="57" s="1"/>
  <c r="F146" i="57"/>
  <c r="AN13" i="53"/>
  <c r="O13" i="53" s="1"/>
  <c r="N27" i="53"/>
  <c r="D145" i="53"/>
  <c r="AD127" i="53"/>
  <c r="R207" i="53"/>
  <c r="AR193" i="53"/>
  <c r="S193" i="53" s="1"/>
  <c r="AD37" i="53"/>
  <c r="E37" i="53" s="1"/>
  <c r="D55" i="53"/>
  <c r="H26" i="53"/>
  <c r="AG29" i="53"/>
  <c r="AH10" i="53"/>
  <c r="I10" i="53" s="1"/>
  <c r="R208" i="53"/>
  <c r="AR196" i="53"/>
  <c r="S196" i="53" s="1"/>
  <c r="AP283" i="53"/>
  <c r="Q283" i="53" s="1"/>
  <c r="P297" i="53"/>
  <c r="AJ10" i="53"/>
  <c r="K10" i="53" s="1"/>
  <c r="J26" i="53"/>
  <c r="AL67" i="59"/>
  <c r="M67" i="59" s="1"/>
  <c r="L85" i="59"/>
  <c r="AK299" i="55"/>
  <c r="T85" i="58"/>
  <c r="AT67" i="58"/>
  <c r="AS89" i="58"/>
  <c r="AF256" i="58"/>
  <c r="G256" i="58" s="1"/>
  <c r="F268" i="58"/>
  <c r="H58" i="58"/>
  <c r="AH46" i="58"/>
  <c r="I46" i="58" s="1"/>
  <c r="AP166" i="58"/>
  <c r="Q166" i="58" s="1"/>
  <c r="P178" i="58"/>
  <c r="P116" i="58"/>
  <c r="AP100" i="58"/>
  <c r="Q100" i="58" s="1"/>
  <c r="L175" i="58"/>
  <c r="AL157" i="58"/>
  <c r="M157" i="58" s="1"/>
  <c r="AK179" i="58"/>
  <c r="R207" i="58"/>
  <c r="AR193" i="58"/>
  <c r="S193" i="58" s="1"/>
  <c r="J296" i="59"/>
  <c r="AJ280" i="59"/>
  <c r="K280" i="59" s="1"/>
  <c r="J145" i="59"/>
  <c r="AJ127" i="59"/>
  <c r="AD76" i="55"/>
  <c r="E76" i="55" s="1"/>
  <c r="D88" i="55"/>
  <c r="D238" i="57"/>
  <c r="AD226" i="57"/>
  <c r="E226" i="57" s="1"/>
  <c r="AJ40" i="59"/>
  <c r="K40" i="59" s="1"/>
  <c r="J56" i="59"/>
  <c r="T175" i="58"/>
  <c r="AT157" i="58"/>
  <c r="U157" i="58" s="1"/>
  <c r="D237" i="55"/>
  <c r="AD223" i="55"/>
  <c r="E223" i="55" s="1"/>
  <c r="AR10" i="57"/>
  <c r="R26" i="57"/>
  <c r="AL37" i="53"/>
  <c r="M37" i="53" s="1"/>
  <c r="L55" i="53"/>
  <c r="AM29" i="53"/>
  <c r="AN19" i="53" s="1"/>
  <c r="H117" i="59"/>
  <c r="AF190" i="59"/>
  <c r="G190" i="59" s="1"/>
  <c r="AE149" i="55"/>
  <c r="F149" i="55" s="1"/>
  <c r="AF46" i="53"/>
  <c r="G46" i="53" s="1"/>
  <c r="AQ149" i="57"/>
  <c r="R149" i="57" s="1"/>
  <c r="AC179" i="52"/>
  <c r="AJ190" i="52"/>
  <c r="K190" i="52" s="1"/>
  <c r="N147" i="52"/>
  <c r="AN133" i="52"/>
  <c r="O133" i="52" s="1"/>
  <c r="AF10" i="55"/>
  <c r="G10" i="55" s="1"/>
  <c r="F26" i="55"/>
  <c r="N148" i="55"/>
  <c r="AN136" i="55"/>
  <c r="O136" i="55" s="1"/>
  <c r="P87" i="55"/>
  <c r="AP73" i="55"/>
  <c r="Q73" i="55" s="1"/>
  <c r="AN190" i="55"/>
  <c r="O190" i="55" s="1"/>
  <c r="N206" i="55"/>
  <c r="AL247" i="55"/>
  <c r="M247" i="55" s="1"/>
  <c r="L265" i="55"/>
  <c r="N175" i="55"/>
  <c r="AN157" i="55"/>
  <c r="AD220" i="55"/>
  <c r="E220" i="55" s="1"/>
  <c r="D236" i="55"/>
  <c r="R208" i="55"/>
  <c r="AR196" i="55"/>
  <c r="S196" i="55" s="1"/>
  <c r="AH217" i="59"/>
  <c r="I217" i="59" s="1"/>
  <c r="H235" i="59"/>
  <c r="AN220" i="59"/>
  <c r="O220" i="59" s="1"/>
  <c r="N236" i="59"/>
  <c r="AT283" i="59"/>
  <c r="U283" i="59" s="1"/>
  <c r="T297" i="59"/>
  <c r="AN127" i="59"/>
  <c r="O127" i="59" s="1"/>
  <c r="N145" i="59"/>
  <c r="AL277" i="57"/>
  <c r="M277" i="57" s="1"/>
  <c r="L295" i="57"/>
  <c r="AN7" i="57"/>
  <c r="O7" i="57" s="1"/>
  <c r="N25" i="57"/>
  <c r="P176" i="57"/>
  <c r="AP160" i="57"/>
  <c r="Q160" i="57" s="1"/>
  <c r="AH13" i="55"/>
  <c r="I13" i="55" s="1"/>
  <c r="H27" i="55"/>
  <c r="AJ187" i="57"/>
  <c r="J205" i="57"/>
  <c r="AI209" i="57"/>
  <c r="AP46" i="53"/>
  <c r="Q46" i="53" s="1"/>
  <c r="P58" i="53"/>
  <c r="AD130" i="53"/>
  <c r="E130" i="53" s="1"/>
  <c r="D146" i="53"/>
  <c r="D208" i="53"/>
  <c r="AD196" i="53"/>
  <c r="E196" i="53" s="1"/>
  <c r="AR46" i="53"/>
  <c r="S46" i="53" s="1"/>
  <c r="R58" i="53"/>
  <c r="AJ223" i="53"/>
  <c r="K223" i="53" s="1"/>
  <c r="J237" i="53"/>
  <c r="AN70" i="53"/>
  <c r="O70" i="53" s="1"/>
  <c r="N86" i="53"/>
  <c r="AJ166" i="53"/>
  <c r="K166" i="53" s="1"/>
  <c r="J178" i="53"/>
  <c r="N296" i="53"/>
  <c r="AN280" i="53"/>
  <c r="O280" i="53" s="1"/>
  <c r="AD277" i="53"/>
  <c r="D295" i="53"/>
  <c r="D268" i="59"/>
  <c r="AD256" i="59"/>
  <c r="E256" i="59" s="1"/>
  <c r="AH196" i="59"/>
  <c r="I196" i="59" s="1"/>
  <c r="H208" i="59"/>
  <c r="AP133" i="59"/>
  <c r="Q133" i="59" s="1"/>
  <c r="P147" i="59"/>
  <c r="AL250" i="58"/>
  <c r="M250" i="58" s="1"/>
  <c r="L266" i="58"/>
  <c r="P298" i="58"/>
  <c r="AP286" i="58"/>
  <c r="Q286" i="58" s="1"/>
  <c r="H88" i="58"/>
  <c r="AH76" i="58"/>
  <c r="I76" i="58" s="1"/>
  <c r="AC119" i="58"/>
  <c r="D115" i="58"/>
  <c r="AD97" i="58"/>
  <c r="AD247" i="58"/>
  <c r="E247" i="58" s="1"/>
  <c r="D265" i="58"/>
  <c r="AN196" i="58"/>
  <c r="O196" i="58" s="1"/>
  <c r="N208" i="58"/>
  <c r="R58" i="58"/>
  <c r="AR46" i="58"/>
  <c r="S46" i="58" s="1"/>
  <c r="N28" i="58"/>
  <c r="AN16" i="58"/>
  <c r="O16" i="58" s="1"/>
  <c r="AP13" i="58"/>
  <c r="Q13" i="58" s="1"/>
  <c r="P27" i="58"/>
  <c r="AR283" i="59"/>
  <c r="S283" i="59" s="1"/>
  <c r="R297" i="59"/>
  <c r="AS119" i="59"/>
  <c r="AP46" i="55"/>
  <c r="Q46" i="55" s="1"/>
  <c r="P58" i="55"/>
  <c r="AT280" i="53"/>
  <c r="T296" i="53"/>
  <c r="J145" i="58"/>
  <c r="AJ127" i="58"/>
  <c r="K127" i="58" s="1"/>
  <c r="D116" i="58"/>
  <c r="AD100" i="58"/>
  <c r="E100" i="58" s="1"/>
  <c r="AF187" i="58"/>
  <c r="G187" i="58" s="1"/>
  <c r="H297" i="59"/>
  <c r="AK239" i="59"/>
  <c r="AL229" i="59" s="1"/>
  <c r="M229" i="59" s="1"/>
  <c r="AS299" i="53"/>
  <c r="L86" i="55"/>
  <c r="AL43" i="53"/>
  <c r="M43" i="53" s="1"/>
  <c r="AS89" i="59"/>
  <c r="T89" i="59" s="1"/>
  <c r="AP190" i="59"/>
  <c r="Q190" i="59" s="1"/>
  <c r="L85" i="52"/>
  <c r="AL67" i="52"/>
  <c r="M67" i="52" s="1"/>
  <c r="L235" i="55"/>
  <c r="AL217" i="55"/>
  <c r="M217" i="55" s="1"/>
  <c r="D26" i="55"/>
  <c r="AD10" i="55"/>
  <c r="E10" i="55" s="1"/>
  <c r="AD106" i="55"/>
  <c r="E106" i="55" s="1"/>
  <c r="D118" i="55"/>
  <c r="T208" i="55"/>
  <c r="AT196" i="55"/>
  <c r="U196" i="55" s="1"/>
  <c r="AJ133" i="55"/>
  <c r="K133" i="55" s="1"/>
  <c r="J147" i="55"/>
  <c r="AT127" i="59"/>
  <c r="U127" i="59" s="1"/>
  <c r="T145" i="59"/>
  <c r="AS149" i="59"/>
  <c r="AR277" i="59"/>
  <c r="S277" i="59" s="1"/>
  <c r="AQ299" i="59"/>
  <c r="R295" i="59"/>
  <c r="AJ160" i="57"/>
  <c r="K160" i="57" s="1"/>
  <c r="J176" i="57"/>
  <c r="R25" i="57"/>
  <c r="AQ29" i="57"/>
  <c r="AT10" i="57"/>
  <c r="U10" i="57" s="1"/>
  <c r="T26" i="57"/>
  <c r="AF223" i="55"/>
  <c r="G223" i="55" s="1"/>
  <c r="F237" i="55"/>
  <c r="N145" i="55"/>
  <c r="AM149" i="55"/>
  <c r="AH127" i="57"/>
  <c r="I127" i="57" s="1"/>
  <c r="H145" i="57"/>
  <c r="AG149" i="57"/>
  <c r="R56" i="53"/>
  <c r="AR40" i="53"/>
  <c r="T55" i="53"/>
  <c r="AT37" i="53"/>
  <c r="U37" i="53" s="1"/>
  <c r="AJ220" i="53"/>
  <c r="K220" i="53" s="1"/>
  <c r="J236" i="53"/>
  <c r="N266" i="53"/>
  <c r="AN250" i="53"/>
  <c r="O250" i="53" s="1"/>
  <c r="J117" i="53"/>
  <c r="AJ103" i="53"/>
  <c r="K103" i="53" s="1"/>
  <c r="D147" i="53"/>
  <c r="AD133" i="53"/>
  <c r="E133" i="53" s="1"/>
  <c r="AD106" i="53"/>
  <c r="E106" i="53" s="1"/>
  <c r="D118" i="53"/>
  <c r="AJ100" i="53"/>
  <c r="K100" i="53" s="1"/>
  <c r="J116" i="53"/>
  <c r="AL250" i="53"/>
  <c r="M250" i="53" s="1"/>
  <c r="L266" i="53"/>
  <c r="L265" i="59"/>
  <c r="AL247" i="59"/>
  <c r="M247" i="59" s="1"/>
  <c r="AD163" i="59"/>
  <c r="E163" i="59" s="1"/>
  <c r="D177" i="59"/>
  <c r="AP130" i="59"/>
  <c r="Q130" i="59" s="1"/>
  <c r="P146" i="59"/>
  <c r="AL253" i="58"/>
  <c r="M253" i="58" s="1"/>
  <c r="L267" i="58"/>
  <c r="R117" i="58"/>
  <c r="AR103" i="58"/>
  <c r="S103" i="58" s="1"/>
  <c r="AJ130" i="58"/>
  <c r="K130" i="58" s="1"/>
  <c r="J146" i="58"/>
  <c r="AH106" i="58"/>
  <c r="I106" i="58" s="1"/>
  <c r="H118" i="58"/>
  <c r="AN46" i="58"/>
  <c r="O46" i="58" s="1"/>
  <c r="N58" i="58"/>
  <c r="AP280" i="58"/>
  <c r="Q280" i="58" s="1"/>
  <c r="P296" i="58"/>
  <c r="AN247" i="58"/>
  <c r="O247" i="58" s="1"/>
  <c r="N265" i="58"/>
  <c r="AG209" i="53"/>
  <c r="AI239" i="53"/>
  <c r="T268" i="59"/>
  <c r="AT256" i="59"/>
  <c r="U256" i="59" s="1"/>
  <c r="AE59" i="58"/>
  <c r="AF49" i="58" s="1"/>
  <c r="G49" i="58" s="1"/>
  <c r="AF127" i="58"/>
  <c r="G127" i="58" s="1"/>
  <c r="AF193" i="52"/>
  <c r="G193" i="52" s="1"/>
  <c r="F56" i="58"/>
  <c r="F235" i="53"/>
  <c r="AE149" i="58"/>
  <c r="F149" i="58" s="1"/>
  <c r="R56" i="57"/>
  <c r="AJ7" i="52"/>
  <c r="K7" i="52" s="1"/>
  <c r="D25" i="52"/>
  <c r="AE209" i="57"/>
  <c r="F209" i="57" s="1"/>
  <c r="AF226" i="53"/>
  <c r="G226" i="53" s="1"/>
  <c r="AM269" i="52"/>
  <c r="AN259" i="52" s="1"/>
  <c r="AP103" i="52"/>
  <c r="Q103" i="52" s="1"/>
  <c r="P117" i="52"/>
  <c r="R59" i="52"/>
  <c r="AR49" i="52"/>
  <c r="S49" i="52" s="1"/>
  <c r="F265" i="53"/>
  <c r="AE29" i="57"/>
  <c r="F29" i="57" s="1"/>
  <c r="AE149" i="53"/>
  <c r="AF139" i="53" s="1"/>
  <c r="G139" i="53" s="1"/>
  <c r="AO209" i="58"/>
  <c r="AP199" i="58" s="1"/>
  <c r="R238" i="59"/>
  <c r="F88" i="55"/>
  <c r="AI29" i="52"/>
  <c r="J29" i="52" s="1"/>
  <c r="F87" i="52"/>
  <c r="AP100" i="52"/>
  <c r="Q100" i="52" s="1"/>
  <c r="P116" i="52"/>
  <c r="F205" i="57"/>
  <c r="AC89" i="57"/>
  <c r="D89" i="57" s="1"/>
  <c r="AQ269" i="57"/>
  <c r="R269" i="57" s="1"/>
  <c r="AE89" i="55"/>
  <c r="F89" i="55" s="1"/>
  <c r="AC29" i="52"/>
  <c r="AD19" i="52" s="1"/>
  <c r="AI269" i="52"/>
  <c r="AJ259" i="52" s="1"/>
  <c r="K259" i="52" s="1"/>
  <c r="AP97" i="52"/>
  <c r="P115" i="52"/>
  <c r="AO119" i="52"/>
  <c r="AE29" i="58"/>
  <c r="AF19" i="58" s="1"/>
  <c r="G19" i="58" s="1"/>
  <c r="AH7" i="58"/>
  <c r="I7" i="58" s="1"/>
  <c r="AH250" i="53"/>
  <c r="I250" i="53" s="1"/>
  <c r="H266" i="53"/>
  <c r="R85" i="52"/>
  <c r="AQ89" i="52"/>
  <c r="AR67" i="52"/>
  <c r="S67" i="52" s="1"/>
  <c r="AR13" i="52"/>
  <c r="S13" i="52" s="1"/>
  <c r="R27" i="52"/>
  <c r="AP289" i="59"/>
  <c r="P299" i="59"/>
  <c r="R25" i="52"/>
  <c r="AQ29" i="52"/>
  <c r="AR7" i="52"/>
  <c r="P267" i="52"/>
  <c r="AP253" i="52"/>
  <c r="Q253" i="52" s="1"/>
  <c r="L147" i="52"/>
  <c r="AL133" i="52"/>
  <c r="M133" i="52" s="1"/>
  <c r="AN160" i="52"/>
  <c r="O160" i="52" s="1"/>
  <c r="N176" i="52"/>
  <c r="P87" i="52"/>
  <c r="AP73" i="52"/>
  <c r="Q73" i="52" s="1"/>
  <c r="AF160" i="52"/>
  <c r="F176" i="52"/>
  <c r="AD223" i="52"/>
  <c r="E223" i="52" s="1"/>
  <c r="D237" i="52"/>
  <c r="P26" i="52"/>
  <c r="AP10" i="52"/>
  <c r="Q10" i="52" s="1"/>
  <c r="AT103" i="52"/>
  <c r="U103" i="52" s="1"/>
  <c r="T117" i="52"/>
  <c r="AL163" i="52"/>
  <c r="M163" i="52" s="1"/>
  <c r="L177" i="52"/>
  <c r="L175" i="52"/>
  <c r="AL157" i="52"/>
  <c r="M157" i="52" s="1"/>
  <c r="R27" i="58"/>
  <c r="AR13" i="58"/>
  <c r="S13" i="58" s="1"/>
  <c r="H176" i="58"/>
  <c r="AH160" i="58"/>
  <c r="I160" i="58" s="1"/>
  <c r="D296" i="58"/>
  <c r="AD280" i="58"/>
  <c r="P58" i="58"/>
  <c r="AP46" i="58"/>
  <c r="Q46" i="58" s="1"/>
  <c r="H27" i="58"/>
  <c r="AH13" i="58"/>
  <c r="I13" i="58" s="1"/>
  <c r="AN127" i="58"/>
  <c r="AM149" i="58"/>
  <c r="N145" i="58"/>
  <c r="AP67" i="58"/>
  <c r="Q67" i="58" s="1"/>
  <c r="AO89" i="58"/>
  <c r="P85" i="58"/>
  <c r="P146" i="52"/>
  <c r="AP130" i="52"/>
  <c r="Q130" i="52" s="1"/>
  <c r="AL133" i="58"/>
  <c r="M133" i="58" s="1"/>
  <c r="L147" i="58"/>
  <c r="AL193" i="52"/>
  <c r="M193" i="52" s="1"/>
  <c r="L207" i="52"/>
  <c r="H265" i="55"/>
  <c r="AH247" i="55"/>
  <c r="I247" i="55" s="1"/>
  <c r="R147" i="52"/>
  <c r="AR133" i="52"/>
  <c r="S133" i="52" s="1"/>
  <c r="AR10" i="52"/>
  <c r="S10" i="52" s="1"/>
  <c r="R26" i="52"/>
  <c r="AR193" i="52"/>
  <c r="S193" i="52" s="1"/>
  <c r="R207" i="52"/>
  <c r="N237" i="52"/>
  <c r="AN223" i="52"/>
  <c r="O223" i="52" s="1"/>
  <c r="AF70" i="52"/>
  <c r="G70" i="52" s="1"/>
  <c r="F86" i="52"/>
  <c r="P175" i="52"/>
  <c r="AP157" i="52"/>
  <c r="AO179" i="52"/>
  <c r="L115" i="52"/>
  <c r="AL97" i="52"/>
  <c r="M97" i="52" s="1"/>
  <c r="AR247" i="52"/>
  <c r="S247" i="52" s="1"/>
  <c r="AQ269" i="52"/>
  <c r="R265" i="52"/>
  <c r="AH97" i="52"/>
  <c r="I97" i="52" s="1"/>
  <c r="H115" i="52"/>
  <c r="AL166" i="52"/>
  <c r="M166" i="52" s="1"/>
  <c r="L178" i="52"/>
  <c r="AR160" i="52"/>
  <c r="S160" i="52" s="1"/>
  <c r="R176" i="52"/>
  <c r="J296" i="52"/>
  <c r="AJ280" i="52"/>
  <c r="K280" i="52" s="1"/>
  <c r="T205" i="52"/>
  <c r="AS209" i="52"/>
  <c r="AT187" i="52"/>
  <c r="U187" i="52" s="1"/>
  <c r="D236" i="52"/>
  <c r="AD220" i="52"/>
  <c r="E220" i="52" s="1"/>
  <c r="R268" i="52"/>
  <c r="AR256" i="52"/>
  <c r="S256" i="52" s="1"/>
  <c r="AO149" i="52"/>
  <c r="P145" i="52"/>
  <c r="N176" i="58"/>
  <c r="AN160" i="58"/>
  <c r="O160" i="58" s="1"/>
  <c r="AH226" i="58"/>
  <c r="I226" i="58" s="1"/>
  <c r="H238" i="58"/>
  <c r="AH250" i="58"/>
  <c r="I250" i="58" s="1"/>
  <c r="H266" i="58"/>
  <c r="AQ179" i="58"/>
  <c r="R175" i="58"/>
  <c r="AR157" i="58"/>
  <c r="S157" i="58" s="1"/>
  <c r="AN97" i="58"/>
  <c r="O97" i="58" s="1"/>
  <c r="N115" i="58"/>
  <c r="AM119" i="58"/>
  <c r="AF160" i="59"/>
  <c r="G160" i="59" s="1"/>
  <c r="F176" i="59"/>
  <c r="P88" i="58"/>
  <c r="AP76" i="58"/>
  <c r="Q76" i="58" s="1"/>
  <c r="AK179" i="52"/>
  <c r="L179" i="52" s="1"/>
  <c r="AP13" i="52"/>
  <c r="Q13" i="52" s="1"/>
  <c r="P27" i="52"/>
  <c r="F145" i="52"/>
  <c r="AF127" i="52"/>
  <c r="G127" i="52" s="1"/>
  <c r="AH253" i="55"/>
  <c r="I253" i="55" s="1"/>
  <c r="H267" i="55"/>
  <c r="D56" i="55"/>
  <c r="AD40" i="55"/>
  <c r="E40" i="55" s="1"/>
  <c r="AR136" i="52"/>
  <c r="S136" i="52" s="1"/>
  <c r="R148" i="52"/>
  <c r="AR16" i="52"/>
  <c r="S16" i="52" s="1"/>
  <c r="R28" i="52"/>
  <c r="R237" i="52"/>
  <c r="AR223" i="52"/>
  <c r="S223" i="52" s="1"/>
  <c r="F237" i="52"/>
  <c r="AF223" i="52"/>
  <c r="G223" i="52" s="1"/>
  <c r="AR163" i="52"/>
  <c r="S163" i="52" s="1"/>
  <c r="R177" i="52"/>
  <c r="P237" i="52"/>
  <c r="AP223" i="52"/>
  <c r="Q223" i="52" s="1"/>
  <c r="N58" i="52"/>
  <c r="AN46" i="52"/>
  <c r="O46" i="52" s="1"/>
  <c r="N177" i="52"/>
  <c r="AN163" i="52"/>
  <c r="O163" i="52" s="1"/>
  <c r="D205" i="52"/>
  <c r="AD187" i="52"/>
  <c r="E187" i="52" s="1"/>
  <c r="AF166" i="52"/>
  <c r="F178" i="52"/>
  <c r="AD133" i="52"/>
  <c r="E133" i="52" s="1"/>
  <c r="D147" i="52"/>
  <c r="AC269" i="52"/>
  <c r="AD247" i="52"/>
  <c r="D265" i="52"/>
  <c r="AJ157" i="52"/>
  <c r="J175" i="52"/>
  <c r="AI179" i="52"/>
  <c r="P57" i="58"/>
  <c r="AP43" i="58"/>
  <c r="Q43" i="58" s="1"/>
  <c r="AD283" i="58"/>
  <c r="E283" i="58" s="1"/>
  <c r="D297" i="58"/>
  <c r="T26" i="58"/>
  <c r="AT10" i="58"/>
  <c r="U10" i="58" s="1"/>
  <c r="AT226" i="58"/>
  <c r="U226" i="58" s="1"/>
  <c r="T238" i="58"/>
  <c r="H237" i="58"/>
  <c r="AH223" i="58"/>
  <c r="I223" i="58" s="1"/>
  <c r="L296" i="53"/>
  <c r="AL280" i="53"/>
  <c r="M280" i="53" s="1"/>
  <c r="F266" i="53"/>
  <c r="AE89" i="52"/>
  <c r="F89" i="52" s="1"/>
  <c r="AD43" i="52"/>
  <c r="E43" i="52" s="1"/>
  <c r="F55" i="57"/>
  <c r="AF37" i="57"/>
  <c r="AE59" i="57"/>
  <c r="D55" i="55"/>
  <c r="AD37" i="55"/>
  <c r="E37" i="55" s="1"/>
  <c r="AR130" i="52"/>
  <c r="S130" i="52" s="1"/>
  <c r="R146" i="52"/>
  <c r="AT43" i="52"/>
  <c r="U43" i="52" s="1"/>
  <c r="T57" i="52"/>
  <c r="AJ97" i="52"/>
  <c r="AI119" i="52"/>
  <c r="J115" i="52"/>
  <c r="AP220" i="52"/>
  <c r="Q220" i="52" s="1"/>
  <c r="P236" i="52"/>
  <c r="AT106" i="52"/>
  <c r="U106" i="52" s="1"/>
  <c r="T118" i="52"/>
  <c r="AH256" i="52"/>
  <c r="I256" i="52" s="1"/>
  <c r="H268" i="52"/>
  <c r="AN226" i="52"/>
  <c r="O226" i="52" s="1"/>
  <c r="N238" i="52"/>
  <c r="AP76" i="52"/>
  <c r="Q76" i="52" s="1"/>
  <c r="P88" i="52"/>
  <c r="AD13" i="52"/>
  <c r="E13" i="52" s="1"/>
  <c r="D27" i="52"/>
  <c r="AJ163" i="52"/>
  <c r="K163" i="52" s="1"/>
  <c r="J177" i="52"/>
  <c r="AN106" i="58"/>
  <c r="O106" i="58" s="1"/>
  <c r="N118" i="58"/>
  <c r="D235" i="58"/>
  <c r="AD217" i="58"/>
  <c r="H28" i="58"/>
  <c r="AH16" i="58"/>
  <c r="I16" i="58" s="1"/>
  <c r="AN100" i="58"/>
  <c r="O100" i="58" s="1"/>
  <c r="N116" i="58"/>
  <c r="AP40" i="58"/>
  <c r="Q40" i="58" s="1"/>
  <c r="P56" i="58"/>
  <c r="AG179" i="58"/>
  <c r="H175" i="58"/>
  <c r="AH157" i="58"/>
  <c r="I157" i="58" s="1"/>
  <c r="L295" i="53"/>
  <c r="AL277" i="53"/>
  <c r="M277" i="53" s="1"/>
  <c r="AP223" i="58"/>
  <c r="Q223" i="58" s="1"/>
  <c r="P237" i="58"/>
  <c r="AP70" i="58"/>
  <c r="Q70" i="58" s="1"/>
  <c r="P86" i="58"/>
  <c r="AD217" i="52"/>
  <c r="AD46" i="55"/>
  <c r="E46" i="55" s="1"/>
  <c r="AD100" i="52"/>
  <c r="D116" i="52"/>
  <c r="AH217" i="55"/>
  <c r="I217" i="55" s="1"/>
  <c r="H235" i="55"/>
  <c r="AT67" i="52"/>
  <c r="U67" i="52" s="1"/>
  <c r="AS89" i="52"/>
  <c r="T85" i="52"/>
  <c r="P235" i="52"/>
  <c r="AP217" i="52"/>
  <c r="AO239" i="52"/>
  <c r="D207" i="52"/>
  <c r="AD193" i="52"/>
  <c r="E193" i="52" s="1"/>
  <c r="D238" i="52"/>
  <c r="AD226" i="52"/>
  <c r="J178" i="52"/>
  <c r="AJ166" i="52"/>
  <c r="K166" i="52" s="1"/>
  <c r="AD40" i="52"/>
  <c r="E40" i="52" s="1"/>
  <c r="D56" i="52"/>
  <c r="R236" i="52"/>
  <c r="AR220" i="52"/>
  <c r="S220" i="52" s="1"/>
  <c r="AF46" i="52"/>
  <c r="G46" i="52" s="1"/>
  <c r="F58" i="52"/>
  <c r="F147" i="52"/>
  <c r="AF133" i="52"/>
  <c r="G133" i="52" s="1"/>
  <c r="AR190" i="52"/>
  <c r="R206" i="52"/>
  <c r="H28" i="52"/>
  <c r="AH16" i="52"/>
  <c r="I16" i="52" s="1"/>
  <c r="R295" i="52"/>
  <c r="AQ299" i="52"/>
  <c r="AR277" i="52"/>
  <c r="S277" i="52" s="1"/>
  <c r="L297" i="58"/>
  <c r="AL283" i="58"/>
  <c r="M283" i="58" s="1"/>
  <c r="F115" i="58"/>
  <c r="AF97" i="58"/>
  <c r="G97" i="58" s="1"/>
  <c r="J116" i="58"/>
  <c r="AJ100" i="58"/>
  <c r="K100" i="58" s="1"/>
  <c r="AF70" i="58"/>
  <c r="G70" i="58" s="1"/>
  <c r="F86" i="58"/>
  <c r="J25" i="58"/>
  <c r="AJ7" i="58"/>
  <c r="K7" i="58" s="1"/>
  <c r="AI29" i="58"/>
  <c r="L298" i="53"/>
  <c r="AL286" i="53"/>
  <c r="M286" i="53" s="1"/>
  <c r="AT73" i="59"/>
  <c r="U73" i="59" s="1"/>
  <c r="T87" i="59"/>
  <c r="AP37" i="58"/>
  <c r="AO59" i="58"/>
  <c r="P55" i="58"/>
  <c r="AH220" i="55"/>
  <c r="I220" i="55" s="1"/>
  <c r="H236" i="55"/>
  <c r="AD106" i="52"/>
  <c r="E106" i="52" s="1"/>
  <c r="D118" i="52"/>
  <c r="AP37" i="52"/>
  <c r="Q37" i="52" s="1"/>
  <c r="P55" i="52"/>
  <c r="AO59" i="52"/>
  <c r="L235" i="52"/>
  <c r="AL217" i="52"/>
  <c r="H118" i="52"/>
  <c r="AH106" i="52"/>
  <c r="I106" i="52" s="1"/>
  <c r="R86" i="52"/>
  <c r="AR70" i="52"/>
  <c r="S70" i="52" s="1"/>
  <c r="AL40" i="52"/>
  <c r="M40" i="52" s="1"/>
  <c r="L56" i="52"/>
  <c r="H146" i="52"/>
  <c r="AH130" i="52"/>
  <c r="I130" i="52" s="1"/>
  <c r="AP163" i="52"/>
  <c r="Q163" i="52" s="1"/>
  <c r="P177" i="52"/>
  <c r="P178" i="52"/>
  <c r="AP166" i="52"/>
  <c r="Q166" i="52" s="1"/>
  <c r="AJ277" i="52"/>
  <c r="J295" i="52"/>
  <c r="AI299" i="52"/>
  <c r="AT46" i="52"/>
  <c r="U46" i="52" s="1"/>
  <c r="T58" i="52"/>
  <c r="AH193" i="52"/>
  <c r="I193" i="52" s="1"/>
  <c r="H207" i="52"/>
  <c r="AD280" i="52"/>
  <c r="D296" i="52"/>
  <c r="AH253" i="58"/>
  <c r="I253" i="58" s="1"/>
  <c r="H267" i="58"/>
  <c r="T117" i="58"/>
  <c r="AT103" i="58"/>
  <c r="U103" i="58" s="1"/>
  <c r="T296" i="58"/>
  <c r="AT280" i="58"/>
  <c r="U280" i="58" s="1"/>
  <c r="L296" i="58"/>
  <c r="AL280" i="58"/>
  <c r="M280" i="58" s="1"/>
  <c r="J115" i="58"/>
  <c r="AJ97" i="58"/>
  <c r="K97" i="58" s="1"/>
  <c r="P266" i="58"/>
  <c r="AP250" i="58"/>
  <c r="Q250" i="58" s="1"/>
  <c r="AL283" i="53"/>
  <c r="M283" i="53" s="1"/>
  <c r="L297" i="53"/>
  <c r="T86" i="59"/>
  <c r="AT70" i="59"/>
  <c r="J57" i="58"/>
  <c r="AJ43" i="58"/>
  <c r="K43" i="58" s="1"/>
  <c r="J238" i="57"/>
  <c r="AJ226" i="57"/>
  <c r="K226" i="57" s="1"/>
  <c r="AM89" i="52"/>
  <c r="N85" i="52"/>
  <c r="AN67" i="52"/>
  <c r="AH127" i="52"/>
  <c r="I127" i="52" s="1"/>
  <c r="AQ149" i="52"/>
  <c r="AL187" i="59"/>
  <c r="M187" i="59" s="1"/>
  <c r="L205" i="59"/>
  <c r="AH226" i="55"/>
  <c r="I226" i="55" s="1"/>
  <c r="H238" i="55"/>
  <c r="AJ250" i="52"/>
  <c r="J266" i="52"/>
  <c r="AD103" i="52"/>
  <c r="E103" i="52" s="1"/>
  <c r="D117" i="52"/>
  <c r="AL196" i="52"/>
  <c r="M196" i="52" s="1"/>
  <c r="L208" i="52"/>
  <c r="AP46" i="52"/>
  <c r="Q46" i="52" s="1"/>
  <c r="P58" i="52"/>
  <c r="AT283" i="52"/>
  <c r="U283" i="52" s="1"/>
  <c r="T297" i="52"/>
  <c r="AF7" i="52"/>
  <c r="G7" i="52" s="1"/>
  <c r="F25" i="52"/>
  <c r="AT196" i="52"/>
  <c r="U196" i="52" s="1"/>
  <c r="T208" i="52"/>
  <c r="D266" i="52"/>
  <c r="AD250" i="52"/>
  <c r="E250" i="52" s="1"/>
  <c r="AF76" i="52"/>
  <c r="G76" i="52" s="1"/>
  <c r="F88" i="52"/>
  <c r="J26" i="52"/>
  <c r="AJ10" i="52"/>
  <c r="K10" i="52" s="1"/>
  <c r="T56" i="52"/>
  <c r="AT40" i="52"/>
  <c r="U40" i="52" s="1"/>
  <c r="AT70" i="52"/>
  <c r="U70" i="52" s="1"/>
  <c r="T86" i="52"/>
  <c r="AD196" i="52"/>
  <c r="E196" i="52" s="1"/>
  <c r="D208" i="52"/>
  <c r="AP160" i="52"/>
  <c r="Q160" i="52" s="1"/>
  <c r="P176" i="52"/>
  <c r="AC149" i="52"/>
  <c r="D145" i="52"/>
  <c r="AD127" i="52"/>
  <c r="E127" i="52" s="1"/>
  <c r="AD226" i="58"/>
  <c r="E226" i="58" s="1"/>
  <c r="D238" i="58"/>
  <c r="AF67" i="58"/>
  <c r="G67" i="58" s="1"/>
  <c r="F85" i="58"/>
  <c r="T237" i="58"/>
  <c r="AT223" i="58"/>
  <c r="U223" i="58" s="1"/>
  <c r="AR160" i="58"/>
  <c r="S160" i="58" s="1"/>
  <c r="R176" i="58"/>
  <c r="T298" i="58"/>
  <c r="AT286" i="58"/>
  <c r="U286" i="58" s="1"/>
  <c r="D207" i="58"/>
  <c r="AD193" i="58"/>
  <c r="E193" i="58" s="1"/>
  <c r="L298" i="58"/>
  <c r="AL286" i="58"/>
  <c r="M286" i="58" s="1"/>
  <c r="AP217" i="58"/>
  <c r="Q217" i="58" s="1"/>
  <c r="P235" i="58"/>
  <c r="AJ46" i="58"/>
  <c r="K46" i="58" s="1"/>
  <c r="J58" i="58"/>
  <c r="J237" i="57"/>
  <c r="AJ223" i="57"/>
  <c r="K223" i="57" s="1"/>
  <c r="AE299" i="57"/>
  <c r="F299" i="57" s="1"/>
  <c r="AF286" i="57"/>
  <c r="G286" i="57" s="1"/>
  <c r="AM59" i="58"/>
  <c r="N59" i="58" s="1"/>
  <c r="AD256" i="52"/>
  <c r="E256" i="52" s="1"/>
  <c r="D268" i="52"/>
  <c r="F57" i="57"/>
  <c r="AF43" i="57"/>
  <c r="G43" i="57" s="1"/>
  <c r="R118" i="55"/>
  <c r="AR106" i="55"/>
  <c r="S106" i="55" s="1"/>
  <c r="AD97" i="52"/>
  <c r="D115" i="52"/>
  <c r="AC119" i="52"/>
  <c r="AR196" i="52"/>
  <c r="S196" i="52" s="1"/>
  <c r="R208" i="52"/>
  <c r="AJ220" i="52"/>
  <c r="K220" i="52" s="1"/>
  <c r="J236" i="52"/>
  <c r="H86" i="52"/>
  <c r="AH70" i="52"/>
  <c r="I70" i="52" s="1"/>
  <c r="AP16" i="52"/>
  <c r="Q16" i="52" s="1"/>
  <c r="P28" i="52"/>
  <c r="AN277" i="52"/>
  <c r="N295" i="52"/>
  <c r="R115" i="52"/>
  <c r="AR97" i="52"/>
  <c r="AQ119" i="52"/>
  <c r="AH196" i="52"/>
  <c r="I196" i="52" s="1"/>
  <c r="H208" i="52"/>
  <c r="AH73" i="52"/>
  <c r="H87" i="52"/>
  <c r="N175" i="52"/>
  <c r="AN157" i="52"/>
  <c r="AM179" i="52"/>
  <c r="L25" i="52"/>
  <c r="AL7" i="52"/>
  <c r="AK29" i="52"/>
  <c r="AJ76" i="52"/>
  <c r="K76" i="52" s="1"/>
  <c r="J88" i="52"/>
  <c r="L146" i="52"/>
  <c r="AL130" i="52"/>
  <c r="M130" i="52" s="1"/>
  <c r="L146" i="58"/>
  <c r="AL130" i="58"/>
  <c r="J27" i="58"/>
  <c r="AJ13" i="58"/>
  <c r="K13" i="58" s="1"/>
  <c r="AD277" i="58"/>
  <c r="E277" i="58" s="1"/>
  <c r="AC299" i="58"/>
  <c r="D295" i="58"/>
  <c r="AD223" i="58"/>
  <c r="E223" i="58" s="1"/>
  <c r="D237" i="58"/>
  <c r="AJ106" i="58"/>
  <c r="K106" i="58" s="1"/>
  <c r="J118" i="58"/>
  <c r="R148" i="58"/>
  <c r="AR136" i="58"/>
  <c r="S136" i="58" s="1"/>
  <c r="R235" i="59"/>
  <c r="AQ239" i="59"/>
  <c r="AR217" i="59"/>
  <c r="S217" i="59" s="1"/>
  <c r="T85" i="59"/>
  <c r="AT67" i="59"/>
  <c r="U67" i="59" s="1"/>
  <c r="AP220" i="58"/>
  <c r="Q220" i="58" s="1"/>
  <c r="P236" i="58"/>
  <c r="AJ37" i="58"/>
  <c r="K37" i="58" s="1"/>
  <c r="J55" i="58"/>
  <c r="AI59" i="58"/>
  <c r="AJ220" i="57"/>
  <c r="K220" i="57" s="1"/>
  <c r="J236" i="57"/>
  <c r="AQ209" i="52"/>
  <c r="AN43" i="58"/>
  <c r="O43" i="58" s="1"/>
  <c r="AR73" i="52"/>
  <c r="S73" i="52" s="1"/>
  <c r="R87" i="52"/>
  <c r="H295" i="52"/>
  <c r="AH277" i="52"/>
  <c r="AF46" i="57"/>
  <c r="G46" i="57" s="1"/>
  <c r="F58" i="57"/>
  <c r="AR100" i="55"/>
  <c r="S100" i="55" s="1"/>
  <c r="R116" i="55"/>
  <c r="AJ256" i="52"/>
  <c r="K256" i="52" s="1"/>
  <c r="J268" i="52"/>
  <c r="T116" i="52"/>
  <c r="AT100" i="52"/>
  <c r="U100" i="52" s="1"/>
  <c r="R117" i="52"/>
  <c r="AR103" i="52"/>
  <c r="S103" i="52" s="1"/>
  <c r="AD16" i="52"/>
  <c r="E16" i="52" s="1"/>
  <c r="D28" i="52"/>
  <c r="AF190" i="52"/>
  <c r="G190" i="52" s="1"/>
  <c r="F206" i="52"/>
  <c r="H25" i="52"/>
  <c r="AH7" i="52"/>
  <c r="I7" i="52" s="1"/>
  <c r="AS59" i="52"/>
  <c r="T55" i="52"/>
  <c r="AT37" i="52"/>
  <c r="N178" i="52"/>
  <c r="AN166" i="52"/>
  <c r="O166" i="52" s="1"/>
  <c r="D267" i="52"/>
  <c r="AD253" i="52"/>
  <c r="E253" i="52" s="1"/>
  <c r="AO89" i="52"/>
  <c r="AP67" i="52"/>
  <c r="P85" i="52"/>
  <c r="N55" i="52"/>
  <c r="AM59" i="52"/>
  <c r="AN37" i="52"/>
  <c r="O37" i="52" s="1"/>
  <c r="AR283" i="52"/>
  <c r="S283" i="52" s="1"/>
  <c r="R297" i="52"/>
  <c r="N177" i="58"/>
  <c r="AN163" i="58"/>
  <c r="O163" i="58" s="1"/>
  <c r="P208" i="58"/>
  <c r="AP196" i="58"/>
  <c r="Q196" i="58" s="1"/>
  <c r="R178" i="58"/>
  <c r="AR166" i="58"/>
  <c r="S166" i="58" s="1"/>
  <c r="N178" i="58"/>
  <c r="AN166" i="58"/>
  <c r="O166" i="58" s="1"/>
  <c r="AF46" i="58"/>
  <c r="G46" i="58" s="1"/>
  <c r="F58" i="58"/>
  <c r="AD256" i="58"/>
  <c r="D268" i="58"/>
  <c r="AP253" i="58"/>
  <c r="Q253" i="58" s="1"/>
  <c r="P267" i="58"/>
  <c r="J235" i="57"/>
  <c r="AJ217" i="57"/>
  <c r="AI239" i="57"/>
  <c r="AI179" i="58"/>
  <c r="AF226" i="52"/>
  <c r="G226" i="52" s="1"/>
  <c r="F238" i="52"/>
  <c r="N56" i="59"/>
  <c r="AN40" i="59"/>
  <c r="O40" i="59" s="1"/>
  <c r="AJ253" i="52"/>
  <c r="K253" i="52" s="1"/>
  <c r="J267" i="52"/>
  <c r="AQ179" i="52"/>
  <c r="R175" i="52"/>
  <c r="AR157" i="52"/>
  <c r="S157" i="52" s="1"/>
  <c r="L57" i="52"/>
  <c r="AL43" i="52"/>
  <c r="M43" i="52" s="1"/>
  <c r="AD130" i="52"/>
  <c r="E130" i="52" s="1"/>
  <c r="D146" i="52"/>
  <c r="R266" i="52"/>
  <c r="AR250" i="52"/>
  <c r="S250" i="52" s="1"/>
  <c r="P148" i="52"/>
  <c r="AP136" i="52"/>
  <c r="Q136" i="52" s="1"/>
  <c r="H298" i="52"/>
  <c r="AH286" i="52"/>
  <c r="I286" i="52" s="1"/>
  <c r="F235" i="52"/>
  <c r="AF217" i="52"/>
  <c r="G217" i="52" s="1"/>
  <c r="T296" i="52"/>
  <c r="AT280" i="52"/>
  <c r="U280" i="52" s="1"/>
  <c r="AK209" i="52"/>
  <c r="L205" i="52"/>
  <c r="AL187" i="52"/>
  <c r="F298" i="52"/>
  <c r="AF286" i="52"/>
  <c r="G286" i="52" s="1"/>
  <c r="AJ13" i="52"/>
  <c r="K13" i="52" s="1"/>
  <c r="J27" i="52"/>
  <c r="AR163" i="58"/>
  <c r="S163" i="58" s="1"/>
  <c r="R177" i="58"/>
  <c r="AI119" i="58"/>
  <c r="AJ103" i="58"/>
  <c r="K103" i="58" s="1"/>
  <c r="L85" i="58"/>
  <c r="AL67" i="58"/>
  <c r="M67" i="58" s="1"/>
  <c r="J28" i="58"/>
  <c r="AJ16" i="58"/>
  <c r="K16" i="58" s="1"/>
  <c r="AT97" i="58"/>
  <c r="T115" i="58"/>
  <c r="AS119" i="58"/>
  <c r="AT220" i="58"/>
  <c r="U220" i="58" s="1"/>
  <c r="T236" i="58"/>
  <c r="L148" i="58"/>
  <c r="AL136" i="58"/>
  <c r="M136" i="58" s="1"/>
  <c r="AJ190" i="58"/>
  <c r="K190" i="58" s="1"/>
  <c r="J206" i="58"/>
  <c r="AJ40" i="58"/>
  <c r="K40" i="58" s="1"/>
  <c r="J56" i="58"/>
  <c r="AR100" i="57"/>
  <c r="S100" i="57" s="1"/>
  <c r="R116" i="57"/>
  <c r="AK119" i="52"/>
  <c r="F56" i="57"/>
  <c r="AF40" i="57"/>
  <c r="G40" i="57" s="1"/>
  <c r="AR97" i="55"/>
  <c r="AQ119" i="55"/>
  <c r="R115" i="55"/>
  <c r="AH40" i="52"/>
  <c r="I40" i="52" s="1"/>
  <c r="H56" i="52"/>
  <c r="H88" i="52"/>
  <c r="AH76" i="52"/>
  <c r="I76" i="52" s="1"/>
  <c r="H26" i="52"/>
  <c r="AH10" i="52"/>
  <c r="I10" i="52" s="1"/>
  <c r="J238" i="52"/>
  <c r="AJ226" i="52"/>
  <c r="K226" i="52" s="1"/>
  <c r="AD136" i="52"/>
  <c r="E136" i="52" s="1"/>
  <c r="D148" i="52"/>
  <c r="AN286" i="52"/>
  <c r="O286" i="52" s="1"/>
  <c r="N298" i="52"/>
  <c r="AP133" i="52"/>
  <c r="Q133" i="52" s="1"/>
  <c r="P147" i="52"/>
  <c r="AH100" i="52"/>
  <c r="I100" i="52" s="1"/>
  <c r="H116" i="52"/>
  <c r="P266" i="52"/>
  <c r="AP250" i="52"/>
  <c r="Q250" i="52" s="1"/>
  <c r="AR253" i="52"/>
  <c r="S253" i="52" s="1"/>
  <c r="R267" i="52"/>
  <c r="AC299" i="52"/>
  <c r="D295" i="52"/>
  <c r="AD277" i="52"/>
  <c r="L116" i="52"/>
  <c r="AL100" i="52"/>
  <c r="M100" i="52" s="1"/>
  <c r="P265" i="52"/>
  <c r="AP247" i="52"/>
  <c r="Q247" i="52" s="1"/>
  <c r="AO269" i="52"/>
  <c r="AJ70" i="52"/>
  <c r="K70" i="52" s="1"/>
  <c r="J86" i="52"/>
  <c r="AL277" i="58"/>
  <c r="AK299" i="58"/>
  <c r="L295" i="58"/>
  <c r="T25" i="58"/>
  <c r="AS29" i="58"/>
  <c r="AT7" i="58"/>
  <c r="AT13" i="58"/>
  <c r="U13" i="58" s="1"/>
  <c r="T27" i="58"/>
  <c r="D267" i="58"/>
  <c r="AD253" i="58"/>
  <c r="R28" i="58"/>
  <c r="AR16" i="58"/>
  <c r="S16" i="58" s="1"/>
  <c r="AD187" i="58"/>
  <c r="D205" i="58"/>
  <c r="AC209" i="58"/>
  <c r="AN37" i="58"/>
  <c r="O37" i="58" s="1"/>
  <c r="N55" i="58"/>
  <c r="AK209" i="59"/>
  <c r="AL190" i="59"/>
  <c r="M190" i="59" s="1"/>
  <c r="L206" i="59"/>
  <c r="AJ196" i="58"/>
  <c r="K196" i="58" s="1"/>
  <c r="J208" i="58"/>
  <c r="R118" i="57"/>
  <c r="AR106" i="57"/>
  <c r="S106" i="57" s="1"/>
  <c r="AO269" i="58"/>
  <c r="AJ160" i="58"/>
  <c r="K160" i="58" s="1"/>
  <c r="AR166" i="52"/>
  <c r="S166" i="52" s="1"/>
  <c r="R178" i="52"/>
  <c r="R117" i="55"/>
  <c r="AR103" i="55"/>
  <c r="S103" i="55" s="1"/>
  <c r="H57" i="52"/>
  <c r="AH43" i="52"/>
  <c r="I43" i="52" s="1"/>
  <c r="AT73" i="52"/>
  <c r="U73" i="52" s="1"/>
  <c r="T87" i="52"/>
  <c r="AC209" i="52"/>
  <c r="AL223" i="52"/>
  <c r="M223" i="52" s="1"/>
  <c r="L237" i="52"/>
  <c r="AL160" i="52"/>
  <c r="M160" i="52" s="1"/>
  <c r="L176" i="52"/>
  <c r="L55" i="52"/>
  <c r="AL37" i="52"/>
  <c r="M37" i="52" s="1"/>
  <c r="J28" i="52"/>
  <c r="AJ16" i="52"/>
  <c r="K16" i="52" s="1"/>
  <c r="N116" i="52"/>
  <c r="AN100" i="52"/>
  <c r="O100" i="52" s="1"/>
  <c r="D58" i="52"/>
  <c r="AD46" i="52"/>
  <c r="E46" i="52" s="1"/>
  <c r="AT286" i="52"/>
  <c r="U286" i="52" s="1"/>
  <c r="T298" i="52"/>
  <c r="AL190" i="52"/>
  <c r="M190" i="52" s="1"/>
  <c r="L206" i="52"/>
  <c r="AN73" i="52"/>
  <c r="O73" i="52" s="1"/>
  <c r="N87" i="52"/>
  <c r="N147" i="58"/>
  <c r="AN133" i="58"/>
  <c r="O133" i="58" s="1"/>
  <c r="H26" i="58"/>
  <c r="AH10" i="58"/>
  <c r="I10" i="58" s="1"/>
  <c r="R25" i="58"/>
  <c r="AQ29" i="58"/>
  <c r="AT16" i="58"/>
  <c r="U16" i="58" s="1"/>
  <c r="T28" i="58"/>
  <c r="P207" i="58"/>
  <c r="AP193" i="58"/>
  <c r="Q193" i="58" s="1"/>
  <c r="AN130" i="58"/>
  <c r="O130" i="58" s="1"/>
  <c r="N146" i="58"/>
  <c r="AD10" i="58"/>
  <c r="E10" i="58" s="1"/>
  <c r="D26" i="58"/>
  <c r="R115" i="57"/>
  <c r="AR97" i="57"/>
  <c r="S97" i="57" s="1"/>
  <c r="AQ119" i="57"/>
  <c r="AN43" i="52"/>
  <c r="O43" i="52" s="1"/>
  <c r="N57" i="52"/>
  <c r="AN286" i="55"/>
  <c r="O286" i="55" s="1"/>
  <c r="N298" i="55"/>
  <c r="N207" i="52"/>
  <c r="AN193" i="52"/>
  <c r="O193" i="52" s="1"/>
  <c r="AN250" i="52"/>
  <c r="O250" i="52" s="1"/>
  <c r="N266" i="52"/>
  <c r="AD37" i="52"/>
  <c r="AC59" i="52"/>
  <c r="D55" i="52"/>
  <c r="AK239" i="52"/>
  <c r="L145" i="52"/>
  <c r="AK149" i="52"/>
  <c r="AL127" i="52"/>
  <c r="P238" i="52"/>
  <c r="AP226" i="52"/>
  <c r="Q226" i="52" s="1"/>
  <c r="AL136" i="52"/>
  <c r="M136" i="52" s="1"/>
  <c r="L148" i="52"/>
  <c r="D297" i="52"/>
  <c r="AD283" i="52"/>
  <c r="E283" i="52" s="1"/>
  <c r="P268" i="52"/>
  <c r="AP256" i="52"/>
  <c r="Q256" i="52" s="1"/>
  <c r="R235" i="52"/>
  <c r="AR217" i="52"/>
  <c r="AQ239" i="52"/>
  <c r="AR286" i="52"/>
  <c r="S286" i="52" s="1"/>
  <c r="R298" i="52"/>
  <c r="AJ67" i="52"/>
  <c r="J85" i="52"/>
  <c r="AI89" i="52"/>
  <c r="N175" i="58"/>
  <c r="AN157" i="58"/>
  <c r="AM179" i="58"/>
  <c r="AL127" i="58"/>
  <c r="L145" i="58"/>
  <c r="AK149" i="58"/>
  <c r="AR127" i="58"/>
  <c r="S127" i="58" s="1"/>
  <c r="R145" i="58"/>
  <c r="AQ149" i="58"/>
  <c r="D266" i="58"/>
  <c r="AD250" i="58"/>
  <c r="AC269" i="58"/>
  <c r="D208" i="58"/>
  <c r="AD196" i="58"/>
  <c r="E196" i="58" s="1"/>
  <c r="AJ10" i="58"/>
  <c r="K10" i="58" s="1"/>
  <c r="J26" i="58"/>
  <c r="AH256" i="53"/>
  <c r="I256" i="53" s="1"/>
  <c r="H268" i="53"/>
  <c r="AN46" i="59"/>
  <c r="O46" i="59" s="1"/>
  <c r="N58" i="59"/>
  <c r="J207" i="58"/>
  <c r="AJ193" i="58"/>
  <c r="K193" i="58" s="1"/>
  <c r="AP127" i="52"/>
  <c r="Q127" i="52" s="1"/>
  <c r="L118" i="52"/>
  <c r="AL106" i="52"/>
  <c r="M106" i="52" s="1"/>
  <c r="R26" i="58"/>
  <c r="AR10" i="58"/>
  <c r="S10" i="58" s="1"/>
  <c r="N55" i="59"/>
  <c r="AN37" i="59"/>
  <c r="O37" i="59" s="1"/>
  <c r="AM59" i="59"/>
  <c r="L87" i="55"/>
  <c r="AL73" i="55"/>
  <c r="M73" i="55" s="1"/>
  <c r="N205" i="52"/>
  <c r="AN187" i="52"/>
  <c r="O187" i="52" s="1"/>
  <c r="H206" i="52"/>
  <c r="AH190" i="52"/>
  <c r="I190" i="52" s="1"/>
  <c r="AP43" i="52"/>
  <c r="Q43" i="52" s="1"/>
  <c r="P57" i="52"/>
  <c r="N267" i="52"/>
  <c r="AN253" i="52"/>
  <c r="O253" i="52" s="1"/>
  <c r="AH187" i="52"/>
  <c r="I187" i="52" s="1"/>
  <c r="AG209" i="52"/>
  <c r="H205" i="52"/>
  <c r="AN97" i="52"/>
  <c r="AM119" i="52"/>
  <c r="N115" i="52"/>
  <c r="AN16" i="52"/>
  <c r="O16" i="52" s="1"/>
  <c r="N28" i="52"/>
  <c r="AT97" i="52"/>
  <c r="U97" i="52" s="1"/>
  <c r="T115" i="52"/>
  <c r="AS119" i="52"/>
  <c r="AL16" i="52"/>
  <c r="M16" i="52" s="1"/>
  <c r="L28" i="52"/>
  <c r="L236" i="52"/>
  <c r="AL220" i="52"/>
  <c r="M220" i="52" s="1"/>
  <c r="AP7" i="52"/>
  <c r="Q7" i="52" s="1"/>
  <c r="AO29" i="52"/>
  <c r="P25" i="52"/>
  <c r="N117" i="52"/>
  <c r="AN103" i="52"/>
  <c r="O103" i="52" s="1"/>
  <c r="H297" i="52"/>
  <c r="AH283" i="52"/>
  <c r="I283" i="52" s="1"/>
  <c r="AH220" i="58"/>
  <c r="I220" i="58" s="1"/>
  <c r="H236" i="58"/>
  <c r="N56" i="58"/>
  <c r="AN40" i="58"/>
  <c r="O40" i="58" s="1"/>
  <c r="AH217" i="58"/>
  <c r="AG239" i="58"/>
  <c r="H235" i="58"/>
  <c r="AH256" i="58"/>
  <c r="I256" i="58" s="1"/>
  <c r="H268" i="58"/>
  <c r="F117" i="58"/>
  <c r="AF103" i="58"/>
  <c r="G103" i="58" s="1"/>
  <c r="AJ163" i="58"/>
  <c r="K163" i="58" s="1"/>
  <c r="J177" i="58"/>
  <c r="AH247" i="53"/>
  <c r="AG269" i="53"/>
  <c r="H265" i="53"/>
  <c r="AL193" i="59"/>
  <c r="M193" i="59" s="1"/>
  <c r="L207" i="59"/>
  <c r="AD13" i="58"/>
  <c r="E13" i="58" s="1"/>
  <c r="D27" i="58"/>
  <c r="AR103" i="57"/>
  <c r="S103" i="57" s="1"/>
  <c r="R117" i="57"/>
  <c r="R237" i="59"/>
  <c r="AR223" i="59"/>
  <c r="S223" i="59" s="1"/>
  <c r="AP187" i="58"/>
  <c r="Q187" i="58" s="1"/>
  <c r="P205" i="58"/>
  <c r="AS239" i="58"/>
  <c r="T235" i="58"/>
  <c r="AT217" i="58"/>
  <c r="U217" i="58" s="1"/>
  <c r="AL103" i="52"/>
  <c r="M103" i="52" s="1"/>
  <c r="L117" i="52"/>
  <c r="AM299" i="55"/>
  <c r="N295" i="55"/>
  <c r="AN277" i="55"/>
  <c r="L85" i="55"/>
  <c r="AL67" i="55"/>
  <c r="M67" i="55" s="1"/>
  <c r="N297" i="52"/>
  <c r="AN283" i="52"/>
  <c r="O283" i="52" s="1"/>
  <c r="T207" i="52"/>
  <c r="AT193" i="52"/>
  <c r="U193" i="52" s="1"/>
  <c r="N88" i="52"/>
  <c r="AN76" i="52"/>
  <c r="O76" i="52" s="1"/>
  <c r="J297" i="52"/>
  <c r="AJ283" i="52"/>
  <c r="K283" i="52" s="1"/>
  <c r="AD286" i="52"/>
  <c r="D298" i="52"/>
  <c r="T177" i="52"/>
  <c r="AT163" i="52"/>
  <c r="U163" i="52" s="1"/>
  <c r="AJ100" i="52"/>
  <c r="K100" i="52" s="1"/>
  <c r="J116" i="52"/>
  <c r="AT166" i="52"/>
  <c r="U166" i="52" s="1"/>
  <c r="T178" i="52"/>
  <c r="AN220" i="52"/>
  <c r="O220" i="52" s="1"/>
  <c r="N236" i="52"/>
  <c r="H296" i="52"/>
  <c r="AH280" i="52"/>
  <c r="I280" i="52" s="1"/>
  <c r="T88" i="52"/>
  <c r="AT76" i="52"/>
  <c r="U76" i="52" s="1"/>
  <c r="AK59" i="52"/>
  <c r="AH166" i="58"/>
  <c r="I166" i="58" s="1"/>
  <c r="H178" i="58"/>
  <c r="D206" i="58"/>
  <c r="AD190" i="58"/>
  <c r="E190" i="58" s="1"/>
  <c r="AL70" i="58"/>
  <c r="M70" i="58" s="1"/>
  <c r="L86" i="58"/>
  <c r="H265" i="58"/>
  <c r="AH247" i="58"/>
  <c r="AG269" i="58"/>
  <c r="AR130" i="58"/>
  <c r="S130" i="58" s="1"/>
  <c r="R146" i="58"/>
  <c r="J175" i="58"/>
  <c r="AJ157" i="58"/>
  <c r="K157" i="58" s="1"/>
  <c r="T295" i="58"/>
  <c r="AS299" i="58"/>
  <c r="AT277" i="58"/>
  <c r="AH253" i="53"/>
  <c r="I253" i="53" s="1"/>
  <c r="H267" i="53"/>
  <c r="AJ187" i="58"/>
  <c r="J205" i="58"/>
  <c r="AI209" i="58"/>
  <c r="D28" i="58"/>
  <c r="AD16" i="58"/>
  <c r="E16" i="58" s="1"/>
  <c r="AT160" i="52"/>
  <c r="U160" i="52" s="1"/>
  <c r="T176" i="52"/>
  <c r="J298" i="52"/>
  <c r="AJ286" i="52"/>
  <c r="K286" i="52" s="1"/>
  <c r="T297" i="58"/>
  <c r="AT283" i="58"/>
  <c r="U283" i="58" s="1"/>
  <c r="AN280" i="55"/>
  <c r="O280" i="55" s="1"/>
  <c r="N296" i="55"/>
  <c r="N25" i="52"/>
  <c r="AN7" i="52"/>
  <c r="O7" i="52" s="1"/>
  <c r="AP40" i="52"/>
  <c r="Q40" i="52" s="1"/>
  <c r="P56" i="52"/>
  <c r="R118" i="52"/>
  <c r="AR106" i="52"/>
  <c r="S106" i="52" s="1"/>
  <c r="AN106" i="52"/>
  <c r="O106" i="52" s="1"/>
  <c r="N118" i="52"/>
  <c r="AN247" i="52"/>
  <c r="O247" i="52" s="1"/>
  <c r="N265" i="52"/>
  <c r="AN70" i="52"/>
  <c r="O70" i="52" s="1"/>
  <c r="N86" i="52"/>
  <c r="N26" i="52"/>
  <c r="AN10" i="52"/>
  <c r="O10" i="52" s="1"/>
  <c r="T295" i="52"/>
  <c r="AT277" i="52"/>
  <c r="U277" i="52" s="1"/>
  <c r="AS299" i="52"/>
  <c r="AR226" i="52"/>
  <c r="S226" i="52" s="1"/>
  <c r="R238" i="52"/>
  <c r="L26" i="52"/>
  <c r="AL10" i="52"/>
  <c r="M10" i="52" s="1"/>
  <c r="AH250" i="52"/>
  <c r="I250" i="52" s="1"/>
  <c r="H266" i="52"/>
  <c r="R116" i="52"/>
  <c r="AR100" i="52"/>
  <c r="S100" i="52" s="1"/>
  <c r="T118" i="58"/>
  <c r="AT106" i="58"/>
  <c r="U106" i="58" s="1"/>
  <c r="AF133" i="58"/>
  <c r="G133" i="58" s="1"/>
  <c r="F147" i="58"/>
  <c r="AR133" i="58"/>
  <c r="S133" i="58" s="1"/>
  <c r="R147" i="58"/>
  <c r="AN136" i="58"/>
  <c r="O136" i="58" s="1"/>
  <c r="N148" i="58"/>
  <c r="AL73" i="58"/>
  <c r="M73" i="58" s="1"/>
  <c r="L87" i="58"/>
  <c r="F116" i="58"/>
  <c r="AF100" i="58"/>
  <c r="L28" i="59"/>
  <c r="AL16" i="59"/>
  <c r="M16" i="59" s="1"/>
  <c r="AC29" i="58"/>
  <c r="AD7" i="58"/>
  <c r="D25" i="58"/>
  <c r="AF13" i="58"/>
  <c r="G13" i="58" s="1"/>
  <c r="AF67" i="55"/>
  <c r="G67" i="55" s="1"/>
  <c r="F85" i="55"/>
  <c r="AE59" i="53"/>
  <c r="F59" i="53" s="1"/>
  <c r="AE239" i="53"/>
  <c r="F239" i="53" s="1"/>
  <c r="AS59" i="57"/>
  <c r="T59" i="57" s="1"/>
  <c r="AG59" i="53"/>
  <c r="AH49" i="53" s="1"/>
  <c r="AN277" i="57"/>
  <c r="O277" i="57" s="1"/>
  <c r="AM299" i="57"/>
  <c r="N299" i="57" s="1"/>
  <c r="AO299" i="57"/>
  <c r="AP289" i="57" s="1"/>
  <c r="Q289" i="57" s="1"/>
  <c r="Q169" i="53"/>
  <c r="AP170" i="53"/>
  <c r="Q170" i="53" s="1"/>
  <c r="AF170" i="58"/>
  <c r="G170" i="58" s="1"/>
  <c r="AE269" i="53"/>
  <c r="F269" i="53" s="1"/>
  <c r="AF73" i="55"/>
  <c r="G73" i="55" s="1"/>
  <c r="F87" i="55"/>
  <c r="F268" i="53"/>
  <c r="Q196" i="55"/>
  <c r="AE59" i="55"/>
  <c r="AF49" i="55" s="1"/>
  <c r="G49" i="55" s="1"/>
  <c r="F55" i="55"/>
  <c r="AK89" i="57"/>
  <c r="L89" i="57" s="1"/>
  <c r="AN260" i="59"/>
  <c r="O260" i="59" s="1"/>
  <c r="T146" i="52"/>
  <c r="AF43" i="55"/>
  <c r="G43" i="55" s="1"/>
  <c r="AL73" i="57"/>
  <c r="M73" i="57" s="1"/>
  <c r="D25" i="53"/>
  <c r="AC29" i="53"/>
  <c r="AD7" i="53"/>
  <c r="AR217" i="58"/>
  <c r="R235" i="58"/>
  <c r="J56" i="57"/>
  <c r="AJ40" i="57"/>
  <c r="K40" i="57" s="1"/>
  <c r="D28" i="53"/>
  <c r="AD16" i="53"/>
  <c r="J298" i="53"/>
  <c r="AJ286" i="53"/>
  <c r="N207" i="59"/>
  <c r="AN193" i="59"/>
  <c r="O193" i="59" s="1"/>
  <c r="AD160" i="58"/>
  <c r="D176" i="58"/>
  <c r="AT247" i="57"/>
  <c r="AS269" i="57"/>
  <c r="T265" i="57"/>
  <c r="T116" i="57"/>
  <c r="AT100" i="57"/>
  <c r="U100" i="57" s="1"/>
  <c r="N88" i="55"/>
  <c r="AN76" i="55"/>
  <c r="O76" i="55" s="1"/>
  <c r="AP187" i="52"/>
  <c r="P205" i="52"/>
  <c r="AO209" i="52"/>
  <c r="J58" i="52"/>
  <c r="AJ46" i="52"/>
  <c r="K46" i="52" s="1"/>
  <c r="H238" i="57"/>
  <c r="AH226" i="57"/>
  <c r="I226" i="57" s="1"/>
  <c r="H116" i="57"/>
  <c r="AH100" i="57"/>
  <c r="J55" i="57"/>
  <c r="AJ37" i="57"/>
  <c r="AI59" i="57"/>
  <c r="AT73" i="57"/>
  <c r="U73" i="57" s="1"/>
  <c r="T87" i="57"/>
  <c r="AD157" i="57"/>
  <c r="AC179" i="57"/>
  <c r="D175" i="57"/>
  <c r="L145" i="57"/>
  <c r="AL127" i="57"/>
  <c r="AK149" i="57"/>
  <c r="R176" i="57"/>
  <c r="AR160" i="57"/>
  <c r="S160" i="57" s="1"/>
  <c r="AP187" i="53"/>
  <c r="P205" i="53"/>
  <c r="AO209" i="53"/>
  <c r="AD166" i="53"/>
  <c r="D178" i="53"/>
  <c r="J57" i="52"/>
  <c r="AJ43" i="52"/>
  <c r="K43" i="52" s="1"/>
  <c r="AP133" i="57"/>
  <c r="Q133" i="57" s="1"/>
  <c r="P147" i="57"/>
  <c r="AR157" i="57"/>
  <c r="S157" i="57" s="1"/>
  <c r="AQ179" i="57"/>
  <c r="R175" i="57"/>
  <c r="AP187" i="57"/>
  <c r="Q187" i="57" s="1"/>
  <c r="P205" i="57"/>
  <c r="AH97" i="57"/>
  <c r="AG119" i="57"/>
  <c r="H115" i="57"/>
  <c r="L118" i="57"/>
  <c r="AL106" i="57"/>
  <c r="M106" i="57" s="1"/>
  <c r="L28" i="57"/>
  <c r="AL16" i="57"/>
  <c r="M16" i="57" s="1"/>
  <c r="D177" i="53"/>
  <c r="AD163" i="53"/>
  <c r="AL250" i="52"/>
  <c r="L266" i="52"/>
  <c r="F147" i="53"/>
  <c r="AF133" i="53"/>
  <c r="G133" i="53" s="1"/>
  <c r="AP196" i="52"/>
  <c r="Q196" i="52" s="1"/>
  <c r="P208" i="52"/>
  <c r="P117" i="53"/>
  <c r="AP103" i="53"/>
  <c r="Q103" i="53" s="1"/>
  <c r="J296" i="53"/>
  <c r="AJ280" i="53"/>
  <c r="K280" i="53" s="1"/>
  <c r="N205" i="59"/>
  <c r="AM209" i="59"/>
  <c r="AD166" i="58"/>
  <c r="E166" i="58" s="1"/>
  <c r="D178" i="58"/>
  <c r="T268" i="57"/>
  <c r="AT256" i="57"/>
  <c r="U256" i="57" s="1"/>
  <c r="AH43" i="57"/>
  <c r="H57" i="57"/>
  <c r="J237" i="55"/>
  <c r="AJ223" i="55"/>
  <c r="K223" i="55" s="1"/>
  <c r="N87" i="55"/>
  <c r="AN73" i="55"/>
  <c r="P207" i="52"/>
  <c r="AP193" i="52"/>
  <c r="Q193" i="52" s="1"/>
  <c r="J56" i="52"/>
  <c r="AJ40" i="52"/>
  <c r="R178" i="57"/>
  <c r="AR166" i="57"/>
  <c r="S166" i="57" s="1"/>
  <c r="N298" i="57"/>
  <c r="AN286" i="57"/>
  <c r="O286" i="57" s="1"/>
  <c r="AJ127" i="57"/>
  <c r="K127" i="57" s="1"/>
  <c r="J145" i="57"/>
  <c r="AD16" i="57"/>
  <c r="E16" i="57" s="1"/>
  <c r="D28" i="57"/>
  <c r="D27" i="57"/>
  <c r="AD13" i="57"/>
  <c r="E13" i="57" s="1"/>
  <c r="AJ286" i="57"/>
  <c r="K286" i="57" s="1"/>
  <c r="J298" i="57"/>
  <c r="AF223" i="57"/>
  <c r="F237" i="57"/>
  <c r="D176" i="57"/>
  <c r="AD160" i="57"/>
  <c r="E160" i="57" s="1"/>
  <c r="L27" i="53"/>
  <c r="AL13" i="53"/>
  <c r="M13" i="53" s="1"/>
  <c r="AR76" i="53"/>
  <c r="S76" i="53" s="1"/>
  <c r="R88" i="53"/>
  <c r="D268" i="57"/>
  <c r="AD256" i="57"/>
  <c r="AP190" i="53"/>
  <c r="Q190" i="53" s="1"/>
  <c r="P206" i="53"/>
  <c r="AO119" i="53"/>
  <c r="AP97" i="53"/>
  <c r="P115" i="53"/>
  <c r="AJ277" i="53"/>
  <c r="J295" i="53"/>
  <c r="AI299" i="53"/>
  <c r="N27" i="59"/>
  <c r="AN13" i="59"/>
  <c r="O13" i="59" s="1"/>
  <c r="AQ89" i="58"/>
  <c r="AR67" i="58"/>
  <c r="R85" i="58"/>
  <c r="AT250" i="57"/>
  <c r="U250" i="57" s="1"/>
  <c r="T266" i="57"/>
  <c r="AP283" i="55"/>
  <c r="Q283" i="55" s="1"/>
  <c r="P297" i="55"/>
  <c r="AN70" i="55"/>
  <c r="O70" i="55" s="1"/>
  <c r="N86" i="55"/>
  <c r="P206" i="52"/>
  <c r="AP190" i="52"/>
  <c r="AJ37" i="52"/>
  <c r="K37" i="52" s="1"/>
  <c r="AI59" i="52"/>
  <c r="J55" i="52"/>
  <c r="AJ250" i="57"/>
  <c r="K250" i="57" s="1"/>
  <c r="J266" i="57"/>
  <c r="AF16" i="57"/>
  <c r="G16" i="57" s="1"/>
  <c r="F28" i="57"/>
  <c r="AP103" i="57"/>
  <c r="Q103" i="57" s="1"/>
  <c r="P117" i="57"/>
  <c r="J58" i="57"/>
  <c r="AJ46" i="57"/>
  <c r="K46" i="57" s="1"/>
  <c r="F25" i="57"/>
  <c r="AF7" i="57"/>
  <c r="G7" i="57" s="1"/>
  <c r="R238" i="57"/>
  <c r="AR226" i="57"/>
  <c r="S226" i="57" s="1"/>
  <c r="J88" i="57"/>
  <c r="AJ76" i="57"/>
  <c r="K76" i="57" s="1"/>
  <c r="N236" i="57"/>
  <c r="AN220" i="57"/>
  <c r="O220" i="57" s="1"/>
  <c r="AF130" i="53"/>
  <c r="F146" i="53"/>
  <c r="T236" i="53"/>
  <c r="AT220" i="53"/>
  <c r="U220" i="53" s="1"/>
  <c r="AP193" i="53"/>
  <c r="Q193" i="53" s="1"/>
  <c r="P207" i="53"/>
  <c r="H55" i="57"/>
  <c r="AH37" i="57"/>
  <c r="AG59" i="57"/>
  <c r="J295" i="57"/>
  <c r="AJ277" i="57"/>
  <c r="AI299" i="57"/>
  <c r="L27" i="57"/>
  <c r="AL13" i="57"/>
  <c r="M13" i="57" s="1"/>
  <c r="T235" i="53"/>
  <c r="AS239" i="53"/>
  <c r="AT217" i="53"/>
  <c r="R205" i="57"/>
  <c r="AQ209" i="57"/>
  <c r="AR187" i="57"/>
  <c r="AP100" i="53"/>
  <c r="Q100" i="53" s="1"/>
  <c r="P116" i="53"/>
  <c r="AN16" i="59"/>
  <c r="O16" i="59" s="1"/>
  <c r="N28" i="59"/>
  <c r="AR73" i="58"/>
  <c r="S73" i="58" s="1"/>
  <c r="R87" i="58"/>
  <c r="AT97" i="57"/>
  <c r="T115" i="57"/>
  <c r="AS119" i="57"/>
  <c r="D206" i="55"/>
  <c r="AD190" i="55"/>
  <c r="E190" i="55" s="1"/>
  <c r="AT196" i="57"/>
  <c r="U196" i="57" s="1"/>
  <c r="T208" i="57"/>
  <c r="AT193" i="57"/>
  <c r="U193" i="57" s="1"/>
  <c r="T207" i="57"/>
  <c r="R236" i="57"/>
  <c r="AR220" i="57"/>
  <c r="S220" i="57" s="1"/>
  <c r="AN130" i="57"/>
  <c r="O130" i="57" s="1"/>
  <c r="N146" i="57"/>
  <c r="T57" i="57"/>
  <c r="AT43" i="57"/>
  <c r="U43" i="57" s="1"/>
  <c r="AN217" i="57"/>
  <c r="O217" i="57" s="1"/>
  <c r="N235" i="57"/>
  <c r="AF190" i="57"/>
  <c r="G190" i="57" s="1"/>
  <c r="F206" i="57"/>
  <c r="AD10" i="57"/>
  <c r="E10" i="57" s="1"/>
  <c r="D26" i="57"/>
  <c r="R55" i="57"/>
  <c r="AQ59" i="57"/>
  <c r="AR37" i="57"/>
  <c r="S37" i="57" s="1"/>
  <c r="D175" i="53"/>
  <c r="AD157" i="53"/>
  <c r="AC179" i="53"/>
  <c r="J265" i="53"/>
  <c r="AJ247" i="53"/>
  <c r="AI269" i="53"/>
  <c r="D239" i="53"/>
  <c r="AD229" i="53"/>
  <c r="F56" i="53"/>
  <c r="AF40" i="53"/>
  <c r="AF223" i="53"/>
  <c r="F237" i="53"/>
  <c r="AH163" i="59"/>
  <c r="I163" i="59" s="1"/>
  <c r="H177" i="59"/>
  <c r="AR70" i="58"/>
  <c r="R86" i="58"/>
  <c r="T118" i="57"/>
  <c r="AT106" i="57"/>
  <c r="U106" i="57" s="1"/>
  <c r="AD187" i="55"/>
  <c r="E187" i="55" s="1"/>
  <c r="D205" i="55"/>
  <c r="AT133" i="52"/>
  <c r="U133" i="52" s="1"/>
  <c r="T147" i="52"/>
  <c r="T25" i="52"/>
  <c r="AT7" i="52"/>
  <c r="AS29" i="52"/>
  <c r="R57" i="57"/>
  <c r="AR43" i="57"/>
  <c r="S43" i="57" s="1"/>
  <c r="AN103" i="57"/>
  <c r="O103" i="57" s="1"/>
  <c r="N117" i="57"/>
  <c r="T56" i="57"/>
  <c r="AT40" i="57"/>
  <c r="U40" i="57" s="1"/>
  <c r="AM119" i="57"/>
  <c r="AN97" i="57"/>
  <c r="N115" i="57"/>
  <c r="P115" i="57"/>
  <c r="AO119" i="57"/>
  <c r="AP97" i="57"/>
  <c r="N148" i="57"/>
  <c r="AN136" i="57"/>
  <c r="O136" i="57" s="1"/>
  <c r="AJ133" i="57"/>
  <c r="K133" i="57" s="1"/>
  <c r="J147" i="57"/>
  <c r="J87" i="57"/>
  <c r="AJ73" i="57"/>
  <c r="K73" i="57" s="1"/>
  <c r="H57" i="53"/>
  <c r="AH43" i="53"/>
  <c r="I43" i="53" s="1"/>
  <c r="AH46" i="53"/>
  <c r="I46" i="53" s="1"/>
  <c r="H58" i="53"/>
  <c r="AT253" i="57"/>
  <c r="U253" i="57" s="1"/>
  <c r="T267" i="57"/>
  <c r="N26" i="59"/>
  <c r="O193" i="55"/>
  <c r="AN133" i="57"/>
  <c r="O133" i="57" s="1"/>
  <c r="N147" i="57"/>
  <c r="AF43" i="53"/>
  <c r="F57" i="53"/>
  <c r="AJ283" i="53"/>
  <c r="K283" i="53" s="1"/>
  <c r="J297" i="53"/>
  <c r="H175" i="59"/>
  <c r="AH157" i="59"/>
  <c r="AG179" i="59"/>
  <c r="T117" i="57"/>
  <c r="AT103" i="57"/>
  <c r="U103" i="57" s="1"/>
  <c r="AP277" i="55"/>
  <c r="P295" i="55"/>
  <c r="AO299" i="55"/>
  <c r="AD196" i="55"/>
  <c r="D208" i="55"/>
  <c r="T27" i="52"/>
  <c r="AT13" i="52"/>
  <c r="U13" i="52" s="1"/>
  <c r="D146" i="57"/>
  <c r="AD130" i="57"/>
  <c r="E130" i="57" s="1"/>
  <c r="D147" i="57"/>
  <c r="AD133" i="57"/>
  <c r="E133" i="57" s="1"/>
  <c r="AH7" i="57"/>
  <c r="I7" i="57" s="1"/>
  <c r="H25" i="57"/>
  <c r="N296" i="57"/>
  <c r="AN280" i="57"/>
  <c r="O280" i="57" s="1"/>
  <c r="AH157" i="57"/>
  <c r="I157" i="57" s="1"/>
  <c r="H175" i="57"/>
  <c r="P298" i="57"/>
  <c r="AP286" i="57"/>
  <c r="Q286" i="57" s="1"/>
  <c r="L57" i="57"/>
  <c r="AL43" i="57"/>
  <c r="M43" i="57" s="1"/>
  <c r="P28" i="57"/>
  <c r="AP16" i="57"/>
  <c r="Q16" i="57" s="1"/>
  <c r="AL46" i="57"/>
  <c r="M46" i="57" s="1"/>
  <c r="L58" i="57"/>
  <c r="AD160" i="53"/>
  <c r="D176" i="53"/>
  <c r="AT226" i="53"/>
  <c r="U226" i="53" s="1"/>
  <c r="T238" i="53"/>
  <c r="J268" i="53"/>
  <c r="AJ256" i="53"/>
  <c r="AR76" i="58"/>
  <c r="S76" i="58" s="1"/>
  <c r="R88" i="58"/>
  <c r="T238" i="59"/>
  <c r="AT226" i="59"/>
  <c r="U226" i="59" s="1"/>
  <c r="H178" i="59"/>
  <c r="AH166" i="59"/>
  <c r="I166" i="59" s="1"/>
  <c r="AL46" i="58"/>
  <c r="L58" i="58"/>
  <c r="L237" i="57"/>
  <c r="AL223" i="57"/>
  <c r="M223" i="57" s="1"/>
  <c r="AP280" i="55"/>
  <c r="P296" i="55"/>
  <c r="AT136" i="52"/>
  <c r="U136" i="52" s="1"/>
  <c r="T148" i="52"/>
  <c r="AT16" i="52"/>
  <c r="T28" i="52"/>
  <c r="D145" i="57"/>
  <c r="AC149" i="57"/>
  <c r="AD127" i="57"/>
  <c r="P208" i="57"/>
  <c r="AP196" i="57"/>
  <c r="Q196" i="57" s="1"/>
  <c r="H117" i="57"/>
  <c r="AH103" i="57"/>
  <c r="AJ280" i="57"/>
  <c r="K280" i="57" s="1"/>
  <c r="J296" i="57"/>
  <c r="AJ247" i="57"/>
  <c r="K247" i="57" s="1"/>
  <c r="J265" i="57"/>
  <c r="AI269" i="57"/>
  <c r="L146" i="57"/>
  <c r="AL130" i="57"/>
  <c r="M130" i="57" s="1"/>
  <c r="L85" i="57"/>
  <c r="AL67" i="57"/>
  <c r="M67" i="57" s="1"/>
  <c r="AP283" i="57"/>
  <c r="Q283" i="57" s="1"/>
  <c r="P297" i="57"/>
  <c r="L86" i="57"/>
  <c r="AL70" i="57"/>
  <c r="M70" i="57" s="1"/>
  <c r="AR67" i="53"/>
  <c r="S67" i="53" s="1"/>
  <c r="R85" i="53"/>
  <c r="AQ89" i="53"/>
  <c r="AT223" i="53"/>
  <c r="U223" i="53" s="1"/>
  <c r="T237" i="53"/>
  <c r="F148" i="53"/>
  <c r="AF136" i="53"/>
  <c r="G136" i="53" s="1"/>
  <c r="F55" i="53"/>
  <c r="AF37" i="53"/>
  <c r="AF220" i="53"/>
  <c r="G220" i="53" s="1"/>
  <c r="F236" i="53"/>
  <c r="AH160" i="59"/>
  <c r="H176" i="59"/>
  <c r="AL196" i="58"/>
  <c r="L208" i="58"/>
  <c r="AL43" i="58"/>
  <c r="L57" i="58"/>
  <c r="AL220" i="57"/>
  <c r="M220" i="57" s="1"/>
  <c r="L236" i="57"/>
  <c r="AN70" i="57"/>
  <c r="O70" i="57" s="1"/>
  <c r="N86" i="57"/>
  <c r="P298" i="55"/>
  <c r="AP286" i="55"/>
  <c r="Q286" i="55" s="1"/>
  <c r="AT10" i="52"/>
  <c r="T26" i="52"/>
  <c r="H237" i="57"/>
  <c r="AH223" i="57"/>
  <c r="I223" i="57" s="1"/>
  <c r="D266" i="57"/>
  <c r="AD250" i="57"/>
  <c r="D88" i="57"/>
  <c r="AD76" i="57"/>
  <c r="AP106" i="57"/>
  <c r="Q106" i="57" s="1"/>
  <c r="P118" i="57"/>
  <c r="AH106" i="57"/>
  <c r="H118" i="57"/>
  <c r="P116" i="57"/>
  <c r="AP100" i="57"/>
  <c r="Q100" i="57" s="1"/>
  <c r="R267" i="57"/>
  <c r="AR253" i="57"/>
  <c r="S253" i="57" s="1"/>
  <c r="AD7" i="57"/>
  <c r="D25" i="57"/>
  <c r="AC29" i="57"/>
  <c r="AJ253" i="53"/>
  <c r="K253" i="53" s="1"/>
  <c r="J267" i="53"/>
  <c r="AJ250" i="53"/>
  <c r="J266" i="53"/>
  <c r="AJ226" i="55"/>
  <c r="K226" i="55" s="1"/>
  <c r="J238" i="55"/>
  <c r="I247" i="52"/>
  <c r="AL10" i="53"/>
  <c r="M10" i="53" s="1"/>
  <c r="L26" i="53"/>
  <c r="T145" i="52"/>
  <c r="AS149" i="52"/>
  <c r="AT127" i="52"/>
  <c r="J86" i="53"/>
  <c r="AJ70" i="53"/>
  <c r="K70" i="53" s="1"/>
  <c r="T237" i="59"/>
  <c r="AT223" i="59"/>
  <c r="U223" i="59" s="1"/>
  <c r="P57" i="59"/>
  <c r="AP43" i="59"/>
  <c r="Q43" i="59" s="1"/>
  <c r="AL193" i="58"/>
  <c r="L207" i="58"/>
  <c r="AL37" i="58"/>
  <c r="L55" i="58"/>
  <c r="AK59" i="58"/>
  <c r="AL226" i="57"/>
  <c r="M226" i="57" s="1"/>
  <c r="L238" i="57"/>
  <c r="AN67" i="57"/>
  <c r="N85" i="57"/>
  <c r="AM89" i="57"/>
  <c r="J265" i="55"/>
  <c r="AJ247" i="55"/>
  <c r="K247" i="55" s="1"/>
  <c r="AL40" i="57"/>
  <c r="M40" i="57" s="1"/>
  <c r="L56" i="57"/>
  <c r="L115" i="57"/>
  <c r="AL97" i="57"/>
  <c r="AK119" i="57"/>
  <c r="AT46" i="57"/>
  <c r="U46" i="57" s="1"/>
  <c r="T58" i="57"/>
  <c r="AF196" i="57"/>
  <c r="G196" i="57" s="1"/>
  <c r="F208" i="57"/>
  <c r="AD247" i="57"/>
  <c r="D265" i="57"/>
  <c r="AC269" i="57"/>
  <c r="R206" i="57"/>
  <c r="AR190" i="57"/>
  <c r="S190" i="57" s="1"/>
  <c r="AH13" i="57"/>
  <c r="I13" i="57" s="1"/>
  <c r="H27" i="57"/>
  <c r="AR256" i="57"/>
  <c r="S256" i="57" s="1"/>
  <c r="R268" i="57"/>
  <c r="N116" i="53"/>
  <c r="AN100" i="53"/>
  <c r="O100" i="53" s="1"/>
  <c r="AR70" i="53"/>
  <c r="S70" i="53" s="1"/>
  <c r="R86" i="53"/>
  <c r="AT190" i="57"/>
  <c r="U190" i="57" s="1"/>
  <c r="T206" i="57"/>
  <c r="D209" i="59"/>
  <c r="AD199" i="59"/>
  <c r="E199" i="59" s="1"/>
  <c r="H176" i="57"/>
  <c r="AH160" i="57"/>
  <c r="I160" i="57" s="1"/>
  <c r="AJ76" i="53"/>
  <c r="K76" i="53" s="1"/>
  <c r="J88" i="53"/>
  <c r="T236" i="59"/>
  <c r="AT220" i="59"/>
  <c r="P55" i="59"/>
  <c r="AO59" i="59"/>
  <c r="AP37" i="59"/>
  <c r="L56" i="58"/>
  <c r="AL40" i="58"/>
  <c r="AL217" i="57"/>
  <c r="L235" i="57"/>
  <c r="AK239" i="57"/>
  <c r="N87" i="57"/>
  <c r="AN73" i="57"/>
  <c r="O73" i="57" s="1"/>
  <c r="AJ250" i="55"/>
  <c r="K250" i="55" s="1"/>
  <c r="J266" i="55"/>
  <c r="D178" i="57"/>
  <c r="AD166" i="57"/>
  <c r="E166" i="57" s="1"/>
  <c r="L25" i="57"/>
  <c r="AL7" i="57"/>
  <c r="M7" i="57" s="1"/>
  <c r="AK29" i="57"/>
  <c r="AN100" i="57"/>
  <c r="O100" i="57" s="1"/>
  <c r="N116" i="57"/>
  <c r="AH220" i="57"/>
  <c r="I220" i="57" s="1"/>
  <c r="H236" i="57"/>
  <c r="L88" i="57"/>
  <c r="AL76" i="57"/>
  <c r="M76" i="57" s="1"/>
  <c r="AL100" i="57"/>
  <c r="M100" i="57" s="1"/>
  <c r="L116" i="57"/>
  <c r="AP127" i="57"/>
  <c r="Q127" i="57" s="1"/>
  <c r="P145" i="57"/>
  <c r="AO149" i="57"/>
  <c r="F176" i="57"/>
  <c r="AF160" i="57"/>
  <c r="G160" i="57" s="1"/>
  <c r="AJ253" i="57"/>
  <c r="K253" i="57" s="1"/>
  <c r="J267" i="57"/>
  <c r="AH40" i="53"/>
  <c r="I40" i="53" s="1"/>
  <c r="H56" i="53"/>
  <c r="F145" i="53"/>
  <c r="AF127" i="53"/>
  <c r="AT73" i="53"/>
  <c r="U73" i="53" s="1"/>
  <c r="AS239" i="59"/>
  <c r="AK209" i="58"/>
  <c r="AL187" i="58"/>
  <c r="M187" i="58" s="1"/>
  <c r="L205" i="58"/>
  <c r="D206" i="57"/>
  <c r="AD190" i="57"/>
  <c r="N88" i="57"/>
  <c r="AN76" i="57"/>
  <c r="O76" i="57" s="1"/>
  <c r="J268" i="55"/>
  <c r="AJ256" i="55"/>
  <c r="K256" i="55" s="1"/>
  <c r="AT103" i="55"/>
  <c r="T117" i="55"/>
  <c r="AL253" i="52"/>
  <c r="M253" i="52" s="1"/>
  <c r="L267" i="52"/>
  <c r="AD67" i="57"/>
  <c r="E67" i="57" s="1"/>
  <c r="D85" i="57"/>
  <c r="AI89" i="57"/>
  <c r="AJ67" i="57"/>
  <c r="J85" i="57"/>
  <c r="J86" i="57"/>
  <c r="AJ70" i="57"/>
  <c r="K70" i="57" s="1"/>
  <c r="AF283" i="57"/>
  <c r="F297" i="57"/>
  <c r="N237" i="57"/>
  <c r="AN223" i="57"/>
  <c r="O223" i="57" s="1"/>
  <c r="F175" i="57"/>
  <c r="AF157" i="57"/>
  <c r="G157" i="57" s="1"/>
  <c r="P146" i="57"/>
  <c r="AP130" i="57"/>
  <c r="Q130" i="57" s="1"/>
  <c r="AR193" i="57"/>
  <c r="S193" i="57" s="1"/>
  <c r="R207" i="57"/>
  <c r="AT67" i="57"/>
  <c r="U67" i="57" s="1"/>
  <c r="T85" i="57"/>
  <c r="AS89" i="57"/>
  <c r="AL16" i="53"/>
  <c r="M16" i="53" s="1"/>
  <c r="L28" i="53"/>
  <c r="AT70" i="57"/>
  <c r="U70" i="57" s="1"/>
  <c r="T86" i="57"/>
  <c r="AJ73" i="53"/>
  <c r="K73" i="53" s="1"/>
  <c r="J87" i="53"/>
  <c r="F267" i="53"/>
  <c r="AF253" i="53"/>
  <c r="AP40" i="59"/>
  <c r="Q40" i="59" s="1"/>
  <c r="P56" i="59"/>
  <c r="L206" i="58"/>
  <c r="AL190" i="58"/>
  <c r="M190" i="58" s="1"/>
  <c r="D207" i="57"/>
  <c r="AD193" i="57"/>
  <c r="E193" i="57" s="1"/>
  <c r="AT106" i="55"/>
  <c r="U106" i="55" s="1"/>
  <c r="T118" i="55"/>
  <c r="AL256" i="52"/>
  <c r="L268" i="52"/>
  <c r="J146" i="57"/>
  <c r="AJ130" i="57"/>
  <c r="K130" i="57" s="1"/>
  <c r="AH166" i="57"/>
  <c r="I166" i="57" s="1"/>
  <c r="H178" i="57"/>
  <c r="L117" i="57"/>
  <c r="AL103" i="57"/>
  <c r="M103" i="57" s="1"/>
  <c r="F177" i="57"/>
  <c r="AF163" i="57"/>
  <c r="G163" i="57" s="1"/>
  <c r="R266" i="57"/>
  <c r="AR250" i="57"/>
  <c r="S250" i="57" s="1"/>
  <c r="AL133" i="57"/>
  <c r="M133" i="57" s="1"/>
  <c r="L147" i="57"/>
  <c r="T88" i="57"/>
  <c r="AT76" i="57"/>
  <c r="U76" i="57" s="1"/>
  <c r="T205" i="57"/>
  <c r="AT187" i="57"/>
  <c r="U187" i="57" s="1"/>
  <c r="AN103" i="53"/>
  <c r="O103" i="53" s="1"/>
  <c r="N117" i="53"/>
  <c r="AM29" i="59"/>
  <c r="N29" i="59" s="1"/>
  <c r="AJ67" i="53"/>
  <c r="AI89" i="53"/>
  <c r="J85" i="53"/>
  <c r="N208" i="59"/>
  <c r="AN196" i="59"/>
  <c r="O196" i="59" s="1"/>
  <c r="AP46" i="59"/>
  <c r="Q46" i="59" s="1"/>
  <c r="P58" i="59"/>
  <c r="F28" i="58"/>
  <c r="AF16" i="58"/>
  <c r="AD187" i="57"/>
  <c r="E187" i="57" s="1"/>
  <c r="AC209" i="57"/>
  <c r="D205" i="57"/>
  <c r="AH40" i="57"/>
  <c r="H56" i="57"/>
  <c r="AT100" i="55"/>
  <c r="U100" i="55" s="1"/>
  <c r="T116" i="55"/>
  <c r="AL247" i="52"/>
  <c r="L265" i="52"/>
  <c r="AK269" i="52"/>
  <c r="F117" i="52"/>
  <c r="AF103" i="52"/>
  <c r="G103" i="52" s="1"/>
  <c r="AD289" i="57"/>
  <c r="D299" i="57"/>
  <c r="AN127" i="57"/>
  <c r="N145" i="57"/>
  <c r="AM149" i="57"/>
  <c r="L148" i="57"/>
  <c r="AL136" i="57"/>
  <c r="M136" i="57" s="1"/>
  <c r="P206" i="57"/>
  <c r="AP190" i="57"/>
  <c r="Q190" i="57" s="1"/>
  <c r="J57" i="57"/>
  <c r="AJ43" i="57"/>
  <c r="K43" i="57" s="1"/>
  <c r="R177" i="57"/>
  <c r="AR163" i="57"/>
  <c r="S163" i="57" s="1"/>
  <c r="D148" i="57"/>
  <c r="AD136" i="57"/>
  <c r="E136" i="57" s="1"/>
  <c r="R58" i="57"/>
  <c r="AR46" i="57"/>
  <c r="S46" i="57" s="1"/>
  <c r="AN97" i="53"/>
  <c r="AM119" i="53"/>
  <c r="N115" i="53"/>
  <c r="AR73" i="53"/>
  <c r="S73" i="53" s="1"/>
  <c r="R87" i="53"/>
  <c r="AL109" i="59"/>
  <c r="L119" i="59"/>
  <c r="D27" i="53"/>
  <c r="AD13" i="53"/>
  <c r="E13" i="53" s="1"/>
  <c r="N206" i="59"/>
  <c r="AN190" i="59"/>
  <c r="O190" i="59" s="1"/>
  <c r="AD157" i="58"/>
  <c r="D175" i="58"/>
  <c r="AC179" i="58"/>
  <c r="AF7" i="58"/>
  <c r="G7" i="58" s="1"/>
  <c r="F25" i="58"/>
  <c r="J235" i="55"/>
  <c r="AI239" i="55"/>
  <c r="AJ217" i="55"/>
  <c r="AS119" i="55"/>
  <c r="AT97" i="55"/>
  <c r="U97" i="55" s="1"/>
  <c r="T115" i="55"/>
  <c r="F115" i="52"/>
  <c r="AF97" i="52"/>
  <c r="AE119" i="52"/>
  <c r="J297" i="57"/>
  <c r="AJ283" i="57"/>
  <c r="K283" i="57" s="1"/>
  <c r="AJ256" i="57"/>
  <c r="K256" i="57" s="1"/>
  <c r="J268" i="57"/>
  <c r="P295" i="57"/>
  <c r="AP277" i="57"/>
  <c r="Q277" i="57" s="1"/>
  <c r="AG239" i="57"/>
  <c r="AH217" i="57"/>
  <c r="H235" i="57"/>
  <c r="AR196" i="57"/>
  <c r="S196" i="57" s="1"/>
  <c r="R208" i="57"/>
  <c r="N297" i="57"/>
  <c r="AN283" i="57"/>
  <c r="O283" i="57" s="1"/>
  <c r="D177" i="57"/>
  <c r="AD163" i="57"/>
  <c r="E163" i="57" s="1"/>
  <c r="R235" i="57"/>
  <c r="AR217" i="57"/>
  <c r="AQ239" i="57"/>
  <c r="H55" i="53"/>
  <c r="AH37" i="53"/>
  <c r="I37" i="53" s="1"/>
  <c r="AK29" i="53"/>
  <c r="AL7" i="53"/>
  <c r="L25" i="53"/>
  <c r="T55" i="57"/>
  <c r="AT37" i="57"/>
  <c r="U37" i="57" s="1"/>
  <c r="D87" i="57"/>
  <c r="AD73" i="57"/>
  <c r="E73" i="57" s="1"/>
  <c r="D26" i="53"/>
  <c r="AD10" i="53"/>
  <c r="P118" i="53"/>
  <c r="AP106" i="53"/>
  <c r="Q106" i="53" s="1"/>
  <c r="N25" i="59"/>
  <c r="AN7" i="59"/>
  <c r="O7" i="59" s="1"/>
  <c r="AD196" i="57"/>
  <c r="D208" i="57"/>
  <c r="H58" i="57"/>
  <c r="AH46" i="57"/>
  <c r="I46" i="57" s="1"/>
  <c r="AJ220" i="55"/>
  <c r="K220" i="55" s="1"/>
  <c r="J236" i="55"/>
  <c r="AN67" i="55"/>
  <c r="AM89" i="55"/>
  <c r="G106" i="52"/>
  <c r="F238" i="57"/>
  <c r="AF226" i="57"/>
  <c r="H26" i="57"/>
  <c r="AH10" i="57"/>
  <c r="I10" i="57" s="1"/>
  <c r="L55" i="57"/>
  <c r="AK59" i="57"/>
  <c r="AL37" i="57"/>
  <c r="AP10" i="57"/>
  <c r="Q10" i="57" s="1"/>
  <c r="P26" i="57"/>
  <c r="AN106" i="57"/>
  <c r="O106" i="57" s="1"/>
  <c r="N118" i="57"/>
  <c r="D267" i="57"/>
  <c r="AD253" i="57"/>
  <c r="AO29" i="57"/>
  <c r="P25" i="57"/>
  <c r="AP7" i="57"/>
  <c r="AP13" i="57"/>
  <c r="Q13" i="57" s="1"/>
  <c r="P27" i="57"/>
  <c r="AR223" i="57"/>
  <c r="S223" i="57" s="1"/>
  <c r="R237" i="57"/>
  <c r="P208" i="53"/>
  <c r="AP196" i="53"/>
  <c r="Q196" i="53" s="1"/>
  <c r="N118" i="53"/>
  <c r="AN106" i="53"/>
  <c r="AT130" i="57"/>
  <c r="T146" i="57"/>
  <c r="AM209" i="52"/>
  <c r="N208" i="52"/>
  <c r="AN196" i="52"/>
  <c r="R237" i="58"/>
  <c r="AR223" i="58"/>
  <c r="S223" i="58" s="1"/>
  <c r="AJ43" i="55"/>
  <c r="K43" i="55" s="1"/>
  <c r="J57" i="55"/>
  <c r="AD50" i="58"/>
  <c r="E50" i="58" s="1"/>
  <c r="T145" i="57"/>
  <c r="AS149" i="57"/>
  <c r="AT127" i="57"/>
  <c r="AQ239" i="58"/>
  <c r="AT76" i="53"/>
  <c r="T88" i="53"/>
  <c r="J56" i="55"/>
  <c r="AJ40" i="55"/>
  <c r="K40" i="55" s="1"/>
  <c r="J55" i="55"/>
  <c r="AJ37" i="55"/>
  <c r="AI59" i="55"/>
  <c r="AT70" i="53"/>
  <c r="T86" i="53"/>
  <c r="O37" i="57"/>
  <c r="AN50" i="57"/>
  <c r="O50" i="57" s="1"/>
  <c r="R238" i="58"/>
  <c r="AR226" i="58"/>
  <c r="AT67" i="53"/>
  <c r="T85" i="53"/>
  <c r="AS89" i="53"/>
  <c r="AH223" i="55"/>
  <c r="AG239" i="55"/>
  <c r="H237" i="55"/>
  <c r="AP139" i="58"/>
  <c r="Q139" i="58" s="1"/>
  <c r="P149" i="58"/>
  <c r="R269" i="55"/>
  <c r="AR259" i="55"/>
  <c r="S259" i="55" s="1"/>
  <c r="F179" i="58"/>
  <c r="E193" i="59"/>
  <c r="AJ140" i="52"/>
  <c r="K140" i="52" s="1"/>
  <c r="K139" i="52"/>
  <c r="G127" i="55"/>
  <c r="S250" i="53"/>
  <c r="K190" i="53"/>
  <c r="S43" i="52"/>
  <c r="H209" i="57"/>
  <c r="AH199" i="57"/>
  <c r="O133" i="53"/>
  <c r="AN140" i="53"/>
  <c r="O140" i="53" s="1"/>
  <c r="H299" i="58"/>
  <c r="AH289" i="58"/>
  <c r="I289" i="58" s="1"/>
  <c r="I163" i="58"/>
  <c r="L299" i="52"/>
  <c r="AL289" i="52"/>
  <c r="Q280" i="57"/>
  <c r="M220" i="53"/>
  <c r="S76" i="52"/>
  <c r="Q133" i="58"/>
  <c r="I97" i="53"/>
  <c r="U280" i="59"/>
  <c r="S247" i="55"/>
  <c r="J89" i="59"/>
  <c r="AJ79" i="59"/>
  <c r="G163" i="59"/>
  <c r="I133" i="57"/>
  <c r="I247" i="59"/>
  <c r="I286" i="57"/>
  <c r="U217" i="59"/>
  <c r="I277" i="58"/>
  <c r="F239" i="59"/>
  <c r="AF229" i="59"/>
  <c r="G280" i="57"/>
  <c r="AD70" i="52"/>
  <c r="AC89" i="52"/>
  <c r="D86" i="52"/>
  <c r="AP220" i="55"/>
  <c r="Q220" i="55" s="1"/>
  <c r="P236" i="55"/>
  <c r="AD100" i="55"/>
  <c r="D116" i="55"/>
  <c r="AC119" i="55"/>
  <c r="AN226" i="55"/>
  <c r="N238" i="55"/>
  <c r="N61" i="80"/>
  <c r="T235" i="57"/>
  <c r="AT217" i="57"/>
  <c r="AS239" i="57"/>
  <c r="AR226" i="53"/>
  <c r="R238" i="53"/>
  <c r="AQ239" i="53"/>
  <c r="M94" i="83"/>
  <c r="M81" i="83"/>
  <c r="M16" i="83"/>
  <c r="M26" i="83"/>
  <c r="M17" i="83"/>
  <c r="M65" i="83"/>
  <c r="AJ97" i="55"/>
  <c r="AI119" i="55"/>
  <c r="J115" i="55"/>
  <c r="AJ187" i="55"/>
  <c r="AI209" i="55"/>
  <c r="J205" i="55"/>
  <c r="AL187" i="57"/>
  <c r="L205" i="57"/>
  <c r="AK209" i="57"/>
  <c r="O103" i="59"/>
  <c r="M91" i="83"/>
  <c r="BV197" i="58"/>
  <c r="M34" i="83"/>
  <c r="M5" i="83"/>
  <c r="M62" i="83"/>
  <c r="M71" i="83"/>
  <c r="M99" i="83"/>
  <c r="AD250" i="55"/>
  <c r="D266" i="55"/>
  <c r="N43" i="80"/>
  <c r="O43" i="80" s="1"/>
  <c r="D177" i="55"/>
  <c r="AD163" i="55"/>
  <c r="AC179" i="55"/>
  <c r="BV159" i="58"/>
  <c r="BV40" i="58"/>
  <c r="M15" i="83"/>
  <c r="M52" i="83"/>
  <c r="M61" i="83"/>
  <c r="M54" i="80"/>
  <c r="M34" i="80"/>
  <c r="H167" i="49"/>
  <c r="H168" i="49" s="1"/>
  <c r="J167" i="49"/>
  <c r="J168" i="49" s="1"/>
  <c r="N167" i="49"/>
  <c r="N168" i="49" s="1"/>
  <c r="I149" i="49"/>
  <c r="U149" i="49"/>
  <c r="B148" i="49"/>
  <c r="O149" i="49"/>
  <c r="B176" i="49"/>
  <c r="F167" i="49"/>
  <c r="F168" i="49" s="1"/>
  <c r="Q149" i="49"/>
  <c r="R167" i="49"/>
  <c r="R168" i="49" s="1"/>
  <c r="M149" i="49"/>
  <c r="P167" i="49"/>
  <c r="P168" i="49" s="1"/>
  <c r="K149" i="49"/>
  <c r="L167" i="49"/>
  <c r="L168" i="49" s="1"/>
  <c r="T167" i="49"/>
  <c r="T168" i="49" s="1"/>
  <c r="E149" i="49"/>
  <c r="G149" i="49"/>
  <c r="D167" i="49"/>
  <c r="D168" i="49" s="1"/>
  <c r="S149" i="49"/>
  <c r="AJ190" i="55"/>
  <c r="J206" i="55"/>
  <c r="N9" i="80"/>
  <c r="P88" i="55"/>
  <c r="AO89" i="55"/>
  <c r="AP76" i="55"/>
  <c r="H266" i="55"/>
  <c r="AH250" i="55"/>
  <c r="AG269" i="55"/>
  <c r="M84" i="83"/>
  <c r="BV104" i="58"/>
  <c r="M104" i="83"/>
  <c r="M51" i="83"/>
  <c r="M21" i="83"/>
  <c r="M101" i="83"/>
  <c r="M80" i="83"/>
  <c r="M75" i="83"/>
  <c r="M88" i="83"/>
  <c r="M86" i="83"/>
  <c r="M79" i="83"/>
  <c r="M72" i="83"/>
  <c r="M78" i="83"/>
  <c r="M97" i="83"/>
  <c r="M89" i="83"/>
  <c r="M95" i="83"/>
  <c r="M7" i="80"/>
  <c r="O7" i="80" s="1"/>
  <c r="AR46" i="55"/>
  <c r="R58" i="55"/>
  <c r="AD247" i="55"/>
  <c r="D265" i="55"/>
  <c r="AC269" i="55"/>
  <c r="M74" i="83"/>
  <c r="BV138" i="58"/>
  <c r="BV165" i="58"/>
  <c r="BV220" i="58"/>
  <c r="BV195" i="58"/>
  <c r="BV167" i="58"/>
  <c r="BV47" i="58"/>
  <c r="BV103" i="58"/>
  <c r="BV39" i="58"/>
  <c r="BV164" i="58"/>
  <c r="BV284" i="58"/>
  <c r="BV258" i="58"/>
  <c r="BV37" i="58"/>
  <c r="BV18" i="58"/>
  <c r="BV188" i="58"/>
  <c r="BV17" i="58"/>
  <c r="BV100" i="58"/>
  <c r="BV67" i="58"/>
  <c r="BV16" i="58"/>
  <c r="BV102" i="58"/>
  <c r="BV286" i="58"/>
  <c r="BV78" i="58"/>
  <c r="BV48" i="58"/>
  <c r="BV227" i="58"/>
  <c r="BV191" i="58"/>
  <c r="BV10" i="58"/>
  <c r="BV223" i="58"/>
  <c r="BV72" i="58"/>
  <c r="BV136" i="58"/>
  <c r="BV107" i="58"/>
  <c r="BV282" i="58"/>
  <c r="BV106" i="58"/>
  <c r="BV189" i="58"/>
  <c r="BV192" i="58"/>
  <c r="BV218" i="58"/>
  <c r="BV76" i="58"/>
  <c r="BV217" i="58"/>
  <c r="BV222" i="58"/>
  <c r="BV99" i="58"/>
  <c r="BV7" i="58"/>
  <c r="BV13" i="58"/>
  <c r="BV251" i="58"/>
  <c r="BV247" i="58"/>
  <c r="BV98" i="58"/>
  <c r="BV198" i="58"/>
  <c r="BV253" i="58"/>
  <c r="BV255" i="58"/>
  <c r="BV43" i="58"/>
  <c r="BV133" i="58"/>
  <c r="BV250" i="58"/>
  <c r="BV75" i="58"/>
  <c r="BV73" i="58"/>
  <c r="BV166" i="58"/>
  <c r="BV288" i="58"/>
  <c r="BV38" i="58"/>
  <c r="BV44" i="58"/>
  <c r="BV196" i="58"/>
  <c r="BV221" i="58"/>
  <c r="BV12" i="58"/>
  <c r="BV134" i="58"/>
  <c r="BV14" i="58"/>
  <c r="BV278" i="58"/>
  <c r="BV137" i="58"/>
  <c r="BV279" i="58"/>
  <c r="BV77" i="58"/>
  <c r="BV46" i="58"/>
  <c r="BV193" i="58"/>
  <c r="BV226" i="58"/>
  <c r="BV283" i="58"/>
  <c r="BV281" i="58"/>
  <c r="BV252" i="58"/>
  <c r="BV224" i="58"/>
  <c r="BV187" i="58"/>
  <c r="BV163" i="58"/>
  <c r="BV219" i="58"/>
  <c r="BV248" i="58"/>
  <c r="BV108" i="58"/>
  <c r="BV71" i="58"/>
  <c r="BV128" i="58"/>
  <c r="BV105" i="58"/>
  <c r="BV9" i="58"/>
  <c r="BV15" i="58"/>
  <c r="BV11" i="58"/>
  <c r="BV101" i="58"/>
  <c r="BV158" i="58"/>
  <c r="BV69" i="58"/>
  <c r="BV74" i="58"/>
  <c r="BV70" i="58"/>
  <c r="BV254" i="58"/>
  <c r="BV127" i="58"/>
  <c r="BV8" i="58"/>
  <c r="BV161" i="58"/>
  <c r="BV129" i="58"/>
  <c r="BV42" i="58"/>
  <c r="BV228" i="58"/>
  <c r="BV249" i="58"/>
  <c r="BV157" i="58"/>
  <c r="BV135" i="58"/>
  <c r="BV287" i="58"/>
  <c r="BV225" i="58"/>
  <c r="BV45" i="58"/>
  <c r="BV131" i="58"/>
  <c r="BV277" i="58"/>
  <c r="BV256" i="58"/>
  <c r="BV285" i="58"/>
  <c r="BV130" i="58"/>
  <c r="BV162" i="58"/>
  <c r="BV132" i="58"/>
  <c r="BV194" i="58"/>
  <c r="BV190" i="58"/>
  <c r="M67" i="83"/>
  <c r="M20" i="83"/>
  <c r="M55" i="83"/>
  <c r="M53" i="83"/>
  <c r="M92" i="83"/>
  <c r="BV257" i="58"/>
  <c r="N17" i="80"/>
  <c r="N35" i="80"/>
  <c r="O35" i="80" s="1"/>
  <c r="N51" i="80"/>
  <c r="N5" i="80"/>
  <c r="N63" i="80"/>
  <c r="O63" i="80" s="1"/>
  <c r="N21" i="80"/>
  <c r="N62" i="80"/>
  <c r="O62" i="80" s="1"/>
  <c r="N70" i="80"/>
  <c r="N18" i="80"/>
  <c r="O18" i="80" s="1"/>
  <c r="N4" i="80"/>
  <c r="N37" i="80"/>
  <c r="O37" i="80" s="1"/>
  <c r="N53" i="80"/>
  <c r="N50" i="80"/>
  <c r="O50" i="80" s="1"/>
  <c r="N16" i="80"/>
  <c r="N20" i="80"/>
  <c r="N65" i="80"/>
  <c r="N36" i="80"/>
  <c r="O36" i="80" s="1"/>
  <c r="N69" i="80"/>
  <c r="N10" i="80"/>
  <c r="N47" i="80"/>
  <c r="O47" i="80" s="1"/>
  <c r="N2" i="80"/>
  <c r="N52" i="80"/>
  <c r="N48" i="80"/>
  <c r="O48" i="80" s="1"/>
  <c r="N39" i="80"/>
  <c r="O39" i="80" s="1"/>
  <c r="N34" i="80"/>
  <c r="O34" i="80" s="1"/>
  <c r="N31" i="80"/>
  <c r="N38" i="80"/>
  <c r="O38" i="80" s="1"/>
  <c r="N15" i="80"/>
  <c r="N66" i="80"/>
  <c r="N68" i="80"/>
  <c r="N26" i="80"/>
  <c r="N44" i="80"/>
  <c r="N60" i="80"/>
  <c r="N32" i="80"/>
  <c r="N3" i="80"/>
  <c r="N14" i="80"/>
  <c r="N11" i="80"/>
  <c r="N19" i="80"/>
  <c r="N22" i="80"/>
  <c r="N85" i="80"/>
  <c r="N86" i="80"/>
  <c r="N101" i="80"/>
  <c r="N99" i="80"/>
  <c r="N74" i="80"/>
  <c r="N78" i="80"/>
  <c r="N33" i="80"/>
  <c r="O33" i="80" s="1"/>
  <c r="N97" i="80"/>
  <c r="N79" i="80"/>
  <c r="N83" i="80"/>
  <c r="N94" i="80"/>
  <c r="N89" i="80"/>
  <c r="N93" i="80"/>
  <c r="N84" i="80"/>
  <c r="N90" i="80"/>
  <c r="N27" i="80"/>
  <c r="N25" i="80"/>
  <c r="N100" i="80"/>
  <c r="N98" i="80"/>
  <c r="N103" i="80"/>
  <c r="N42" i="80"/>
  <c r="N87" i="80"/>
  <c r="N102" i="80"/>
  <c r="N59" i="80"/>
  <c r="N82" i="80"/>
  <c r="N73" i="80"/>
  <c r="O73" i="80" s="1"/>
  <c r="N64" i="80"/>
  <c r="O64" i="80" s="1"/>
  <c r="N45" i="80"/>
  <c r="N92" i="80"/>
  <c r="N75" i="80"/>
  <c r="N88" i="80"/>
  <c r="N41" i="80"/>
  <c r="O41" i="80" s="1"/>
  <c r="N104" i="80"/>
  <c r="N77" i="80"/>
  <c r="N81" i="80"/>
  <c r="N80" i="80"/>
  <c r="N96" i="80"/>
  <c r="N95" i="80"/>
  <c r="N6" i="80"/>
  <c r="O6" i="80" s="1"/>
  <c r="N30" i="80"/>
  <c r="N46" i="80"/>
  <c r="N12" i="80"/>
  <c r="N91" i="80"/>
  <c r="N57" i="80"/>
  <c r="N76" i="80"/>
  <c r="AT196" i="53"/>
  <c r="T208" i="53"/>
  <c r="M58" i="83"/>
  <c r="N71" i="80"/>
  <c r="R56" i="55"/>
  <c r="AR40" i="55"/>
  <c r="AQ59" i="55"/>
  <c r="M98" i="83"/>
  <c r="BV97" i="58"/>
  <c r="M32" i="83"/>
  <c r="M47" i="83"/>
  <c r="M30" i="83"/>
  <c r="M37" i="83"/>
  <c r="M59" i="80"/>
  <c r="M66" i="80"/>
  <c r="M5" i="80"/>
  <c r="M27" i="80"/>
  <c r="M17" i="80"/>
  <c r="M39" i="80"/>
  <c r="M33" i="80"/>
  <c r="M51" i="80"/>
  <c r="M63" i="80"/>
  <c r="M21" i="80"/>
  <c r="M30" i="80"/>
  <c r="M67" i="80"/>
  <c r="O67" i="80" s="1"/>
  <c r="M22" i="80"/>
  <c r="M46" i="80"/>
  <c r="M37" i="80"/>
  <c r="M73" i="80"/>
  <c r="M70" i="80"/>
  <c r="M4" i="80"/>
  <c r="M20" i="80"/>
  <c r="M53" i="80"/>
  <c r="M65" i="80"/>
  <c r="M23" i="80"/>
  <c r="M69" i="80"/>
  <c r="M12" i="80"/>
  <c r="M16" i="80"/>
  <c r="M48" i="80"/>
  <c r="M42" i="80"/>
  <c r="M2" i="80"/>
  <c r="M15" i="80"/>
  <c r="M52" i="80"/>
  <c r="M68" i="80"/>
  <c r="M31" i="80"/>
  <c r="M38" i="80"/>
  <c r="M44" i="80"/>
  <c r="M60" i="80"/>
  <c r="M3" i="80"/>
  <c r="M19" i="80"/>
  <c r="M36" i="80"/>
  <c r="M11" i="80"/>
  <c r="M26" i="80"/>
  <c r="M14" i="80"/>
  <c r="M86" i="80"/>
  <c r="M101" i="80"/>
  <c r="M98" i="80"/>
  <c r="M99" i="80"/>
  <c r="M88" i="80"/>
  <c r="M85" i="80"/>
  <c r="M94" i="80"/>
  <c r="M92" i="80"/>
  <c r="M89" i="80"/>
  <c r="M83" i="80"/>
  <c r="M77" i="80"/>
  <c r="M102" i="80"/>
  <c r="M97" i="80"/>
  <c r="M103" i="80"/>
  <c r="M80" i="80"/>
  <c r="M87" i="80"/>
  <c r="M78" i="80"/>
  <c r="M82" i="80"/>
  <c r="M91" i="80"/>
  <c r="M79" i="80"/>
  <c r="M56" i="80"/>
  <c r="O56" i="80" s="1"/>
  <c r="M93" i="80"/>
  <c r="M75" i="80"/>
  <c r="M100" i="80"/>
  <c r="M95" i="80"/>
  <c r="M81" i="80"/>
  <c r="M96" i="80"/>
  <c r="M84" i="80"/>
  <c r="M76" i="80"/>
  <c r="M61" i="80"/>
  <c r="M62" i="80"/>
  <c r="M24" i="80"/>
  <c r="M74" i="80"/>
  <c r="M28" i="80"/>
  <c r="M49" i="80"/>
  <c r="M29" i="80"/>
  <c r="M40" i="80"/>
  <c r="M10" i="80"/>
  <c r="M9" i="80"/>
  <c r="M90" i="80"/>
  <c r="M104" i="80"/>
  <c r="M43" i="80"/>
  <c r="M13" i="80"/>
  <c r="M18" i="80"/>
  <c r="M50" i="80"/>
  <c r="M47" i="80"/>
  <c r="M58" i="80"/>
  <c r="M57" i="80"/>
  <c r="N13" i="80"/>
  <c r="AP163" i="55"/>
  <c r="P177" i="55"/>
  <c r="AO179" i="55"/>
  <c r="D57" i="55"/>
  <c r="AD43" i="55"/>
  <c r="AC59" i="55"/>
  <c r="M9" i="83"/>
  <c r="O10" i="55"/>
  <c r="M77" i="83"/>
  <c r="M11" i="83"/>
  <c r="M42" i="83"/>
  <c r="M3" i="83"/>
  <c r="M57" i="83"/>
  <c r="M73" i="81"/>
  <c r="M65" i="81"/>
  <c r="O65" i="81" s="1"/>
  <c r="M9" i="81"/>
  <c r="M17" i="81"/>
  <c r="O17" i="81" s="1"/>
  <c r="M6" i="81"/>
  <c r="M72" i="81"/>
  <c r="M23" i="81"/>
  <c r="M43" i="81"/>
  <c r="M48" i="81"/>
  <c r="M55" i="81"/>
  <c r="O55" i="81" s="1"/>
  <c r="M42" i="81"/>
  <c r="O42" i="81" s="1"/>
  <c r="M67" i="81"/>
  <c r="O67" i="81" s="1"/>
  <c r="M13" i="81"/>
  <c r="O13" i="81" s="1"/>
  <c r="M46" i="81"/>
  <c r="O46" i="81" s="1"/>
  <c r="M5" i="81"/>
  <c r="O5" i="81" s="1"/>
  <c r="M20" i="81"/>
  <c r="O20" i="81" s="1"/>
  <c r="M31" i="81"/>
  <c r="O31" i="81" s="1"/>
  <c r="M29" i="81"/>
  <c r="O29" i="81" s="1"/>
  <c r="M33" i="81"/>
  <c r="M37" i="81"/>
  <c r="M38" i="81"/>
  <c r="M3" i="81"/>
  <c r="O3" i="81" s="1"/>
  <c r="M40" i="81"/>
  <c r="M24" i="81"/>
  <c r="O24" i="81" s="1"/>
  <c r="M44" i="81"/>
  <c r="O44" i="81" s="1"/>
  <c r="M62" i="81"/>
  <c r="M45" i="81"/>
  <c r="O45" i="81" s="1"/>
  <c r="M58" i="81"/>
  <c r="O58" i="81" s="1"/>
  <c r="M64" i="81"/>
  <c r="M49" i="81"/>
  <c r="M60" i="81"/>
  <c r="O60" i="81" s="1"/>
  <c r="M8" i="81"/>
  <c r="M51" i="81"/>
  <c r="O51" i="81" s="1"/>
  <c r="M16" i="81"/>
  <c r="O16" i="81" s="1"/>
  <c r="M52" i="81"/>
  <c r="O52" i="81" s="1"/>
  <c r="M4" i="81"/>
  <c r="O4" i="81" s="1"/>
  <c r="M47" i="81"/>
  <c r="M19" i="81"/>
  <c r="M61" i="81"/>
  <c r="O61" i="81" s="1"/>
  <c r="M21" i="81"/>
  <c r="O21" i="81" s="1"/>
  <c r="M68" i="81"/>
  <c r="O68" i="81" s="1"/>
  <c r="M30" i="81"/>
  <c r="O30" i="81" s="1"/>
  <c r="M50" i="81"/>
  <c r="M26" i="81"/>
  <c r="O26" i="81" s="1"/>
  <c r="M56" i="81"/>
  <c r="O56" i="81" s="1"/>
  <c r="M14" i="81"/>
  <c r="O14" i="81" s="1"/>
  <c r="M39" i="81"/>
  <c r="M79" i="81"/>
  <c r="M76" i="81"/>
  <c r="M89" i="81"/>
  <c r="M93" i="81"/>
  <c r="M80" i="81"/>
  <c r="M103" i="81"/>
  <c r="M78" i="81"/>
  <c r="M101" i="81"/>
  <c r="M59" i="81"/>
  <c r="O59" i="81" s="1"/>
  <c r="M102" i="81"/>
  <c r="M69" i="81"/>
  <c r="O69" i="81" s="1"/>
  <c r="M53" i="81"/>
  <c r="O53" i="81" s="1"/>
  <c r="M10" i="81"/>
  <c r="M7" i="81"/>
  <c r="O7" i="81" s="1"/>
  <c r="M27" i="81"/>
  <c r="O27" i="81" s="1"/>
  <c r="M63" i="81"/>
  <c r="M86" i="81"/>
  <c r="M28" i="81"/>
  <c r="M35" i="81"/>
  <c r="M70" i="81"/>
  <c r="O70" i="81" s="1"/>
  <c r="M84" i="81"/>
  <c r="M77" i="81"/>
  <c r="M95" i="81"/>
  <c r="M92" i="81"/>
  <c r="M85" i="81"/>
  <c r="M94" i="81"/>
  <c r="M74" i="81"/>
  <c r="M104" i="81"/>
  <c r="M91" i="81"/>
  <c r="M83" i="81"/>
  <c r="M88" i="81"/>
  <c r="M90" i="81"/>
  <c r="M98" i="81"/>
  <c r="M99" i="81"/>
  <c r="M54" i="81"/>
  <c r="O54" i="81" s="1"/>
  <c r="M82" i="81"/>
  <c r="M87" i="81"/>
  <c r="M57" i="81"/>
  <c r="O57" i="81" s="1"/>
  <c r="M81" i="81"/>
  <c r="M100" i="81"/>
  <c r="M97" i="81"/>
  <c r="M11" i="81"/>
  <c r="O11" i="81" s="1"/>
  <c r="M75" i="81"/>
  <c r="M96" i="81"/>
  <c r="M2" i="81"/>
  <c r="O2" i="81" s="1"/>
  <c r="M66" i="81"/>
  <c r="M22" i="81"/>
  <c r="M12" i="81"/>
  <c r="O12" i="81" s="1"/>
  <c r="M36" i="81"/>
  <c r="M41" i="81"/>
  <c r="M71" i="81"/>
  <c r="O71" i="81" s="1"/>
  <c r="M34" i="81"/>
  <c r="M18" i="81"/>
  <c r="O18" i="81" s="1"/>
  <c r="M25" i="81"/>
  <c r="O25" i="81" s="1"/>
  <c r="AH157" i="55"/>
  <c r="H175" i="55"/>
  <c r="AG179" i="55"/>
  <c r="M72" i="80"/>
  <c r="N24" i="80"/>
  <c r="AP217" i="55"/>
  <c r="P235" i="55"/>
  <c r="AO239" i="55"/>
  <c r="H268" i="55"/>
  <c r="AH256" i="55"/>
  <c r="M93" i="83"/>
  <c r="M63" i="83"/>
  <c r="M48" i="83"/>
  <c r="M36" i="83"/>
  <c r="M7" i="83"/>
  <c r="O2" i="78"/>
  <c r="N52" i="84"/>
  <c r="N47" i="84"/>
  <c r="O47" i="84" s="1"/>
  <c r="N40" i="84"/>
  <c r="O40" i="84" s="1"/>
  <c r="N36" i="84"/>
  <c r="O36" i="84" s="1"/>
  <c r="N14" i="84"/>
  <c r="N25" i="84"/>
  <c r="N2" i="84"/>
  <c r="N64" i="84"/>
  <c r="O64" i="84" s="1"/>
  <c r="N41" i="84"/>
  <c r="N5" i="84"/>
  <c r="N22" i="84"/>
  <c r="N32" i="84"/>
  <c r="N51" i="84"/>
  <c r="N8" i="84"/>
  <c r="N13" i="84"/>
  <c r="N35" i="84"/>
  <c r="O35" i="84" s="1"/>
  <c r="N50" i="84"/>
  <c r="O50" i="84" s="1"/>
  <c r="N54" i="84"/>
  <c r="N48" i="84"/>
  <c r="O48" i="84" s="1"/>
  <c r="N49" i="84"/>
  <c r="N46" i="84"/>
  <c r="N62" i="84"/>
  <c r="O62" i="84" s="1"/>
  <c r="N19" i="84"/>
  <c r="N30" i="84"/>
  <c r="N15" i="84"/>
  <c r="N9" i="84"/>
  <c r="N17" i="84"/>
  <c r="N38" i="84"/>
  <c r="O38" i="84" s="1"/>
  <c r="N56" i="84"/>
  <c r="N4" i="84"/>
  <c r="N6" i="84"/>
  <c r="N45" i="84"/>
  <c r="N20" i="84"/>
  <c r="N42" i="84"/>
  <c r="N10" i="84"/>
  <c r="N43" i="84"/>
  <c r="O43" i="84" s="1"/>
  <c r="N18" i="84"/>
  <c r="N24" i="84"/>
  <c r="N55" i="84"/>
  <c r="N27" i="84"/>
  <c r="N58" i="84"/>
  <c r="O58" i="84" s="1"/>
  <c r="N61" i="84"/>
  <c r="N31" i="84"/>
  <c r="N21" i="84"/>
  <c r="N3" i="84"/>
  <c r="N11" i="84"/>
  <c r="N37" i="84"/>
  <c r="O37" i="84" s="1"/>
  <c r="N53" i="84"/>
  <c r="O53" i="84" s="1"/>
  <c r="N29" i="84"/>
  <c r="N28" i="84"/>
  <c r="O28" i="84" s="1"/>
  <c r="N23" i="84"/>
  <c r="O23" i="84" s="1"/>
  <c r="N39" i="84"/>
  <c r="O39" i="84" s="1"/>
  <c r="N33" i="84"/>
  <c r="O33" i="84" s="1"/>
  <c r="N71" i="84"/>
  <c r="N26" i="84"/>
  <c r="N12" i="84"/>
  <c r="N34" i="84"/>
  <c r="O34" i="84" s="1"/>
  <c r="N44" i="84"/>
  <c r="N7" i="84"/>
  <c r="N16" i="84"/>
  <c r="BT283" i="55"/>
  <c r="BT284" i="55"/>
  <c r="BT193" i="55"/>
  <c r="BT105" i="55"/>
  <c r="BT163" i="55"/>
  <c r="BT195" i="55"/>
  <c r="BT134" i="55"/>
  <c r="BT44" i="55"/>
  <c r="BT41" i="55"/>
  <c r="BT217" i="55"/>
  <c r="BT77" i="55"/>
  <c r="BT252" i="55"/>
  <c r="BT76" i="55"/>
  <c r="BT12" i="55"/>
  <c r="BT188" i="55"/>
  <c r="BT225" i="55"/>
  <c r="BT159" i="55"/>
  <c r="BT138" i="55"/>
  <c r="BT285" i="55"/>
  <c r="BT168" i="55"/>
  <c r="BT277" i="55"/>
  <c r="BT37" i="55"/>
  <c r="BT248" i="55"/>
  <c r="BT258" i="55"/>
  <c r="BT191" i="55"/>
  <c r="BT254" i="55"/>
  <c r="BT38" i="55"/>
  <c r="BT99" i="55"/>
  <c r="BT226" i="55"/>
  <c r="BT218" i="55"/>
  <c r="BT72" i="55"/>
  <c r="BT158" i="55"/>
  <c r="BT130" i="55"/>
  <c r="BT73" i="55"/>
  <c r="BT220" i="55"/>
  <c r="BT102" i="55"/>
  <c r="BT17" i="55"/>
  <c r="BT131" i="55"/>
  <c r="BT278" i="55"/>
  <c r="BT67" i="55"/>
  <c r="BT166" i="55"/>
  <c r="BT104" i="55"/>
  <c r="BT194" i="55"/>
  <c r="BT14" i="55"/>
  <c r="BT108" i="55"/>
  <c r="BT165" i="55"/>
  <c r="BT18" i="55"/>
  <c r="BT78" i="55"/>
  <c r="BT197" i="55"/>
  <c r="BT43" i="55"/>
  <c r="BT288" i="55"/>
  <c r="BT287" i="55"/>
  <c r="BT98" i="55"/>
  <c r="BT190" i="55"/>
  <c r="BT7" i="55"/>
  <c r="BT71" i="55"/>
  <c r="BT253" i="55"/>
  <c r="BT133" i="55"/>
  <c r="BT128" i="55"/>
  <c r="BT135" i="55"/>
  <c r="BT227" i="55"/>
  <c r="BT45" i="55"/>
  <c r="BT219" i="55"/>
  <c r="BT107" i="55"/>
  <c r="BT103" i="55"/>
  <c r="BT167" i="55"/>
  <c r="BT280" i="55"/>
  <c r="BT255" i="55"/>
  <c r="BT68" i="55"/>
  <c r="BT222" i="55"/>
  <c r="BT9" i="55"/>
  <c r="BT192" i="55"/>
  <c r="BT75" i="55"/>
  <c r="BT10" i="55"/>
  <c r="BT11" i="55"/>
  <c r="BT251" i="55"/>
  <c r="BT70" i="55"/>
  <c r="BT250" i="55"/>
  <c r="BT129" i="55"/>
  <c r="BT13" i="55"/>
  <c r="BT106" i="55"/>
  <c r="BT39" i="55"/>
  <c r="BT8" i="55"/>
  <c r="BT47" i="55"/>
  <c r="BT136" i="55"/>
  <c r="BT223" i="55"/>
  <c r="BT161" i="55"/>
  <c r="BT257" i="55"/>
  <c r="BT256" i="55"/>
  <c r="BT137" i="55"/>
  <c r="BT279" i="55"/>
  <c r="BT74" i="55"/>
  <c r="BT160" i="55"/>
  <c r="BT196" i="55"/>
  <c r="BT249" i="55"/>
  <c r="BT16" i="55"/>
  <c r="BT164" i="55"/>
  <c r="BT46" i="55"/>
  <c r="BT189" i="55"/>
  <c r="BT15" i="55"/>
  <c r="BT187" i="55"/>
  <c r="BT48" i="55"/>
  <c r="BT69" i="55"/>
  <c r="BT162" i="55"/>
  <c r="BT282" i="55"/>
  <c r="BT281" i="55"/>
  <c r="BT221" i="55"/>
  <c r="BT224" i="55"/>
  <c r="BT127" i="55"/>
  <c r="BT101" i="55"/>
  <c r="BT247" i="55"/>
  <c r="BT40" i="55"/>
  <c r="BT286" i="55"/>
  <c r="BT42" i="55"/>
  <c r="BT132" i="55"/>
  <c r="BT100" i="55"/>
  <c r="BT157" i="55"/>
  <c r="BT228" i="55"/>
  <c r="BT198" i="55"/>
  <c r="BT97" i="55"/>
  <c r="M6" i="80"/>
  <c r="J267" i="55"/>
  <c r="AI269" i="55"/>
  <c r="AJ253" i="55"/>
  <c r="M55" i="80"/>
  <c r="O55" i="80" s="1"/>
  <c r="M45" i="80"/>
  <c r="H28" i="57"/>
  <c r="AH16" i="57"/>
  <c r="AG29" i="57"/>
  <c r="M69" i="83"/>
  <c r="BV68" i="58"/>
  <c r="M73" i="83"/>
  <c r="M70" i="83"/>
  <c r="M8" i="83"/>
  <c r="M56" i="83"/>
  <c r="BY37" i="55"/>
  <c r="BY130" i="55"/>
  <c r="BY194" i="55"/>
  <c r="BY100" i="55"/>
  <c r="BY74" i="55"/>
  <c r="BY160" i="55"/>
  <c r="BY283" i="55"/>
  <c r="BY278" i="55"/>
  <c r="BY16" i="55"/>
  <c r="BY8" i="55"/>
  <c r="BY44" i="55"/>
  <c r="BY103" i="55"/>
  <c r="BY220" i="55"/>
  <c r="BY287" i="55"/>
  <c r="BY249" i="55"/>
  <c r="BY101" i="55"/>
  <c r="BY104" i="55"/>
  <c r="BY129" i="55"/>
  <c r="BY108" i="55"/>
  <c r="BY163" i="55"/>
  <c r="BY43" i="55"/>
  <c r="BY189" i="55"/>
  <c r="BY17" i="55"/>
  <c r="BY68" i="55"/>
  <c r="BY67" i="55"/>
  <c r="BY284" i="55"/>
  <c r="BY192" i="55"/>
  <c r="BY99" i="55"/>
  <c r="BY248" i="55"/>
  <c r="BY38" i="55"/>
  <c r="BY164" i="55"/>
  <c r="BY258" i="55"/>
  <c r="BY77" i="55"/>
  <c r="BY40" i="55"/>
  <c r="BY107" i="55"/>
  <c r="BY47" i="55"/>
  <c r="BY222" i="55"/>
  <c r="BY72" i="55"/>
  <c r="BY127" i="55"/>
  <c r="BY254" i="55"/>
  <c r="BY157" i="55"/>
  <c r="BY13" i="55"/>
  <c r="BY251" i="55"/>
  <c r="BY190" i="55"/>
  <c r="BY69" i="55"/>
  <c r="BY39" i="55"/>
  <c r="BY42" i="55"/>
  <c r="BY136" i="55"/>
  <c r="BY105" i="55"/>
  <c r="BY227" i="55"/>
  <c r="BY134" i="55"/>
  <c r="BY133" i="55"/>
  <c r="BY70" i="55"/>
  <c r="BY277" i="55"/>
  <c r="BY218" i="55"/>
  <c r="BY165" i="55"/>
  <c r="BY159" i="55"/>
  <c r="BY45" i="55"/>
  <c r="BY9" i="55"/>
  <c r="BY255" i="55"/>
  <c r="BY286" i="55"/>
  <c r="BY187" i="55"/>
  <c r="BY76" i="55"/>
  <c r="BY288" i="55"/>
  <c r="BY41" i="55"/>
  <c r="BY225" i="55"/>
  <c r="BY228" i="55"/>
  <c r="BY14" i="55"/>
  <c r="BY256" i="55"/>
  <c r="BY281" i="55"/>
  <c r="BY18" i="55"/>
  <c r="BY158" i="55"/>
  <c r="BY15" i="55"/>
  <c r="BY11" i="55"/>
  <c r="BY195" i="55"/>
  <c r="BY166" i="55"/>
  <c r="BY223" i="55"/>
  <c r="BY191" i="55"/>
  <c r="BY253" i="55"/>
  <c r="BY197" i="55"/>
  <c r="BY162" i="55"/>
  <c r="BY132" i="55"/>
  <c r="BY12" i="55"/>
  <c r="BY128" i="55"/>
  <c r="BY193" i="55"/>
  <c r="BY188" i="55"/>
  <c r="BY167" i="55"/>
  <c r="BY280" i="55"/>
  <c r="BY250" i="55"/>
  <c r="BY106" i="55"/>
  <c r="BY78" i="55"/>
  <c r="BY196" i="55"/>
  <c r="BY198" i="55"/>
  <c r="BY102" i="55"/>
  <c r="BY257" i="55"/>
  <c r="BY75" i="55"/>
  <c r="BY48" i="55"/>
  <c r="BY7" i="55"/>
  <c r="BY221" i="55"/>
  <c r="BY247" i="55"/>
  <c r="BY217" i="55"/>
  <c r="BY71" i="55"/>
  <c r="BY282" i="55"/>
  <c r="BY219" i="55"/>
  <c r="BY226" i="55"/>
  <c r="BY138" i="55"/>
  <c r="BY135" i="55"/>
  <c r="BY168" i="55"/>
  <c r="BY161" i="55"/>
  <c r="BY46" i="55"/>
  <c r="BY97" i="55"/>
  <c r="BY279" i="55"/>
  <c r="BY137" i="55"/>
  <c r="BY131" i="55"/>
  <c r="BY73" i="55"/>
  <c r="BY285" i="55"/>
  <c r="BY252" i="55"/>
  <c r="BY224" i="55"/>
  <c r="BY10" i="55"/>
  <c r="BY98" i="55"/>
  <c r="M8" i="80"/>
  <c r="M71" i="80"/>
  <c r="AN220" i="55"/>
  <c r="N236" i="55"/>
  <c r="AM239" i="55"/>
  <c r="AM29" i="55"/>
  <c r="N27" i="55"/>
  <c r="AN13" i="55"/>
  <c r="M64" i="80"/>
  <c r="M13" i="83"/>
  <c r="M100" i="83"/>
  <c r="BV168" i="58"/>
  <c r="M64" i="83"/>
  <c r="M33" i="83"/>
  <c r="M46" i="83"/>
  <c r="M4" i="83"/>
  <c r="I120" i="50"/>
  <c r="K120" i="50"/>
  <c r="B119" i="50"/>
  <c r="S120" i="50"/>
  <c r="Q120" i="50"/>
  <c r="T138" i="50"/>
  <c r="T139" i="50" s="1"/>
  <c r="H138" i="50"/>
  <c r="H139" i="50" s="1"/>
  <c r="L138" i="50"/>
  <c r="L139" i="50" s="1"/>
  <c r="P138" i="50"/>
  <c r="P139" i="50" s="1"/>
  <c r="F138" i="50"/>
  <c r="F139" i="50" s="1"/>
  <c r="U120" i="50"/>
  <c r="B147" i="50"/>
  <c r="G120" i="50"/>
  <c r="O120" i="50"/>
  <c r="N138" i="50"/>
  <c r="N139" i="50" s="1"/>
  <c r="R138" i="50"/>
  <c r="R139" i="50" s="1"/>
  <c r="M120" i="50"/>
  <c r="D138" i="50"/>
  <c r="D139" i="50" s="1"/>
  <c r="J138" i="50"/>
  <c r="J139" i="50" s="1"/>
  <c r="E120" i="50"/>
  <c r="M32" i="81"/>
  <c r="O32" i="81" s="1"/>
  <c r="L118" i="55"/>
  <c r="AL106" i="55"/>
  <c r="AK119" i="55"/>
  <c r="M25" i="80"/>
  <c r="AT193" i="55"/>
  <c r="AS209" i="55"/>
  <c r="T207" i="55"/>
  <c r="AH157" i="53"/>
  <c r="H175" i="53"/>
  <c r="AG179" i="53"/>
  <c r="M22" i="83"/>
  <c r="M102" i="83"/>
  <c r="BV160" i="58"/>
  <c r="M24" i="83"/>
  <c r="M25" i="83"/>
  <c r="M12" i="83"/>
  <c r="M19" i="83"/>
  <c r="AH163" i="57"/>
  <c r="H177" i="57"/>
  <c r="AG179" i="57"/>
  <c r="AC209" i="55"/>
  <c r="D207" i="55"/>
  <c r="AD193" i="55"/>
  <c r="M32" i="80"/>
  <c r="J148" i="57"/>
  <c r="AJ136" i="57"/>
  <c r="AI149" i="57"/>
  <c r="N54" i="80"/>
  <c r="M10" i="83"/>
  <c r="M82" i="83"/>
  <c r="BV280" i="58"/>
  <c r="M59" i="83"/>
  <c r="M40" i="83"/>
  <c r="M39" i="83"/>
  <c r="M23" i="83"/>
  <c r="R207" i="55"/>
  <c r="AR193" i="55"/>
  <c r="AQ209" i="55"/>
  <c r="P207" i="57"/>
  <c r="AO209" i="57"/>
  <c r="AP193" i="57"/>
  <c r="N29" i="80"/>
  <c r="F86" i="57"/>
  <c r="AF70" i="57"/>
  <c r="AE89" i="57"/>
  <c r="M28" i="83"/>
  <c r="M87" i="83"/>
  <c r="M29" i="83"/>
  <c r="M38" i="83"/>
  <c r="M60" i="83"/>
  <c r="M14" i="83"/>
  <c r="AH160" i="55"/>
  <c r="H176" i="55"/>
  <c r="AN16" i="55"/>
  <c r="N28" i="55"/>
  <c r="N72" i="80"/>
  <c r="AT247" i="55"/>
  <c r="T265" i="55"/>
  <c r="AS269" i="55"/>
  <c r="AP10" i="55"/>
  <c r="AO29" i="55"/>
  <c r="P26" i="55"/>
  <c r="M54" i="83"/>
  <c r="L206" i="53"/>
  <c r="AK209" i="53"/>
  <c r="AL190" i="53"/>
  <c r="N58" i="80"/>
  <c r="P58" i="57"/>
  <c r="AP46" i="57"/>
  <c r="AO59" i="57"/>
  <c r="O187" i="59"/>
  <c r="M85" i="83"/>
  <c r="M96" i="83"/>
  <c r="M44" i="83"/>
  <c r="M6" i="83"/>
  <c r="M31" i="83"/>
  <c r="M27" i="83"/>
  <c r="AJ286" i="55"/>
  <c r="J298" i="55"/>
  <c r="AI299" i="55"/>
  <c r="N49" i="80"/>
  <c r="T206" i="53"/>
  <c r="AT190" i="53"/>
  <c r="AS209" i="53"/>
  <c r="M103" i="83"/>
  <c r="M83" i="83"/>
  <c r="M43" i="83"/>
  <c r="M49" i="83"/>
  <c r="M41" i="83"/>
  <c r="M35" i="83"/>
  <c r="I46" i="52"/>
  <c r="O74" i="81" l="1"/>
  <c r="P72" i="81" s="1"/>
  <c r="BV255" i="57"/>
  <c r="BV249" i="57"/>
  <c r="AJ110" i="57"/>
  <c r="K110" i="57" s="1"/>
  <c r="AR79" i="57"/>
  <c r="S79" i="57" s="1"/>
  <c r="F269" i="57"/>
  <c r="J119" i="57"/>
  <c r="AL169" i="57"/>
  <c r="M169" i="57" s="1"/>
  <c r="P59" i="81"/>
  <c r="O17" i="80"/>
  <c r="O20" i="80"/>
  <c r="O19" i="80"/>
  <c r="O21" i="80"/>
  <c r="O16" i="80"/>
  <c r="O58" i="80"/>
  <c r="O88" i="80"/>
  <c r="O76" i="80"/>
  <c r="O92" i="80"/>
  <c r="O99" i="80"/>
  <c r="O90" i="80"/>
  <c r="O75" i="80"/>
  <c r="O84" i="80"/>
  <c r="O93" i="80"/>
  <c r="O89" i="80"/>
  <c r="O91" i="80"/>
  <c r="O94" i="80"/>
  <c r="O83" i="80"/>
  <c r="O82" i="80"/>
  <c r="O79" i="80"/>
  <c r="O97" i="80"/>
  <c r="O102" i="80"/>
  <c r="O95" i="80"/>
  <c r="O87" i="80"/>
  <c r="O78" i="80"/>
  <c r="O96" i="80"/>
  <c r="O74" i="80"/>
  <c r="O80" i="80"/>
  <c r="O103" i="80"/>
  <c r="O81" i="80"/>
  <c r="O98" i="80"/>
  <c r="O101" i="80"/>
  <c r="O77" i="80"/>
  <c r="O100" i="80"/>
  <c r="O86" i="80"/>
  <c r="O104" i="80"/>
  <c r="O85" i="80"/>
  <c r="O57" i="80"/>
  <c r="O60" i="80"/>
  <c r="O59" i="80"/>
  <c r="O61" i="80"/>
  <c r="O68" i="80"/>
  <c r="O42" i="80"/>
  <c r="O71" i="80"/>
  <c r="O70" i="80"/>
  <c r="O69" i="80"/>
  <c r="O29" i="80"/>
  <c r="O32" i="80"/>
  <c r="O54" i="80"/>
  <c r="O31" i="80"/>
  <c r="O30" i="80"/>
  <c r="O53" i="80"/>
  <c r="O45" i="80"/>
  <c r="O44" i="80"/>
  <c r="O49" i="80"/>
  <c r="O52" i="80"/>
  <c r="O51" i="80"/>
  <c r="P9" i="83"/>
  <c r="AT50" i="59"/>
  <c r="U50" i="59" s="1"/>
  <c r="AL110" i="58"/>
  <c r="M110" i="58" s="1"/>
  <c r="L119" i="58"/>
  <c r="O46" i="80"/>
  <c r="O13" i="80"/>
  <c r="O66" i="80"/>
  <c r="O14" i="80"/>
  <c r="O15" i="80"/>
  <c r="O12" i="80"/>
  <c r="O25" i="80"/>
  <c r="O65" i="80"/>
  <c r="O26" i="80"/>
  <c r="O27" i="80"/>
  <c r="O24" i="80"/>
  <c r="O10" i="80"/>
  <c r="O11" i="80"/>
  <c r="O22" i="80"/>
  <c r="O72" i="80"/>
  <c r="O9" i="80"/>
  <c r="O2" i="80"/>
  <c r="O5" i="80"/>
  <c r="O3" i="80"/>
  <c r="O4" i="80"/>
  <c r="AT289" i="55"/>
  <c r="U289" i="55" s="1"/>
  <c r="O89" i="79"/>
  <c r="O86" i="79"/>
  <c r="O77" i="79"/>
  <c r="O96" i="79"/>
  <c r="O103" i="79"/>
  <c r="O97" i="79"/>
  <c r="BV160" i="59"/>
  <c r="BV168" i="57"/>
  <c r="BV42" i="57"/>
  <c r="BV157" i="57"/>
  <c r="BZ196" i="59"/>
  <c r="BV219" i="57"/>
  <c r="BV258" i="57"/>
  <c r="BZ136" i="59"/>
  <c r="BV44" i="57"/>
  <c r="BV41" i="58"/>
  <c r="BV257" i="57"/>
  <c r="BZ68" i="57"/>
  <c r="BZ104" i="58"/>
  <c r="M85" i="84"/>
  <c r="T59" i="59"/>
  <c r="BV105" i="57"/>
  <c r="M11" i="84"/>
  <c r="M11" i="85" s="1"/>
  <c r="O67" i="79"/>
  <c r="O74" i="79"/>
  <c r="M93" i="84"/>
  <c r="O73" i="79"/>
  <c r="O82" i="79"/>
  <c r="O94" i="79"/>
  <c r="O84" i="79"/>
  <c r="O91" i="79"/>
  <c r="O92" i="79"/>
  <c r="O88" i="79"/>
  <c r="O85" i="79"/>
  <c r="M88" i="84"/>
  <c r="P103" i="83"/>
  <c r="P89" i="83"/>
  <c r="P81" i="83"/>
  <c r="O98" i="79"/>
  <c r="O104" i="79"/>
  <c r="O87" i="79"/>
  <c r="O83" i="79"/>
  <c r="O101" i="79"/>
  <c r="O80" i="79"/>
  <c r="O99" i="79"/>
  <c r="O76" i="79"/>
  <c r="O93" i="79"/>
  <c r="O75" i="79"/>
  <c r="O100" i="79"/>
  <c r="O3" i="84"/>
  <c r="M96" i="84"/>
  <c r="M75" i="84"/>
  <c r="M98" i="84"/>
  <c r="M73" i="84"/>
  <c r="M103" i="84"/>
  <c r="M84" i="84"/>
  <c r="M80" i="84"/>
  <c r="M90" i="84"/>
  <c r="M95" i="84"/>
  <c r="M102" i="84"/>
  <c r="M83" i="84"/>
  <c r="M101" i="84"/>
  <c r="M91" i="84"/>
  <c r="M74" i="84"/>
  <c r="M76" i="84"/>
  <c r="M100" i="84"/>
  <c r="M79" i="84"/>
  <c r="M78" i="84"/>
  <c r="M77" i="84"/>
  <c r="M104" i="84"/>
  <c r="M97" i="84"/>
  <c r="M87" i="84"/>
  <c r="M86" i="84"/>
  <c r="M89" i="84"/>
  <c r="M92" i="84"/>
  <c r="AJ199" i="53"/>
  <c r="K199" i="53" s="1"/>
  <c r="P92" i="83"/>
  <c r="P69" i="83"/>
  <c r="P64" i="83"/>
  <c r="P2" i="83"/>
  <c r="E5" i="83" s="1"/>
  <c r="P73" i="83"/>
  <c r="H149" i="59"/>
  <c r="P12" i="83"/>
  <c r="P54" i="83"/>
  <c r="AH140" i="59"/>
  <c r="I140" i="59" s="1"/>
  <c r="O22" i="84"/>
  <c r="N84" i="84"/>
  <c r="O51" i="84"/>
  <c r="N88" i="84"/>
  <c r="O41" i="84"/>
  <c r="O17" i="84"/>
  <c r="N86" i="84"/>
  <c r="N94" i="84"/>
  <c r="N103" i="84"/>
  <c r="BZ224" i="53"/>
  <c r="N77" i="84"/>
  <c r="N73" i="84"/>
  <c r="N90" i="84"/>
  <c r="N97" i="84"/>
  <c r="N72" i="84"/>
  <c r="O72" i="84" s="1"/>
  <c r="N96" i="84"/>
  <c r="N91" i="84"/>
  <c r="N83" i="84"/>
  <c r="N99" i="84"/>
  <c r="N100" i="84"/>
  <c r="N102" i="84"/>
  <c r="N85" i="84"/>
  <c r="O6" i="84"/>
  <c r="BZ278" i="53"/>
  <c r="BZ167" i="53"/>
  <c r="BZ194" i="53"/>
  <c r="BZ128" i="53"/>
  <c r="BZ161" i="53"/>
  <c r="BZ225" i="53"/>
  <c r="BZ286" i="53"/>
  <c r="N92" i="84"/>
  <c r="N80" i="84"/>
  <c r="N87" i="84"/>
  <c r="N79" i="84"/>
  <c r="N98" i="84"/>
  <c r="N76" i="84"/>
  <c r="N70" i="84"/>
  <c r="N70" i="85" s="1"/>
  <c r="N81" i="84"/>
  <c r="BZ104" i="53"/>
  <c r="BZ188" i="53"/>
  <c r="BZ253" i="53"/>
  <c r="BZ189" i="53"/>
  <c r="BZ187" i="53"/>
  <c r="BZ283" i="53"/>
  <c r="BZ247" i="53"/>
  <c r="BZ279" i="53"/>
  <c r="BZ105" i="53"/>
  <c r="BZ39" i="53"/>
  <c r="BZ40" i="53"/>
  <c r="BZ162" i="53"/>
  <c r="BZ74" i="53"/>
  <c r="BZ248" i="53"/>
  <c r="BZ280" i="53"/>
  <c r="BZ221" i="53"/>
  <c r="BZ72" i="53"/>
  <c r="BZ107" i="53"/>
  <c r="BZ106" i="53"/>
  <c r="BZ38" i="53"/>
  <c r="BZ10" i="53"/>
  <c r="N89" i="84"/>
  <c r="N93" i="84"/>
  <c r="N78" i="84"/>
  <c r="N68" i="84"/>
  <c r="O68" i="84" s="1"/>
  <c r="BZ77" i="53"/>
  <c r="BZ46" i="53"/>
  <c r="BZ257" i="53"/>
  <c r="BZ75" i="53"/>
  <c r="BZ284" i="53"/>
  <c r="BZ17" i="53"/>
  <c r="BZ103" i="53"/>
  <c r="BZ71" i="53"/>
  <c r="BZ98" i="53"/>
  <c r="BZ127" i="53"/>
  <c r="BZ160" i="53"/>
  <c r="BZ168" i="53"/>
  <c r="BZ256" i="53"/>
  <c r="BZ195" i="53"/>
  <c r="BZ282" i="53"/>
  <c r="BZ281" i="53"/>
  <c r="BZ165" i="53"/>
  <c r="BZ218" i="53"/>
  <c r="BZ130" i="53"/>
  <c r="N75" i="84"/>
  <c r="BZ223" i="53"/>
  <c r="BZ108" i="53"/>
  <c r="BZ9" i="53"/>
  <c r="BZ41" i="53"/>
  <c r="BV221" i="53"/>
  <c r="BZ157" i="53"/>
  <c r="N74" i="84"/>
  <c r="N95" i="84"/>
  <c r="N101" i="84"/>
  <c r="BZ37" i="53"/>
  <c r="BZ219" i="53"/>
  <c r="BV102" i="53"/>
  <c r="BZ101" i="53"/>
  <c r="BZ48" i="53"/>
  <c r="BZ198" i="53"/>
  <c r="BZ100" i="53"/>
  <c r="N104" i="84"/>
  <c r="N82" i="84"/>
  <c r="BZ252" i="53"/>
  <c r="BZ134" i="53"/>
  <c r="O16" i="84"/>
  <c r="N59" i="84"/>
  <c r="N59" i="85" s="1"/>
  <c r="N66" i="84"/>
  <c r="O66" i="84" s="1"/>
  <c r="O21" i="84"/>
  <c r="BZ78" i="53"/>
  <c r="BZ132" i="53"/>
  <c r="BZ287" i="53"/>
  <c r="BZ42" i="53"/>
  <c r="BZ8" i="53"/>
  <c r="BV128" i="53"/>
  <c r="BZ67" i="53"/>
  <c r="BZ226" i="53"/>
  <c r="BZ277" i="53"/>
  <c r="BZ136" i="53"/>
  <c r="BZ44" i="53"/>
  <c r="BZ99" i="53"/>
  <c r="BZ163" i="53"/>
  <c r="BZ285" i="53"/>
  <c r="BZ69" i="53"/>
  <c r="BZ102" i="53"/>
  <c r="BV251" i="53"/>
  <c r="BV190" i="53"/>
  <c r="BZ164" i="53"/>
  <c r="BZ193" i="53"/>
  <c r="BZ255" i="53"/>
  <c r="BZ258" i="53"/>
  <c r="BZ15" i="53"/>
  <c r="BZ13" i="53"/>
  <c r="BZ190" i="53"/>
  <c r="BZ18" i="53"/>
  <c r="BZ137" i="53"/>
  <c r="BZ228" i="53"/>
  <c r="BZ129" i="53"/>
  <c r="BZ254" i="53"/>
  <c r="BZ138" i="53"/>
  <c r="BZ135" i="53"/>
  <c r="BZ220" i="53"/>
  <c r="BZ227" i="53"/>
  <c r="BZ251" i="53"/>
  <c r="BZ45" i="53"/>
  <c r="BZ76" i="53"/>
  <c r="BZ11" i="53"/>
  <c r="BZ197" i="53"/>
  <c r="BZ288" i="53"/>
  <c r="BZ16" i="53"/>
  <c r="BZ131" i="53"/>
  <c r="BZ14" i="53"/>
  <c r="N69" i="84"/>
  <c r="N69" i="85" s="1"/>
  <c r="BZ158" i="53"/>
  <c r="BZ249" i="53"/>
  <c r="BZ97" i="53"/>
  <c r="BZ7" i="53"/>
  <c r="BZ133" i="53"/>
  <c r="BZ196" i="53"/>
  <c r="BZ73" i="53"/>
  <c r="BZ47" i="53"/>
  <c r="BZ250" i="53"/>
  <c r="BZ166" i="53"/>
  <c r="BZ191" i="53"/>
  <c r="BZ68" i="53"/>
  <c r="BZ192" i="53"/>
  <c r="BZ222" i="53"/>
  <c r="BZ12" i="53"/>
  <c r="BZ217" i="53"/>
  <c r="BZ70" i="53"/>
  <c r="BV288" i="53"/>
  <c r="N65" i="84"/>
  <c r="N65" i="85" s="1"/>
  <c r="O18" i="84"/>
  <c r="N57" i="84"/>
  <c r="O57" i="84" s="1"/>
  <c r="AN229" i="53"/>
  <c r="O229" i="53" s="1"/>
  <c r="D59" i="58"/>
  <c r="N29" i="57"/>
  <c r="BV44" i="53"/>
  <c r="BV257" i="53"/>
  <c r="BV7" i="57"/>
  <c r="BV288" i="57"/>
  <c r="BZ193" i="59"/>
  <c r="BZ249" i="59"/>
  <c r="BV127" i="57"/>
  <c r="BZ101" i="59"/>
  <c r="BZ163" i="59"/>
  <c r="BZ39" i="59"/>
  <c r="BZ102" i="59"/>
  <c r="BZ228" i="59"/>
  <c r="BZ165" i="59"/>
  <c r="BV158" i="57"/>
  <c r="BZ220" i="59"/>
  <c r="BV258" i="53"/>
  <c r="BV46" i="53"/>
  <c r="BV254" i="53"/>
  <c r="BV218" i="53"/>
  <c r="BZ164" i="59"/>
  <c r="BV134" i="57"/>
  <c r="BZ127" i="59"/>
  <c r="BZ287" i="59"/>
  <c r="BZ279" i="59"/>
  <c r="BZ251" i="59"/>
  <c r="BZ218" i="59"/>
  <c r="BZ70" i="59"/>
  <c r="BV191" i="57"/>
  <c r="BV138" i="53"/>
  <c r="BV103" i="53"/>
  <c r="BV100" i="53"/>
  <c r="BV75" i="53"/>
  <c r="BV11" i="53"/>
  <c r="BV220" i="53"/>
  <c r="BV18" i="57"/>
  <c r="BV223" i="53"/>
  <c r="BV102" i="57"/>
  <c r="BZ97" i="59"/>
  <c r="BZ190" i="59"/>
  <c r="BZ157" i="59"/>
  <c r="BZ247" i="59"/>
  <c r="BZ68" i="59"/>
  <c r="BV256" i="57"/>
  <c r="BV198" i="53"/>
  <c r="BV253" i="53"/>
  <c r="BV106" i="53"/>
  <c r="BV135" i="53"/>
  <c r="BV196" i="53"/>
  <c r="BV228" i="57"/>
  <c r="BV45" i="57"/>
  <c r="BV13" i="57"/>
  <c r="BZ11" i="59"/>
  <c r="BZ227" i="59"/>
  <c r="BV284" i="53"/>
  <c r="BZ253" i="59"/>
  <c r="BZ7" i="59"/>
  <c r="BZ133" i="59"/>
  <c r="BZ129" i="59"/>
  <c r="BZ224" i="59"/>
  <c r="BZ161" i="59"/>
  <c r="BZ12" i="59"/>
  <c r="BV131" i="57"/>
  <c r="BV166" i="57"/>
  <c r="BV226" i="57"/>
  <c r="BV74" i="57"/>
  <c r="BV98" i="53"/>
  <c r="BV9" i="53"/>
  <c r="BV226" i="53"/>
  <c r="BV157" i="53"/>
  <c r="BV48" i="57"/>
  <c r="BV193" i="57"/>
  <c r="BV38" i="57"/>
  <c r="BV128" i="57"/>
  <c r="BV7" i="53"/>
  <c r="BV279" i="53"/>
  <c r="BZ286" i="59"/>
  <c r="BV163" i="57"/>
  <c r="BZ159" i="59"/>
  <c r="BZ77" i="59"/>
  <c r="BV254" i="57"/>
  <c r="BV41" i="57"/>
  <c r="BV280" i="57"/>
  <c r="BV223" i="57"/>
  <c r="BV78" i="57"/>
  <c r="BV197" i="53"/>
  <c r="BV277" i="53"/>
  <c r="BV47" i="53"/>
  <c r="BV228" i="53"/>
  <c r="BV107" i="53"/>
  <c r="BV285" i="53"/>
  <c r="BV41" i="53"/>
  <c r="BV227" i="57"/>
  <c r="BV73" i="57"/>
  <c r="BV17" i="57"/>
  <c r="BV107" i="57"/>
  <c r="BV161" i="57"/>
  <c r="BV168" i="53"/>
  <c r="BZ284" i="59"/>
  <c r="BZ195" i="59"/>
  <c r="BZ134" i="59"/>
  <c r="BZ17" i="59"/>
  <c r="BZ221" i="59"/>
  <c r="BV194" i="57"/>
  <c r="BV189" i="57"/>
  <c r="BV67" i="53"/>
  <c r="BV13" i="53"/>
  <c r="BV18" i="53"/>
  <c r="BV77" i="53"/>
  <c r="BV68" i="53"/>
  <c r="BV99" i="53"/>
  <c r="BV165" i="57"/>
  <c r="BV97" i="53"/>
  <c r="BV14" i="53"/>
  <c r="BV129" i="57"/>
  <c r="BV279" i="57"/>
  <c r="BV15" i="57"/>
  <c r="BV69" i="53"/>
  <c r="BV252" i="57"/>
  <c r="BV103" i="57"/>
  <c r="BZ137" i="59"/>
  <c r="BZ128" i="59"/>
  <c r="BV220" i="57"/>
  <c r="BZ138" i="59"/>
  <c r="BZ104" i="59"/>
  <c r="BZ8" i="59"/>
  <c r="BZ189" i="59"/>
  <c r="BZ277" i="59"/>
  <c r="BZ14" i="59"/>
  <c r="BV225" i="57"/>
  <c r="BV8" i="57"/>
  <c r="BV159" i="57"/>
  <c r="BV248" i="53"/>
  <c r="BV10" i="53"/>
  <c r="BV247" i="53"/>
  <c r="BV104" i="53"/>
  <c r="BV101" i="57"/>
  <c r="BV137" i="53"/>
  <c r="BZ67" i="59"/>
  <c r="BV253" i="57"/>
  <c r="BV130" i="57"/>
  <c r="BV106" i="57"/>
  <c r="BV132" i="57"/>
  <c r="BV137" i="57"/>
  <c r="BV224" i="57"/>
  <c r="BZ48" i="59"/>
  <c r="BZ283" i="59"/>
  <c r="BZ9" i="59"/>
  <c r="BZ282" i="59"/>
  <c r="BZ187" i="59"/>
  <c r="BZ46" i="59"/>
  <c r="BV133" i="53"/>
  <c r="BV16" i="53"/>
  <c r="BV278" i="53"/>
  <c r="BV70" i="53"/>
  <c r="BV131" i="53"/>
  <c r="BV76" i="53"/>
  <c r="BV164" i="53"/>
  <c r="BV108" i="53"/>
  <c r="BZ166" i="59"/>
  <c r="BV281" i="57"/>
  <c r="BV46" i="57"/>
  <c r="BV133" i="57"/>
  <c r="BV286" i="57"/>
  <c r="R167" i="41"/>
  <c r="R168" i="41" s="1"/>
  <c r="H167" i="41"/>
  <c r="H168" i="41" s="1"/>
  <c r="E149" i="41"/>
  <c r="O149" i="41"/>
  <c r="B148" i="41"/>
  <c r="M149" i="41"/>
  <c r="K149" i="41"/>
  <c r="P167" i="41"/>
  <c r="P168" i="41" s="1"/>
  <c r="J167" i="41"/>
  <c r="J168" i="41" s="1"/>
  <c r="S149" i="41"/>
  <c r="B176" i="41"/>
  <c r="D167" i="41"/>
  <c r="D168" i="41" s="1"/>
  <c r="T167" i="41"/>
  <c r="T168" i="41" s="1"/>
  <c r="N167" i="41"/>
  <c r="N168" i="41" s="1"/>
  <c r="L167" i="41"/>
  <c r="L168" i="41" s="1"/>
  <c r="F167" i="41"/>
  <c r="F168" i="41" s="1"/>
  <c r="I149" i="41"/>
  <c r="G149" i="41"/>
  <c r="Q149" i="41"/>
  <c r="U149" i="41"/>
  <c r="BZ250" i="59"/>
  <c r="BZ42" i="59"/>
  <c r="BZ108" i="59"/>
  <c r="BZ13" i="59"/>
  <c r="BZ135" i="59"/>
  <c r="BZ100" i="59"/>
  <c r="BZ223" i="59"/>
  <c r="BZ160" i="59"/>
  <c r="BV134" i="53"/>
  <c r="BV222" i="53"/>
  <c r="BV192" i="53"/>
  <c r="BV159" i="53"/>
  <c r="BV166" i="53"/>
  <c r="BZ67" i="58"/>
  <c r="BV72" i="53"/>
  <c r="BZ107" i="59"/>
  <c r="BV74" i="53"/>
  <c r="BV162" i="53"/>
  <c r="BV195" i="57"/>
  <c r="BV164" i="57"/>
  <c r="BV98" i="57"/>
  <c r="BV280" i="53"/>
  <c r="BV14" i="57"/>
  <c r="BV77" i="57"/>
  <c r="BZ72" i="59"/>
  <c r="BZ103" i="59"/>
  <c r="BZ168" i="59"/>
  <c r="BZ162" i="59"/>
  <c r="BZ98" i="59"/>
  <c r="BV219" i="53"/>
  <c r="BV129" i="53"/>
  <c r="BV283" i="53"/>
  <c r="BV190" i="57"/>
  <c r="BZ248" i="59"/>
  <c r="BV188" i="57"/>
  <c r="BV69" i="57"/>
  <c r="BV285" i="57"/>
  <c r="BV158" i="53"/>
  <c r="BV12" i="57"/>
  <c r="BZ254" i="59"/>
  <c r="BZ217" i="59"/>
  <c r="BV75" i="57"/>
  <c r="BZ256" i="59"/>
  <c r="F138" i="51"/>
  <c r="F139" i="51" s="1"/>
  <c r="I120" i="51"/>
  <c r="Q120" i="51"/>
  <c r="P138" i="51"/>
  <c r="P139" i="51" s="1"/>
  <c r="U120" i="51"/>
  <c r="K120" i="51"/>
  <c r="M120" i="51"/>
  <c r="B147" i="51"/>
  <c r="J138" i="51"/>
  <c r="J139" i="51" s="1"/>
  <c r="E120" i="51"/>
  <c r="S120" i="51"/>
  <c r="R138" i="51"/>
  <c r="R139" i="51" s="1"/>
  <c r="H138" i="51"/>
  <c r="H139" i="51" s="1"/>
  <c r="L138" i="51"/>
  <c r="L139" i="51" s="1"/>
  <c r="B119" i="51"/>
  <c r="T138" i="51"/>
  <c r="T139" i="51" s="1"/>
  <c r="G120" i="51"/>
  <c r="N138" i="51"/>
  <c r="N139" i="51" s="1"/>
  <c r="D138" i="51"/>
  <c r="D139" i="51" s="1"/>
  <c r="O120" i="51"/>
  <c r="BZ219" i="59"/>
  <c r="BZ38" i="59"/>
  <c r="BZ285" i="59"/>
  <c r="BZ105" i="59"/>
  <c r="BV282" i="53"/>
  <c r="BZ130" i="59"/>
  <c r="BV136" i="53"/>
  <c r="BV37" i="53"/>
  <c r="BV99" i="57"/>
  <c r="BV251" i="57"/>
  <c r="BZ76" i="59"/>
  <c r="BV167" i="57"/>
  <c r="BV187" i="57"/>
  <c r="BV136" i="57"/>
  <c r="BV193" i="53"/>
  <c r="BV101" i="53"/>
  <c r="BV227" i="53"/>
  <c r="BV68" i="57"/>
  <c r="BV10" i="57"/>
  <c r="BV108" i="57"/>
  <c r="BV76" i="57"/>
  <c r="BV11" i="57"/>
  <c r="BZ74" i="59"/>
  <c r="BZ257" i="59"/>
  <c r="BZ78" i="59"/>
  <c r="BZ167" i="59"/>
  <c r="BZ15" i="59"/>
  <c r="BV138" i="57"/>
  <c r="BV40" i="53"/>
  <c r="BV161" i="53"/>
  <c r="BV281" i="53"/>
  <c r="BV188" i="53"/>
  <c r="BV249" i="53"/>
  <c r="BV39" i="53"/>
  <c r="BV218" i="57"/>
  <c r="BV100" i="57"/>
  <c r="BZ40" i="59"/>
  <c r="BV187" i="53"/>
  <c r="BV165" i="53"/>
  <c r="BV9" i="57"/>
  <c r="BV197" i="57"/>
  <c r="BV40" i="57"/>
  <c r="BV105" i="53"/>
  <c r="BV47" i="57"/>
  <c r="BV104" i="57"/>
  <c r="BZ280" i="59"/>
  <c r="BV97" i="57"/>
  <c r="BZ99" i="59"/>
  <c r="BZ131" i="59"/>
  <c r="BZ43" i="59"/>
  <c r="BZ44" i="59"/>
  <c r="BZ158" i="59"/>
  <c r="BZ281" i="59"/>
  <c r="S178" i="46"/>
  <c r="B177" i="46"/>
  <c r="H196" i="46"/>
  <c r="H197" i="46" s="1"/>
  <c r="R196" i="46"/>
  <c r="R197" i="46" s="1"/>
  <c r="O178" i="46"/>
  <c r="E178" i="46"/>
  <c r="F196" i="46"/>
  <c r="F197" i="46" s="1"/>
  <c r="Q178" i="46"/>
  <c r="P196" i="46"/>
  <c r="P197" i="46" s="1"/>
  <c r="J196" i="46"/>
  <c r="J197" i="46" s="1"/>
  <c r="B205" i="46"/>
  <c r="D196" i="46"/>
  <c r="D197" i="46" s="1"/>
  <c r="I178" i="46"/>
  <c r="L196" i="46"/>
  <c r="L197" i="46" s="1"/>
  <c r="N196" i="46"/>
  <c r="N197" i="46" s="1"/>
  <c r="T196" i="46"/>
  <c r="T197" i="46" s="1"/>
  <c r="K178" i="46"/>
  <c r="G178" i="46"/>
  <c r="U178" i="46"/>
  <c r="M178" i="46"/>
  <c r="BV286" i="53"/>
  <c r="BV250" i="53"/>
  <c r="BV38" i="53"/>
  <c r="BV163" i="53"/>
  <c r="BV132" i="53"/>
  <c r="BV167" i="53"/>
  <c r="BV224" i="53"/>
  <c r="BV192" i="57"/>
  <c r="BZ255" i="59"/>
  <c r="BZ43" i="53"/>
  <c r="BV42" i="53"/>
  <c r="BZ37" i="59"/>
  <c r="BV67" i="57"/>
  <c r="BV39" i="57"/>
  <c r="BV195" i="53"/>
  <c r="BV248" i="57"/>
  <c r="BV12" i="53"/>
  <c r="BV247" i="57"/>
  <c r="BV160" i="57"/>
  <c r="BV277" i="57"/>
  <c r="BZ192" i="59"/>
  <c r="BZ132" i="59"/>
  <c r="BZ226" i="59"/>
  <c r="BZ41" i="59"/>
  <c r="BZ278" i="59"/>
  <c r="BZ45" i="59"/>
  <c r="BV70" i="57"/>
  <c r="BV222" i="57"/>
  <c r="BV160" i="53"/>
  <c r="BV287" i="53"/>
  <c r="BV189" i="53"/>
  <c r="BV252" i="53"/>
  <c r="BV217" i="53"/>
  <c r="BV73" i="53"/>
  <c r="BZ73" i="59"/>
  <c r="BV194" i="53"/>
  <c r="BZ18" i="59"/>
  <c r="BZ197" i="59"/>
  <c r="BV17" i="53"/>
  <c r="BV284" i="57"/>
  <c r="BV71" i="57"/>
  <c r="BV287" i="57"/>
  <c r="BV72" i="57"/>
  <c r="BV221" i="57"/>
  <c r="BV283" i="57"/>
  <c r="BV43" i="57"/>
  <c r="BV250" i="57"/>
  <c r="BV198" i="57"/>
  <c r="BZ225" i="59"/>
  <c r="BZ10" i="59"/>
  <c r="BZ75" i="59"/>
  <c r="BZ194" i="59"/>
  <c r="BZ191" i="59"/>
  <c r="BZ47" i="59"/>
  <c r="BV282" i="57"/>
  <c r="BV71" i="53"/>
  <c r="BV78" i="53"/>
  <c r="BV130" i="53"/>
  <c r="BV45" i="53"/>
  <c r="BV43" i="53"/>
  <c r="BV37" i="57"/>
  <c r="P86" i="83"/>
  <c r="BV191" i="53"/>
  <c r="BV127" i="53"/>
  <c r="BV217" i="57"/>
  <c r="BV8" i="53"/>
  <c r="BV135" i="57"/>
  <c r="BZ252" i="59"/>
  <c r="BV196" i="57"/>
  <c r="BV278" i="57"/>
  <c r="BZ288" i="59"/>
  <c r="BZ258" i="59"/>
  <c r="BZ71" i="59"/>
  <c r="BZ198" i="59"/>
  <c r="BZ188" i="59"/>
  <c r="BZ222" i="59"/>
  <c r="BZ16" i="59"/>
  <c r="BZ69" i="59"/>
  <c r="BZ106" i="59"/>
  <c r="BV16" i="57"/>
  <c r="BV255" i="53"/>
  <c r="BV256" i="53"/>
  <c r="BV48" i="53"/>
  <c r="BV15" i="53"/>
  <c r="BV225" i="53"/>
  <c r="BV162" i="57"/>
  <c r="O61" i="84"/>
  <c r="O20" i="84"/>
  <c r="O19" i="84"/>
  <c r="O57" i="78"/>
  <c r="O30" i="84"/>
  <c r="O32" i="84"/>
  <c r="O42" i="84"/>
  <c r="O70" i="78"/>
  <c r="O29" i="84"/>
  <c r="M70" i="84"/>
  <c r="M81" i="84"/>
  <c r="M82" i="84"/>
  <c r="M71" i="84"/>
  <c r="O71" i="84" s="1"/>
  <c r="M99" i="84"/>
  <c r="M94" i="84"/>
  <c r="P80" i="83"/>
  <c r="P4" i="82"/>
  <c r="P65" i="83"/>
  <c r="P13" i="83"/>
  <c r="P14" i="83"/>
  <c r="P94" i="83"/>
  <c r="P95" i="83"/>
  <c r="P83" i="83"/>
  <c r="P98" i="83"/>
  <c r="P104" i="83"/>
  <c r="P101" i="83"/>
  <c r="P91" i="83"/>
  <c r="P48" i="83"/>
  <c r="P10" i="83"/>
  <c r="P22" i="83"/>
  <c r="P53" i="83"/>
  <c r="P78" i="83"/>
  <c r="P99" i="83"/>
  <c r="P44" i="83"/>
  <c r="P19" i="83"/>
  <c r="P20" i="83"/>
  <c r="P51" i="83"/>
  <c r="P33" i="83"/>
  <c r="P39" i="83"/>
  <c r="P43" i="83"/>
  <c r="P18" i="83"/>
  <c r="P35" i="83"/>
  <c r="P90" i="83"/>
  <c r="P4" i="83"/>
  <c r="P11" i="83"/>
  <c r="P100" i="83"/>
  <c r="P24" i="83"/>
  <c r="P66" i="83"/>
  <c r="P58" i="83"/>
  <c r="P72" i="83"/>
  <c r="P47" i="83"/>
  <c r="P26" i="83"/>
  <c r="P76" i="83"/>
  <c r="P93" i="83"/>
  <c r="P67" i="83"/>
  <c r="P61" i="83"/>
  <c r="P40" i="83"/>
  <c r="P31" i="83"/>
  <c r="P70" i="83"/>
  <c r="P17" i="83"/>
  <c r="P37" i="83"/>
  <c r="P93" i="82"/>
  <c r="P75" i="83"/>
  <c r="P6" i="83"/>
  <c r="P57" i="83"/>
  <c r="P7" i="83"/>
  <c r="P45" i="83"/>
  <c r="P23" i="83"/>
  <c r="P29" i="83"/>
  <c r="P79" i="83"/>
  <c r="P15" i="83"/>
  <c r="P87" i="83"/>
  <c r="P36" i="83"/>
  <c r="P82" i="83"/>
  <c r="P52" i="83"/>
  <c r="P38" i="83"/>
  <c r="P49" i="83"/>
  <c r="P88" i="83"/>
  <c r="P21" i="83"/>
  <c r="P8" i="83"/>
  <c r="P102" i="83"/>
  <c r="P46" i="83"/>
  <c r="P77" i="83"/>
  <c r="P68" i="83"/>
  <c r="P30" i="83"/>
  <c r="P34" i="83"/>
  <c r="P85" i="83"/>
  <c r="P103" i="82"/>
  <c r="P57" i="82"/>
  <c r="P84" i="83"/>
  <c r="P41" i="83"/>
  <c r="P74" i="83"/>
  <c r="P71" i="83"/>
  <c r="P77" i="82"/>
  <c r="P16" i="83"/>
  <c r="P63" i="83"/>
  <c r="P97" i="83"/>
  <c r="P25" i="83"/>
  <c r="O31" i="84"/>
  <c r="O56" i="84"/>
  <c r="O55" i="84"/>
  <c r="O45" i="84"/>
  <c r="O67" i="84"/>
  <c r="O54" i="84"/>
  <c r="O44" i="84"/>
  <c r="O46" i="84"/>
  <c r="P52" i="82"/>
  <c r="P41" i="82"/>
  <c r="P22" i="82"/>
  <c r="P82" i="82"/>
  <c r="P70" i="82"/>
  <c r="P53" i="82"/>
  <c r="P91" i="82"/>
  <c r="P85" i="82"/>
  <c r="P32" i="83"/>
  <c r="P37" i="82"/>
  <c r="P45" i="82"/>
  <c r="P43" i="82"/>
  <c r="P59" i="82"/>
  <c r="P92" i="82"/>
  <c r="P56" i="82"/>
  <c r="P10" i="82"/>
  <c r="P42" i="82"/>
  <c r="P94" i="82"/>
  <c r="P7" i="82"/>
  <c r="P13" i="82"/>
  <c r="P21" i="82"/>
  <c r="P62" i="82"/>
  <c r="P73" i="82"/>
  <c r="P69" i="82"/>
  <c r="P68" i="82"/>
  <c r="P11" i="82"/>
  <c r="P61" i="82"/>
  <c r="P26" i="82"/>
  <c r="P71" i="82"/>
  <c r="P19" i="82"/>
  <c r="P64" i="82"/>
  <c r="P66" i="82"/>
  <c r="P36" i="82"/>
  <c r="P39" i="82"/>
  <c r="P17" i="82"/>
  <c r="P23" i="82"/>
  <c r="P79" i="82"/>
  <c r="P67" i="82"/>
  <c r="P46" i="82"/>
  <c r="P5" i="82"/>
  <c r="P40" i="82"/>
  <c r="P54" i="82"/>
  <c r="P24" i="82"/>
  <c r="P72" i="82"/>
  <c r="P27" i="82"/>
  <c r="P51" i="82"/>
  <c r="P18" i="82"/>
  <c r="P60" i="82"/>
  <c r="N63" i="84"/>
  <c r="O63" i="84" s="1"/>
  <c r="P33" i="82"/>
  <c r="P48" i="82"/>
  <c r="P84" i="82"/>
  <c r="P38" i="82"/>
  <c r="P83" i="82"/>
  <c r="P49" i="82"/>
  <c r="P99" i="82"/>
  <c r="P96" i="82"/>
  <c r="P25" i="82"/>
  <c r="P100" i="82"/>
  <c r="P88" i="82"/>
  <c r="P14" i="82"/>
  <c r="P87" i="82"/>
  <c r="P58" i="82"/>
  <c r="P102" i="82"/>
  <c r="P76" i="82"/>
  <c r="O49" i="84"/>
  <c r="O52" i="84"/>
  <c r="O13" i="84"/>
  <c r="O10" i="84"/>
  <c r="O15" i="84"/>
  <c r="O25" i="84"/>
  <c r="O14" i="84"/>
  <c r="O12" i="84"/>
  <c r="O27" i="84"/>
  <c r="P27" i="83"/>
  <c r="P28" i="83"/>
  <c r="P62" i="83"/>
  <c r="P59" i="83"/>
  <c r="P3" i="83"/>
  <c r="P5" i="83"/>
  <c r="P60" i="83"/>
  <c r="P56" i="83"/>
  <c r="P80" i="82"/>
  <c r="P12" i="82"/>
  <c r="P86" i="82"/>
  <c r="P96" i="83"/>
  <c r="D209" i="53"/>
  <c r="P42" i="83"/>
  <c r="P50" i="83"/>
  <c r="O24" i="84"/>
  <c r="H119" i="52"/>
  <c r="O26" i="84"/>
  <c r="P6" i="82"/>
  <c r="P95" i="82"/>
  <c r="P101" i="82"/>
  <c r="P50" i="82"/>
  <c r="P31" i="82"/>
  <c r="P74" i="82"/>
  <c r="P89" i="82"/>
  <c r="P81" i="82"/>
  <c r="P90" i="82"/>
  <c r="N60" i="84"/>
  <c r="O60" i="84" s="1"/>
  <c r="P8" i="82"/>
  <c r="P28" i="82"/>
  <c r="P104" i="82"/>
  <c r="P2" i="82"/>
  <c r="F5" i="82" s="1"/>
  <c r="P20" i="82"/>
  <c r="P55" i="83"/>
  <c r="P55" i="82"/>
  <c r="P3" i="82"/>
  <c r="P75" i="82"/>
  <c r="P15" i="82"/>
  <c r="P63" i="82"/>
  <c r="P9" i="82"/>
  <c r="P16" i="82"/>
  <c r="P32" i="82"/>
  <c r="P29" i="82"/>
  <c r="P34" i="82"/>
  <c r="P35" i="82"/>
  <c r="P78" i="82"/>
  <c r="P47" i="82"/>
  <c r="P97" i="82"/>
  <c r="P65" i="82"/>
  <c r="P30" i="82"/>
  <c r="P98" i="82"/>
  <c r="O5" i="84"/>
  <c r="O9" i="84"/>
  <c r="O8" i="84"/>
  <c r="O7" i="84"/>
  <c r="AT230" i="52"/>
  <c r="U230" i="52" s="1"/>
  <c r="BV15" i="52"/>
  <c r="BV191" i="52"/>
  <c r="BV138" i="52"/>
  <c r="O4" i="84"/>
  <c r="BV16" i="52"/>
  <c r="BV129" i="52"/>
  <c r="BV280" i="52"/>
  <c r="BV37" i="52"/>
  <c r="BV41" i="52"/>
  <c r="BV223" i="52"/>
  <c r="BV40" i="52"/>
  <c r="BV73" i="52"/>
  <c r="BV198" i="52"/>
  <c r="BV279" i="52"/>
  <c r="BV103" i="52"/>
  <c r="BV46" i="52"/>
  <c r="BV247" i="52"/>
  <c r="BV99" i="52"/>
  <c r="BV228" i="52"/>
  <c r="BV133" i="52"/>
  <c r="BV226" i="52"/>
  <c r="BV222" i="52"/>
  <c r="BV258" i="52"/>
  <c r="BV106" i="52"/>
  <c r="BV162" i="52"/>
  <c r="BV192" i="52"/>
  <c r="BV188" i="52"/>
  <c r="BV227" i="52"/>
  <c r="BV197" i="52"/>
  <c r="BV217" i="52"/>
  <c r="BV9" i="52"/>
  <c r="BV101" i="52"/>
  <c r="BV18" i="52"/>
  <c r="BV224" i="52"/>
  <c r="BV131" i="52"/>
  <c r="BV17" i="52"/>
  <c r="BV285" i="52"/>
  <c r="BV253" i="52"/>
  <c r="BV67" i="52"/>
  <c r="BV137" i="52"/>
  <c r="BV225" i="52"/>
  <c r="BV104" i="52"/>
  <c r="BV255" i="52"/>
  <c r="BV47" i="52"/>
  <c r="BV107" i="52"/>
  <c r="BV157" i="52"/>
  <c r="BV194" i="52"/>
  <c r="BV11" i="52"/>
  <c r="BV75" i="52"/>
  <c r="BV257" i="52"/>
  <c r="BV165" i="52"/>
  <c r="BV8" i="52"/>
  <c r="BV108" i="52"/>
  <c r="BV38" i="52"/>
  <c r="BV159" i="52"/>
  <c r="BV278" i="52"/>
  <c r="BV287" i="52"/>
  <c r="BV102" i="52"/>
  <c r="BV252" i="52"/>
  <c r="BV251" i="52"/>
  <c r="BV249" i="52"/>
  <c r="BV7" i="52"/>
  <c r="N22" i="60" s="1"/>
  <c r="C22" i="60" s="1"/>
  <c r="H22" i="60" s="1"/>
  <c r="BV190" i="52"/>
  <c r="BV158" i="52"/>
  <c r="BV69" i="52"/>
  <c r="BV14" i="52"/>
  <c r="BV254" i="52"/>
  <c r="BV98" i="52"/>
  <c r="BV248" i="52"/>
  <c r="BV164" i="52"/>
  <c r="BV71" i="52"/>
  <c r="BV288" i="52"/>
  <c r="BV70" i="52"/>
  <c r="BV130" i="52"/>
  <c r="BV100" i="52"/>
  <c r="BV196" i="52"/>
  <c r="BV45" i="52"/>
  <c r="BV68" i="52"/>
  <c r="BV135" i="52"/>
  <c r="BV161" i="52"/>
  <c r="BV72" i="52"/>
  <c r="BV219" i="52"/>
  <c r="BV286" i="52"/>
  <c r="BV10" i="52"/>
  <c r="BV76" i="52"/>
  <c r="BV284" i="52"/>
  <c r="BV168" i="52"/>
  <c r="BV220" i="52"/>
  <c r="BV78" i="52"/>
  <c r="BV189" i="52"/>
  <c r="BV134" i="52"/>
  <c r="BV218" i="52"/>
  <c r="BV166" i="52"/>
  <c r="BV44" i="52"/>
  <c r="BV167" i="52"/>
  <c r="BV127" i="52"/>
  <c r="BV160" i="52"/>
  <c r="BV39" i="52"/>
  <c r="BV250" i="52"/>
  <c r="BV136" i="52"/>
  <c r="BV195" i="52"/>
  <c r="BV128" i="52"/>
  <c r="BV281" i="52"/>
  <c r="BV12" i="52"/>
  <c r="BV48" i="52"/>
  <c r="BV193" i="52"/>
  <c r="BV256" i="52"/>
  <c r="BV187" i="52"/>
  <c r="BV43" i="52"/>
  <c r="BV42" i="52"/>
  <c r="BV163" i="52"/>
  <c r="BV77" i="52"/>
  <c r="BV221" i="52"/>
  <c r="BV282" i="52"/>
  <c r="BV283" i="52"/>
  <c r="BV105" i="52"/>
  <c r="BV132" i="52"/>
  <c r="BV97" i="52"/>
  <c r="BV74" i="52"/>
  <c r="BV13" i="52"/>
  <c r="BV277" i="52"/>
  <c r="BZ198" i="52"/>
  <c r="P44" i="82"/>
  <c r="BZ159" i="57"/>
  <c r="BZ158" i="58"/>
  <c r="BZ189" i="58"/>
  <c r="BZ133" i="58"/>
  <c r="BZ134" i="58"/>
  <c r="BZ128" i="58"/>
  <c r="BZ97" i="58"/>
  <c r="BZ137" i="58"/>
  <c r="BZ105" i="57"/>
  <c r="BZ218" i="52"/>
  <c r="BZ39" i="52"/>
  <c r="BZ189" i="52"/>
  <c r="BZ225" i="52"/>
  <c r="BZ74" i="52"/>
  <c r="BZ194" i="52"/>
  <c r="BZ217" i="52"/>
  <c r="BV70" i="59"/>
  <c r="BV72" i="59"/>
  <c r="BV248" i="59"/>
  <c r="BV222" i="59"/>
  <c r="BV131" i="59"/>
  <c r="BV46" i="59"/>
  <c r="BV191" i="59"/>
  <c r="BV284" i="59"/>
  <c r="BZ168" i="57"/>
  <c r="BZ249" i="57"/>
  <c r="BZ101" i="57"/>
  <c r="BZ257" i="52"/>
  <c r="BZ162" i="57"/>
  <c r="BZ39" i="58"/>
  <c r="BZ258" i="58"/>
  <c r="BZ162" i="58"/>
  <c r="BZ188" i="58"/>
  <c r="BZ197" i="58"/>
  <c r="BZ249" i="58"/>
  <c r="BZ287" i="58"/>
  <c r="N196" i="45"/>
  <c r="N197" i="45" s="1"/>
  <c r="D196" i="45"/>
  <c r="D197" i="45" s="1"/>
  <c r="H196" i="45"/>
  <c r="H197" i="45" s="1"/>
  <c r="T196" i="45"/>
  <c r="T197" i="45" s="1"/>
  <c r="I178" i="45"/>
  <c r="J196" i="45"/>
  <c r="J197" i="45" s="1"/>
  <c r="Q178" i="45"/>
  <c r="S178" i="45"/>
  <c r="M178" i="45"/>
  <c r="F196" i="45"/>
  <c r="F197" i="45" s="1"/>
  <c r="K178" i="45"/>
  <c r="E178" i="45"/>
  <c r="U178" i="45"/>
  <c r="G178" i="45"/>
  <c r="B205" i="45"/>
  <c r="R196" i="45"/>
  <c r="R197" i="45" s="1"/>
  <c r="B177" i="45"/>
  <c r="P196" i="45"/>
  <c r="P197" i="45" s="1"/>
  <c r="O178" i="45"/>
  <c r="L196" i="45"/>
  <c r="L197" i="45" s="1"/>
  <c r="BZ44" i="57"/>
  <c r="BV187" i="59"/>
  <c r="BZ46" i="52"/>
  <c r="BZ99" i="52"/>
  <c r="BZ138" i="52"/>
  <c r="BZ157" i="52"/>
  <c r="BZ280" i="52"/>
  <c r="BZ38" i="52"/>
  <c r="BZ284" i="52"/>
  <c r="BV164" i="59"/>
  <c r="BV77" i="59"/>
  <c r="BV287" i="59"/>
  <c r="BV67" i="59"/>
  <c r="BV218" i="59"/>
  <c r="BV189" i="59"/>
  <c r="BV101" i="59"/>
  <c r="BV38" i="59"/>
  <c r="BZ77" i="57"/>
  <c r="BZ220" i="57"/>
  <c r="BZ18" i="57"/>
  <c r="BZ75" i="57"/>
  <c r="BZ69" i="57"/>
  <c r="BZ48" i="57"/>
  <c r="BZ222" i="57"/>
  <c r="BZ136" i="57"/>
  <c r="BZ7" i="57"/>
  <c r="BZ250" i="57"/>
  <c r="BZ38" i="57"/>
  <c r="BZ37" i="57"/>
  <c r="BZ9" i="57"/>
  <c r="BZ106" i="52"/>
  <c r="BZ72" i="57"/>
  <c r="BZ108" i="58"/>
  <c r="BZ254" i="58"/>
  <c r="BZ136" i="58"/>
  <c r="BZ157" i="58"/>
  <c r="BZ46" i="58"/>
  <c r="BZ18" i="58"/>
  <c r="BZ194" i="58"/>
  <c r="BZ198" i="57"/>
  <c r="BZ191" i="57"/>
  <c r="BZ195" i="52"/>
  <c r="BZ258" i="52"/>
  <c r="BZ192" i="52"/>
  <c r="BZ15" i="52"/>
  <c r="BZ10" i="52"/>
  <c r="BZ277" i="52"/>
  <c r="BZ44" i="52"/>
  <c r="BV281" i="59"/>
  <c r="BV168" i="59"/>
  <c r="BV217" i="59"/>
  <c r="BV161" i="59"/>
  <c r="BV44" i="59"/>
  <c r="BV16" i="59"/>
  <c r="BV73" i="59"/>
  <c r="BZ103" i="57"/>
  <c r="BZ197" i="57"/>
  <c r="BZ253" i="57"/>
  <c r="BZ196" i="57"/>
  <c r="BZ13" i="52"/>
  <c r="BZ42" i="58"/>
  <c r="BZ138" i="58"/>
  <c r="BZ220" i="58"/>
  <c r="BZ217" i="58"/>
  <c r="BZ105" i="58"/>
  <c r="BZ48" i="58"/>
  <c r="BZ223" i="58"/>
  <c r="BZ219" i="57"/>
  <c r="BZ108" i="57"/>
  <c r="BZ47" i="57"/>
  <c r="BZ8" i="57"/>
  <c r="BZ101" i="52"/>
  <c r="BZ193" i="52"/>
  <c r="BZ251" i="52"/>
  <c r="BZ72" i="52"/>
  <c r="BZ160" i="52"/>
  <c r="BZ133" i="52"/>
  <c r="BZ196" i="52"/>
  <c r="BV252" i="59"/>
  <c r="BV71" i="59"/>
  <c r="BV256" i="59"/>
  <c r="BV42" i="59"/>
  <c r="BV103" i="59"/>
  <c r="BV279" i="59"/>
  <c r="BZ160" i="57"/>
  <c r="BZ133" i="57"/>
  <c r="BZ106" i="57"/>
  <c r="BZ74" i="57"/>
  <c r="BZ280" i="58"/>
  <c r="BZ12" i="58"/>
  <c r="BZ247" i="58"/>
  <c r="BZ68" i="58"/>
  <c r="BZ159" i="58"/>
  <c r="BZ252" i="58"/>
  <c r="BZ195" i="58"/>
  <c r="BZ190" i="58"/>
  <c r="BZ277" i="57"/>
  <c r="BZ8" i="52"/>
  <c r="BZ70" i="52"/>
  <c r="BZ12" i="52"/>
  <c r="BZ132" i="52"/>
  <c r="BZ219" i="52"/>
  <c r="BZ134" i="52"/>
  <c r="BZ107" i="52"/>
  <c r="BV45" i="59"/>
  <c r="BV157" i="59"/>
  <c r="BV11" i="59"/>
  <c r="BV39" i="59"/>
  <c r="BV138" i="59"/>
  <c r="BV283" i="59"/>
  <c r="BZ221" i="57"/>
  <c r="BZ127" i="57"/>
  <c r="BZ158" i="57"/>
  <c r="BZ129" i="58"/>
  <c r="BZ103" i="58"/>
  <c r="BZ41" i="58"/>
  <c r="BZ13" i="58"/>
  <c r="BZ72" i="58"/>
  <c r="BZ249" i="52"/>
  <c r="BZ167" i="52"/>
  <c r="BZ43" i="52"/>
  <c r="BZ135" i="52"/>
  <c r="BZ75" i="52"/>
  <c r="BZ97" i="52"/>
  <c r="BZ278" i="52"/>
  <c r="BV286" i="59"/>
  <c r="BV18" i="59"/>
  <c r="BV159" i="59"/>
  <c r="BV76" i="59"/>
  <c r="BV225" i="59"/>
  <c r="BV277" i="59"/>
  <c r="BZ284" i="57"/>
  <c r="BZ17" i="57"/>
  <c r="BZ288" i="57"/>
  <c r="BZ165" i="57"/>
  <c r="BZ286" i="57"/>
  <c r="BZ285" i="58"/>
  <c r="BZ132" i="58"/>
  <c r="BZ69" i="58"/>
  <c r="BZ16" i="58"/>
  <c r="BZ251" i="58"/>
  <c r="BZ228" i="58"/>
  <c r="BZ40" i="58"/>
  <c r="BV135" i="59"/>
  <c r="BZ10" i="57"/>
  <c r="BZ134" i="57"/>
  <c r="BZ11" i="52"/>
  <c r="BZ78" i="52"/>
  <c r="BZ67" i="52"/>
  <c r="BZ250" i="52"/>
  <c r="BZ108" i="52"/>
  <c r="BZ197" i="52"/>
  <c r="BZ159" i="52"/>
  <c r="BV130" i="59"/>
  <c r="BV14" i="59"/>
  <c r="BV166" i="59"/>
  <c r="BV7" i="59"/>
  <c r="BV102" i="59"/>
  <c r="BV251" i="59"/>
  <c r="BV163" i="59"/>
  <c r="BZ192" i="57"/>
  <c r="BZ193" i="57"/>
  <c r="BZ166" i="57"/>
  <c r="BZ258" i="57"/>
  <c r="BZ37" i="52"/>
  <c r="BZ106" i="58"/>
  <c r="BZ282" i="58"/>
  <c r="BZ163" i="58"/>
  <c r="BZ224" i="58"/>
  <c r="BZ187" i="58"/>
  <c r="BZ257" i="58"/>
  <c r="BZ191" i="58"/>
  <c r="BZ255" i="52"/>
  <c r="BZ41" i="57"/>
  <c r="BZ163" i="57"/>
  <c r="BZ42" i="52"/>
  <c r="BZ98" i="52"/>
  <c r="BZ282" i="52"/>
  <c r="BZ103" i="52"/>
  <c r="BZ256" i="52"/>
  <c r="BZ283" i="52"/>
  <c r="BZ164" i="52"/>
  <c r="BZ9" i="52"/>
  <c r="BZ128" i="52"/>
  <c r="BZ7" i="52"/>
  <c r="BZ130" i="52"/>
  <c r="BZ105" i="52"/>
  <c r="BV223" i="59"/>
  <c r="BV128" i="59"/>
  <c r="BV107" i="59"/>
  <c r="BV227" i="59"/>
  <c r="BV167" i="59"/>
  <c r="BV129" i="59"/>
  <c r="BV8" i="59"/>
  <c r="BZ45" i="57"/>
  <c r="BZ278" i="57"/>
  <c r="BZ129" i="57"/>
  <c r="BZ46" i="57"/>
  <c r="BZ11" i="57"/>
  <c r="BZ226" i="57"/>
  <c r="BZ37" i="58"/>
  <c r="BZ218" i="58"/>
  <c r="BZ255" i="58"/>
  <c r="BZ15" i="58"/>
  <c r="BZ164" i="58"/>
  <c r="BZ256" i="58"/>
  <c r="BZ277" i="58"/>
  <c r="BZ13" i="57"/>
  <c r="BZ280" i="57"/>
  <c r="BZ69" i="52"/>
  <c r="BZ188" i="52"/>
  <c r="BZ187" i="52"/>
  <c r="BZ102" i="52"/>
  <c r="BZ14" i="52"/>
  <c r="BZ127" i="52"/>
  <c r="BV219" i="59"/>
  <c r="BV165" i="59"/>
  <c r="BV258" i="59"/>
  <c r="BV41" i="59"/>
  <c r="BV74" i="59"/>
  <c r="BV282" i="59"/>
  <c r="BV47" i="59"/>
  <c r="BZ128" i="57"/>
  <c r="BZ228" i="57"/>
  <c r="BZ217" i="57"/>
  <c r="BZ39" i="57"/>
  <c r="BZ73" i="58"/>
  <c r="BZ73" i="57"/>
  <c r="BZ47" i="58"/>
  <c r="BZ98" i="58"/>
  <c r="BZ99" i="58"/>
  <c r="BZ161" i="58"/>
  <c r="BZ248" i="58"/>
  <c r="BZ76" i="58"/>
  <c r="BZ225" i="58"/>
  <c r="BZ132" i="57"/>
  <c r="BZ138" i="57"/>
  <c r="BZ257" i="57"/>
  <c r="BZ16" i="52"/>
  <c r="BZ100" i="52"/>
  <c r="BZ48" i="52"/>
  <c r="BZ279" i="52"/>
  <c r="BZ161" i="52"/>
  <c r="BZ68" i="52"/>
  <c r="BZ187" i="57"/>
  <c r="BV247" i="59"/>
  <c r="BV195" i="59"/>
  <c r="BV10" i="59"/>
  <c r="BV106" i="59"/>
  <c r="BV255" i="59"/>
  <c r="BV257" i="59"/>
  <c r="BV134" i="59"/>
  <c r="BZ70" i="57"/>
  <c r="BZ131" i="57"/>
  <c r="BZ78" i="57"/>
  <c r="BZ102" i="57"/>
  <c r="BZ74" i="58"/>
  <c r="BZ130" i="57"/>
  <c r="BZ41" i="52"/>
  <c r="BZ224" i="57"/>
  <c r="BZ221" i="58"/>
  <c r="BZ250" i="58"/>
  <c r="BZ167" i="58"/>
  <c r="BZ17" i="58"/>
  <c r="BZ11" i="58"/>
  <c r="BZ10" i="58"/>
  <c r="BZ253" i="58"/>
  <c r="BZ159" i="53"/>
  <c r="BZ194" i="57"/>
  <c r="BZ107" i="57"/>
  <c r="BZ136" i="52"/>
  <c r="BZ222" i="52"/>
  <c r="BZ288" i="52"/>
  <c r="BZ228" i="52"/>
  <c r="BZ252" i="52"/>
  <c r="BZ17" i="52"/>
  <c r="BV226" i="59"/>
  <c r="BV75" i="59"/>
  <c r="BV288" i="59"/>
  <c r="BV280" i="59"/>
  <c r="BV250" i="59"/>
  <c r="BV193" i="59"/>
  <c r="BZ251" i="57"/>
  <c r="BZ43" i="57"/>
  <c r="BZ99" i="57"/>
  <c r="BZ42" i="57"/>
  <c r="BV254" i="59"/>
  <c r="BZ281" i="58"/>
  <c r="BZ70" i="58"/>
  <c r="BZ107" i="58"/>
  <c r="BZ283" i="58"/>
  <c r="BZ71" i="58"/>
  <c r="BZ78" i="58"/>
  <c r="BZ75" i="58"/>
  <c r="BZ227" i="58"/>
  <c r="BV197" i="59"/>
  <c r="BZ223" i="57"/>
  <c r="BZ97" i="57"/>
  <c r="BV190" i="59"/>
  <c r="BZ166" i="52"/>
  <c r="BZ129" i="52"/>
  <c r="BZ158" i="52"/>
  <c r="BZ285" i="52"/>
  <c r="BZ247" i="52"/>
  <c r="BZ104" i="52"/>
  <c r="BV249" i="59"/>
  <c r="BV100" i="59"/>
  <c r="BV137" i="59"/>
  <c r="BV9" i="59"/>
  <c r="BV224" i="59"/>
  <c r="BV15" i="59"/>
  <c r="BV253" i="59"/>
  <c r="BV136" i="59"/>
  <c r="BZ161" i="57"/>
  <c r="BZ281" i="57"/>
  <c r="BZ248" i="57"/>
  <c r="BZ278" i="58"/>
  <c r="BZ131" i="58"/>
  <c r="BZ38" i="58"/>
  <c r="BZ44" i="58"/>
  <c r="BZ226" i="58"/>
  <c r="BZ286" i="58"/>
  <c r="BZ196" i="58"/>
  <c r="BZ98" i="57"/>
  <c r="BZ73" i="52"/>
  <c r="BZ45" i="58"/>
  <c r="BV133" i="59"/>
  <c r="BV108" i="59"/>
  <c r="BZ137" i="52"/>
  <c r="BZ221" i="52"/>
  <c r="BZ286" i="52"/>
  <c r="BZ190" i="52"/>
  <c r="BZ227" i="52"/>
  <c r="BZ71" i="52"/>
  <c r="BZ40" i="57"/>
  <c r="BV198" i="59"/>
  <c r="BV127" i="59"/>
  <c r="BV192" i="59"/>
  <c r="BV13" i="59"/>
  <c r="BV69" i="59"/>
  <c r="BV221" i="59"/>
  <c r="BV68" i="59"/>
  <c r="BZ137" i="57"/>
  <c r="BZ218" i="57"/>
  <c r="BZ247" i="57"/>
  <c r="BZ67" i="57"/>
  <c r="BZ287" i="57"/>
  <c r="BZ15" i="57"/>
  <c r="BZ98" i="55"/>
  <c r="BV42" i="55"/>
  <c r="BZ192" i="58"/>
  <c r="BZ166" i="58"/>
  <c r="BZ193" i="58"/>
  <c r="BZ14" i="58"/>
  <c r="BZ7" i="58"/>
  <c r="BZ8" i="58"/>
  <c r="BZ135" i="58"/>
  <c r="BZ222" i="58"/>
  <c r="BZ127" i="58"/>
  <c r="BZ284" i="58"/>
  <c r="BZ252" i="57"/>
  <c r="BV48" i="59"/>
  <c r="BZ162" i="52"/>
  <c r="BZ287" i="52"/>
  <c r="BZ40" i="52"/>
  <c r="BZ226" i="52"/>
  <c r="BZ47" i="52"/>
  <c r="BZ18" i="52"/>
  <c r="BZ100" i="57"/>
  <c r="BV12" i="59"/>
  <c r="BV278" i="59"/>
  <c r="BV78" i="59"/>
  <c r="BV105" i="59"/>
  <c r="BV158" i="59"/>
  <c r="BV99" i="59"/>
  <c r="BV162" i="59"/>
  <c r="BZ285" i="57"/>
  <c r="BZ279" i="57"/>
  <c r="BZ12" i="57"/>
  <c r="BZ14" i="57"/>
  <c r="BZ71" i="57"/>
  <c r="BZ168" i="58"/>
  <c r="BZ100" i="58"/>
  <c r="BZ101" i="58"/>
  <c r="BZ130" i="58"/>
  <c r="BZ102" i="58"/>
  <c r="BZ288" i="58"/>
  <c r="BZ77" i="58"/>
  <c r="BZ16" i="57"/>
  <c r="BZ135" i="57"/>
  <c r="BZ253" i="52"/>
  <c r="BZ45" i="52"/>
  <c r="BZ76" i="52"/>
  <c r="BZ224" i="52"/>
  <c r="BZ254" i="52"/>
  <c r="BZ77" i="52"/>
  <c r="BZ281" i="52"/>
  <c r="BZ164" i="57"/>
  <c r="BV40" i="59"/>
  <c r="BV188" i="59"/>
  <c r="BV285" i="59"/>
  <c r="BV132" i="59"/>
  <c r="BV17" i="59"/>
  <c r="BV220" i="59"/>
  <c r="BV43" i="59"/>
  <c r="BZ189" i="57"/>
  <c r="BZ256" i="57"/>
  <c r="BZ163" i="52"/>
  <c r="BZ188" i="57"/>
  <c r="BZ227" i="57"/>
  <c r="BZ167" i="57"/>
  <c r="BZ195" i="57"/>
  <c r="BZ76" i="57"/>
  <c r="BZ220" i="52"/>
  <c r="BZ219" i="58"/>
  <c r="BZ198" i="58"/>
  <c r="BZ165" i="58"/>
  <c r="BZ43" i="58"/>
  <c r="BZ279" i="58"/>
  <c r="BZ160" i="58"/>
  <c r="BZ9" i="58"/>
  <c r="BZ283" i="57"/>
  <c r="BZ248" i="52"/>
  <c r="BZ165" i="52"/>
  <c r="BZ131" i="52"/>
  <c r="BZ168" i="52"/>
  <c r="BZ223" i="52"/>
  <c r="BZ191" i="52"/>
  <c r="BZ190" i="57"/>
  <c r="BV98" i="59"/>
  <c r="BV104" i="59"/>
  <c r="BV228" i="59"/>
  <c r="BV37" i="59"/>
  <c r="BV194" i="59"/>
  <c r="BV196" i="59"/>
  <c r="BV97" i="59"/>
  <c r="BZ255" i="57"/>
  <c r="BZ254" i="57"/>
  <c r="BZ104" i="57"/>
  <c r="BZ225" i="57"/>
  <c r="BZ282" i="57"/>
  <c r="BZ157" i="57"/>
  <c r="AN79" i="53"/>
  <c r="AN80" i="53" s="1"/>
  <c r="O80" i="53" s="1"/>
  <c r="AR19" i="59"/>
  <c r="S19" i="59" s="1"/>
  <c r="L59" i="55"/>
  <c r="AR289" i="57"/>
  <c r="S289" i="57" s="1"/>
  <c r="F29" i="53"/>
  <c r="AJ260" i="58"/>
  <c r="K260" i="58" s="1"/>
  <c r="L29" i="55"/>
  <c r="AR259" i="58"/>
  <c r="AR260" i="58" s="1"/>
  <c r="S260" i="58" s="1"/>
  <c r="T179" i="59"/>
  <c r="H29" i="52"/>
  <c r="F209" i="58"/>
  <c r="AN49" i="55"/>
  <c r="O49" i="55" s="1"/>
  <c r="AL79" i="59"/>
  <c r="M79" i="59" s="1"/>
  <c r="AR260" i="53"/>
  <c r="S260" i="53" s="1"/>
  <c r="N29" i="52"/>
  <c r="P119" i="58"/>
  <c r="AF19" i="52"/>
  <c r="G19" i="52" s="1"/>
  <c r="D29" i="59"/>
  <c r="AP229" i="53"/>
  <c r="Q229" i="53" s="1"/>
  <c r="L89" i="52"/>
  <c r="T209" i="57"/>
  <c r="AH169" i="52"/>
  <c r="I169" i="52" s="1"/>
  <c r="AN199" i="53"/>
  <c r="O199" i="53" s="1"/>
  <c r="N179" i="57"/>
  <c r="AL19" i="59"/>
  <c r="M19" i="59" s="1"/>
  <c r="H29" i="59"/>
  <c r="F149" i="59"/>
  <c r="AL79" i="53"/>
  <c r="M79" i="53" s="1"/>
  <c r="AP200" i="55"/>
  <c r="Q200" i="55" s="1"/>
  <c r="AF199" i="55"/>
  <c r="G199" i="55" s="1"/>
  <c r="P59" i="55"/>
  <c r="F119" i="53"/>
  <c r="N209" i="55"/>
  <c r="AH139" i="52"/>
  <c r="I139" i="52" s="1"/>
  <c r="T239" i="55"/>
  <c r="AP139" i="59"/>
  <c r="AP140" i="59" s="1"/>
  <c r="Q140" i="59" s="1"/>
  <c r="AN109" i="59"/>
  <c r="O109" i="59" s="1"/>
  <c r="AF49" i="59"/>
  <c r="G49" i="59" s="1"/>
  <c r="AP79" i="57"/>
  <c r="Q79" i="57" s="1"/>
  <c r="F299" i="53"/>
  <c r="J299" i="58"/>
  <c r="H89" i="52"/>
  <c r="AH109" i="59"/>
  <c r="I109" i="59" s="1"/>
  <c r="R149" i="55"/>
  <c r="AD140" i="55"/>
  <c r="E140" i="55" s="1"/>
  <c r="AR139" i="57"/>
  <c r="S139" i="57" s="1"/>
  <c r="L299" i="53"/>
  <c r="H149" i="58"/>
  <c r="AF199" i="52"/>
  <c r="AF200" i="52" s="1"/>
  <c r="G200" i="52" s="1"/>
  <c r="AP229" i="58"/>
  <c r="Q229" i="58" s="1"/>
  <c r="AH259" i="52"/>
  <c r="I259" i="52" s="1"/>
  <c r="F179" i="59"/>
  <c r="AF199" i="53"/>
  <c r="G199" i="53" s="1"/>
  <c r="J89" i="58"/>
  <c r="AF109" i="57"/>
  <c r="G109" i="57" s="1"/>
  <c r="H239" i="52"/>
  <c r="AF139" i="52"/>
  <c r="G139" i="52" s="1"/>
  <c r="AR199" i="59"/>
  <c r="S199" i="59" s="1"/>
  <c r="P29" i="59"/>
  <c r="AT49" i="58"/>
  <c r="U49" i="58" s="1"/>
  <c r="L299" i="57"/>
  <c r="T179" i="52"/>
  <c r="AR109" i="53"/>
  <c r="AR110" i="53" s="1"/>
  <c r="S110" i="53" s="1"/>
  <c r="F119" i="55"/>
  <c r="AD139" i="58"/>
  <c r="E139" i="58" s="1"/>
  <c r="D89" i="59"/>
  <c r="AJ199" i="59"/>
  <c r="K199" i="59" s="1"/>
  <c r="AF109" i="59"/>
  <c r="G109" i="59" s="1"/>
  <c r="F179" i="55"/>
  <c r="AD229" i="58"/>
  <c r="E229" i="58" s="1"/>
  <c r="AN139" i="59"/>
  <c r="O139" i="59" s="1"/>
  <c r="T269" i="58"/>
  <c r="AJ139" i="53"/>
  <c r="K139" i="53" s="1"/>
  <c r="L239" i="55"/>
  <c r="AF20" i="53"/>
  <c r="G20" i="53" s="1"/>
  <c r="AD259" i="53"/>
  <c r="AD260" i="53" s="1"/>
  <c r="E260" i="53" s="1"/>
  <c r="H119" i="55"/>
  <c r="T179" i="53"/>
  <c r="AT169" i="53"/>
  <c r="U169" i="53" s="1"/>
  <c r="F89" i="58"/>
  <c r="F5" i="83"/>
  <c r="AF19" i="55"/>
  <c r="G19" i="55" s="1"/>
  <c r="L239" i="53"/>
  <c r="AF170" i="55"/>
  <c r="G170" i="55" s="1"/>
  <c r="AH110" i="53"/>
  <c r="I110" i="53" s="1"/>
  <c r="H59" i="52"/>
  <c r="L269" i="53"/>
  <c r="D299" i="53"/>
  <c r="AF19" i="59"/>
  <c r="G19" i="59" s="1"/>
  <c r="AJ229" i="52"/>
  <c r="AJ230" i="52" s="1"/>
  <c r="K230" i="52" s="1"/>
  <c r="G5" i="83"/>
  <c r="AD110" i="57"/>
  <c r="E110" i="57" s="1"/>
  <c r="AF259" i="52"/>
  <c r="G259" i="52" s="1"/>
  <c r="AH289" i="52"/>
  <c r="I289" i="52" s="1"/>
  <c r="L89" i="58"/>
  <c r="AH79" i="59"/>
  <c r="I79" i="59" s="1"/>
  <c r="AJ19" i="55"/>
  <c r="K19" i="55" s="1"/>
  <c r="J179" i="53"/>
  <c r="AF169" i="53"/>
  <c r="AF170" i="53" s="1"/>
  <c r="G170" i="53" s="1"/>
  <c r="AP259" i="53"/>
  <c r="Q259" i="53" s="1"/>
  <c r="L179" i="59"/>
  <c r="L89" i="55"/>
  <c r="AF79" i="59"/>
  <c r="AF80" i="59" s="1"/>
  <c r="G80" i="59" s="1"/>
  <c r="F239" i="52"/>
  <c r="AN169" i="59"/>
  <c r="AN170" i="59" s="1"/>
  <c r="O170" i="59" s="1"/>
  <c r="O289" i="59"/>
  <c r="AN290" i="59"/>
  <c r="O290" i="59" s="1"/>
  <c r="AT50" i="53"/>
  <c r="U50" i="53" s="1"/>
  <c r="G13" i="53"/>
  <c r="R29" i="53"/>
  <c r="T149" i="55"/>
  <c r="L269" i="55"/>
  <c r="AF289" i="59"/>
  <c r="AF290" i="59" s="1"/>
  <c r="G290" i="59" s="1"/>
  <c r="J179" i="55"/>
  <c r="AT289" i="57"/>
  <c r="U289" i="57" s="1"/>
  <c r="F239" i="58"/>
  <c r="F119" i="58"/>
  <c r="AL109" i="53"/>
  <c r="M109" i="53" s="1"/>
  <c r="AF289" i="55"/>
  <c r="G289" i="55" s="1"/>
  <c r="AD259" i="59"/>
  <c r="E259" i="59" s="1"/>
  <c r="N299" i="59"/>
  <c r="AH289" i="57"/>
  <c r="I289" i="57" s="1"/>
  <c r="F179" i="57"/>
  <c r="AD169" i="59"/>
  <c r="E169" i="59" s="1"/>
  <c r="D179" i="59"/>
  <c r="AD49" i="57"/>
  <c r="E49" i="57" s="1"/>
  <c r="AF169" i="52"/>
  <c r="AF170" i="52" s="1"/>
  <c r="G170" i="52" s="1"/>
  <c r="H299" i="53"/>
  <c r="AH289" i="53"/>
  <c r="R239" i="55"/>
  <c r="AR229" i="55"/>
  <c r="S229" i="55" s="1"/>
  <c r="R59" i="53"/>
  <c r="AF260" i="59"/>
  <c r="G260" i="59" s="1"/>
  <c r="AT19" i="59"/>
  <c r="U19" i="59" s="1"/>
  <c r="T29" i="59"/>
  <c r="AF49" i="52"/>
  <c r="G49" i="52" s="1"/>
  <c r="J59" i="53"/>
  <c r="F269" i="59"/>
  <c r="G259" i="59"/>
  <c r="AF79" i="52"/>
  <c r="G79" i="52" s="1"/>
  <c r="AN229" i="57"/>
  <c r="O229" i="57" s="1"/>
  <c r="R149" i="53"/>
  <c r="AD139" i="53"/>
  <c r="E139" i="53" s="1"/>
  <c r="T59" i="53"/>
  <c r="N239" i="58"/>
  <c r="AN229" i="58"/>
  <c r="AV130" i="59"/>
  <c r="W130" i="59" s="1"/>
  <c r="AT140" i="55"/>
  <c r="U140" i="55" s="1"/>
  <c r="AF199" i="57"/>
  <c r="G199" i="57" s="1"/>
  <c r="AP19" i="53"/>
  <c r="Q19" i="53" s="1"/>
  <c r="AL260" i="55"/>
  <c r="M260" i="55" s="1"/>
  <c r="T119" i="53"/>
  <c r="N269" i="57"/>
  <c r="N29" i="53"/>
  <c r="F149" i="53"/>
  <c r="AH20" i="52"/>
  <c r="I20" i="52" s="1"/>
  <c r="AV253" i="59"/>
  <c r="W253" i="59" s="1"/>
  <c r="R179" i="55"/>
  <c r="T179" i="55"/>
  <c r="AF259" i="53"/>
  <c r="G259" i="53" s="1"/>
  <c r="H29" i="58"/>
  <c r="L59" i="59"/>
  <c r="AJ80" i="58"/>
  <c r="K80" i="58" s="1"/>
  <c r="P149" i="55"/>
  <c r="AJ229" i="59"/>
  <c r="K229" i="59" s="1"/>
  <c r="P149" i="53"/>
  <c r="H59" i="55"/>
  <c r="AJ19" i="53"/>
  <c r="AV163" i="59"/>
  <c r="W163" i="59" s="1"/>
  <c r="AH229" i="59"/>
  <c r="R299" i="58"/>
  <c r="AH109" i="58"/>
  <c r="I109" i="58" s="1"/>
  <c r="AD79" i="57"/>
  <c r="E79" i="57" s="1"/>
  <c r="H89" i="58"/>
  <c r="AL169" i="53"/>
  <c r="M169" i="53" s="1"/>
  <c r="AP140" i="53"/>
  <c r="Q140" i="53" s="1"/>
  <c r="R209" i="58"/>
  <c r="AR79" i="59"/>
  <c r="AP79" i="53"/>
  <c r="R179" i="53"/>
  <c r="AN229" i="52"/>
  <c r="O229" i="52" s="1"/>
  <c r="AR79" i="55"/>
  <c r="S79" i="55" s="1"/>
  <c r="AR109" i="58"/>
  <c r="S109" i="58" s="1"/>
  <c r="AJ139" i="58"/>
  <c r="AF19" i="57"/>
  <c r="G19" i="57" s="1"/>
  <c r="AT259" i="53"/>
  <c r="U259" i="53" s="1"/>
  <c r="H59" i="53"/>
  <c r="AJ170" i="53"/>
  <c r="K170" i="53" s="1"/>
  <c r="AR109" i="59"/>
  <c r="T179" i="57"/>
  <c r="AV37" i="52"/>
  <c r="W37" i="52" s="1"/>
  <c r="AN49" i="58"/>
  <c r="O49" i="58" s="1"/>
  <c r="AJ19" i="52"/>
  <c r="K19" i="52" s="1"/>
  <c r="AN289" i="52"/>
  <c r="O289" i="52" s="1"/>
  <c r="D119" i="57"/>
  <c r="AL259" i="59"/>
  <c r="M259" i="59" s="1"/>
  <c r="AP289" i="52"/>
  <c r="Q289" i="52" s="1"/>
  <c r="L59" i="53"/>
  <c r="AH80" i="58"/>
  <c r="I80" i="58" s="1"/>
  <c r="AL170" i="59"/>
  <c r="M170" i="59" s="1"/>
  <c r="L239" i="58"/>
  <c r="N59" i="53"/>
  <c r="AN49" i="53"/>
  <c r="F299" i="58"/>
  <c r="N269" i="52"/>
  <c r="AT259" i="52"/>
  <c r="T269" i="52"/>
  <c r="P119" i="59"/>
  <c r="AF49" i="53"/>
  <c r="G49" i="53" s="1"/>
  <c r="Q109" i="59"/>
  <c r="AP110" i="59"/>
  <c r="Q110" i="59" s="1"/>
  <c r="AV97" i="59"/>
  <c r="W97" i="59" s="1"/>
  <c r="D89" i="58"/>
  <c r="AH139" i="55"/>
  <c r="I139" i="55" s="1"/>
  <c r="H149" i="55"/>
  <c r="AV136" i="59"/>
  <c r="W136" i="59" s="1"/>
  <c r="AN200" i="55"/>
  <c r="O200" i="55" s="1"/>
  <c r="AP110" i="58"/>
  <c r="Q110" i="58" s="1"/>
  <c r="N269" i="58"/>
  <c r="AD289" i="59"/>
  <c r="D239" i="59"/>
  <c r="AD229" i="59"/>
  <c r="AV217" i="53"/>
  <c r="W217" i="53" s="1"/>
  <c r="AV163" i="58"/>
  <c r="W163" i="58" s="1"/>
  <c r="L239" i="59"/>
  <c r="AV283" i="59"/>
  <c r="W283" i="59" s="1"/>
  <c r="AV76" i="59"/>
  <c r="W76" i="59" s="1"/>
  <c r="AD80" i="59"/>
  <c r="E80" i="59" s="1"/>
  <c r="F239" i="57"/>
  <c r="T209" i="58"/>
  <c r="AT199" i="58"/>
  <c r="AV73" i="58"/>
  <c r="W73" i="58" s="1"/>
  <c r="AR200" i="58"/>
  <c r="S200" i="58" s="1"/>
  <c r="AL169" i="52"/>
  <c r="M169" i="52" s="1"/>
  <c r="AV226" i="59"/>
  <c r="W226" i="59" s="1"/>
  <c r="AV250" i="59"/>
  <c r="W250" i="59" s="1"/>
  <c r="AF229" i="53"/>
  <c r="G229" i="53" s="1"/>
  <c r="AV106" i="58"/>
  <c r="W106" i="58" s="1"/>
  <c r="AL230" i="59"/>
  <c r="M230" i="59" s="1"/>
  <c r="AR50" i="52"/>
  <c r="S50" i="52" s="1"/>
  <c r="AH20" i="59"/>
  <c r="I20" i="59" s="1"/>
  <c r="AN289" i="57"/>
  <c r="O289" i="57" s="1"/>
  <c r="AR290" i="58"/>
  <c r="S290" i="58" s="1"/>
  <c r="AV7" i="55"/>
  <c r="W7" i="55" s="1"/>
  <c r="AL79" i="57"/>
  <c r="M79" i="57" s="1"/>
  <c r="AV193" i="53"/>
  <c r="W193" i="53" s="1"/>
  <c r="AV136" i="58"/>
  <c r="W136" i="58" s="1"/>
  <c r="AV280" i="59"/>
  <c r="W280" i="59" s="1"/>
  <c r="AN260" i="58"/>
  <c r="O260" i="58" s="1"/>
  <c r="O259" i="58"/>
  <c r="AN260" i="57"/>
  <c r="O260" i="57" s="1"/>
  <c r="J209" i="52"/>
  <c r="AN289" i="53"/>
  <c r="O289" i="53" s="1"/>
  <c r="AV217" i="59"/>
  <c r="W217" i="59" s="1"/>
  <c r="M253" i="59"/>
  <c r="AV187" i="59"/>
  <c r="W187" i="59" s="1"/>
  <c r="AV223" i="52"/>
  <c r="W223" i="52" s="1"/>
  <c r="AT79" i="55"/>
  <c r="AT80" i="55" s="1"/>
  <c r="U80" i="55" s="1"/>
  <c r="AV103" i="59"/>
  <c r="W103" i="59" s="1"/>
  <c r="AV286" i="59"/>
  <c r="W286" i="59" s="1"/>
  <c r="AR170" i="55"/>
  <c r="S170" i="55" s="1"/>
  <c r="AV127" i="55"/>
  <c r="W127" i="55" s="1"/>
  <c r="U250" i="59"/>
  <c r="AV10" i="59"/>
  <c r="W10" i="59" s="1"/>
  <c r="P89" i="59"/>
  <c r="AD229" i="52"/>
  <c r="D239" i="52"/>
  <c r="AV67" i="52"/>
  <c r="W67" i="52" s="1"/>
  <c r="AF290" i="53"/>
  <c r="G290" i="53" s="1"/>
  <c r="AV133" i="59"/>
  <c r="W133" i="59" s="1"/>
  <c r="F299" i="52"/>
  <c r="AV7" i="58"/>
  <c r="W7" i="58" s="1"/>
  <c r="AF229" i="55"/>
  <c r="G229" i="55" s="1"/>
  <c r="AF50" i="55"/>
  <c r="G50" i="55" s="1"/>
  <c r="AF139" i="57"/>
  <c r="G139" i="57" s="1"/>
  <c r="AV97" i="58"/>
  <c r="W97" i="58" s="1"/>
  <c r="F59" i="58"/>
  <c r="AF110" i="58"/>
  <c r="G110" i="58" s="1"/>
  <c r="F59" i="55"/>
  <c r="AF290" i="58"/>
  <c r="G290" i="58" s="1"/>
  <c r="F29" i="58"/>
  <c r="AF139" i="58"/>
  <c r="G139" i="58" s="1"/>
  <c r="AF199" i="59"/>
  <c r="AF200" i="59" s="1"/>
  <c r="G200" i="59" s="1"/>
  <c r="AF20" i="58"/>
  <c r="G20" i="58" s="1"/>
  <c r="AF289" i="57"/>
  <c r="AF290" i="57" s="1"/>
  <c r="G290" i="57" s="1"/>
  <c r="AF139" i="55"/>
  <c r="AF140" i="55" s="1"/>
  <c r="G140" i="55" s="1"/>
  <c r="AF79" i="53"/>
  <c r="AF80" i="53" s="1"/>
  <c r="G80" i="53" s="1"/>
  <c r="AF230" i="52"/>
  <c r="G230" i="52" s="1"/>
  <c r="J239" i="53"/>
  <c r="AJ229" i="53"/>
  <c r="E277" i="59"/>
  <c r="AV277" i="59"/>
  <c r="W277" i="59" s="1"/>
  <c r="Q7" i="58"/>
  <c r="AP259" i="57"/>
  <c r="Q259" i="57" s="1"/>
  <c r="P269" i="57"/>
  <c r="AL259" i="57"/>
  <c r="L269" i="57"/>
  <c r="Q37" i="55"/>
  <c r="AP50" i="55"/>
  <c r="Q50" i="55" s="1"/>
  <c r="Q157" i="58"/>
  <c r="I187" i="55"/>
  <c r="AD79" i="53"/>
  <c r="E79" i="53" s="1"/>
  <c r="D89" i="53"/>
  <c r="N89" i="59"/>
  <c r="AN79" i="59"/>
  <c r="I187" i="58"/>
  <c r="E97" i="58"/>
  <c r="AV220" i="52"/>
  <c r="W220" i="52" s="1"/>
  <c r="AV67" i="58"/>
  <c r="W67" i="58" s="1"/>
  <c r="AV73" i="59"/>
  <c r="W73" i="59" s="1"/>
  <c r="AV187" i="58"/>
  <c r="W187" i="58" s="1"/>
  <c r="AH199" i="53"/>
  <c r="I199" i="53" s="1"/>
  <c r="H209" i="53"/>
  <c r="AR19" i="57"/>
  <c r="S19" i="57" s="1"/>
  <c r="R29" i="57"/>
  <c r="I136" i="55"/>
  <c r="AV136" i="55"/>
  <c r="W136" i="55" s="1"/>
  <c r="M130" i="53"/>
  <c r="AP19" i="58"/>
  <c r="Q19" i="58" s="1"/>
  <c r="P29" i="58"/>
  <c r="Q247" i="57"/>
  <c r="AR139" i="59"/>
  <c r="R149" i="59"/>
  <c r="E187" i="53"/>
  <c r="AD200" i="53"/>
  <c r="E200" i="53" s="1"/>
  <c r="AP109" i="55"/>
  <c r="Q109" i="55" s="1"/>
  <c r="P119" i="55"/>
  <c r="AJ109" i="59"/>
  <c r="K109" i="59" s="1"/>
  <c r="J119" i="59"/>
  <c r="AJ229" i="58"/>
  <c r="K229" i="58" s="1"/>
  <c r="J239" i="58"/>
  <c r="S70" i="55"/>
  <c r="K187" i="52"/>
  <c r="AJ200" i="52"/>
  <c r="K200" i="52" s="1"/>
  <c r="AP289" i="53"/>
  <c r="Q289" i="53" s="1"/>
  <c r="P299" i="53"/>
  <c r="AL289" i="59"/>
  <c r="M289" i="59" s="1"/>
  <c r="L299" i="59"/>
  <c r="E166" i="55"/>
  <c r="AV166" i="55"/>
  <c r="W166" i="55" s="1"/>
  <c r="U280" i="53"/>
  <c r="O157" i="53"/>
  <c r="Q157" i="59"/>
  <c r="AT19" i="55"/>
  <c r="T29" i="55"/>
  <c r="AL230" i="58"/>
  <c r="M230" i="58" s="1"/>
  <c r="AT200" i="59"/>
  <c r="U200" i="59" s="1"/>
  <c r="AV247" i="59"/>
  <c r="W247" i="59" s="1"/>
  <c r="H29" i="53"/>
  <c r="AH19" i="53"/>
  <c r="AL139" i="53"/>
  <c r="M139" i="53" s="1"/>
  <c r="L149" i="53"/>
  <c r="K157" i="59"/>
  <c r="AT139" i="58"/>
  <c r="U139" i="58" s="1"/>
  <c r="T149" i="58"/>
  <c r="H29" i="55"/>
  <c r="AH19" i="55"/>
  <c r="F269" i="55"/>
  <c r="AF259" i="55"/>
  <c r="Q97" i="55"/>
  <c r="K217" i="58"/>
  <c r="Q220" i="59"/>
  <c r="I97" i="58"/>
  <c r="Q277" i="53"/>
  <c r="G247" i="58"/>
  <c r="T59" i="55"/>
  <c r="AT49" i="55"/>
  <c r="T179" i="58"/>
  <c r="AT169" i="58"/>
  <c r="I43" i="55"/>
  <c r="AH50" i="55"/>
  <c r="I50" i="55" s="1"/>
  <c r="AV283" i="55"/>
  <c r="W283" i="55" s="1"/>
  <c r="D29" i="52"/>
  <c r="M280" i="55"/>
  <c r="AJ169" i="59"/>
  <c r="K169" i="59" s="1"/>
  <c r="J179" i="59"/>
  <c r="T29" i="53"/>
  <c r="AT19" i="53"/>
  <c r="U19" i="53" s="1"/>
  <c r="U157" i="59"/>
  <c r="AT170" i="59"/>
  <c r="U170" i="59" s="1"/>
  <c r="D59" i="53"/>
  <c r="AD49" i="53"/>
  <c r="AF259" i="58"/>
  <c r="G259" i="58" s="1"/>
  <c r="F269" i="58"/>
  <c r="T149" i="53"/>
  <c r="AT139" i="53"/>
  <c r="U139" i="53" s="1"/>
  <c r="S97" i="58"/>
  <c r="T269" i="59"/>
  <c r="AT259" i="59"/>
  <c r="K67" i="55"/>
  <c r="AV280" i="53"/>
  <c r="W280" i="53" s="1"/>
  <c r="AV133" i="55"/>
  <c r="W133" i="55" s="1"/>
  <c r="K127" i="59"/>
  <c r="AV127" i="59"/>
  <c r="W127" i="59" s="1"/>
  <c r="P269" i="55"/>
  <c r="AP259" i="55"/>
  <c r="Q259" i="55" s="1"/>
  <c r="N29" i="58"/>
  <c r="AN19" i="58"/>
  <c r="O19" i="58" s="1"/>
  <c r="O187" i="57"/>
  <c r="U127" i="58"/>
  <c r="N269" i="53"/>
  <c r="AN259" i="53"/>
  <c r="O259" i="53" s="1"/>
  <c r="AD109" i="59"/>
  <c r="E109" i="59" s="1"/>
  <c r="D119" i="59"/>
  <c r="AV130" i="55"/>
  <c r="W130" i="55" s="1"/>
  <c r="AH49" i="59"/>
  <c r="I49" i="59" s="1"/>
  <c r="H59" i="59"/>
  <c r="AV13" i="53"/>
  <c r="W13" i="53" s="1"/>
  <c r="AV46" i="53"/>
  <c r="W46" i="53" s="1"/>
  <c r="P299" i="57"/>
  <c r="AT79" i="58"/>
  <c r="U79" i="58" s="1"/>
  <c r="T89" i="58"/>
  <c r="Q247" i="55"/>
  <c r="AH139" i="53"/>
  <c r="AH140" i="53" s="1"/>
  <c r="I140" i="53" s="1"/>
  <c r="H149" i="53"/>
  <c r="AN199" i="57"/>
  <c r="O199" i="57" s="1"/>
  <c r="N209" i="57"/>
  <c r="AH199" i="59"/>
  <c r="I199" i="59" s="1"/>
  <c r="H209" i="59"/>
  <c r="E97" i="59"/>
  <c r="T29" i="57"/>
  <c r="AT19" i="57"/>
  <c r="U19" i="57" s="1"/>
  <c r="AH259" i="57"/>
  <c r="I259" i="57" s="1"/>
  <c r="H269" i="57"/>
  <c r="AR259" i="59"/>
  <c r="R269" i="59"/>
  <c r="S163" i="53"/>
  <c r="AR170" i="53"/>
  <c r="S170" i="53" s="1"/>
  <c r="AP169" i="59"/>
  <c r="Q169" i="59" s="1"/>
  <c r="P179" i="59"/>
  <c r="R209" i="53"/>
  <c r="AR199" i="53"/>
  <c r="J59" i="59"/>
  <c r="AJ49" i="59"/>
  <c r="K49" i="59" s="1"/>
  <c r="AV100" i="59"/>
  <c r="W100" i="59" s="1"/>
  <c r="I37" i="59"/>
  <c r="AP229" i="59"/>
  <c r="Q229" i="59" s="1"/>
  <c r="P239" i="59"/>
  <c r="J89" i="55"/>
  <c r="AJ79" i="55"/>
  <c r="K79" i="55" s="1"/>
  <c r="AV277" i="57"/>
  <c r="W277" i="57" s="1"/>
  <c r="S40" i="53"/>
  <c r="AR50" i="53"/>
  <c r="S50" i="53" s="1"/>
  <c r="AR289" i="59"/>
  <c r="S289" i="59" s="1"/>
  <c r="R299" i="59"/>
  <c r="U67" i="58"/>
  <c r="I127" i="53"/>
  <c r="I187" i="59"/>
  <c r="O247" i="53"/>
  <c r="K37" i="53"/>
  <c r="AJ50" i="53"/>
  <c r="K50" i="53" s="1"/>
  <c r="I247" i="57"/>
  <c r="AN169" i="55"/>
  <c r="O169" i="55" s="1"/>
  <c r="N179" i="55"/>
  <c r="E217" i="55"/>
  <c r="N179" i="53"/>
  <c r="AN169" i="53"/>
  <c r="O169" i="53" s="1"/>
  <c r="AJ199" i="57"/>
  <c r="K199" i="57" s="1"/>
  <c r="J209" i="57"/>
  <c r="L299" i="55"/>
  <c r="AL289" i="55"/>
  <c r="M289" i="55" s="1"/>
  <c r="E127" i="53"/>
  <c r="J269" i="59"/>
  <c r="AJ259" i="59"/>
  <c r="AP199" i="59"/>
  <c r="Q199" i="59" s="1"/>
  <c r="P209" i="59"/>
  <c r="J179" i="57"/>
  <c r="AJ169" i="57"/>
  <c r="I193" i="53"/>
  <c r="AN289" i="58"/>
  <c r="O289" i="58" s="1"/>
  <c r="N299" i="58"/>
  <c r="D239" i="55"/>
  <c r="AD229" i="55"/>
  <c r="E229" i="55" s="1"/>
  <c r="S277" i="53"/>
  <c r="N149" i="52"/>
  <c r="AN139" i="52"/>
  <c r="E7" i="55"/>
  <c r="P299" i="58"/>
  <c r="AP289" i="58"/>
  <c r="AL50" i="53"/>
  <c r="M50" i="53" s="1"/>
  <c r="T149" i="59"/>
  <c r="AT139" i="59"/>
  <c r="D119" i="58"/>
  <c r="AD109" i="58"/>
  <c r="E109" i="58" s="1"/>
  <c r="S10" i="57"/>
  <c r="AL259" i="58"/>
  <c r="M259" i="58" s="1"/>
  <c r="L269" i="58"/>
  <c r="AH79" i="53"/>
  <c r="H89" i="53"/>
  <c r="L149" i="55"/>
  <c r="AL139" i="55"/>
  <c r="AN199" i="58"/>
  <c r="N209" i="58"/>
  <c r="O277" i="58"/>
  <c r="AP49" i="53"/>
  <c r="Q49" i="53" s="1"/>
  <c r="P59" i="53"/>
  <c r="AR49" i="59"/>
  <c r="R59" i="59"/>
  <c r="AH289" i="55"/>
  <c r="I289" i="55" s="1"/>
  <c r="H299" i="55"/>
  <c r="AT289" i="59"/>
  <c r="T299" i="59"/>
  <c r="AD19" i="55"/>
  <c r="E19" i="55" s="1"/>
  <c r="D29" i="55"/>
  <c r="AN259" i="55"/>
  <c r="N269" i="55"/>
  <c r="AH139" i="57"/>
  <c r="H149" i="57"/>
  <c r="AR259" i="57"/>
  <c r="AR260" i="57" s="1"/>
  <c r="S260" i="57" s="1"/>
  <c r="AR140" i="53"/>
  <c r="S140" i="53" s="1"/>
  <c r="AV166" i="57"/>
  <c r="W166" i="57" s="1"/>
  <c r="AV187" i="53"/>
  <c r="W187" i="53" s="1"/>
  <c r="AF79" i="55"/>
  <c r="G79" i="55" s="1"/>
  <c r="AV67" i="59"/>
  <c r="W67" i="59" s="1"/>
  <c r="AL260" i="53"/>
  <c r="M260" i="53" s="1"/>
  <c r="AV106" i="59"/>
  <c r="W106" i="59" s="1"/>
  <c r="AT110" i="53"/>
  <c r="U110" i="53" s="1"/>
  <c r="AT109" i="59"/>
  <c r="T119" i="59"/>
  <c r="K187" i="57"/>
  <c r="L179" i="58"/>
  <c r="AL169" i="58"/>
  <c r="M169" i="58" s="1"/>
  <c r="M280" i="59"/>
  <c r="AL199" i="55"/>
  <c r="M199" i="55" s="1"/>
  <c r="L209" i="55"/>
  <c r="P269" i="59"/>
  <c r="AP259" i="59"/>
  <c r="AJ109" i="53"/>
  <c r="K109" i="53" s="1"/>
  <c r="J119" i="53"/>
  <c r="AJ19" i="57"/>
  <c r="K19" i="57" s="1"/>
  <c r="J29" i="57"/>
  <c r="O79" i="58"/>
  <c r="AN80" i="58"/>
  <c r="O80" i="58" s="1"/>
  <c r="AJ19" i="59"/>
  <c r="J29" i="59"/>
  <c r="H59" i="58"/>
  <c r="AH49" i="58"/>
  <c r="AH289" i="59"/>
  <c r="H299" i="59"/>
  <c r="AN139" i="55"/>
  <c r="O139" i="55" s="1"/>
  <c r="N149" i="55"/>
  <c r="AT289" i="53"/>
  <c r="U289" i="53" s="1"/>
  <c r="T299" i="53"/>
  <c r="M247" i="58"/>
  <c r="D239" i="57"/>
  <c r="AD229" i="57"/>
  <c r="E100" i="53"/>
  <c r="N239" i="59"/>
  <c r="AN229" i="59"/>
  <c r="AP80" i="59"/>
  <c r="Q80" i="59" s="1"/>
  <c r="Q67" i="59"/>
  <c r="K97" i="53"/>
  <c r="K7" i="55"/>
  <c r="G220" i="58"/>
  <c r="AF230" i="58"/>
  <c r="G230" i="58" s="1"/>
  <c r="AD139" i="59"/>
  <c r="E139" i="59" s="1"/>
  <c r="D149" i="59"/>
  <c r="AR289" i="55"/>
  <c r="S289" i="55" s="1"/>
  <c r="R299" i="55"/>
  <c r="D59" i="59"/>
  <c r="AD49" i="59"/>
  <c r="AH79" i="55"/>
  <c r="I79" i="55" s="1"/>
  <c r="H89" i="55"/>
  <c r="O109" i="55"/>
  <c r="AN110" i="55"/>
  <c r="O110" i="55" s="1"/>
  <c r="AD109" i="53"/>
  <c r="E109" i="53" s="1"/>
  <c r="D119" i="53"/>
  <c r="AL19" i="58"/>
  <c r="M19" i="58" s="1"/>
  <c r="L29" i="58"/>
  <c r="S277" i="55"/>
  <c r="K37" i="59"/>
  <c r="I277" i="55"/>
  <c r="AV13" i="52"/>
  <c r="W13" i="52" s="1"/>
  <c r="AV13" i="58"/>
  <c r="W13" i="58" s="1"/>
  <c r="AV157" i="59"/>
  <c r="W157" i="59" s="1"/>
  <c r="AV256" i="59"/>
  <c r="W256" i="59" s="1"/>
  <c r="AH110" i="55"/>
  <c r="I110" i="55" s="1"/>
  <c r="J149" i="55"/>
  <c r="AJ139" i="55"/>
  <c r="AJ139" i="59"/>
  <c r="J149" i="59"/>
  <c r="AD289" i="55"/>
  <c r="E289" i="55" s="1"/>
  <c r="D299" i="55"/>
  <c r="E130" i="59"/>
  <c r="M7" i="58"/>
  <c r="I67" i="55"/>
  <c r="M187" i="55"/>
  <c r="AT79" i="59"/>
  <c r="U79" i="59" s="1"/>
  <c r="T209" i="59"/>
  <c r="D179" i="52"/>
  <c r="AD169" i="52"/>
  <c r="R29" i="55"/>
  <c r="AR19" i="55"/>
  <c r="U160" i="57"/>
  <c r="AT170" i="57"/>
  <c r="U170" i="57" s="1"/>
  <c r="AD79" i="55"/>
  <c r="E79" i="55" s="1"/>
  <c r="D89" i="55"/>
  <c r="S37" i="58"/>
  <c r="AJ289" i="59"/>
  <c r="J299" i="59"/>
  <c r="E280" i="55"/>
  <c r="I67" i="57"/>
  <c r="AH259" i="59"/>
  <c r="H269" i="59"/>
  <c r="P179" i="57"/>
  <c r="AP169" i="57"/>
  <c r="E277" i="53"/>
  <c r="AD290" i="53"/>
  <c r="E290" i="53" s="1"/>
  <c r="AR289" i="53"/>
  <c r="S289" i="53" s="1"/>
  <c r="R299" i="53"/>
  <c r="H239" i="53"/>
  <c r="AH229" i="53"/>
  <c r="AV16" i="59"/>
  <c r="W16" i="59" s="1"/>
  <c r="AD80" i="58"/>
  <c r="E80" i="58" s="1"/>
  <c r="AV46" i="52"/>
  <c r="W46" i="52" s="1"/>
  <c r="AF50" i="58"/>
  <c r="G50" i="58" s="1"/>
  <c r="AV70" i="55"/>
  <c r="W70" i="55" s="1"/>
  <c r="O157" i="55"/>
  <c r="L149" i="59"/>
  <c r="AL139" i="59"/>
  <c r="E67" i="55"/>
  <c r="AR49" i="58"/>
  <c r="S49" i="58" s="1"/>
  <c r="R59" i="58"/>
  <c r="AP169" i="58"/>
  <c r="Q169" i="58" s="1"/>
  <c r="P179" i="58"/>
  <c r="H209" i="55"/>
  <c r="AH199" i="55"/>
  <c r="I199" i="55" s="1"/>
  <c r="E67" i="53"/>
  <c r="AH79" i="57"/>
  <c r="I79" i="57" s="1"/>
  <c r="H89" i="57"/>
  <c r="AH199" i="58"/>
  <c r="I199" i="58" s="1"/>
  <c r="H209" i="58"/>
  <c r="AV10" i="58"/>
  <c r="W10" i="58" s="1"/>
  <c r="AV283" i="52"/>
  <c r="W283" i="52" s="1"/>
  <c r="Q139" i="55"/>
  <c r="AP140" i="55"/>
  <c r="Q140" i="55" s="1"/>
  <c r="AV103" i="52"/>
  <c r="W103" i="52" s="1"/>
  <c r="AV253" i="52"/>
  <c r="W253" i="52" s="1"/>
  <c r="AV277" i="58"/>
  <c r="W277" i="58" s="1"/>
  <c r="AP109" i="52"/>
  <c r="Q109" i="52" s="1"/>
  <c r="P119" i="52"/>
  <c r="Q97" i="52"/>
  <c r="AT170" i="52"/>
  <c r="U170" i="52" s="1"/>
  <c r="AV133" i="52"/>
  <c r="W133" i="52" s="1"/>
  <c r="U229" i="55"/>
  <c r="AT230" i="55"/>
  <c r="U230" i="55" s="1"/>
  <c r="AH50" i="52"/>
  <c r="I50" i="52" s="1"/>
  <c r="AV190" i="59"/>
  <c r="W190" i="59" s="1"/>
  <c r="AV283" i="58"/>
  <c r="W283" i="58" s="1"/>
  <c r="AF290" i="52"/>
  <c r="G290" i="52" s="1"/>
  <c r="P209" i="58"/>
  <c r="J269" i="52"/>
  <c r="AV280" i="57"/>
  <c r="W280" i="57" s="1"/>
  <c r="AN20" i="52"/>
  <c r="O20" i="52" s="1"/>
  <c r="AT49" i="57"/>
  <c r="U49" i="57" s="1"/>
  <c r="AL139" i="58"/>
  <c r="M139" i="58" s="1"/>
  <c r="L149" i="58"/>
  <c r="R29" i="58"/>
  <c r="AR19" i="58"/>
  <c r="AD199" i="58"/>
  <c r="E199" i="58" s="1"/>
  <c r="D209" i="58"/>
  <c r="AL199" i="52"/>
  <c r="M199" i="52" s="1"/>
  <c r="L209" i="52"/>
  <c r="E256" i="58"/>
  <c r="AV256" i="58"/>
  <c r="W256" i="58" s="1"/>
  <c r="R209" i="52"/>
  <c r="AR199" i="52"/>
  <c r="S199" i="52" s="1"/>
  <c r="G37" i="57"/>
  <c r="P179" i="52"/>
  <c r="AP169" i="52"/>
  <c r="Q169" i="52" s="1"/>
  <c r="G160" i="52"/>
  <c r="AV160" i="52"/>
  <c r="W160" i="52" s="1"/>
  <c r="M7" i="52"/>
  <c r="AV136" i="52"/>
  <c r="W136" i="52" s="1"/>
  <c r="AV106" i="52"/>
  <c r="W106" i="52" s="1"/>
  <c r="G100" i="58"/>
  <c r="AV100" i="58"/>
  <c r="W100" i="58" s="1"/>
  <c r="AP259" i="52"/>
  <c r="P269" i="52"/>
  <c r="U97" i="58"/>
  <c r="R179" i="52"/>
  <c r="AR169" i="52"/>
  <c r="S169" i="52" s="1"/>
  <c r="Q67" i="52"/>
  <c r="AN169" i="52"/>
  <c r="O169" i="52" s="1"/>
  <c r="N179" i="52"/>
  <c r="AT199" i="52"/>
  <c r="T209" i="52"/>
  <c r="Q157" i="52"/>
  <c r="AR79" i="52"/>
  <c r="R89" i="52"/>
  <c r="AV157" i="52"/>
  <c r="W157" i="52" s="1"/>
  <c r="AV166" i="59"/>
  <c r="W166" i="59" s="1"/>
  <c r="AV13" i="57"/>
  <c r="W13" i="57" s="1"/>
  <c r="H269" i="58"/>
  <c r="AH259" i="58"/>
  <c r="AH229" i="58"/>
  <c r="I229" i="58" s="1"/>
  <c r="H239" i="58"/>
  <c r="M127" i="58"/>
  <c r="E187" i="58"/>
  <c r="L119" i="52"/>
  <c r="AL109" i="52"/>
  <c r="M109" i="52" s="1"/>
  <c r="P89" i="52"/>
  <c r="AP79" i="52"/>
  <c r="Q79" i="52" s="1"/>
  <c r="O157" i="52"/>
  <c r="E100" i="52"/>
  <c r="AV100" i="52"/>
  <c r="W100" i="52" s="1"/>
  <c r="I247" i="58"/>
  <c r="AV247" i="58"/>
  <c r="W247" i="58" s="1"/>
  <c r="I217" i="58"/>
  <c r="T119" i="52"/>
  <c r="AT109" i="52"/>
  <c r="AN169" i="58"/>
  <c r="O169" i="58" s="1"/>
  <c r="N179" i="58"/>
  <c r="AV76" i="52"/>
  <c r="W76" i="52" s="1"/>
  <c r="J59" i="58"/>
  <c r="AJ49" i="58"/>
  <c r="P59" i="58"/>
  <c r="AP49" i="58"/>
  <c r="Q49" i="58" s="1"/>
  <c r="J179" i="52"/>
  <c r="AJ169" i="52"/>
  <c r="K169" i="52" s="1"/>
  <c r="R179" i="58"/>
  <c r="AR169" i="58"/>
  <c r="AV286" i="57"/>
  <c r="W286" i="57" s="1"/>
  <c r="AL80" i="55"/>
  <c r="M80" i="55" s="1"/>
  <c r="O277" i="55"/>
  <c r="O157" i="58"/>
  <c r="AV103" i="58"/>
  <c r="W103" i="58" s="1"/>
  <c r="D299" i="58"/>
  <c r="AD289" i="58"/>
  <c r="U70" i="59"/>
  <c r="AV70" i="59"/>
  <c r="W70" i="59" s="1"/>
  <c r="Q37" i="58"/>
  <c r="E217" i="52"/>
  <c r="AV217" i="52"/>
  <c r="W217" i="52" s="1"/>
  <c r="E217" i="58"/>
  <c r="AV130" i="52"/>
  <c r="W130" i="52" s="1"/>
  <c r="T299" i="52"/>
  <c r="AT289" i="52"/>
  <c r="U289" i="52" s="1"/>
  <c r="R119" i="57"/>
  <c r="AR109" i="57"/>
  <c r="AV133" i="58"/>
  <c r="W133" i="58" s="1"/>
  <c r="E253" i="58"/>
  <c r="AV253" i="58"/>
  <c r="W253" i="58" s="1"/>
  <c r="I73" i="52"/>
  <c r="AV73" i="52"/>
  <c r="W73" i="52" s="1"/>
  <c r="AD109" i="52"/>
  <c r="E109" i="52" s="1"/>
  <c r="D119" i="52"/>
  <c r="K250" i="52"/>
  <c r="AJ260" i="52"/>
  <c r="K260" i="52" s="1"/>
  <c r="E280" i="52"/>
  <c r="AV280" i="52"/>
  <c r="W280" i="52" s="1"/>
  <c r="R299" i="52"/>
  <c r="AR289" i="52"/>
  <c r="E226" i="52"/>
  <c r="AV226" i="52"/>
  <c r="W226" i="52" s="1"/>
  <c r="K157" i="52"/>
  <c r="J209" i="58"/>
  <c r="AJ199" i="58"/>
  <c r="K199" i="58" s="1"/>
  <c r="AN289" i="55"/>
  <c r="O289" i="55" s="1"/>
  <c r="N299" i="55"/>
  <c r="AJ79" i="52"/>
  <c r="K79" i="52" s="1"/>
  <c r="J89" i="52"/>
  <c r="M127" i="52"/>
  <c r="AP259" i="58"/>
  <c r="P269" i="58"/>
  <c r="E277" i="52"/>
  <c r="AV277" i="52"/>
  <c r="W277" i="52" s="1"/>
  <c r="AP79" i="58"/>
  <c r="P89" i="58"/>
  <c r="AF170" i="57"/>
  <c r="G170" i="57" s="1"/>
  <c r="AL139" i="52"/>
  <c r="M139" i="52" s="1"/>
  <c r="L149" i="52"/>
  <c r="AJ109" i="58"/>
  <c r="J119" i="58"/>
  <c r="U37" i="52"/>
  <c r="E97" i="52"/>
  <c r="AJ109" i="52"/>
  <c r="K109" i="52" s="1"/>
  <c r="J119" i="52"/>
  <c r="E247" i="52"/>
  <c r="AV13" i="59"/>
  <c r="W13" i="59" s="1"/>
  <c r="AV67" i="57"/>
  <c r="W67" i="57" s="1"/>
  <c r="AV220" i="58"/>
  <c r="W220" i="58" s="1"/>
  <c r="K187" i="58"/>
  <c r="N59" i="59"/>
  <c r="AN49" i="59"/>
  <c r="K67" i="52"/>
  <c r="D209" i="52"/>
  <c r="AD199" i="52"/>
  <c r="D299" i="52"/>
  <c r="AD289" i="52"/>
  <c r="J179" i="58"/>
  <c r="AJ169" i="58"/>
  <c r="M130" i="58"/>
  <c r="AV130" i="58"/>
  <c r="W130" i="58" s="1"/>
  <c r="AR109" i="52"/>
  <c r="S109" i="52" s="1"/>
  <c r="R119" i="52"/>
  <c r="K97" i="52"/>
  <c r="AD259" i="52"/>
  <c r="E259" i="52" s="1"/>
  <c r="D269" i="52"/>
  <c r="AV286" i="58"/>
  <c r="W286" i="58" s="1"/>
  <c r="AV220" i="53"/>
  <c r="W220" i="53" s="1"/>
  <c r="AV37" i="58"/>
  <c r="W37" i="58" s="1"/>
  <c r="AV163" i="52"/>
  <c r="W163" i="52" s="1"/>
  <c r="E286" i="52"/>
  <c r="AV286" i="52"/>
  <c r="W286" i="52" s="1"/>
  <c r="AH259" i="53"/>
  <c r="I259" i="53" s="1"/>
  <c r="H269" i="53"/>
  <c r="AN109" i="52"/>
  <c r="O109" i="52" s="1"/>
  <c r="N119" i="52"/>
  <c r="L239" i="52"/>
  <c r="AL229" i="52"/>
  <c r="M229" i="52" s="1"/>
  <c r="U7" i="58"/>
  <c r="AT49" i="52"/>
  <c r="U49" i="52" s="1"/>
  <c r="T59" i="52"/>
  <c r="S97" i="52"/>
  <c r="D149" i="52"/>
  <c r="AD139" i="52"/>
  <c r="M217" i="52"/>
  <c r="J29" i="58"/>
  <c r="AJ19" i="58"/>
  <c r="AP229" i="52"/>
  <c r="Q229" i="52" s="1"/>
  <c r="P239" i="52"/>
  <c r="AV127" i="58"/>
  <c r="W127" i="58" s="1"/>
  <c r="AN139" i="58"/>
  <c r="O139" i="58" s="1"/>
  <c r="N149" i="58"/>
  <c r="S7" i="52"/>
  <c r="I247" i="53"/>
  <c r="O97" i="52"/>
  <c r="AD259" i="58"/>
  <c r="E259" i="58" s="1"/>
  <c r="D269" i="58"/>
  <c r="T29" i="58"/>
  <c r="AT19" i="58"/>
  <c r="U19" i="58" s="1"/>
  <c r="AJ229" i="57"/>
  <c r="K229" i="57" s="1"/>
  <c r="J239" i="57"/>
  <c r="I277" i="52"/>
  <c r="R149" i="52"/>
  <c r="AR139" i="52"/>
  <c r="AJ289" i="52"/>
  <c r="K289" i="52" s="1"/>
  <c r="J299" i="52"/>
  <c r="S190" i="52"/>
  <c r="Q217" i="52"/>
  <c r="O127" i="58"/>
  <c r="AR19" i="52"/>
  <c r="S19" i="52" s="1"/>
  <c r="R29" i="52"/>
  <c r="U277" i="58"/>
  <c r="AL49" i="52"/>
  <c r="L59" i="52"/>
  <c r="AT229" i="58"/>
  <c r="T239" i="58"/>
  <c r="E250" i="58"/>
  <c r="AV250" i="58"/>
  <c r="W250" i="58" s="1"/>
  <c r="AR229" i="52"/>
  <c r="S229" i="52" s="1"/>
  <c r="R239" i="52"/>
  <c r="D59" i="52"/>
  <c r="AD49" i="52"/>
  <c r="E49" i="52" s="1"/>
  <c r="K217" i="57"/>
  <c r="R239" i="59"/>
  <c r="AR229" i="59"/>
  <c r="P59" i="52"/>
  <c r="AP49" i="52"/>
  <c r="Q49" i="52" s="1"/>
  <c r="P149" i="52"/>
  <c r="AP139" i="52"/>
  <c r="Q139" i="52" s="1"/>
  <c r="AT289" i="58"/>
  <c r="U289" i="58" s="1"/>
  <c r="T299" i="58"/>
  <c r="AH199" i="52"/>
  <c r="H209" i="52"/>
  <c r="S217" i="52"/>
  <c r="E37" i="52"/>
  <c r="O277" i="52"/>
  <c r="K277" i="52"/>
  <c r="G166" i="52"/>
  <c r="AV166" i="52"/>
  <c r="W166" i="52" s="1"/>
  <c r="R269" i="52"/>
  <c r="AR259" i="52"/>
  <c r="E7" i="58"/>
  <c r="P29" i="52"/>
  <c r="AP19" i="52"/>
  <c r="R149" i="58"/>
  <c r="AR139" i="58"/>
  <c r="S139" i="58" s="1"/>
  <c r="AL199" i="59"/>
  <c r="L209" i="59"/>
  <c r="AL289" i="58"/>
  <c r="M289" i="58" s="1"/>
  <c r="L299" i="58"/>
  <c r="O67" i="52"/>
  <c r="T89" i="52"/>
  <c r="AT79" i="52"/>
  <c r="U79" i="52" s="1"/>
  <c r="H179" i="58"/>
  <c r="AH169" i="58"/>
  <c r="I169" i="58" s="1"/>
  <c r="Q289" i="59"/>
  <c r="AP290" i="59"/>
  <c r="Q290" i="59" s="1"/>
  <c r="D29" i="58"/>
  <c r="AD19" i="58"/>
  <c r="E19" i="58" s="1"/>
  <c r="M277" i="58"/>
  <c r="R119" i="55"/>
  <c r="AR109" i="55"/>
  <c r="S109" i="55" s="1"/>
  <c r="M187" i="52"/>
  <c r="N59" i="52"/>
  <c r="AN49" i="52"/>
  <c r="AL19" i="52"/>
  <c r="M19" i="52" s="1"/>
  <c r="L29" i="52"/>
  <c r="AN109" i="58"/>
  <c r="N119" i="58"/>
  <c r="S97" i="55"/>
  <c r="AT109" i="58"/>
  <c r="U109" i="58" s="1"/>
  <c r="T119" i="58"/>
  <c r="AN79" i="52"/>
  <c r="O79" i="52" s="1"/>
  <c r="N89" i="52"/>
  <c r="AF49" i="57"/>
  <c r="G49" i="57" s="1"/>
  <c r="F59" i="57"/>
  <c r="E280" i="58"/>
  <c r="AV280" i="58"/>
  <c r="W280" i="58" s="1"/>
  <c r="U169" i="55"/>
  <c r="AT170" i="55"/>
  <c r="U170" i="55" s="1"/>
  <c r="AN19" i="59"/>
  <c r="AV160" i="57"/>
  <c r="W160" i="57" s="1"/>
  <c r="Q199" i="58"/>
  <c r="AP200" i="58"/>
  <c r="Q200" i="58" s="1"/>
  <c r="S139" i="55"/>
  <c r="AR140" i="55"/>
  <c r="S140" i="55" s="1"/>
  <c r="AN260" i="52"/>
  <c r="O260" i="52" s="1"/>
  <c r="O259" i="52"/>
  <c r="E19" i="52"/>
  <c r="AD20" i="52"/>
  <c r="E20" i="52" s="1"/>
  <c r="U259" i="58"/>
  <c r="AT260" i="58"/>
  <c r="U260" i="58" s="1"/>
  <c r="AV196" i="59"/>
  <c r="W196" i="59" s="1"/>
  <c r="AV76" i="58"/>
  <c r="W76" i="58" s="1"/>
  <c r="AV223" i="58"/>
  <c r="W223" i="58" s="1"/>
  <c r="AV73" i="53"/>
  <c r="W73" i="53" s="1"/>
  <c r="AV193" i="52"/>
  <c r="W193" i="52" s="1"/>
  <c r="AV193" i="59"/>
  <c r="W193" i="59" s="1"/>
  <c r="AV43" i="52"/>
  <c r="W43" i="52" s="1"/>
  <c r="AV283" i="53"/>
  <c r="W283" i="53" s="1"/>
  <c r="AV190" i="58"/>
  <c r="W190" i="58" s="1"/>
  <c r="AV223" i="59"/>
  <c r="W223" i="59" s="1"/>
  <c r="AL20" i="55"/>
  <c r="M20" i="55" s="1"/>
  <c r="S217" i="57"/>
  <c r="AD290" i="57"/>
  <c r="E290" i="57" s="1"/>
  <c r="E289" i="57"/>
  <c r="T89" i="57"/>
  <c r="AT79" i="57"/>
  <c r="K67" i="57"/>
  <c r="L209" i="58"/>
  <c r="AL199" i="58"/>
  <c r="M199" i="58" s="1"/>
  <c r="L239" i="57"/>
  <c r="AL229" i="57"/>
  <c r="M229" i="57" s="1"/>
  <c r="G223" i="53"/>
  <c r="AV223" i="53"/>
  <c r="W223" i="53" s="1"/>
  <c r="R89" i="58"/>
  <c r="AR79" i="58"/>
  <c r="S79" i="58" s="1"/>
  <c r="M250" i="52"/>
  <c r="AV250" i="52"/>
  <c r="W250" i="52" s="1"/>
  <c r="AV40" i="59"/>
  <c r="W40" i="59" s="1"/>
  <c r="F119" i="52"/>
  <c r="AF109" i="52"/>
  <c r="AJ79" i="57"/>
  <c r="K79" i="57" s="1"/>
  <c r="J89" i="57"/>
  <c r="T239" i="59"/>
  <c r="AT229" i="59"/>
  <c r="M37" i="58"/>
  <c r="E160" i="53"/>
  <c r="AV160" i="53"/>
  <c r="W160" i="53" s="1"/>
  <c r="G40" i="53"/>
  <c r="AV40" i="53"/>
  <c r="W40" i="53" s="1"/>
  <c r="Q187" i="52"/>
  <c r="AV187" i="52"/>
  <c r="W187" i="52" s="1"/>
  <c r="AN20" i="57"/>
  <c r="O20" i="57" s="1"/>
  <c r="G226" i="57"/>
  <c r="AV226" i="57"/>
  <c r="W226" i="57" s="1"/>
  <c r="E10" i="53"/>
  <c r="AV10" i="53"/>
  <c r="W10" i="53" s="1"/>
  <c r="G97" i="52"/>
  <c r="AV97" i="52"/>
  <c r="W97" i="52" s="1"/>
  <c r="M217" i="57"/>
  <c r="AR79" i="53"/>
  <c r="S79" i="53" s="1"/>
  <c r="R89" i="53"/>
  <c r="I103" i="57"/>
  <c r="AV103" i="57"/>
  <c r="W103" i="57" s="1"/>
  <c r="M46" i="58"/>
  <c r="AV46" i="58"/>
  <c r="W46" i="58" s="1"/>
  <c r="T29" i="52"/>
  <c r="AT19" i="52"/>
  <c r="U19" i="52" s="1"/>
  <c r="AT109" i="57"/>
  <c r="U109" i="57" s="1"/>
  <c r="T119" i="57"/>
  <c r="U217" i="53"/>
  <c r="G130" i="53"/>
  <c r="AV130" i="53"/>
  <c r="W130" i="53" s="1"/>
  <c r="AD169" i="57"/>
  <c r="E169" i="57" s="1"/>
  <c r="D179" i="57"/>
  <c r="AL259" i="52"/>
  <c r="M259" i="52" s="1"/>
  <c r="L269" i="52"/>
  <c r="M40" i="58"/>
  <c r="AV40" i="58"/>
  <c r="W40" i="58" s="1"/>
  <c r="AL109" i="57"/>
  <c r="M109" i="57" s="1"/>
  <c r="L119" i="57"/>
  <c r="M193" i="58"/>
  <c r="AV193" i="58"/>
  <c r="W193" i="58" s="1"/>
  <c r="I106" i="57"/>
  <c r="AV106" i="57"/>
  <c r="W106" i="57" s="1"/>
  <c r="G43" i="53"/>
  <c r="AV43" i="53"/>
  <c r="W43" i="53" s="1"/>
  <c r="U7" i="52"/>
  <c r="AV7" i="52"/>
  <c r="W7" i="52" s="1"/>
  <c r="E229" i="53"/>
  <c r="AD230" i="53"/>
  <c r="E230" i="53" s="1"/>
  <c r="AT229" i="53"/>
  <c r="U229" i="53" s="1"/>
  <c r="T239" i="53"/>
  <c r="J299" i="53"/>
  <c r="AJ289" i="53"/>
  <c r="K289" i="53" s="1"/>
  <c r="AN199" i="59"/>
  <c r="N209" i="59"/>
  <c r="E163" i="53"/>
  <c r="AV163" i="53"/>
  <c r="W163" i="53" s="1"/>
  <c r="E157" i="57"/>
  <c r="AV157" i="57"/>
  <c r="W157" i="57" s="1"/>
  <c r="U97" i="57"/>
  <c r="J59" i="52"/>
  <c r="AJ49" i="52"/>
  <c r="S217" i="58"/>
  <c r="AV217" i="58"/>
  <c r="W217" i="58" s="1"/>
  <c r="M247" i="52"/>
  <c r="K67" i="53"/>
  <c r="G253" i="53"/>
  <c r="AV253" i="53"/>
  <c r="W253" i="53" s="1"/>
  <c r="Q37" i="59"/>
  <c r="AV37" i="59"/>
  <c r="W37" i="59" s="1"/>
  <c r="M43" i="58"/>
  <c r="AV43" i="58"/>
  <c r="W43" i="58" s="1"/>
  <c r="K277" i="53"/>
  <c r="AV277" i="53"/>
  <c r="W277" i="53" s="1"/>
  <c r="K40" i="52"/>
  <c r="AV40" i="52"/>
  <c r="W40" i="52" s="1"/>
  <c r="AJ79" i="53"/>
  <c r="K79" i="53" s="1"/>
  <c r="J89" i="53"/>
  <c r="G127" i="53"/>
  <c r="AV127" i="53"/>
  <c r="W127" i="53" s="1"/>
  <c r="M97" i="57"/>
  <c r="AV10" i="57"/>
  <c r="W10" i="57" s="1"/>
  <c r="AV73" i="57"/>
  <c r="W73" i="57" s="1"/>
  <c r="AV46" i="59"/>
  <c r="W46" i="59" s="1"/>
  <c r="AP19" i="57"/>
  <c r="Q19" i="57" s="1"/>
  <c r="P29" i="57"/>
  <c r="AN79" i="55"/>
  <c r="O79" i="55" s="1"/>
  <c r="N89" i="55"/>
  <c r="T119" i="55"/>
  <c r="AT109" i="55"/>
  <c r="U109" i="55" s="1"/>
  <c r="AP49" i="59"/>
  <c r="Q49" i="59" s="1"/>
  <c r="P59" i="59"/>
  <c r="E76" i="57"/>
  <c r="AV76" i="57"/>
  <c r="W76" i="57" s="1"/>
  <c r="E127" i="57"/>
  <c r="Q97" i="57"/>
  <c r="Q190" i="52"/>
  <c r="AV190" i="52"/>
  <c r="W190" i="52" s="1"/>
  <c r="J59" i="57"/>
  <c r="AJ49" i="57"/>
  <c r="K49" i="57" s="1"/>
  <c r="Q7" i="57"/>
  <c r="AL110" i="59"/>
  <c r="M110" i="59" s="1"/>
  <c r="M109" i="59"/>
  <c r="E253" i="57"/>
  <c r="AV253" i="57"/>
  <c r="W253" i="57" s="1"/>
  <c r="AV67" i="55"/>
  <c r="W67" i="55" s="1"/>
  <c r="O67" i="55"/>
  <c r="K217" i="55"/>
  <c r="AV136" i="53"/>
  <c r="W136" i="53" s="1"/>
  <c r="U103" i="55"/>
  <c r="AV103" i="55"/>
  <c r="W103" i="55" s="1"/>
  <c r="AL19" i="57"/>
  <c r="L29" i="57"/>
  <c r="M196" i="58"/>
  <c r="AV196" i="58"/>
  <c r="W196" i="58" s="1"/>
  <c r="D149" i="57"/>
  <c r="AD139" i="57"/>
  <c r="E139" i="57" s="1"/>
  <c r="E196" i="55"/>
  <c r="AV196" i="55"/>
  <c r="W196" i="55" s="1"/>
  <c r="AP109" i="57"/>
  <c r="Q109" i="57" s="1"/>
  <c r="P119" i="57"/>
  <c r="J269" i="53"/>
  <c r="AJ259" i="53"/>
  <c r="K259" i="53" s="1"/>
  <c r="J299" i="57"/>
  <c r="AJ289" i="57"/>
  <c r="K289" i="57" s="1"/>
  <c r="Q97" i="53"/>
  <c r="K37" i="57"/>
  <c r="AT259" i="57"/>
  <c r="U259" i="57" s="1"/>
  <c r="T269" i="57"/>
  <c r="AV43" i="59"/>
  <c r="W43" i="59" s="1"/>
  <c r="AD200" i="59"/>
  <c r="E200" i="59" s="1"/>
  <c r="AJ229" i="55"/>
  <c r="K229" i="55" s="1"/>
  <c r="J239" i="55"/>
  <c r="U220" i="59"/>
  <c r="AV220" i="59"/>
  <c r="W220" i="59" s="1"/>
  <c r="K250" i="53"/>
  <c r="AV250" i="53"/>
  <c r="W250" i="53" s="1"/>
  <c r="E250" i="57"/>
  <c r="AV250" i="57"/>
  <c r="W250" i="57" s="1"/>
  <c r="AP289" i="55"/>
  <c r="Q289" i="55" s="1"/>
  <c r="P299" i="55"/>
  <c r="AV247" i="53"/>
  <c r="W247" i="53" s="1"/>
  <c r="K247" i="53"/>
  <c r="K277" i="57"/>
  <c r="AP109" i="53"/>
  <c r="Q109" i="53" s="1"/>
  <c r="P119" i="53"/>
  <c r="G223" i="57"/>
  <c r="AV223" i="57"/>
  <c r="W223" i="57" s="1"/>
  <c r="E166" i="53"/>
  <c r="AV166" i="53"/>
  <c r="W166" i="53" s="1"/>
  <c r="U247" i="57"/>
  <c r="AV133" i="53"/>
  <c r="W133" i="53" s="1"/>
  <c r="AF140" i="53"/>
  <c r="G140" i="53" s="1"/>
  <c r="AV220" i="57"/>
  <c r="W220" i="57" s="1"/>
  <c r="I217" i="57"/>
  <c r="I40" i="57"/>
  <c r="AV40" i="57"/>
  <c r="W40" i="57" s="1"/>
  <c r="I160" i="59"/>
  <c r="AV160" i="59"/>
  <c r="W160" i="59" s="1"/>
  <c r="K256" i="53"/>
  <c r="AV256" i="53"/>
  <c r="W256" i="53" s="1"/>
  <c r="O73" i="55"/>
  <c r="AV73" i="55"/>
  <c r="W73" i="55" s="1"/>
  <c r="AP199" i="53"/>
  <c r="Q199" i="53" s="1"/>
  <c r="P209" i="53"/>
  <c r="I100" i="57"/>
  <c r="AV100" i="57"/>
  <c r="W100" i="57" s="1"/>
  <c r="E7" i="53"/>
  <c r="AV7" i="53"/>
  <c r="W7" i="53" s="1"/>
  <c r="AV7" i="59"/>
  <c r="W7" i="59" s="1"/>
  <c r="H239" i="57"/>
  <c r="AH229" i="57"/>
  <c r="I229" i="57" s="1"/>
  <c r="AV133" i="57"/>
  <c r="W133" i="57" s="1"/>
  <c r="AN79" i="57"/>
  <c r="O79" i="57" s="1"/>
  <c r="N89" i="57"/>
  <c r="U127" i="52"/>
  <c r="AV127" i="52"/>
  <c r="W127" i="52" s="1"/>
  <c r="U16" i="52"/>
  <c r="AV16" i="52"/>
  <c r="W16" i="52" s="1"/>
  <c r="Q277" i="55"/>
  <c r="AV277" i="55"/>
  <c r="W277" i="55" s="1"/>
  <c r="O97" i="57"/>
  <c r="AD169" i="53"/>
  <c r="E169" i="53" s="1"/>
  <c r="D179" i="53"/>
  <c r="AH49" i="57"/>
  <c r="I49" i="57" s="1"/>
  <c r="H59" i="57"/>
  <c r="AH109" i="57"/>
  <c r="I109" i="57" s="1"/>
  <c r="H119" i="57"/>
  <c r="E160" i="58"/>
  <c r="AV160" i="58"/>
  <c r="W160" i="58" s="1"/>
  <c r="D29" i="53"/>
  <c r="AD19" i="53"/>
  <c r="I19" i="58"/>
  <c r="AH20" i="58"/>
  <c r="I20" i="58" s="1"/>
  <c r="M7" i="53"/>
  <c r="D209" i="57"/>
  <c r="AD199" i="57"/>
  <c r="E199" i="57" s="1"/>
  <c r="AT139" i="52"/>
  <c r="U139" i="52" s="1"/>
  <c r="T149" i="52"/>
  <c r="AD19" i="57"/>
  <c r="E19" i="57" s="1"/>
  <c r="D29" i="57"/>
  <c r="N119" i="57"/>
  <c r="AN109" i="57"/>
  <c r="O109" i="57" s="1"/>
  <c r="E157" i="53"/>
  <c r="S187" i="57"/>
  <c r="I37" i="57"/>
  <c r="AV103" i="53"/>
  <c r="W103" i="53" s="1"/>
  <c r="I97" i="57"/>
  <c r="AV97" i="57"/>
  <c r="W97" i="57" s="1"/>
  <c r="Q187" i="53"/>
  <c r="O106" i="53"/>
  <c r="AV106" i="53"/>
  <c r="W106" i="53" s="1"/>
  <c r="L29" i="53"/>
  <c r="AL19" i="53"/>
  <c r="M19" i="53" s="1"/>
  <c r="AD169" i="58"/>
  <c r="AD170" i="58" s="1"/>
  <c r="E170" i="58" s="1"/>
  <c r="D179" i="58"/>
  <c r="AN139" i="57"/>
  <c r="O139" i="57" s="1"/>
  <c r="N149" i="57"/>
  <c r="M256" i="52"/>
  <c r="AV256" i="52"/>
  <c r="W256" i="52" s="1"/>
  <c r="G283" i="57"/>
  <c r="AV283" i="57"/>
  <c r="W283" i="57" s="1"/>
  <c r="E190" i="57"/>
  <c r="AV190" i="57"/>
  <c r="W190" i="57" s="1"/>
  <c r="P149" i="57"/>
  <c r="AP139" i="57"/>
  <c r="Q139" i="57" s="1"/>
  <c r="D269" i="57"/>
  <c r="AD259" i="57"/>
  <c r="E259" i="57" s="1"/>
  <c r="O67" i="57"/>
  <c r="G37" i="53"/>
  <c r="AV37" i="53"/>
  <c r="W37" i="53" s="1"/>
  <c r="AV166" i="58"/>
  <c r="W166" i="58" s="1"/>
  <c r="S70" i="58"/>
  <c r="AV70" i="58"/>
  <c r="W70" i="58" s="1"/>
  <c r="AR199" i="57"/>
  <c r="S199" i="57" s="1"/>
  <c r="R209" i="57"/>
  <c r="AV247" i="52"/>
  <c r="W247" i="52" s="1"/>
  <c r="AV100" i="53"/>
  <c r="W100" i="53" s="1"/>
  <c r="M37" i="57"/>
  <c r="E196" i="57"/>
  <c r="AV196" i="57"/>
  <c r="W196" i="57" s="1"/>
  <c r="G16" i="58"/>
  <c r="AV16" i="58"/>
  <c r="W16" i="58" s="1"/>
  <c r="E7" i="57"/>
  <c r="AV7" i="57"/>
  <c r="W7" i="57" s="1"/>
  <c r="U10" i="52"/>
  <c r="AV10" i="52"/>
  <c r="W10" i="52" s="1"/>
  <c r="J269" i="57"/>
  <c r="AJ259" i="57"/>
  <c r="K259" i="57" s="1"/>
  <c r="H179" i="59"/>
  <c r="AH169" i="59"/>
  <c r="I169" i="59" s="1"/>
  <c r="E256" i="57"/>
  <c r="AV256" i="57"/>
  <c r="W256" i="57" s="1"/>
  <c r="K286" i="53"/>
  <c r="AV286" i="53"/>
  <c r="W286" i="53" s="1"/>
  <c r="L59" i="57"/>
  <c r="AL49" i="57"/>
  <c r="M49" i="57" s="1"/>
  <c r="E157" i="58"/>
  <c r="AV157" i="58"/>
  <c r="W157" i="58" s="1"/>
  <c r="N119" i="53"/>
  <c r="AN109" i="53"/>
  <c r="O109" i="53" s="1"/>
  <c r="O127" i="57"/>
  <c r="E247" i="57"/>
  <c r="AV247" i="57"/>
  <c r="W247" i="57" s="1"/>
  <c r="Q280" i="55"/>
  <c r="AV280" i="55"/>
  <c r="W280" i="55" s="1"/>
  <c r="I157" i="59"/>
  <c r="R59" i="57"/>
  <c r="AR49" i="57"/>
  <c r="AV37" i="57"/>
  <c r="W37" i="57" s="1"/>
  <c r="I43" i="57"/>
  <c r="AV43" i="57"/>
  <c r="W43" i="57" s="1"/>
  <c r="AL139" i="57"/>
  <c r="M139" i="57" s="1"/>
  <c r="L149" i="57"/>
  <c r="R239" i="57"/>
  <c r="AR229" i="57"/>
  <c r="S229" i="57" s="1"/>
  <c r="O97" i="53"/>
  <c r="AL49" i="58"/>
  <c r="AL50" i="58" s="1"/>
  <c r="M50" i="58" s="1"/>
  <c r="L59" i="58"/>
  <c r="S67" i="58"/>
  <c r="R179" i="57"/>
  <c r="AR169" i="57"/>
  <c r="S169" i="57" s="1"/>
  <c r="M127" i="57"/>
  <c r="AP199" i="52"/>
  <c r="Q199" i="52" s="1"/>
  <c r="P209" i="52"/>
  <c r="E16" i="53"/>
  <c r="AV16" i="53"/>
  <c r="W16" i="53" s="1"/>
  <c r="AV97" i="53"/>
  <c r="W97" i="53" s="1"/>
  <c r="Q19" i="59"/>
  <c r="AP20" i="59"/>
  <c r="Q20" i="59" s="1"/>
  <c r="U70" i="53"/>
  <c r="AV70" i="53"/>
  <c r="W70" i="53" s="1"/>
  <c r="M289" i="57"/>
  <c r="AL290" i="57"/>
  <c r="M290" i="57" s="1"/>
  <c r="J59" i="55"/>
  <c r="AJ49" i="55"/>
  <c r="K49" i="55" s="1"/>
  <c r="K37" i="55"/>
  <c r="AV37" i="55"/>
  <c r="W37" i="55" s="1"/>
  <c r="AT79" i="53"/>
  <c r="T89" i="53"/>
  <c r="M289" i="53"/>
  <c r="AL290" i="53"/>
  <c r="M290" i="53" s="1"/>
  <c r="O196" i="52"/>
  <c r="U67" i="53"/>
  <c r="AV67" i="53"/>
  <c r="W67" i="53" s="1"/>
  <c r="U76" i="53"/>
  <c r="AV76" i="53"/>
  <c r="W76" i="53" s="1"/>
  <c r="AN199" i="52"/>
  <c r="O199" i="52" s="1"/>
  <c r="N209" i="52"/>
  <c r="AV196" i="52"/>
  <c r="W196" i="52" s="1"/>
  <c r="AR229" i="58"/>
  <c r="R239" i="58"/>
  <c r="U127" i="57"/>
  <c r="AV127" i="57"/>
  <c r="W127" i="57" s="1"/>
  <c r="U130" i="57"/>
  <c r="AV130" i="57"/>
  <c r="W130" i="57" s="1"/>
  <c r="S226" i="58"/>
  <c r="AV226" i="58"/>
  <c r="W226" i="58" s="1"/>
  <c r="T149" i="57"/>
  <c r="AT139" i="57"/>
  <c r="U139" i="57" s="1"/>
  <c r="AP140" i="58"/>
  <c r="Q140" i="58" s="1"/>
  <c r="AH290" i="58"/>
  <c r="I290" i="58" s="1"/>
  <c r="M49" i="59"/>
  <c r="AL50" i="59"/>
  <c r="M50" i="59" s="1"/>
  <c r="E19" i="59"/>
  <c r="AD20" i="59"/>
  <c r="E20" i="59" s="1"/>
  <c r="AR260" i="55"/>
  <c r="S260" i="55" s="1"/>
  <c r="K289" i="58"/>
  <c r="AJ290" i="58"/>
  <c r="K290" i="58" s="1"/>
  <c r="AL80" i="58"/>
  <c r="M80" i="58" s="1"/>
  <c r="K169" i="55"/>
  <c r="AJ170" i="55"/>
  <c r="K170" i="55" s="1"/>
  <c r="AH50" i="53"/>
  <c r="I50" i="53" s="1"/>
  <c r="I49" i="53"/>
  <c r="AP290" i="57"/>
  <c r="Q290" i="57" s="1"/>
  <c r="M49" i="55"/>
  <c r="AL50" i="55"/>
  <c r="M50" i="55" s="1"/>
  <c r="AL230" i="53"/>
  <c r="M230" i="53" s="1"/>
  <c r="I199" i="57"/>
  <c r="AH200" i="57"/>
  <c r="I200" i="57" s="1"/>
  <c r="AH229" i="55"/>
  <c r="I229" i="55" s="1"/>
  <c r="H239" i="55"/>
  <c r="AN170" i="57"/>
  <c r="O170" i="57" s="1"/>
  <c r="I223" i="55"/>
  <c r="AV223" i="55"/>
  <c r="W223" i="55" s="1"/>
  <c r="U199" i="57"/>
  <c r="AT200" i="57"/>
  <c r="U200" i="57" s="1"/>
  <c r="AR20" i="53"/>
  <c r="S20" i="53" s="1"/>
  <c r="AL290" i="52"/>
  <c r="M290" i="52" s="1"/>
  <c r="M289" i="52"/>
  <c r="M229" i="55"/>
  <c r="AL230" i="55"/>
  <c r="M230" i="55" s="1"/>
  <c r="O19" i="53"/>
  <c r="AN20" i="53"/>
  <c r="O20" i="53" s="1"/>
  <c r="AJ80" i="59"/>
  <c r="K80" i="59" s="1"/>
  <c r="K79" i="59"/>
  <c r="M79" i="52"/>
  <c r="AL80" i="52"/>
  <c r="M80" i="52" s="1"/>
  <c r="I139" i="58"/>
  <c r="AH140" i="58"/>
  <c r="I140" i="58" s="1"/>
  <c r="G259" i="57"/>
  <c r="AF260" i="57"/>
  <c r="G260" i="57" s="1"/>
  <c r="G229" i="59"/>
  <c r="AF230" i="59"/>
  <c r="G230" i="59" s="1"/>
  <c r="G109" i="55"/>
  <c r="AF110" i="55"/>
  <c r="G110" i="55" s="1"/>
  <c r="G79" i="58"/>
  <c r="AF80" i="58"/>
  <c r="G80" i="58" s="1"/>
  <c r="G169" i="59"/>
  <c r="AF170" i="59"/>
  <c r="G170" i="59" s="1"/>
  <c r="G109" i="53"/>
  <c r="AF110" i="53"/>
  <c r="G110" i="53" s="1"/>
  <c r="G229" i="57"/>
  <c r="AF230" i="57"/>
  <c r="G230" i="57" s="1"/>
  <c r="G139" i="59"/>
  <c r="AF140" i="59"/>
  <c r="G140" i="59" s="1"/>
  <c r="AF200" i="58"/>
  <c r="G200" i="58" s="1"/>
  <c r="G199" i="58"/>
  <c r="AT199" i="53"/>
  <c r="U199" i="53" s="1"/>
  <c r="T209" i="53"/>
  <c r="P59" i="57"/>
  <c r="AP49" i="57"/>
  <c r="AP50" i="57" s="1"/>
  <c r="Q50" i="57" s="1"/>
  <c r="U247" i="55"/>
  <c r="M106" i="55"/>
  <c r="AV106" i="55"/>
  <c r="W106" i="55" s="1"/>
  <c r="BZ285" i="55"/>
  <c r="BZ247" i="55"/>
  <c r="BZ128" i="55"/>
  <c r="BZ14" i="55"/>
  <c r="BZ133" i="55"/>
  <c r="BZ47" i="55"/>
  <c r="BZ163" i="55"/>
  <c r="BZ100" i="55"/>
  <c r="BV101" i="55"/>
  <c r="BV196" i="55"/>
  <c r="BV250" i="55"/>
  <c r="BV45" i="55"/>
  <c r="BV165" i="55"/>
  <c r="BV218" i="55"/>
  <c r="BV12" i="55"/>
  <c r="Q76" i="55"/>
  <c r="AV76" i="55"/>
  <c r="J119" i="55"/>
  <c r="AJ109" i="55"/>
  <c r="K109" i="55" s="1"/>
  <c r="U190" i="53"/>
  <c r="Q46" i="57"/>
  <c r="AV46" i="57"/>
  <c r="I163" i="57"/>
  <c r="AV163" i="57"/>
  <c r="BZ73" i="55"/>
  <c r="BZ221" i="55"/>
  <c r="BZ12" i="55"/>
  <c r="BZ228" i="55"/>
  <c r="BZ134" i="55"/>
  <c r="BZ107" i="55"/>
  <c r="BZ108" i="55"/>
  <c r="BZ194" i="55"/>
  <c r="BV127" i="55"/>
  <c r="BV160" i="55"/>
  <c r="BV70" i="55"/>
  <c r="BV227" i="55"/>
  <c r="BV108" i="55"/>
  <c r="BV226" i="55"/>
  <c r="BV76" i="55"/>
  <c r="N49" i="85"/>
  <c r="N46" i="85"/>
  <c r="N42" i="85"/>
  <c r="N4" i="85"/>
  <c r="N6" i="85"/>
  <c r="N28" i="85"/>
  <c r="O28" i="85" s="1"/>
  <c r="N8" i="85"/>
  <c r="N71" i="85"/>
  <c r="N61" i="85"/>
  <c r="N58" i="85"/>
  <c r="N19" i="85"/>
  <c r="N20" i="85"/>
  <c r="N18" i="85"/>
  <c r="N29" i="85"/>
  <c r="N3" i="85"/>
  <c r="N23" i="85"/>
  <c r="O23" i="85" s="1"/>
  <c r="N34" i="85"/>
  <c r="O34" i="85" s="1"/>
  <c r="N7" i="85"/>
  <c r="N24" i="85"/>
  <c r="N43" i="85"/>
  <c r="O43" i="85" s="1"/>
  <c r="N16" i="85"/>
  <c r="N11" i="85"/>
  <c r="N52" i="85"/>
  <c r="N41" i="85"/>
  <c r="N44" i="85"/>
  <c r="N15" i="85"/>
  <c r="N64" i="85"/>
  <c r="O64" i="85" s="1"/>
  <c r="N53" i="85"/>
  <c r="N5" i="85"/>
  <c r="N55" i="85"/>
  <c r="O2" i="84"/>
  <c r="N9" i="85"/>
  <c r="N27" i="85"/>
  <c r="N45" i="85"/>
  <c r="N39" i="85"/>
  <c r="O39" i="85" s="1"/>
  <c r="N26" i="85"/>
  <c r="N40" i="85"/>
  <c r="O40" i="85" s="1"/>
  <c r="N37" i="85"/>
  <c r="O37" i="85" s="1"/>
  <c r="N33" i="85"/>
  <c r="O33" i="85" s="1"/>
  <c r="N2" i="85"/>
  <c r="N14" i="85"/>
  <c r="N47" i="85"/>
  <c r="O47" i="85" s="1"/>
  <c r="N32" i="85"/>
  <c r="N48" i="85"/>
  <c r="O48" i="85" s="1"/>
  <c r="N30" i="85"/>
  <c r="N51" i="85"/>
  <c r="N50" i="85"/>
  <c r="O50" i="85" s="1"/>
  <c r="N31" i="85"/>
  <c r="N13" i="85"/>
  <c r="N67" i="85"/>
  <c r="N17" i="85"/>
  <c r="N38" i="85"/>
  <c r="O38" i="85" s="1"/>
  <c r="N22" i="85"/>
  <c r="N10" i="85"/>
  <c r="N62" i="85"/>
  <c r="O62" i="85" s="1"/>
  <c r="N12" i="85"/>
  <c r="N36" i="85"/>
  <c r="O36" i="85" s="1"/>
  <c r="N25" i="85"/>
  <c r="N35" i="85"/>
  <c r="O35" i="85" s="1"/>
  <c r="N54" i="85"/>
  <c r="N56" i="85"/>
  <c r="N21" i="85"/>
  <c r="AP79" i="55"/>
  <c r="AP80" i="55" s="1"/>
  <c r="Q80" i="55" s="1"/>
  <c r="P89" i="55"/>
  <c r="K97" i="55"/>
  <c r="AV97" i="55"/>
  <c r="O226" i="55"/>
  <c r="AV226" i="55"/>
  <c r="W226" i="55" s="1"/>
  <c r="BZ131" i="55"/>
  <c r="BZ7" i="55"/>
  <c r="BZ132" i="55"/>
  <c r="BZ225" i="55"/>
  <c r="BZ227" i="55"/>
  <c r="BZ40" i="55"/>
  <c r="BZ129" i="55"/>
  <c r="BZ130" i="55"/>
  <c r="AV253" i="55"/>
  <c r="W253" i="55" s="1"/>
  <c r="K253" i="55"/>
  <c r="BV224" i="55"/>
  <c r="BV74" i="55"/>
  <c r="BV251" i="55"/>
  <c r="BV135" i="55"/>
  <c r="BV14" i="55"/>
  <c r="BV99" i="55"/>
  <c r="BV252" i="55"/>
  <c r="S46" i="55"/>
  <c r="AV46" i="55"/>
  <c r="W46" i="55" s="1"/>
  <c r="L119" i="55"/>
  <c r="AL109" i="55"/>
  <c r="M109" i="55" s="1"/>
  <c r="BZ137" i="55"/>
  <c r="BZ48" i="55"/>
  <c r="BZ162" i="55"/>
  <c r="BZ41" i="55"/>
  <c r="BZ105" i="55"/>
  <c r="BZ77" i="55"/>
  <c r="BZ198" i="55"/>
  <c r="BZ104" i="55"/>
  <c r="BZ37" i="55"/>
  <c r="AJ259" i="55"/>
  <c r="K259" i="55" s="1"/>
  <c r="J269" i="55"/>
  <c r="BV221" i="55"/>
  <c r="BV279" i="55"/>
  <c r="BV11" i="55"/>
  <c r="BV128" i="55"/>
  <c r="BV194" i="55"/>
  <c r="BV38" i="55"/>
  <c r="BV77" i="55"/>
  <c r="U196" i="53"/>
  <c r="AV196" i="53"/>
  <c r="W196" i="53" s="1"/>
  <c r="N23" i="68"/>
  <c r="C23" i="68" s="1"/>
  <c r="H23" i="68" s="1"/>
  <c r="N22" i="68"/>
  <c r="C22" i="68" s="1"/>
  <c r="H22" i="68" s="1"/>
  <c r="C21" i="68"/>
  <c r="H21" i="68" s="1"/>
  <c r="N21" i="68"/>
  <c r="N196" i="49"/>
  <c r="N197" i="49" s="1"/>
  <c r="H196" i="49"/>
  <c r="H197" i="49" s="1"/>
  <c r="G178" i="49"/>
  <c r="R196" i="49"/>
  <c r="R197" i="49" s="1"/>
  <c r="B177" i="49"/>
  <c r="U178" i="49"/>
  <c r="I178" i="49"/>
  <c r="P196" i="49"/>
  <c r="P197" i="49" s="1"/>
  <c r="K178" i="49"/>
  <c r="M178" i="49"/>
  <c r="E178" i="49"/>
  <c r="T196" i="49"/>
  <c r="T197" i="49" s="1"/>
  <c r="O178" i="49"/>
  <c r="B205" i="49"/>
  <c r="L196" i="49"/>
  <c r="L197" i="49" s="1"/>
  <c r="S178" i="49"/>
  <c r="D196" i="49"/>
  <c r="D197" i="49" s="1"/>
  <c r="F196" i="49"/>
  <c r="F197" i="49" s="1"/>
  <c r="Q178" i="49"/>
  <c r="J196" i="49"/>
  <c r="J197" i="49" s="1"/>
  <c r="M190" i="53"/>
  <c r="AV190" i="53"/>
  <c r="G70" i="57"/>
  <c r="AV70" i="57"/>
  <c r="J149" i="57"/>
  <c r="AJ139" i="57"/>
  <c r="AJ140" i="57" s="1"/>
  <c r="K140" i="57" s="1"/>
  <c r="O13" i="55"/>
  <c r="AV13" i="55"/>
  <c r="W13" i="55" s="1"/>
  <c r="BZ279" i="55"/>
  <c r="BZ75" i="55"/>
  <c r="BZ197" i="55"/>
  <c r="BZ288" i="55"/>
  <c r="BZ136" i="55"/>
  <c r="BZ258" i="55"/>
  <c r="BZ101" i="55"/>
  <c r="BV281" i="55"/>
  <c r="BV137" i="55"/>
  <c r="BV10" i="55"/>
  <c r="BV133" i="55"/>
  <c r="BV104" i="55"/>
  <c r="BV254" i="55"/>
  <c r="BV217" i="55"/>
  <c r="I256" i="55"/>
  <c r="AV256" i="55"/>
  <c r="W256" i="55" s="1"/>
  <c r="D119" i="55"/>
  <c r="AD109" i="55"/>
  <c r="AD110" i="55" s="1"/>
  <c r="E110" i="55" s="1"/>
  <c r="AL199" i="53"/>
  <c r="AL200" i="53" s="1"/>
  <c r="M200" i="53" s="1"/>
  <c r="L209" i="53"/>
  <c r="K136" i="57"/>
  <c r="AV136" i="57"/>
  <c r="BZ97" i="55"/>
  <c r="BZ257" i="55"/>
  <c r="BZ253" i="55"/>
  <c r="BZ76" i="55"/>
  <c r="BZ42" i="55"/>
  <c r="BZ164" i="55"/>
  <c r="BZ249" i="55"/>
  <c r="BV282" i="55"/>
  <c r="BV256" i="55"/>
  <c r="BV75" i="55"/>
  <c r="BV253" i="55"/>
  <c r="BV166" i="55"/>
  <c r="BV191" i="55"/>
  <c r="BV41" i="55"/>
  <c r="K190" i="55"/>
  <c r="AV190" i="55"/>
  <c r="W190" i="55" s="1"/>
  <c r="AN19" i="55"/>
  <c r="AN20" i="55" s="1"/>
  <c r="O20" i="55" s="1"/>
  <c r="N29" i="55"/>
  <c r="BZ46" i="55"/>
  <c r="BZ102" i="55"/>
  <c r="BZ191" i="55"/>
  <c r="BZ187" i="55"/>
  <c r="BZ39" i="55"/>
  <c r="BZ38" i="55"/>
  <c r="BZ287" i="55"/>
  <c r="BV97" i="55"/>
  <c r="BV162" i="55"/>
  <c r="BV257" i="55"/>
  <c r="BV192" i="55"/>
  <c r="BV71" i="55"/>
  <c r="BV67" i="55"/>
  <c r="BV258" i="55"/>
  <c r="BV44" i="55"/>
  <c r="AP229" i="55"/>
  <c r="Q229" i="55" s="1"/>
  <c r="P239" i="55"/>
  <c r="E100" i="55"/>
  <c r="AV100" i="55"/>
  <c r="W100" i="55" s="1"/>
  <c r="AH169" i="53"/>
  <c r="AH170" i="53" s="1"/>
  <c r="I170" i="53" s="1"/>
  <c r="H179" i="53"/>
  <c r="N239" i="55"/>
  <c r="AN229" i="55"/>
  <c r="BZ161" i="55"/>
  <c r="BZ223" i="55"/>
  <c r="BZ286" i="55"/>
  <c r="BZ69" i="55"/>
  <c r="BZ248" i="55"/>
  <c r="BZ220" i="55"/>
  <c r="AH19" i="57"/>
  <c r="AH20" i="57" s="1"/>
  <c r="I20" i="57" s="1"/>
  <c r="H29" i="57"/>
  <c r="BV198" i="55"/>
  <c r="BV69" i="55"/>
  <c r="BV161" i="55"/>
  <c r="BV9" i="55"/>
  <c r="BV7" i="55"/>
  <c r="BV278" i="55"/>
  <c r="BV248" i="55"/>
  <c r="BV134" i="55"/>
  <c r="AD49" i="55"/>
  <c r="AD50" i="55" s="1"/>
  <c r="E50" i="55" s="1"/>
  <c r="D59" i="55"/>
  <c r="L209" i="57"/>
  <c r="AL199" i="57"/>
  <c r="AL200" i="57" s="1"/>
  <c r="M200" i="57" s="1"/>
  <c r="J299" i="55"/>
  <c r="AJ289" i="55"/>
  <c r="AJ290" i="55" s="1"/>
  <c r="K290" i="55" s="1"/>
  <c r="Q193" i="57"/>
  <c r="AV193" i="57"/>
  <c r="W193" i="57" s="1"/>
  <c r="BZ168" i="55"/>
  <c r="BZ196" i="55"/>
  <c r="BZ166" i="55"/>
  <c r="BZ255" i="55"/>
  <c r="BZ190" i="55"/>
  <c r="BZ99" i="55"/>
  <c r="BZ103" i="55"/>
  <c r="I16" i="57"/>
  <c r="AV16" i="57"/>
  <c r="BV228" i="55"/>
  <c r="BV48" i="55"/>
  <c r="BV223" i="55"/>
  <c r="BV222" i="55"/>
  <c r="BV190" i="55"/>
  <c r="BV131" i="55"/>
  <c r="BV37" i="55"/>
  <c r="BV195" i="55"/>
  <c r="Q217" i="55"/>
  <c r="AV217" i="55"/>
  <c r="E43" i="55"/>
  <c r="AV43" i="55"/>
  <c r="W43" i="55" s="1"/>
  <c r="D179" i="55"/>
  <c r="AD169" i="55"/>
  <c r="AD170" i="55" s="1"/>
  <c r="E170" i="55" s="1"/>
  <c r="P209" i="57"/>
  <c r="AP199" i="57"/>
  <c r="Q199" i="57" s="1"/>
  <c r="I157" i="53"/>
  <c r="AV157" i="53"/>
  <c r="O220" i="55"/>
  <c r="AV220" i="55"/>
  <c r="W220" i="55" s="1"/>
  <c r="BZ135" i="55"/>
  <c r="BZ78" i="55"/>
  <c r="BZ195" i="55"/>
  <c r="BZ9" i="55"/>
  <c r="BZ251" i="55"/>
  <c r="BZ192" i="55"/>
  <c r="BZ44" i="55"/>
  <c r="BV157" i="55"/>
  <c r="BV187" i="55"/>
  <c r="BV136" i="55"/>
  <c r="BV68" i="55"/>
  <c r="BV98" i="55"/>
  <c r="BV17" i="55"/>
  <c r="BV277" i="55"/>
  <c r="BV163" i="55"/>
  <c r="E163" i="55"/>
  <c r="AV163" i="55"/>
  <c r="W163" i="55" s="1"/>
  <c r="M187" i="57"/>
  <c r="AV187" i="57"/>
  <c r="K286" i="55"/>
  <c r="AV286" i="55"/>
  <c r="O16" i="55"/>
  <c r="AV16" i="55"/>
  <c r="W16" i="55" s="1"/>
  <c r="BZ138" i="55"/>
  <c r="BZ106" i="55"/>
  <c r="BZ11" i="55"/>
  <c r="BZ45" i="55"/>
  <c r="BZ13" i="55"/>
  <c r="BZ284" i="55"/>
  <c r="BZ8" i="55"/>
  <c r="BV100" i="55"/>
  <c r="BV15" i="55"/>
  <c r="BV47" i="55"/>
  <c r="BV255" i="55"/>
  <c r="BV287" i="55"/>
  <c r="BV102" i="55"/>
  <c r="BV168" i="55"/>
  <c r="BV105" i="55"/>
  <c r="P179" i="55"/>
  <c r="AP169" i="55"/>
  <c r="Q169" i="55" s="1"/>
  <c r="D89" i="52"/>
  <c r="AD79" i="52"/>
  <c r="E79" i="52" s="1"/>
  <c r="AF79" i="57"/>
  <c r="AF80" i="57" s="1"/>
  <c r="G80" i="57" s="1"/>
  <c r="F89" i="57"/>
  <c r="P29" i="55"/>
  <c r="AP19" i="55"/>
  <c r="Q19" i="55" s="1"/>
  <c r="R167" i="50"/>
  <c r="R168" i="50" s="1"/>
  <c r="Q149" i="50"/>
  <c r="H167" i="50"/>
  <c r="H168" i="50" s="1"/>
  <c r="E149" i="50"/>
  <c r="F167" i="50"/>
  <c r="F168" i="50" s="1"/>
  <c r="J167" i="50"/>
  <c r="J168" i="50" s="1"/>
  <c r="U149" i="50"/>
  <c r="G149" i="50"/>
  <c r="K149" i="50"/>
  <c r="P167" i="50"/>
  <c r="P168" i="50" s="1"/>
  <c r="N167" i="50"/>
  <c r="N168" i="50" s="1"/>
  <c r="B148" i="50"/>
  <c r="T167" i="50"/>
  <c r="T168" i="50" s="1"/>
  <c r="S149" i="50"/>
  <c r="O149" i="50"/>
  <c r="B176" i="50"/>
  <c r="D167" i="50"/>
  <c r="D168" i="50" s="1"/>
  <c r="M149" i="50"/>
  <c r="I149" i="50"/>
  <c r="L167" i="50"/>
  <c r="L168" i="50" s="1"/>
  <c r="BZ226" i="55"/>
  <c r="BZ250" i="55"/>
  <c r="BZ15" i="55"/>
  <c r="BZ159" i="55"/>
  <c r="BZ157" i="55"/>
  <c r="BZ67" i="55"/>
  <c r="BZ16" i="55"/>
  <c r="BV132" i="55"/>
  <c r="BV189" i="55"/>
  <c r="BV8" i="55"/>
  <c r="BV280" i="55"/>
  <c r="BV288" i="55"/>
  <c r="BV220" i="55"/>
  <c r="BV285" i="55"/>
  <c r="BV193" i="55"/>
  <c r="R59" i="55"/>
  <c r="AR49" i="55"/>
  <c r="S49" i="55" s="1"/>
  <c r="J209" i="55"/>
  <c r="AJ199" i="55"/>
  <c r="K199" i="55" s="1"/>
  <c r="E70" i="52"/>
  <c r="AV70" i="52"/>
  <c r="W70" i="52" s="1"/>
  <c r="E193" i="55"/>
  <c r="AV193" i="55"/>
  <c r="W193" i="55" s="1"/>
  <c r="AT199" i="55"/>
  <c r="U199" i="55" s="1"/>
  <c r="T209" i="55"/>
  <c r="BZ280" i="55"/>
  <c r="BZ254" i="55"/>
  <c r="BV39" i="55"/>
  <c r="BV43" i="55"/>
  <c r="BV284" i="55"/>
  <c r="Q163" i="55"/>
  <c r="M58" i="85"/>
  <c r="M8" i="85"/>
  <c r="M17" i="85"/>
  <c r="M55" i="85"/>
  <c r="M60" i="85"/>
  <c r="M21" i="85"/>
  <c r="M25" i="85"/>
  <c r="M68" i="85"/>
  <c r="M14" i="85"/>
  <c r="M26" i="85"/>
  <c r="M5" i="85"/>
  <c r="M30" i="85"/>
  <c r="M2" i="85"/>
  <c r="M41" i="85"/>
  <c r="M4" i="85"/>
  <c r="M50" i="85"/>
  <c r="M40" i="85"/>
  <c r="M36" i="85"/>
  <c r="M67" i="85"/>
  <c r="M47" i="85"/>
  <c r="M15" i="85"/>
  <c r="M10" i="85"/>
  <c r="M72" i="85"/>
  <c r="M61" i="85"/>
  <c r="M27" i="85"/>
  <c r="M24" i="85"/>
  <c r="M39" i="85"/>
  <c r="M18" i="85"/>
  <c r="M44" i="85"/>
  <c r="M66" i="85"/>
  <c r="M52" i="85"/>
  <c r="M7" i="85"/>
  <c r="M56" i="85"/>
  <c r="M28" i="85"/>
  <c r="M6" i="85"/>
  <c r="M48" i="85"/>
  <c r="M69" i="85"/>
  <c r="M34" i="85"/>
  <c r="M42" i="85"/>
  <c r="M22" i="85"/>
  <c r="M19" i="85"/>
  <c r="M62" i="85"/>
  <c r="M65" i="85"/>
  <c r="M43" i="85"/>
  <c r="M64" i="85"/>
  <c r="M13" i="85"/>
  <c r="M3" i="85"/>
  <c r="M33" i="85"/>
  <c r="M12" i="85"/>
  <c r="M59" i="85"/>
  <c r="M29" i="85"/>
  <c r="M23" i="85"/>
  <c r="M63" i="85"/>
  <c r="M57" i="85"/>
  <c r="M9" i="85"/>
  <c r="M46" i="85"/>
  <c r="M32" i="85"/>
  <c r="M51" i="85"/>
  <c r="M53" i="85"/>
  <c r="M31" i="85"/>
  <c r="M54" i="85"/>
  <c r="M35" i="85"/>
  <c r="M16" i="85"/>
  <c r="M38" i="85"/>
  <c r="M45" i="85"/>
  <c r="M37" i="85"/>
  <c r="M49" i="85"/>
  <c r="M20" i="85"/>
  <c r="S40" i="55"/>
  <c r="AV40" i="55"/>
  <c r="K187" i="55"/>
  <c r="AV187" i="55"/>
  <c r="AR229" i="53"/>
  <c r="AR230" i="53" s="1"/>
  <c r="S230" i="53" s="1"/>
  <c r="R239" i="53"/>
  <c r="T239" i="57"/>
  <c r="AT229" i="57"/>
  <c r="AT230" i="57" s="1"/>
  <c r="U230" i="57" s="1"/>
  <c r="Q10" i="55"/>
  <c r="AV10" i="55"/>
  <c r="BZ219" i="55"/>
  <c r="BZ158" i="55"/>
  <c r="BZ165" i="55"/>
  <c r="BZ252" i="55"/>
  <c r="BZ68" i="55"/>
  <c r="BZ278" i="55"/>
  <c r="BV46" i="55"/>
  <c r="BV167" i="55"/>
  <c r="BV73" i="55"/>
  <c r="BV138" i="55"/>
  <c r="S193" i="55"/>
  <c r="U193" i="55"/>
  <c r="BZ10" i="55"/>
  <c r="BZ282" i="55"/>
  <c r="BZ167" i="55"/>
  <c r="BZ18" i="55"/>
  <c r="BZ218" i="55"/>
  <c r="BZ127" i="55"/>
  <c r="BZ17" i="55"/>
  <c r="BZ283" i="55"/>
  <c r="BV286" i="55"/>
  <c r="BV164" i="55"/>
  <c r="BV106" i="55"/>
  <c r="BV103" i="55"/>
  <c r="BV197" i="55"/>
  <c r="BV130" i="55"/>
  <c r="BV159" i="55"/>
  <c r="BV283" i="55"/>
  <c r="AH169" i="55"/>
  <c r="I169" i="55" s="1"/>
  <c r="H179" i="55"/>
  <c r="AD259" i="55"/>
  <c r="AD260" i="55" s="1"/>
  <c r="E260" i="55" s="1"/>
  <c r="D269" i="55"/>
  <c r="H269" i="55"/>
  <c r="AH259" i="55"/>
  <c r="I259" i="55" s="1"/>
  <c r="E250" i="55"/>
  <c r="AV250" i="55"/>
  <c r="W250" i="55" s="1"/>
  <c r="U217" i="57"/>
  <c r="AV217" i="57"/>
  <c r="I160" i="55"/>
  <c r="AV160" i="55"/>
  <c r="W160" i="55" s="1"/>
  <c r="R209" i="55"/>
  <c r="AR199" i="55"/>
  <c r="S199" i="55" s="1"/>
  <c r="T269" i="55"/>
  <c r="AT259" i="55"/>
  <c r="U259" i="55" s="1"/>
  <c r="D209" i="55"/>
  <c r="AD199" i="55"/>
  <c r="AD200" i="55" s="1"/>
  <c r="E200" i="55" s="1"/>
  <c r="BZ224" i="55"/>
  <c r="BZ71" i="55"/>
  <c r="BZ188" i="55"/>
  <c r="BZ281" i="55"/>
  <c r="BZ277" i="55"/>
  <c r="BZ72" i="55"/>
  <c r="BZ189" i="55"/>
  <c r="BZ160" i="55"/>
  <c r="BV40" i="55"/>
  <c r="BV16" i="55"/>
  <c r="BV13" i="55"/>
  <c r="BV107" i="55"/>
  <c r="BV78" i="55"/>
  <c r="BV158" i="55"/>
  <c r="BV225" i="55"/>
  <c r="I250" i="55"/>
  <c r="S226" i="53"/>
  <c r="AV226" i="53"/>
  <c r="AH169" i="57"/>
  <c r="H179" i="57"/>
  <c r="BZ217" i="55"/>
  <c r="BZ193" i="55"/>
  <c r="BZ256" i="55"/>
  <c r="BZ70" i="55"/>
  <c r="BZ222" i="55"/>
  <c r="BZ43" i="55"/>
  <c r="BZ74" i="55"/>
  <c r="BV247" i="55"/>
  <c r="BV249" i="55"/>
  <c r="BV129" i="55"/>
  <c r="BV219" i="55"/>
  <c r="BV18" i="55"/>
  <c r="BV72" i="55"/>
  <c r="BV188" i="55"/>
  <c r="I157" i="55"/>
  <c r="AV157" i="55"/>
  <c r="E247" i="55"/>
  <c r="AV247" i="55"/>
  <c r="I79" i="52"/>
  <c r="AH80" i="52"/>
  <c r="I80" i="52" s="1"/>
  <c r="I19" i="52"/>
  <c r="I109" i="52"/>
  <c r="AH110" i="52"/>
  <c r="I110" i="52" s="1"/>
  <c r="I229" i="52"/>
  <c r="AH230" i="52"/>
  <c r="I230" i="52" s="1"/>
  <c r="P53" i="81" l="1"/>
  <c r="P5" i="81"/>
  <c r="P13" i="81"/>
  <c r="P36" i="81"/>
  <c r="P55" i="81"/>
  <c r="P80" i="81"/>
  <c r="P62" i="81"/>
  <c r="P23" i="81"/>
  <c r="P27" i="81"/>
  <c r="P48" i="81"/>
  <c r="P98" i="81"/>
  <c r="P14" i="81"/>
  <c r="P93" i="81"/>
  <c r="P83" i="81"/>
  <c r="P49" i="81"/>
  <c r="P31" i="81"/>
  <c r="P45" i="81"/>
  <c r="P92" i="81"/>
  <c r="P96" i="81"/>
  <c r="P77" i="81"/>
  <c r="P37" i="81"/>
  <c r="P38" i="81"/>
  <c r="P28" i="81"/>
  <c r="P43" i="81"/>
  <c r="P71" i="81"/>
  <c r="P2" i="81"/>
  <c r="P24" i="81"/>
  <c r="P47" i="81"/>
  <c r="P61" i="81"/>
  <c r="P20" i="81"/>
  <c r="P32" i="81"/>
  <c r="P94" i="81"/>
  <c r="P18" i="81"/>
  <c r="P65" i="81"/>
  <c r="P42" i="81"/>
  <c r="P85" i="81"/>
  <c r="P16" i="81"/>
  <c r="P90" i="81"/>
  <c r="P79" i="81"/>
  <c r="P99" i="81"/>
  <c r="P46" i="81"/>
  <c r="P34" i="81"/>
  <c r="P17" i="81"/>
  <c r="P11" i="81"/>
  <c r="P88" i="81"/>
  <c r="P82" i="81"/>
  <c r="P74" i="81"/>
  <c r="P44" i="81"/>
  <c r="P40" i="81"/>
  <c r="P103" i="81"/>
  <c r="P84" i="81"/>
  <c r="P102" i="81"/>
  <c r="P86" i="81"/>
  <c r="P29" i="81"/>
  <c r="P9" i="81"/>
  <c r="P25" i="81"/>
  <c r="P81" i="81"/>
  <c r="P89" i="81"/>
  <c r="P7" i="81"/>
  <c r="P73" i="81"/>
  <c r="P66" i="81"/>
  <c r="P6" i="81"/>
  <c r="P35" i="81"/>
  <c r="P3" i="81"/>
  <c r="P56" i="81"/>
  <c r="P30" i="81"/>
  <c r="P91" i="81"/>
  <c r="P50" i="81"/>
  <c r="P10" i="81"/>
  <c r="P100" i="81"/>
  <c r="P54" i="81"/>
  <c r="P52" i="81"/>
  <c r="P12" i="81"/>
  <c r="P39" i="81"/>
  <c r="P67" i="81"/>
  <c r="P19" i="81"/>
  <c r="P63" i="81"/>
  <c r="P15" i="81"/>
  <c r="P78" i="81"/>
  <c r="P8" i="81"/>
  <c r="P51" i="81"/>
  <c r="P58" i="81"/>
  <c r="P69" i="81"/>
  <c r="P95" i="81"/>
  <c r="P60" i="81"/>
  <c r="P41" i="81"/>
  <c r="P64" i="81"/>
  <c r="P21" i="81"/>
  <c r="P4" i="81"/>
  <c r="P101" i="81"/>
  <c r="P57" i="81"/>
  <c r="P104" i="81"/>
  <c r="P70" i="81"/>
  <c r="P75" i="81"/>
  <c r="P87" i="81"/>
  <c r="P22" i="81"/>
  <c r="P76" i="81"/>
  <c r="P33" i="81"/>
  <c r="P26" i="81"/>
  <c r="P68" i="81"/>
  <c r="P97" i="81"/>
  <c r="AR80" i="57"/>
  <c r="S80" i="57" s="1"/>
  <c r="AL170" i="57"/>
  <c r="M170" i="57" s="1"/>
  <c r="O11" i="84"/>
  <c r="O58" i="85"/>
  <c r="O53" i="85"/>
  <c r="B5" i="82"/>
  <c r="G5" i="82"/>
  <c r="P85" i="80"/>
  <c r="P30" i="80"/>
  <c r="P38" i="80"/>
  <c r="P66" i="80"/>
  <c r="P57" i="80"/>
  <c r="P15" i="80"/>
  <c r="P28" i="80"/>
  <c r="P102" i="80"/>
  <c r="P49" i="80"/>
  <c r="P71" i="80"/>
  <c r="P39" i="80"/>
  <c r="P68" i="80"/>
  <c r="P50" i="80"/>
  <c r="P59" i="80"/>
  <c r="P54" i="80"/>
  <c r="P100" i="80"/>
  <c r="P74" i="80"/>
  <c r="P51" i="80"/>
  <c r="P75" i="80"/>
  <c r="P27" i="80"/>
  <c r="P61" i="80"/>
  <c r="P40" i="80"/>
  <c r="P52" i="80"/>
  <c r="P10" i="80"/>
  <c r="P11" i="80"/>
  <c r="P22" i="80"/>
  <c r="P90" i="80"/>
  <c r="P62" i="80"/>
  <c r="P64" i="80"/>
  <c r="P96" i="80"/>
  <c r="P76" i="80"/>
  <c r="P37" i="80"/>
  <c r="P86" i="80"/>
  <c r="P32" i="80"/>
  <c r="P33" i="80"/>
  <c r="P84" i="80"/>
  <c r="P73" i="80"/>
  <c r="P80" i="80"/>
  <c r="P3" i="80"/>
  <c r="P104" i="80"/>
  <c r="P9" i="80"/>
  <c r="P81" i="80"/>
  <c r="P42" i="80"/>
  <c r="P21" i="80"/>
  <c r="P70" i="80"/>
  <c r="P5" i="80"/>
  <c r="P60" i="80"/>
  <c r="P77" i="80"/>
  <c r="P98" i="80"/>
  <c r="P56" i="80"/>
  <c r="P41" i="80"/>
  <c r="P6" i="80"/>
  <c r="P93" i="80"/>
  <c r="P17" i="80"/>
  <c r="P25" i="80"/>
  <c r="P87" i="80"/>
  <c r="P65" i="80"/>
  <c r="P29" i="80"/>
  <c r="P24" i="80"/>
  <c r="P14" i="80"/>
  <c r="P2" i="80"/>
  <c r="P7" i="80"/>
  <c r="P20" i="80"/>
  <c r="P8" i="80"/>
  <c r="P44" i="80"/>
  <c r="P79" i="80"/>
  <c r="P35" i="80"/>
  <c r="P19" i="80"/>
  <c r="P82" i="80"/>
  <c r="P53" i="80"/>
  <c r="P36" i="80"/>
  <c r="P69" i="80"/>
  <c r="P43" i="80"/>
  <c r="P63" i="80"/>
  <c r="P94" i="80"/>
  <c r="P46" i="80"/>
  <c r="P67" i="80"/>
  <c r="P34" i="80"/>
  <c r="P95" i="80"/>
  <c r="P12" i="80"/>
  <c r="P58" i="80"/>
  <c r="P97" i="80"/>
  <c r="P72" i="80"/>
  <c r="P91" i="80"/>
  <c r="P45" i="80"/>
  <c r="P101" i="80"/>
  <c r="P13" i="80"/>
  <c r="P4" i="80"/>
  <c r="P92" i="80"/>
  <c r="P18" i="80"/>
  <c r="P23" i="80"/>
  <c r="P88" i="80"/>
  <c r="P103" i="80"/>
  <c r="P47" i="80"/>
  <c r="P99" i="80"/>
  <c r="P83" i="80"/>
  <c r="P78" i="80"/>
  <c r="P55" i="80"/>
  <c r="P89" i="80"/>
  <c r="P31" i="80"/>
  <c r="P26" i="80"/>
  <c r="P48" i="80"/>
  <c r="P16" i="80"/>
  <c r="AT290" i="55"/>
  <c r="U290" i="55" s="1"/>
  <c r="O93" i="84"/>
  <c r="AJ200" i="53"/>
  <c r="K200" i="53" s="1"/>
  <c r="O85" i="84"/>
  <c r="O88" i="84"/>
  <c r="M86" i="85"/>
  <c r="O73" i="84"/>
  <c r="O80" i="84"/>
  <c r="O77" i="84"/>
  <c r="O104" i="84"/>
  <c r="O90" i="84"/>
  <c r="B5" i="83"/>
  <c r="C5" i="83" s="1"/>
  <c r="O95" i="84"/>
  <c r="P90" i="79"/>
  <c r="P31" i="79"/>
  <c r="P15" i="79"/>
  <c r="P61" i="79"/>
  <c r="P50" i="79"/>
  <c r="P35" i="79"/>
  <c r="P94" i="79"/>
  <c r="P100" i="79"/>
  <c r="P52" i="79"/>
  <c r="P28" i="79"/>
  <c r="P23" i="79"/>
  <c r="P79" i="79"/>
  <c r="P98" i="79"/>
  <c r="P73" i="79"/>
  <c r="P91" i="79"/>
  <c r="P49" i="79"/>
  <c r="P36" i="79"/>
  <c r="P41" i="79"/>
  <c r="P76" i="79"/>
  <c r="P96" i="79"/>
  <c r="P92" i="79"/>
  <c r="P95" i="79"/>
  <c r="P77" i="79"/>
  <c r="P86" i="79"/>
  <c r="P24" i="79"/>
  <c r="P54" i="79"/>
  <c r="P33" i="79"/>
  <c r="P7" i="79"/>
  <c r="P104" i="79"/>
  <c r="P60" i="79"/>
  <c r="P20" i="79"/>
  <c r="P89" i="79"/>
  <c r="P51" i="79"/>
  <c r="P63" i="79"/>
  <c r="P75" i="79"/>
  <c r="P71" i="79"/>
  <c r="P27" i="79"/>
  <c r="P65" i="79"/>
  <c r="P85" i="79"/>
  <c r="P14" i="79"/>
  <c r="P38" i="79"/>
  <c r="P57" i="79"/>
  <c r="P13" i="79"/>
  <c r="P16" i="79"/>
  <c r="P22" i="79"/>
  <c r="P59" i="79"/>
  <c r="P62" i="79"/>
  <c r="P5" i="79"/>
  <c r="P47" i="79"/>
  <c r="P56" i="79"/>
  <c r="P102" i="79"/>
  <c r="P64" i="79"/>
  <c r="P43" i="79"/>
  <c r="P68" i="79"/>
  <c r="P10" i="79"/>
  <c r="P74" i="79"/>
  <c r="P30" i="79"/>
  <c r="P6" i="79"/>
  <c r="P37" i="79"/>
  <c r="P12" i="79"/>
  <c r="P2" i="79"/>
  <c r="P17" i="79"/>
  <c r="P8" i="79"/>
  <c r="P53" i="79"/>
  <c r="P66" i="79"/>
  <c r="P72" i="79"/>
  <c r="P21" i="79"/>
  <c r="P93" i="79"/>
  <c r="P81" i="79"/>
  <c r="P83" i="79"/>
  <c r="P19" i="79"/>
  <c r="P25" i="79"/>
  <c r="P46" i="79"/>
  <c r="P39" i="79"/>
  <c r="P11" i="79"/>
  <c r="P48" i="79"/>
  <c r="P44" i="79"/>
  <c r="P32" i="79"/>
  <c r="P9" i="79"/>
  <c r="P18" i="79"/>
  <c r="P80" i="79"/>
  <c r="P34" i="79"/>
  <c r="P82" i="79"/>
  <c r="P99" i="79"/>
  <c r="P40" i="79"/>
  <c r="P103" i="79"/>
  <c r="P4" i="79"/>
  <c r="P55" i="79"/>
  <c r="P29" i="79"/>
  <c r="P70" i="79"/>
  <c r="P78" i="79"/>
  <c r="P42" i="79"/>
  <c r="P87" i="79"/>
  <c r="P101" i="79"/>
  <c r="P26" i="79"/>
  <c r="P97" i="79"/>
  <c r="P45" i="79"/>
  <c r="P88" i="79"/>
  <c r="P84" i="79"/>
  <c r="P69" i="79"/>
  <c r="P58" i="79"/>
  <c r="P67" i="79"/>
  <c r="P3" i="79"/>
  <c r="O87" i="84"/>
  <c r="O102" i="84"/>
  <c r="O83" i="84"/>
  <c r="O97" i="84"/>
  <c r="O79" i="84"/>
  <c r="O103" i="84"/>
  <c r="O86" i="84"/>
  <c r="O75" i="84"/>
  <c r="O74" i="84"/>
  <c r="O81" i="84"/>
  <c r="O76" i="84"/>
  <c r="O98" i="84"/>
  <c r="O96" i="84"/>
  <c r="O89" i="84"/>
  <c r="O101" i="84"/>
  <c r="O92" i="84"/>
  <c r="O99" i="84"/>
  <c r="O91" i="84"/>
  <c r="O82" i="84"/>
  <c r="O78" i="84"/>
  <c r="O84" i="84"/>
  <c r="O100" i="84"/>
  <c r="O94" i="84"/>
  <c r="M97" i="85"/>
  <c r="O3" i="85"/>
  <c r="M101" i="85"/>
  <c r="M73" i="85"/>
  <c r="M88" i="85"/>
  <c r="M78" i="85"/>
  <c r="M92" i="85"/>
  <c r="M87" i="85"/>
  <c r="M91" i="85"/>
  <c r="M98" i="85"/>
  <c r="M82" i="85"/>
  <c r="M74" i="85"/>
  <c r="M94" i="85"/>
  <c r="M75" i="85"/>
  <c r="M76" i="85"/>
  <c r="M83" i="85"/>
  <c r="M100" i="85"/>
  <c r="M90" i="85"/>
  <c r="M79" i="85"/>
  <c r="M104" i="85"/>
  <c r="M96" i="85"/>
  <c r="M77" i="85"/>
  <c r="M99" i="85"/>
  <c r="M93" i="85"/>
  <c r="M103" i="85"/>
  <c r="M85" i="85"/>
  <c r="M84" i="85"/>
  <c r="M81" i="85"/>
  <c r="M80" i="85"/>
  <c r="M102" i="85"/>
  <c r="M89" i="85"/>
  <c r="M95" i="85"/>
  <c r="E5" i="82"/>
  <c r="O22" i="85"/>
  <c r="O51" i="85"/>
  <c r="O41" i="85"/>
  <c r="O17" i="85"/>
  <c r="N85" i="85"/>
  <c r="N97" i="85"/>
  <c r="N82" i="85"/>
  <c r="N78" i="85"/>
  <c r="N101" i="85"/>
  <c r="N81" i="85"/>
  <c r="N84" i="85"/>
  <c r="N75" i="85"/>
  <c r="N98" i="85"/>
  <c r="N76" i="85"/>
  <c r="N91" i="85"/>
  <c r="N90" i="85"/>
  <c r="N86" i="85"/>
  <c r="N103" i="85"/>
  <c r="N80" i="85"/>
  <c r="N93" i="85"/>
  <c r="N100" i="85"/>
  <c r="N99" i="85"/>
  <c r="N87" i="85"/>
  <c r="N95" i="85"/>
  <c r="N72" i="85"/>
  <c r="O72" i="85" s="1"/>
  <c r="N77" i="85"/>
  <c r="N73" i="85"/>
  <c r="N94" i="85"/>
  <c r="N88" i="85"/>
  <c r="N89" i="85"/>
  <c r="N83" i="85"/>
  <c r="N74" i="85"/>
  <c r="N102" i="85"/>
  <c r="N96" i="85"/>
  <c r="N104" i="85"/>
  <c r="N79" i="85"/>
  <c r="N92" i="85"/>
  <c r="O70" i="84"/>
  <c r="O59" i="84"/>
  <c r="N57" i="85"/>
  <c r="O57" i="85" s="1"/>
  <c r="N68" i="85"/>
  <c r="N68" i="86" s="1"/>
  <c r="N24" i="66"/>
  <c r="N66" i="85"/>
  <c r="N66" i="86" s="1"/>
  <c r="O65" i="84"/>
  <c r="N25" i="66"/>
  <c r="C25" i="66" s="1"/>
  <c r="H25" i="66" s="1"/>
  <c r="AN230" i="53"/>
  <c r="O230" i="53" s="1"/>
  <c r="C24" i="66"/>
  <c r="H24" i="66" s="1"/>
  <c r="O69" i="84"/>
  <c r="N26" i="66"/>
  <c r="C26" i="66" s="1"/>
  <c r="H26" i="66" s="1"/>
  <c r="D196" i="41"/>
  <c r="D197" i="41" s="1"/>
  <c r="K178" i="41"/>
  <c r="G178" i="41"/>
  <c r="Q178" i="41"/>
  <c r="O178" i="41"/>
  <c r="E178" i="41"/>
  <c r="R196" i="41"/>
  <c r="R197" i="41" s="1"/>
  <c r="F196" i="41"/>
  <c r="F197" i="41" s="1"/>
  <c r="U178" i="41"/>
  <c r="I178" i="41"/>
  <c r="T196" i="41"/>
  <c r="T197" i="41" s="1"/>
  <c r="B177" i="41"/>
  <c r="B205" i="41"/>
  <c r="N196" i="41"/>
  <c r="N197" i="41" s="1"/>
  <c r="S178" i="41"/>
  <c r="H196" i="41"/>
  <c r="H197" i="41" s="1"/>
  <c r="M178" i="41"/>
  <c r="L196" i="41"/>
  <c r="L197" i="41" s="1"/>
  <c r="J196" i="41"/>
  <c r="J197" i="41" s="1"/>
  <c r="P196" i="41"/>
  <c r="P197" i="41" s="1"/>
  <c r="B148" i="51"/>
  <c r="B176" i="51"/>
  <c r="U149" i="51"/>
  <c r="O149" i="51"/>
  <c r="I149" i="51"/>
  <c r="F167" i="51"/>
  <c r="F168" i="51" s="1"/>
  <c r="R167" i="51"/>
  <c r="R168" i="51" s="1"/>
  <c r="H167" i="51"/>
  <c r="H168" i="51" s="1"/>
  <c r="Q149" i="51"/>
  <c r="S149" i="51"/>
  <c r="N167" i="51"/>
  <c r="N168" i="51" s="1"/>
  <c r="L167" i="51"/>
  <c r="L168" i="51" s="1"/>
  <c r="K149" i="51"/>
  <c r="P167" i="51"/>
  <c r="P168" i="51" s="1"/>
  <c r="E149" i="51"/>
  <c r="T167" i="51"/>
  <c r="T168" i="51" s="1"/>
  <c r="M149" i="51"/>
  <c r="G149" i="51"/>
  <c r="D167" i="51"/>
  <c r="D168" i="51" s="1"/>
  <c r="J167" i="51"/>
  <c r="J168" i="51" s="1"/>
  <c r="N23" i="66"/>
  <c r="C23" i="66" s="1"/>
  <c r="H23" i="66" s="1"/>
  <c r="N21" i="66"/>
  <c r="C21" i="66"/>
  <c r="H21" i="66" s="1"/>
  <c r="N24" i="69"/>
  <c r="N26" i="69"/>
  <c r="C26" i="69" s="1"/>
  <c r="H26" i="69" s="1"/>
  <c r="C24" i="69"/>
  <c r="H24" i="69" s="1"/>
  <c r="N25" i="69"/>
  <c r="C25" i="69" s="1"/>
  <c r="H25" i="69" s="1"/>
  <c r="E207" i="46"/>
  <c r="M207" i="46"/>
  <c r="B206" i="46"/>
  <c r="N225" i="46"/>
  <c r="N226" i="46" s="1"/>
  <c r="T225" i="46"/>
  <c r="T226" i="46" s="1"/>
  <c r="U207" i="46"/>
  <c r="S207" i="46"/>
  <c r="O207" i="46"/>
  <c r="G207" i="46"/>
  <c r="F225" i="46"/>
  <c r="F226" i="46" s="1"/>
  <c r="J225" i="46"/>
  <c r="J226" i="46" s="1"/>
  <c r="P225" i="46"/>
  <c r="P226" i="46" s="1"/>
  <c r="D225" i="46"/>
  <c r="D226" i="46" s="1"/>
  <c r="R225" i="46"/>
  <c r="R226" i="46" s="1"/>
  <c r="H225" i="46"/>
  <c r="H226" i="46" s="1"/>
  <c r="B234" i="46"/>
  <c r="I207" i="46"/>
  <c r="K207" i="46"/>
  <c r="L225" i="46"/>
  <c r="L226" i="46" s="1"/>
  <c r="Q207" i="46"/>
  <c r="N22" i="66"/>
  <c r="C22" i="66" s="1"/>
  <c r="H22" i="66" s="1"/>
  <c r="N23" i="70"/>
  <c r="C23" i="70" s="1"/>
  <c r="H23" i="70" s="1"/>
  <c r="C21" i="70"/>
  <c r="H21" i="70" s="1"/>
  <c r="N21" i="70"/>
  <c r="N22" i="70"/>
  <c r="C22" i="70" s="1"/>
  <c r="H22" i="70" s="1"/>
  <c r="O18" i="85"/>
  <c r="P2" i="78"/>
  <c r="O16" i="85"/>
  <c r="P76" i="78"/>
  <c r="P14" i="78"/>
  <c r="P63" i="78"/>
  <c r="P75" i="78"/>
  <c r="P15" i="78"/>
  <c r="P104" i="78"/>
  <c r="P61" i="78"/>
  <c r="P73" i="78"/>
  <c r="P13" i="78"/>
  <c r="P26" i="78"/>
  <c r="P64" i="78"/>
  <c r="P24" i="78"/>
  <c r="P95" i="78"/>
  <c r="P98" i="78"/>
  <c r="P87" i="78"/>
  <c r="P79" i="78"/>
  <c r="P32" i="78"/>
  <c r="P23" i="78"/>
  <c r="P103" i="78"/>
  <c r="P70" i="78"/>
  <c r="P100" i="78"/>
  <c r="P33" i="78"/>
  <c r="O21" i="85"/>
  <c r="O19" i="85"/>
  <c r="O20" i="85"/>
  <c r="M71" i="85"/>
  <c r="O71" i="85" s="1"/>
  <c r="P81" i="78"/>
  <c r="O59" i="85"/>
  <c r="P25" i="78"/>
  <c r="P68" i="78"/>
  <c r="P89" i="78"/>
  <c r="P85" i="78"/>
  <c r="P43" i="78"/>
  <c r="P91" i="78"/>
  <c r="P8" i="78"/>
  <c r="P3" i="78"/>
  <c r="P16" i="78"/>
  <c r="P21" i="78"/>
  <c r="P62" i="78"/>
  <c r="P22" i="78"/>
  <c r="P52" i="78"/>
  <c r="P4" i="78"/>
  <c r="P94" i="78"/>
  <c r="P83" i="78"/>
  <c r="P67" i="78"/>
  <c r="P10" i="78"/>
  <c r="P92" i="78"/>
  <c r="P19" i="78"/>
  <c r="P72" i="78"/>
  <c r="P51" i="78"/>
  <c r="P46" i="78"/>
  <c r="P93" i="78"/>
  <c r="P45" i="78"/>
  <c r="P60" i="78"/>
  <c r="P41" i="78"/>
  <c r="P12" i="78"/>
  <c r="P17" i="78"/>
  <c r="P30" i="78"/>
  <c r="P80" i="78"/>
  <c r="P35" i="78"/>
  <c r="P69" i="78"/>
  <c r="P20" i="78"/>
  <c r="P59" i="78"/>
  <c r="P88" i="78"/>
  <c r="P37" i="78"/>
  <c r="P18" i="78"/>
  <c r="P31" i="78"/>
  <c r="P90" i="78"/>
  <c r="P58" i="78"/>
  <c r="P50" i="78"/>
  <c r="P39" i="78"/>
  <c r="P34" i="78"/>
  <c r="P56" i="78"/>
  <c r="P55" i="78"/>
  <c r="P28" i="78"/>
  <c r="P102" i="78"/>
  <c r="P38" i="78"/>
  <c r="P6" i="78"/>
  <c r="P97" i="78"/>
  <c r="P101" i="78"/>
  <c r="P36" i="78"/>
  <c r="P29" i="78"/>
  <c r="P44" i="78"/>
  <c r="P40" i="78"/>
  <c r="P71" i="78"/>
  <c r="P48" i="78"/>
  <c r="P5" i="78"/>
  <c r="P78" i="78"/>
  <c r="P84" i="78"/>
  <c r="P49" i="78"/>
  <c r="P47" i="78"/>
  <c r="P11" i="78"/>
  <c r="P42" i="78"/>
  <c r="P9" i="78"/>
  <c r="P99" i="78"/>
  <c r="P77" i="78"/>
  <c r="P54" i="78"/>
  <c r="P27" i="78"/>
  <c r="P96" i="78"/>
  <c r="P82" i="78"/>
  <c r="P7" i="78"/>
  <c r="P66" i="78"/>
  <c r="P65" i="78"/>
  <c r="P53" i="78"/>
  <c r="P86" i="78"/>
  <c r="P74" i="78"/>
  <c r="P57" i="78"/>
  <c r="O61" i="85"/>
  <c r="M70" i="85"/>
  <c r="O70" i="85" s="1"/>
  <c r="O42" i="85"/>
  <c r="O69" i="85"/>
  <c r="O79" i="53"/>
  <c r="O29" i="85"/>
  <c r="O32" i="85"/>
  <c r="O31" i="85"/>
  <c r="O30" i="85"/>
  <c r="O56" i="85"/>
  <c r="O55" i="85"/>
  <c r="N63" i="85"/>
  <c r="O63" i="85" s="1"/>
  <c r="O67" i="85"/>
  <c r="O54" i="85"/>
  <c r="A6" i="82"/>
  <c r="E6" i="82" s="1"/>
  <c r="A6" i="83"/>
  <c r="G6" i="83" s="1"/>
  <c r="O45" i="85"/>
  <c r="O46" i="85"/>
  <c r="O49" i="85"/>
  <c r="O52" i="85"/>
  <c r="O44" i="85"/>
  <c r="O13" i="85"/>
  <c r="O15" i="85"/>
  <c r="O14" i="85"/>
  <c r="N60" i="85"/>
  <c r="O60" i="85" s="1"/>
  <c r="O12" i="85"/>
  <c r="O25" i="85"/>
  <c r="O65" i="85"/>
  <c r="O27" i="85"/>
  <c r="O26" i="85"/>
  <c r="O24" i="85"/>
  <c r="O10" i="85"/>
  <c r="O11" i="85"/>
  <c r="O8" i="85"/>
  <c r="O9" i="85"/>
  <c r="O5" i="85"/>
  <c r="N21" i="60"/>
  <c r="C21" i="60"/>
  <c r="H21" i="60" s="1"/>
  <c r="N23" i="60"/>
  <c r="C23" i="60" s="1"/>
  <c r="H23" i="60" s="1"/>
  <c r="O4" i="85"/>
  <c r="O7" i="85"/>
  <c r="O6" i="85"/>
  <c r="S259" i="58"/>
  <c r="N25" i="68"/>
  <c r="C25" i="68" s="1"/>
  <c r="H25" i="68" s="1"/>
  <c r="N26" i="68"/>
  <c r="C26" i="68" s="1"/>
  <c r="H26" i="68" s="1"/>
  <c r="N24" i="68"/>
  <c r="C24" i="68"/>
  <c r="H24" i="68" s="1"/>
  <c r="N22" i="69"/>
  <c r="C22" i="69" s="1"/>
  <c r="H22" i="69" s="1"/>
  <c r="N23" i="69"/>
  <c r="C23" i="69" s="1"/>
  <c r="H23" i="69" s="1"/>
  <c r="N21" i="69"/>
  <c r="C21" i="69"/>
  <c r="H21" i="69" s="1"/>
  <c r="G207" i="45"/>
  <c r="T225" i="45"/>
  <c r="T226" i="45" s="1"/>
  <c r="B234" i="45"/>
  <c r="H225" i="45"/>
  <c r="H226" i="45" s="1"/>
  <c r="U207" i="45"/>
  <c r="Q207" i="45"/>
  <c r="L225" i="45"/>
  <c r="L226" i="45" s="1"/>
  <c r="S207" i="45"/>
  <c r="F225" i="45"/>
  <c r="F226" i="45" s="1"/>
  <c r="M207" i="45"/>
  <c r="B206" i="45"/>
  <c r="O207" i="45"/>
  <c r="I207" i="45"/>
  <c r="P225" i="45"/>
  <c r="P226" i="45" s="1"/>
  <c r="R225" i="45"/>
  <c r="R226" i="45" s="1"/>
  <c r="K207" i="45"/>
  <c r="E207" i="45"/>
  <c r="D225" i="45"/>
  <c r="D226" i="45" s="1"/>
  <c r="J225" i="45"/>
  <c r="J226" i="45" s="1"/>
  <c r="N225" i="45"/>
  <c r="N226" i="45" s="1"/>
  <c r="C24" i="70"/>
  <c r="H24" i="70" s="1"/>
  <c r="N26" i="70"/>
  <c r="C26" i="70" s="1"/>
  <c r="H26" i="70" s="1"/>
  <c r="N25" i="70"/>
  <c r="C25" i="70" s="1"/>
  <c r="H25" i="70" s="1"/>
  <c r="N24" i="70"/>
  <c r="N24" i="60"/>
  <c r="C24" i="60"/>
  <c r="H24" i="60" s="1"/>
  <c r="N25" i="60"/>
  <c r="C25" i="60" s="1"/>
  <c r="H25" i="60" s="1"/>
  <c r="N26" i="60"/>
  <c r="C26" i="60" s="1"/>
  <c r="H26" i="60" s="1"/>
  <c r="AR290" i="57"/>
  <c r="S290" i="57" s="1"/>
  <c r="AR20" i="59"/>
  <c r="S20" i="59" s="1"/>
  <c r="AN50" i="55"/>
  <c r="O50" i="55" s="1"/>
  <c r="AF20" i="52"/>
  <c r="G20" i="52" s="1"/>
  <c r="AH290" i="57"/>
  <c r="I290" i="57" s="1"/>
  <c r="AL80" i="59"/>
  <c r="M80" i="59" s="1"/>
  <c r="AN110" i="59"/>
  <c r="O110" i="59" s="1"/>
  <c r="AF50" i="52"/>
  <c r="G50" i="52" s="1"/>
  <c r="G199" i="52"/>
  <c r="AT290" i="57"/>
  <c r="U290" i="57" s="1"/>
  <c r="AH170" i="52"/>
  <c r="I170" i="52" s="1"/>
  <c r="AH260" i="52"/>
  <c r="I260" i="52" s="1"/>
  <c r="AF50" i="59"/>
  <c r="G50" i="59" s="1"/>
  <c r="AL260" i="52"/>
  <c r="M260" i="52" s="1"/>
  <c r="AF20" i="55"/>
  <c r="G20" i="55" s="1"/>
  <c r="AH290" i="52"/>
  <c r="I290" i="52" s="1"/>
  <c r="K229" i="52"/>
  <c r="AD230" i="58"/>
  <c r="E230" i="58" s="1"/>
  <c r="AP230" i="53"/>
  <c r="Q230" i="53" s="1"/>
  <c r="G289" i="59"/>
  <c r="G169" i="52"/>
  <c r="G169" i="53"/>
  <c r="AF200" i="53"/>
  <c r="G200" i="53" s="1"/>
  <c r="AF230" i="53"/>
  <c r="G230" i="53" s="1"/>
  <c r="AN200" i="53"/>
  <c r="O200" i="53" s="1"/>
  <c r="D5" i="83"/>
  <c r="AF140" i="52"/>
  <c r="G140" i="52" s="1"/>
  <c r="AF110" i="57"/>
  <c r="G110" i="57" s="1"/>
  <c r="AL20" i="59"/>
  <c r="M20" i="59" s="1"/>
  <c r="AD80" i="57"/>
  <c r="E80" i="57" s="1"/>
  <c r="AJ140" i="53"/>
  <c r="K140" i="53" s="1"/>
  <c r="AF200" i="55"/>
  <c r="G200" i="55" s="1"/>
  <c r="AL80" i="53"/>
  <c r="M80" i="53" s="1"/>
  <c r="AF260" i="53"/>
  <c r="G260" i="53" s="1"/>
  <c r="AH140" i="52"/>
  <c r="I140" i="52" s="1"/>
  <c r="AD50" i="57"/>
  <c r="E50" i="57" s="1"/>
  <c r="AF110" i="59"/>
  <c r="G110" i="59" s="1"/>
  <c r="Q139" i="59"/>
  <c r="AN140" i="59"/>
  <c r="O140" i="59" s="1"/>
  <c r="AH110" i="59"/>
  <c r="I110" i="59" s="1"/>
  <c r="AP80" i="57"/>
  <c r="Q80" i="57" s="1"/>
  <c r="AR200" i="59"/>
  <c r="S200" i="59" s="1"/>
  <c r="AL110" i="53"/>
  <c r="M110" i="53" s="1"/>
  <c r="O169" i="59"/>
  <c r="AT50" i="58"/>
  <c r="U50" i="58" s="1"/>
  <c r="AJ200" i="59"/>
  <c r="K200" i="59" s="1"/>
  <c r="AL80" i="57"/>
  <c r="M80" i="57" s="1"/>
  <c r="AP260" i="53"/>
  <c r="Q260" i="53" s="1"/>
  <c r="AH80" i="59"/>
  <c r="I80" i="59" s="1"/>
  <c r="AR140" i="57"/>
  <c r="S140" i="57" s="1"/>
  <c r="AP230" i="58"/>
  <c r="Q230" i="58" s="1"/>
  <c r="AD140" i="58"/>
  <c r="E140" i="58" s="1"/>
  <c r="AF230" i="55"/>
  <c r="G230" i="55" s="1"/>
  <c r="E259" i="53"/>
  <c r="G139" i="55"/>
  <c r="AT170" i="53"/>
  <c r="U170" i="53" s="1"/>
  <c r="AF20" i="57"/>
  <c r="G20" i="57" s="1"/>
  <c r="AF260" i="52"/>
  <c r="G260" i="52" s="1"/>
  <c r="S109" i="53"/>
  <c r="AD170" i="59"/>
  <c r="E170" i="59" s="1"/>
  <c r="AJ20" i="55"/>
  <c r="K20" i="55" s="1"/>
  <c r="G79" i="59"/>
  <c r="AN290" i="57"/>
  <c r="O290" i="57" s="1"/>
  <c r="AF290" i="55"/>
  <c r="G290" i="55" s="1"/>
  <c r="AF20" i="59"/>
  <c r="G20" i="59" s="1"/>
  <c r="G79" i="53"/>
  <c r="AN230" i="57"/>
  <c r="O230" i="57" s="1"/>
  <c r="AF80" i="52"/>
  <c r="G80" i="52" s="1"/>
  <c r="AD260" i="59"/>
  <c r="E260" i="59" s="1"/>
  <c r="AF200" i="57"/>
  <c r="G200" i="57" s="1"/>
  <c r="AF50" i="53"/>
  <c r="G50" i="53" s="1"/>
  <c r="AV229" i="52"/>
  <c r="AV230" i="52" s="1"/>
  <c r="AJ20" i="52"/>
  <c r="K20" i="52" s="1"/>
  <c r="AV49" i="53"/>
  <c r="AV50" i="53" s="1"/>
  <c r="BA50" i="53" s="1"/>
  <c r="BQ50" i="53" s="1"/>
  <c r="AL170" i="52"/>
  <c r="M170" i="52" s="1"/>
  <c r="I289" i="53"/>
  <c r="AH290" i="53"/>
  <c r="I290" i="53" s="1"/>
  <c r="AN50" i="58"/>
  <c r="O50" i="58" s="1"/>
  <c r="AR230" i="55"/>
  <c r="S230" i="55" s="1"/>
  <c r="AT20" i="59"/>
  <c r="U20" i="59" s="1"/>
  <c r="AH140" i="55"/>
  <c r="I140" i="55" s="1"/>
  <c r="AD140" i="53"/>
  <c r="E140" i="53" s="1"/>
  <c r="AT260" i="53"/>
  <c r="U260" i="53" s="1"/>
  <c r="U79" i="55"/>
  <c r="AP20" i="53"/>
  <c r="Q20" i="53" s="1"/>
  <c r="O229" i="58"/>
  <c r="AN230" i="58"/>
  <c r="O230" i="58" s="1"/>
  <c r="AR80" i="55"/>
  <c r="S80" i="55" s="1"/>
  <c r="AV109" i="59"/>
  <c r="AV110" i="59" s="1"/>
  <c r="AH200" i="53"/>
  <c r="I200" i="53" s="1"/>
  <c r="K19" i="53"/>
  <c r="AJ20" i="53"/>
  <c r="K20" i="53" s="1"/>
  <c r="AF80" i="55"/>
  <c r="G80" i="55" s="1"/>
  <c r="AN140" i="57"/>
  <c r="O140" i="57" s="1"/>
  <c r="AJ230" i="59"/>
  <c r="K230" i="59" s="1"/>
  <c r="AP290" i="52"/>
  <c r="Q290" i="52" s="1"/>
  <c r="AR110" i="58"/>
  <c r="S110" i="58" s="1"/>
  <c r="AV79" i="58"/>
  <c r="W79" i="58" s="1"/>
  <c r="AH110" i="58"/>
  <c r="I110" i="58" s="1"/>
  <c r="I229" i="59"/>
  <c r="AH230" i="59"/>
  <c r="I230" i="59" s="1"/>
  <c r="AL170" i="53"/>
  <c r="M170" i="53" s="1"/>
  <c r="AN290" i="52"/>
  <c r="O290" i="52" s="1"/>
  <c r="S259" i="57"/>
  <c r="AR20" i="57"/>
  <c r="S20" i="57" s="1"/>
  <c r="AN230" i="52"/>
  <c r="O230" i="52" s="1"/>
  <c r="AJ110" i="59"/>
  <c r="K110" i="59" s="1"/>
  <c r="Q79" i="53"/>
  <c r="AP80" i="53"/>
  <c r="Q80" i="53" s="1"/>
  <c r="S79" i="59"/>
  <c r="AR80" i="59"/>
  <c r="S80" i="59" s="1"/>
  <c r="K139" i="58"/>
  <c r="AJ140" i="58"/>
  <c r="K140" i="58" s="1"/>
  <c r="AH260" i="57"/>
  <c r="I260" i="57" s="1"/>
  <c r="AL200" i="55"/>
  <c r="M200" i="55" s="1"/>
  <c r="AT110" i="55"/>
  <c r="U110" i="55" s="1"/>
  <c r="AL260" i="59"/>
  <c r="M260" i="59" s="1"/>
  <c r="AD80" i="53"/>
  <c r="E80" i="53" s="1"/>
  <c r="AN290" i="53"/>
  <c r="O290" i="53" s="1"/>
  <c r="S109" i="59"/>
  <c r="AR110" i="59"/>
  <c r="S110" i="59" s="1"/>
  <c r="AR80" i="58"/>
  <c r="S80" i="58" s="1"/>
  <c r="AJ200" i="57"/>
  <c r="K200" i="57" s="1"/>
  <c r="AT80" i="58"/>
  <c r="U80" i="58" s="1"/>
  <c r="U259" i="52"/>
  <c r="AT260" i="52"/>
  <c r="U260" i="52" s="1"/>
  <c r="O49" i="53"/>
  <c r="AN50" i="53"/>
  <c r="O50" i="53" s="1"/>
  <c r="AN20" i="58"/>
  <c r="O20" i="58" s="1"/>
  <c r="E229" i="59"/>
  <c r="AD230" i="59"/>
  <c r="E230" i="59" s="1"/>
  <c r="AP260" i="57"/>
  <c r="Q260" i="57" s="1"/>
  <c r="E289" i="59"/>
  <c r="AD290" i="59"/>
  <c r="E290" i="59" s="1"/>
  <c r="AP230" i="52"/>
  <c r="Q230" i="52" s="1"/>
  <c r="AF140" i="58"/>
  <c r="G140" i="58" s="1"/>
  <c r="AH230" i="58"/>
  <c r="I230" i="58" s="1"/>
  <c r="AV79" i="59"/>
  <c r="W79" i="59" s="1"/>
  <c r="AD110" i="53"/>
  <c r="E110" i="53" s="1"/>
  <c r="AD290" i="55"/>
  <c r="E290" i="55" s="1"/>
  <c r="AN140" i="55"/>
  <c r="O140" i="55" s="1"/>
  <c r="AV19" i="59"/>
  <c r="AV20" i="59" s="1"/>
  <c r="AV289" i="59"/>
  <c r="W289" i="59" s="1"/>
  <c r="AD230" i="55"/>
  <c r="E230" i="55" s="1"/>
  <c r="AH290" i="55"/>
  <c r="I290" i="55" s="1"/>
  <c r="AV259" i="52"/>
  <c r="W259" i="52" s="1"/>
  <c r="AN290" i="58"/>
  <c r="O290" i="58" s="1"/>
  <c r="AD80" i="55"/>
  <c r="E80" i="55" s="1"/>
  <c r="AV139" i="59"/>
  <c r="W139" i="59" s="1"/>
  <c r="AD20" i="55"/>
  <c r="E20" i="55" s="1"/>
  <c r="AD110" i="59"/>
  <c r="E110" i="59" s="1"/>
  <c r="U199" i="58"/>
  <c r="AT200" i="58"/>
  <c r="U200" i="58" s="1"/>
  <c r="AP110" i="55"/>
  <c r="Q110" i="55" s="1"/>
  <c r="AR290" i="59"/>
  <c r="S290" i="59" s="1"/>
  <c r="AJ290" i="52"/>
  <c r="K290" i="52" s="1"/>
  <c r="AP50" i="52"/>
  <c r="Q50" i="52" s="1"/>
  <c r="AT20" i="53"/>
  <c r="U20" i="53" s="1"/>
  <c r="AH80" i="55"/>
  <c r="I80" i="55" s="1"/>
  <c r="AJ80" i="55"/>
  <c r="K80" i="55" s="1"/>
  <c r="AJ230" i="58"/>
  <c r="K230" i="58" s="1"/>
  <c r="AD140" i="59"/>
  <c r="E140" i="59" s="1"/>
  <c r="AV139" i="55"/>
  <c r="W139" i="55" s="1"/>
  <c r="AJ50" i="59"/>
  <c r="K50" i="59" s="1"/>
  <c r="AP170" i="52"/>
  <c r="Q170" i="52" s="1"/>
  <c r="AP260" i="55"/>
  <c r="Q260" i="55" s="1"/>
  <c r="AN200" i="57"/>
  <c r="O200" i="57" s="1"/>
  <c r="AJ230" i="57"/>
  <c r="K230" i="57" s="1"/>
  <c r="AR290" i="55"/>
  <c r="S290" i="55" s="1"/>
  <c r="AD230" i="52"/>
  <c r="E230" i="52" s="1"/>
  <c r="E229" i="52"/>
  <c r="AD50" i="52"/>
  <c r="E50" i="52" s="1"/>
  <c r="AL200" i="52"/>
  <c r="M200" i="52" s="1"/>
  <c r="AH80" i="57"/>
  <c r="I80" i="57" s="1"/>
  <c r="AJ110" i="53"/>
  <c r="K110" i="53" s="1"/>
  <c r="AL290" i="59"/>
  <c r="M290" i="59" s="1"/>
  <c r="AF140" i="57"/>
  <c r="G140" i="57" s="1"/>
  <c r="G199" i="59"/>
  <c r="G289" i="57"/>
  <c r="AR200" i="53"/>
  <c r="S200" i="53" s="1"/>
  <c r="S199" i="53"/>
  <c r="S49" i="59"/>
  <c r="AR50" i="59"/>
  <c r="S50" i="59" s="1"/>
  <c r="U259" i="59"/>
  <c r="AT260" i="59"/>
  <c r="U260" i="59" s="1"/>
  <c r="AP170" i="58"/>
  <c r="Q170" i="58" s="1"/>
  <c r="AN140" i="58"/>
  <c r="O140" i="58" s="1"/>
  <c r="AN20" i="59"/>
  <c r="O20" i="59" s="1"/>
  <c r="AN110" i="52"/>
  <c r="O110" i="52" s="1"/>
  <c r="U139" i="59"/>
  <c r="AT140" i="59"/>
  <c r="U140" i="59" s="1"/>
  <c r="AL290" i="55"/>
  <c r="M290" i="55" s="1"/>
  <c r="I19" i="53"/>
  <c r="AH20" i="53"/>
  <c r="I20" i="53" s="1"/>
  <c r="O19" i="59"/>
  <c r="AJ170" i="57"/>
  <c r="K170" i="57" s="1"/>
  <c r="K169" i="57"/>
  <c r="I139" i="53"/>
  <c r="AV139" i="53"/>
  <c r="W139" i="53" s="1"/>
  <c r="AT140" i="58"/>
  <c r="U140" i="58" s="1"/>
  <c r="AP230" i="59"/>
  <c r="Q230" i="59" s="1"/>
  <c r="I289" i="59"/>
  <c r="AH290" i="59"/>
  <c r="I290" i="59" s="1"/>
  <c r="AV139" i="58"/>
  <c r="W139" i="58" s="1"/>
  <c r="AT50" i="57"/>
  <c r="U50" i="57" s="1"/>
  <c r="K289" i="59"/>
  <c r="AJ290" i="59"/>
  <c r="K290" i="59" s="1"/>
  <c r="I49" i="58"/>
  <c r="AH50" i="58"/>
  <c r="I50" i="58" s="1"/>
  <c r="Q289" i="58"/>
  <c r="AP290" i="58"/>
  <c r="Q290" i="58" s="1"/>
  <c r="S139" i="59"/>
  <c r="AR140" i="59"/>
  <c r="S140" i="59" s="1"/>
  <c r="AJ20" i="57"/>
  <c r="K20" i="57" s="1"/>
  <c r="M259" i="57"/>
  <c r="AL260" i="57"/>
  <c r="M260" i="57" s="1"/>
  <c r="AL20" i="52"/>
  <c r="M20" i="52" s="1"/>
  <c r="I229" i="53"/>
  <c r="AH230" i="53"/>
  <c r="I230" i="53" s="1"/>
  <c r="AR50" i="58"/>
  <c r="S50" i="58" s="1"/>
  <c r="O229" i="59"/>
  <c r="AN230" i="59"/>
  <c r="O230" i="59" s="1"/>
  <c r="I139" i="57"/>
  <c r="AH140" i="57"/>
  <c r="I140" i="57" s="1"/>
  <c r="AD260" i="58"/>
  <c r="E260" i="58" s="1"/>
  <c r="AL20" i="58"/>
  <c r="M20" i="58" s="1"/>
  <c r="AT20" i="57"/>
  <c r="U20" i="57" s="1"/>
  <c r="O199" i="58"/>
  <c r="AN200" i="58"/>
  <c r="O200" i="58" s="1"/>
  <c r="K259" i="59"/>
  <c r="AJ260" i="59"/>
  <c r="K260" i="59" s="1"/>
  <c r="S259" i="59"/>
  <c r="AR260" i="59"/>
  <c r="S260" i="59" s="1"/>
  <c r="AL170" i="58"/>
  <c r="M170" i="58" s="1"/>
  <c r="AD110" i="58"/>
  <c r="E110" i="58" s="1"/>
  <c r="E49" i="59"/>
  <c r="AD50" i="59"/>
  <c r="E50" i="59" s="1"/>
  <c r="K19" i="59"/>
  <c r="AJ20" i="59"/>
  <c r="K20" i="59" s="1"/>
  <c r="M139" i="55"/>
  <c r="AL140" i="55"/>
  <c r="M140" i="55" s="1"/>
  <c r="U169" i="58"/>
  <c r="AT170" i="58"/>
  <c r="U170" i="58" s="1"/>
  <c r="G259" i="55"/>
  <c r="AF260" i="55"/>
  <c r="G260" i="55" s="1"/>
  <c r="M139" i="59"/>
  <c r="AL140" i="59"/>
  <c r="M140" i="59" s="1"/>
  <c r="O259" i="55"/>
  <c r="AN260" i="55"/>
  <c r="O260" i="55" s="1"/>
  <c r="O139" i="52"/>
  <c r="AN140" i="52"/>
  <c r="O140" i="52" s="1"/>
  <c r="AN260" i="53"/>
  <c r="O260" i="53" s="1"/>
  <c r="AH200" i="58"/>
  <c r="I200" i="58" s="1"/>
  <c r="AP20" i="58"/>
  <c r="Q20" i="58" s="1"/>
  <c r="AH50" i="57"/>
  <c r="I50" i="57" s="1"/>
  <c r="AV19" i="53"/>
  <c r="W19" i="53" s="1"/>
  <c r="AD230" i="57"/>
  <c r="E230" i="57" s="1"/>
  <c r="E229" i="57"/>
  <c r="U109" i="59"/>
  <c r="AT110" i="59"/>
  <c r="U110" i="59" s="1"/>
  <c r="E49" i="53"/>
  <c r="AD50" i="53"/>
  <c r="E50" i="53" s="1"/>
  <c r="U49" i="55"/>
  <c r="AT50" i="55"/>
  <c r="U50" i="55" s="1"/>
  <c r="I19" i="55"/>
  <c r="AH20" i="55"/>
  <c r="I20" i="55" s="1"/>
  <c r="U19" i="55"/>
  <c r="AT20" i="55"/>
  <c r="U20" i="55" s="1"/>
  <c r="AL140" i="53"/>
  <c r="M140" i="53" s="1"/>
  <c r="AN170" i="55"/>
  <c r="O170" i="55" s="1"/>
  <c r="AT140" i="53"/>
  <c r="U140" i="53" s="1"/>
  <c r="I79" i="53"/>
  <c r="AH80" i="53"/>
  <c r="I80" i="53" s="1"/>
  <c r="AR290" i="53"/>
  <c r="S290" i="53" s="1"/>
  <c r="AH200" i="59"/>
  <c r="I200" i="59" s="1"/>
  <c r="AH50" i="59"/>
  <c r="I50" i="59" s="1"/>
  <c r="O79" i="59"/>
  <c r="AN80" i="59"/>
  <c r="O80" i="59" s="1"/>
  <c r="AD260" i="57"/>
  <c r="E260" i="57" s="1"/>
  <c r="AR110" i="55"/>
  <c r="S110" i="55" s="1"/>
  <c r="AP170" i="57"/>
  <c r="Q170" i="57" s="1"/>
  <c r="Q169" i="57"/>
  <c r="S19" i="55"/>
  <c r="AR20" i="55"/>
  <c r="S20" i="55" s="1"/>
  <c r="AL260" i="58"/>
  <c r="M260" i="58" s="1"/>
  <c r="AF260" i="58"/>
  <c r="G260" i="58" s="1"/>
  <c r="AP170" i="59"/>
  <c r="Q170" i="59" s="1"/>
  <c r="AT80" i="59"/>
  <c r="U80" i="59" s="1"/>
  <c r="U289" i="59"/>
  <c r="AT290" i="59"/>
  <c r="U290" i="59" s="1"/>
  <c r="AN170" i="53"/>
  <c r="O170" i="53" s="1"/>
  <c r="K229" i="53"/>
  <c r="AJ230" i="53"/>
  <c r="K230" i="53" s="1"/>
  <c r="AV19" i="52"/>
  <c r="W19" i="52" s="1"/>
  <c r="AJ170" i="52"/>
  <c r="K170" i="52" s="1"/>
  <c r="AP110" i="52"/>
  <c r="Q110" i="52" s="1"/>
  <c r="E169" i="52"/>
  <c r="AD170" i="52"/>
  <c r="E170" i="52" s="1"/>
  <c r="K139" i="59"/>
  <c r="AJ140" i="59"/>
  <c r="K140" i="59" s="1"/>
  <c r="AP290" i="53"/>
  <c r="Q290" i="53" s="1"/>
  <c r="AJ170" i="59"/>
  <c r="K170" i="59" s="1"/>
  <c r="AV109" i="52"/>
  <c r="W109" i="52" s="1"/>
  <c r="AN290" i="55"/>
  <c r="O290" i="55" s="1"/>
  <c r="AP200" i="59"/>
  <c r="Q200" i="59" s="1"/>
  <c r="I259" i="59"/>
  <c r="AH260" i="59"/>
  <c r="I260" i="59" s="1"/>
  <c r="AV259" i="59"/>
  <c r="W259" i="59" s="1"/>
  <c r="K139" i="55"/>
  <c r="AJ140" i="55"/>
  <c r="K140" i="55" s="1"/>
  <c r="Q259" i="59"/>
  <c r="AP260" i="59"/>
  <c r="Q260" i="59" s="1"/>
  <c r="AT290" i="53"/>
  <c r="U290" i="53" s="1"/>
  <c r="AH200" i="55"/>
  <c r="I200" i="55" s="1"/>
  <c r="AP50" i="53"/>
  <c r="Q50" i="53" s="1"/>
  <c r="AV259" i="53"/>
  <c r="W259" i="53" s="1"/>
  <c r="AL230" i="57"/>
  <c r="M230" i="57" s="1"/>
  <c r="AD20" i="58"/>
  <c r="E20" i="58" s="1"/>
  <c r="AF50" i="57"/>
  <c r="G50" i="57" s="1"/>
  <c r="AD260" i="52"/>
  <c r="E260" i="52" s="1"/>
  <c r="AV49" i="52"/>
  <c r="W49" i="52" s="1"/>
  <c r="AP140" i="52"/>
  <c r="Q140" i="52" s="1"/>
  <c r="AT140" i="57"/>
  <c r="U140" i="57" s="1"/>
  <c r="AL140" i="52"/>
  <c r="M140" i="52" s="1"/>
  <c r="AV289" i="52"/>
  <c r="W289" i="52" s="1"/>
  <c r="AD110" i="52"/>
  <c r="E110" i="52" s="1"/>
  <c r="AL230" i="52"/>
  <c r="M230" i="52" s="1"/>
  <c r="AT50" i="52"/>
  <c r="U50" i="52" s="1"/>
  <c r="AV199" i="58"/>
  <c r="AV200" i="58" s="1"/>
  <c r="AV19" i="58"/>
  <c r="W19" i="58" s="1"/>
  <c r="AL200" i="58"/>
  <c r="M200" i="58" s="1"/>
  <c r="AV199" i="59"/>
  <c r="W199" i="59" s="1"/>
  <c r="AR110" i="52"/>
  <c r="S110" i="52" s="1"/>
  <c r="AD200" i="58"/>
  <c r="E200" i="58" s="1"/>
  <c r="AR230" i="52"/>
  <c r="S230" i="52" s="1"/>
  <c r="AR200" i="52"/>
  <c r="S200" i="52" s="1"/>
  <c r="AH260" i="53"/>
  <c r="I260" i="53" s="1"/>
  <c r="AP80" i="52"/>
  <c r="Q80" i="52" s="1"/>
  <c r="AH200" i="52"/>
  <c r="I200" i="52" s="1"/>
  <c r="I199" i="52"/>
  <c r="AR170" i="58"/>
  <c r="S170" i="58" s="1"/>
  <c r="S169" i="58"/>
  <c r="AH260" i="58"/>
  <c r="I260" i="58" s="1"/>
  <c r="I259" i="58"/>
  <c r="O49" i="59"/>
  <c r="AN50" i="59"/>
  <c r="O50" i="59" s="1"/>
  <c r="AR20" i="52"/>
  <c r="S20" i="52" s="1"/>
  <c r="AP50" i="58"/>
  <c r="Q50" i="58" s="1"/>
  <c r="AH170" i="58"/>
  <c r="I170" i="58" s="1"/>
  <c r="AT110" i="58"/>
  <c r="U110" i="58" s="1"/>
  <c r="AV259" i="58"/>
  <c r="W259" i="58" s="1"/>
  <c r="O109" i="58"/>
  <c r="AN110" i="58"/>
  <c r="O110" i="58" s="1"/>
  <c r="AR260" i="52"/>
  <c r="S260" i="52" s="1"/>
  <c r="S259" i="52"/>
  <c r="AT230" i="58"/>
  <c r="U230" i="58" s="1"/>
  <c r="U229" i="58"/>
  <c r="S139" i="52"/>
  <c r="AR140" i="52"/>
  <c r="S140" i="52" s="1"/>
  <c r="AT20" i="58"/>
  <c r="U20" i="58" s="1"/>
  <c r="AJ110" i="52"/>
  <c r="K110" i="52" s="1"/>
  <c r="AJ200" i="58"/>
  <c r="K200" i="58" s="1"/>
  <c r="AV169" i="52"/>
  <c r="AV170" i="52" s="1"/>
  <c r="AV109" i="58"/>
  <c r="K109" i="58"/>
  <c r="AJ110" i="58"/>
  <c r="K110" i="58" s="1"/>
  <c r="AN170" i="52"/>
  <c r="O170" i="52" s="1"/>
  <c r="M49" i="52"/>
  <c r="AL50" i="52"/>
  <c r="M50" i="52" s="1"/>
  <c r="Q259" i="52"/>
  <c r="AP260" i="52"/>
  <c r="Q260" i="52" s="1"/>
  <c r="AV289" i="58"/>
  <c r="W289" i="58" s="1"/>
  <c r="O49" i="52"/>
  <c r="AN50" i="52"/>
  <c r="O50" i="52" s="1"/>
  <c r="AN80" i="52"/>
  <c r="O80" i="52" s="1"/>
  <c r="AT290" i="58"/>
  <c r="U290" i="58" s="1"/>
  <c r="AL110" i="52"/>
  <c r="M110" i="52" s="1"/>
  <c r="AT290" i="52"/>
  <c r="U290" i="52" s="1"/>
  <c r="E289" i="58"/>
  <c r="AD290" i="58"/>
  <c r="E290" i="58" s="1"/>
  <c r="K49" i="58"/>
  <c r="AJ50" i="58"/>
  <c r="K50" i="58" s="1"/>
  <c r="AR230" i="59"/>
  <c r="S230" i="59" s="1"/>
  <c r="S229" i="59"/>
  <c r="S79" i="52"/>
  <c r="AR80" i="52"/>
  <c r="S80" i="52" s="1"/>
  <c r="AR140" i="58"/>
  <c r="S140" i="58" s="1"/>
  <c r="K19" i="58"/>
  <c r="AJ20" i="58"/>
  <c r="K20" i="58" s="1"/>
  <c r="K169" i="58"/>
  <c r="AJ170" i="58"/>
  <c r="K170" i="58" s="1"/>
  <c r="Q79" i="58"/>
  <c r="AP80" i="58"/>
  <c r="Q80" i="58" s="1"/>
  <c r="AR110" i="57"/>
  <c r="S110" i="57" s="1"/>
  <c r="S109" i="57"/>
  <c r="AN170" i="58"/>
  <c r="O170" i="58" s="1"/>
  <c r="AD170" i="57"/>
  <c r="E170" i="57" s="1"/>
  <c r="S19" i="58"/>
  <c r="AR20" i="58"/>
  <c r="S20" i="58" s="1"/>
  <c r="M199" i="59"/>
  <c r="AL200" i="59"/>
  <c r="M200" i="59" s="1"/>
  <c r="E289" i="52"/>
  <c r="AD290" i="52"/>
  <c r="E290" i="52" s="1"/>
  <c r="AT110" i="52"/>
  <c r="U110" i="52" s="1"/>
  <c r="U109" i="52"/>
  <c r="U199" i="52"/>
  <c r="AT200" i="52"/>
  <c r="U200" i="52" s="1"/>
  <c r="AL290" i="58"/>
  <c r="M290" i="58" s="1"/>
  <c r="S289" i="52"/>
  <c r="AR290" i="52"/>
  <c r="S290" i="52" s="1"/>
  <c r="AL140" i="58"/>
  <c r="M140" i="58" s="1"/>
  <c r="E139" i="52"/>
  <c r="AD140" i="52"/>
  <c r="E140" i="52" s="1"/>
  <c r="E199" i="52"/>
  <c r="AD200" i="52"/>
  <c r="E200" i="52" s="1"/>
  <c r="Q259" i="58"/>
  <c r="AP260" i="58"/>
  <c r="Q260" i="58" s="1"/>
  <c r="AV49" i="59"/>
  <c r="W49" i="59" s="1"/>
  <c r="Q19" i="52"/>
  <c r="AP20" i="52"/>
  <c r="Q20" i="52" s="1"/>
  <c r="AT80" i="52"/>
  <c r="U80" i="52" s="1"/>
  <c r="AJ80" i="52"/>
  <c r="K80" i="52" s="1"/>
  <c r="AR170" i="52"/>
  <c r="S170" i="52" s="1"/>
  <c r="AN110" i="53"/>
  <c r="O110" i="53" s="1"/>
  <c r="AJ290" i="57"/>
  <c r="K290" i="57" s="1"/>
  <c r="AV169" i="59"/>
  <c r="W169" i="59" s="1"/>
  <c r="AJ260" i="53"/>
  <c r="K260" i="53" s="1"/>
  <c r="AL140" i="57"/>
  <c r="M140" i="57" s="1"/>
  <c r="AJ50" i="57"/>
  <c r="K50" i="57" s="1"/>
  <c r="AJ80" i="53"/>
  <c r="K80" i="53" s="1"/>
  <c r="AP200" i="53"/>
  <c r="Q200" i="53" s="1"/>
  <c r="AN110" i="57"/>
  <c r="O110" i="57" s="1"/>
  <c r="AP290" i="55"/>
  <c r="Q290" i="55" s="1"/>
  <c r="AN200" i="52"/>
  <c r="O200" i="52" s="1"/>
  <c r="AR170" i="57"/>
  <c r="S170" i="57" s="1"/>
  <c r="AP20" i="57"/>
  <c r="Q20" i="57" s="1"/>
  <c r="AR80" i="53"/>
  <c r="S80" i="53" s="1"/>
  <c r="AH230" i="57"/>
  <c r="I230" i="57" s="1"/>
  <c r="AJ290" i="53"/>
  <c r="K290" i="53" s="1"/>
  <c r="AJ50" i="52"/>
  <c r="K50" i="52" s="1"/>
  <c r="K49" i="52"/>
  <c r="U229" i="59"/>
  <c r="AT230" i="59"/>
  <c r="U230" i="59" s="1"/>
  <c r="AV289" i="53"/>
  <c r="W289" i="53" s="1"/>
  <c r="AJ50" i="55"/>
  <c r="K50" i="55" s="1"/>
  <c r="AD20" i="57"/>
  <c r="E20" i="57" s="1"/>
  <c r="AR200" i="57"/>
  <c r="S200" i="57" s="1"/>
  <c r="M19" i="57"/>
  <c r="AL20" i="57"/>
  <c r="M20" i="57" s="1"/>
  <c r="AT110" i="57"/>
  <c r="U110" i="57" s="1"/>
  <c r="AT230" i="53"/>
  <c r="U230" i="53" s="1"/>
  <c r="AP200" i="57"/>
  <c r="Q200" i="57" s="1"/>
  <c r="AV139" i="52"/>
  <c r="AV169" i="58"/>
  <c r="E169" i="58"/>
  <c r="AD170" i="53"/>
  <c r="E170" i="53" s="1"/>
  <c r="AV229" i="59"/>
  <c r="AT260" i="57"/>
  <c r="U260" i="57" s="1"/>
  <c r="AP110" i="53"/>
  <c r="Q110" i="53" s="1"/>
  <c r="AJ80" i="57"/>
  <c r="K80" i="57" s="1"/>
  <c r="AN80" i="57"/>
  <c r="O80" i="57" s="1"/>
  <c r="E19" i="53"/>
  <c r="AD20" i="53"/>
  <c r="E20" i="53" s="1"/>
  <c r="AD200" i="57"/>
  <c r="E200" i="57" s="1"/>
  <c r="G109" i="52"/>
  <c r="AF110" i="52"/>
  <c r="G110" i="52" s="1"/>
  <c r="AV109" i="57"/>
  <c r="W109" i="57" s="1"/>
  <c r="AR50" i="57"/>
  <c r="S50" i="57" s="1"/>
  <c r="S49" i="57"/>
  <c r="AP110" i="57"/>
  <c r="Q110" i="57" s="1"/>
  <c r="AP50" i="59"/>
  <c r="Q50" i="59" s="1"/>
  <c r="U79" i="57"/>
  <c r="AT80" i="57"/>
  <c r="U80" i="57" s="1"/>
  <c r="AV109" i="53"/>
  <c r="W109" i="53" s="1"/>
  <c r="AV199" i="52"/>
  <c r="W199" i="52" s="1"/>
  <c r="AV289" i="57"/>
  <c r="W289" i="57" s="1"/>
  <c r="AT140" i="52"/>
  <c r="U140" i="52" s="1"/>
  <c r="AJ230" i="55"/>
  <c r="K230" i="55" s="1"/>
  <c r="AV259" i="57"/>
  <c r="W259" i="57" s="1"/>
  <c r="AH170" i="59"/>
  <c r="I170" i="59" s="1"/>
  <c r="AL50" i="57"/>
  <c r="M50" i="57" s="1"/>
  <c r="AD140" i="57"/>
  <c r="E140" i="57" s="1"/>
  <c r="AP200" i="52"/>
  <c r="Q200" i="52" s="1"/>
  <c r="AN80" i="55"/>
  <c r="O80" i="55" s="1"/>
  <c r="AL110" i="57"/>
  <c r="M110" i="57" s="1"/>
  <c r="O199" i="59"/>
  <c r="AN200" i="59"/>
  <c r="O200" i="59" s="1"/>
  <c r="AR230" i="57"/>
  <c r="S230" i="57" s="1"/>
  <c r="AP140" i="57"/>
  <c r="Q140" i="57" s="1"/>
  <c r="AP170" i="55"/>
  <c r="Q170" i="55" s="1"/>
  <c r="M49" i="58"/>
  <c r="AV49" i="58"/>
  <c r="AH110" i="57"/>
  <c r="I110" i="57" s="1"/>
  <c r="AL20" i="53"/>
  <c r="M20" i="53" s="1"/>
  <c r="AJ260" i="57"/>
  <c r="K260" i="57" s="1"/>
  <c r="AT20" i="52"/>
  <c r="U20" i="52" s="1"/>
  <c r="S229" i="58"/>
  <c r="AR230" i="58"/>
  <c r="S230" i="58" s="1"/>
  <c r="U79" i="53"/>
  <c r="AT80" i="53"/>
  <c r="U80" i="53" s="1"/>
  <c r="AV229" i="58"/>
  <c r="W229" i="58" s="1"/>
  <c r="AV79" i="53"/>
  <c r="AV80" i="53" s="1"/>
  <c r="AP20" i="55"/>
  <c r="Q20" i="55" s="1"/>
  <c r="AT200" i="53"/>
  <c r="U200" i="53" s="1"/>
  <c r="AH230" i="55"/>
  <c r="I230" i="55" s="1"/>
  <c r="AH260" i="55"/>
  <c r="I260" i="55" s="1"/>
  <c r="AJ260" i="55"/>
  <c r="K260" i="55" s="1"/>
  <c r="AV79" i="52"/>
  <c r="AV80" i="52" s="1"/>
  <c r="AJ110" i="55"/>
  <c r="K110" i="55" s="1"/>
  <c r="AJ200" i="55"/>
  <c r="K200" i="55" s="1"/>
  <c r="AR50" i="55"/>
  <c r="S50" i="55" s="1"/>
  <c r="AR200" i="55"/>
  <c r="S200" i="55" s="1"/>
  <c r="P196" i="50"/>
  <c r="P197" i="50" s="1"/>
  <c r="M178" i="50"/>
  <c r="I178" i="50"/>
  <c r="R196" i="50"/>
  <c r="R197" i="50" s="1"/>
  <c r="F196" i="50"/>
  <c r="F197" i="50" s="1"/>
  <c r="Q178" i="50"/>
  <c r="D196" i="50"/>
  <c r="D197" i="50" s="1"/>
  <c r="E178" i="50"/>
  <c r="S178" i="50"/>
  <c r="U178" i="50"/>
  <c r="L196" i="50"/>
  <c r="L197" i="50" s="1"/>
  <c r="T196" i="50"/>
  <c r="T197" i="50" s="1"/>
  <c r="B205" i="50"/>
  <c r="H196" i="50"/>
  <c r="H197" i="50" s="1"/>
  <c r="K178" i="50"/>
  <c r="J196" i="50"/>
  <c r="J197" i="50" s="1"/>
  <c r="N196" i="50"/>
  <c r="N197" i="50" s="1"/>
  <c r="O178" i="50"/>
  <c r="G178" i="50"/>
  <c r="B177" i="50"/>
  <c r="O19" i="55"/>
  <c r="AV19" i="55"/>
  <c r="W19" i="55" s="1"/>
  <c r="E49" i="55"/>
  <c r="AV49" i="55"/>
  <c r="W49" i="55" s="1"/>
  <c r="I169" i="57"/>
  <c r="AV169" i="57"/>
  <c r="W169" i="57" s="1"/>
  <c r="I19" i="57"/>
  <c r="AV19" i="57"/>
  <c r="W19" i="57" s="1"/>
  <c r="W226" i="53"/>
  <c r="W40" i="55"/>
  <c r="W217" i="55"/>
  <c r="K207" i="49"/>
  <c r="M207" i="49"/>
  <c r="O207" i="49"/>
  <c r="T225" i="49"/>
  <c r="T226" i="49" s="1"/>
  <c r="P225" i="49"/>
  <c r="P226" i="49" s="1"/>
  <c r="D225" i="49"/>
  <c r="D226" i="49" s="1"/>
  <c r="N225" i="49"/>
  <c r="N226" i="49" s="1"/>
  <c r="B206" i="49"/>
  <c r="F225" i="49"/>
  <c r="F226" i="49" s="1"/>
  <c r="I207" i="49"/>
  <c r="S207" i="49"/>
  <c r="R225" i="49"/>
  <c r="R226" i="49" s="1"/>
  <c r="Q207" i="49"/>
  <c r="U207" i="49"/>
  <c r="G207" i="49"/>
  <c r="L225" i="49"/>
  <c r="L226" i="49" s="1"/>
  <c r="E207" i="49"/>
  <c r="H225" i="49"/>
  <c r="H226" i="49" s="1"/>
  <c r="B234" i="49"/>
  <c r="J225" i="49"/>
  <c r="J226" i="49" s="1"/>
  <c r="E259" i="55"/>
  <c r="AV259" i="55"/>
  <c r="W259" i="55" s="1"/>
  <c r="AP230" i="55"/>
  <c r="Q230" i="55" s="1"/>
  <c r="W16" i="57"/>
  <c r="K139" i="57"/>
  <c r="AV139" i="57"/>
  <c r="W139" i="57" s="1"/>
  <c r="W217" i="57"/>
  <c r="K289" i="55"/>
  <c r="AV289" i="55"/>
  <c r="W289" i="55" s="1"/>
  <c r="N22" i="63"/>
  <c r="C22" i="63" s="1"/>
  <c r="H22" i="63" s="1"/>
  <c r="AV109" i="55"/>
  <c r="W109" i="55" s="1"/>
  <c r="E109" i="55"/>
  <c r="AL110" i="55"/>
  <c r="M110" i="55" s="1"/>
  <c r="W10" i="55"/>
  <c r="M21" i="86"/>
  <c r="M58" i="86"/>
  <c r="M50" i="86"/>
  <c r="M24" i="86"/>
  <c r="M18" i="86"/>
  <c r="M43" i="86"/>
  <c r="M54" i="86"/>
  <c r="M52" i="86"/>
  <c r="M14" i="86"/>
  <c r="M60" i="86"/>
  <c r="M12" i="86"/>
  <c r="M15" i="86"/>
  <c r="M2" i="86"/>
  <c r="M49" i="86"/>
  <c r="M47" i="86"/>
  <c r="M66" i="86"/>
  <c r="M10" i="86"/>
  <c r="M55" i="86"/>
  <c r="M23" i="86"/>
  <c r="M36" i="86"/>
  <c r="M5" i="86"/>
  <c r="M40" i="86"/>
  <c r="M3" i="86"/>
  <c r="M37" i="86"/>
  <c r="M8" i="86"/>
  <c r="M26" i="86"/>
  <c r="M9" i="86"/>
  <c r="M13" i="86"/>
  <c r="M33" i="86"/>
  <c r="M19" i="86"/>
  <c r="M6" i="86"/>
  <c r="M48" i="86"/>
  <c r="M63" i="86"/>
  <c r="M34" i="86"/>
  <c r="M29" i="86"/>
  <c r="M31" i="86"/>
  <c r="M53" i="86"/>
  <c r="M46" i="86"/>
  <c r="M39" i="86"/>
  <c r="M27" i="86"/>
  <c r="M42" i="86"/>
  <c r="M61" i="86"/>
  <c r="M22" i="86"/>
  <c r="M30" i="86"/>
  <c r="M4" i="86"/>
  <c r="M72" i="86"/>
  <c r="M65" i="86"/>
  <c r="M38" i="86"/>
  <c r="M25" i="86"/>
  <c r="M59" i="86"/>
  <c r="M69" i="86"/>
  <c r="M67" i="86"/>
  <c r="M56" i="86"/>
  <c r="M20" i="86"/>
  <c r="M28" i="86"/>
  <c r="M41" i="86"/>
  <c r="M45" i="86"/>
  <c r="M35" i="86"/>
  <c r="M68" i="86"/>
  <c r="M7" i="86"/>
  <c r="M16" i="86"/>
  <c r="M32" i="86"/>
  <c r="M11" i="86"/>
  <c r="M17" i="86"/>
  <c r="M62" i="86"/>
  <c r="M64" i="86"/>
  <c r="M44" i="86"/>
  <c r="M51" i="86"/>
  <c r="M57" i="86"/>
  <c r="W70" i="57"/>
  <c r="W97" i="55"/>
  <c r="W163" i="57"/>
  <c r="W247" i="55"/>
  <c r="AV229" i="55"/>
  <c r="W229" i="55" s="1"/>
  <c r="O229" i="55"/>
  <c r="AH170" i="55"/>
  <c r="I170" i="55" s="1"/>
  <c r="W190" i="53"/>
  <c r="AH170" i="57"/>
  <c r="I170" i="57" s="1"/>
  <c r="AT260" i="55"/>
  <c r="U260" i="55" s="1"/>
  <c r="W187" i="57"/>
  <c r="W136" i="57"/>
  <c r="W157" i="55"/>
  <c r="U229" i="57"/>
  <c r="AV229" i="57"/>
  <c r="W229" i="57" s="1"/>
  <c r="W286" i="55"/>
  <c r="C21" i="63"/>
  <c r="H21" i="63" s="1"/>
  <c r="N23" i="63"/>
  <c r="C23" i="63" s="1"/>
  <c r="H23" i="63" s="1"/>
  <c r="N21" i="63"/>
  <c r="I169" i="53"/>
  <c r="AV169" i="53"/>
  <c r="W169" i="53" s="1"/>
  <c r="Q79" i="55"/>
  <c r="AV79" i="55"/>
  <c r="W79" i="55" s="1"/>
  <c r="W46" i="57"/>
  <c r="Q49" i="57"/>
  <c r="AV49" i="57"/>
  <c r="W49" i="57" s="1"/>
  <c r="AD80" i="52"/>
  <c r="E80" i="52" s="1"/>
  <c r="G79" i="57"/>
  <c r="AV79" i="57"/>
  <c r="W79" i="57" s="1"/>
  <c r="AN230" i="55"/>
  <c r="O230" i="55" s="1"/>
  <c r="M199" i="53"/>
  <c r="AV199" i="53"/>
  <c r="W199" i="53" s="1"/>
  <c r="N32" i="86"/>
  <c r="N53" i="86"/>
  <c r="N33" i="86"/>
  <c r="O33" i="86" s="1"/>
  <c r="N69" i="86"/>
  <c r="N2" i="86"/>
  <c r="N28" i="86"/>
  <c r="O28" i="86" s="1"/>
  <c r="N12" i="86"/>
  <c r="N36" i="86"/>
  <c r="O36" i="86" s="1"/>
  <c r="N39" i="86"/>
  <c r="O39" i="86" s="1"/>
  <c r="N6" i="86"/>
  <c r="N67" i="86"/>
  <c r="N24" i="86"/>
  <c r="N43" i="86"/>
  <c r="O43" i="86" s="1"/>
  <c r="N35" i="86"/>
  <c r="O35" i="86" s="1"/>
  <c r="N56" i="86"/>
  <c r="N15" i="86"/>
  <c r="N55" i="86"/>
  <c r="N44" i="86"/>
  <c r="N34" i="86"/>
  <c r="O34" i="86" s="1"/>
  <c r="O2" i="85"/>
  <c r="N41" i="86"/>
  <c r="N52" i="86"/>
  <c r="N27" i="86"/>
  <c r="N30" i="86"/>
  <c r="N23" i="86"/>
  <c r="O23" i="86" s="1"/>
  <c r="N9" i="86"/>
  <c r="N14" i="86"/>
  <c r="N42" i="86"/>
  <c r="N25" i="86"/>
  <c r="N7" i="86"/>
  <c r="N70" i="86"/>
  <c r="N64" i="86"/>
  <c r="O64" i="86" s="1"/>
  <c r="N54" i="86"/>
  <c r="N4" i="86"/>
  <c r="N17" i="86"/>
  <c r="N21" i="86"/>
  <c r="N3" i="86"/>
  <c r="N10" i="86"/>
  <c r="N16" i="86"/>
  <c r="N71" i="86"/>
  <c r="N59" i="86"/>
  <c r="N51" i="86"/>
  <c r="N31" i="86"/>
  <c r="N50" i="86"/>
  <c r="O50" i="86" s="1"/>
  <c r="N26" i="86"/>
  <c r="N45" i="86"/>
  <c r="N29" i="86"/>
  <c r="N18" i="86"/>
  <c r="N22" i="86"/>
  <c r="N13" i="86"/>
  <c r="N47" i="86"/>
  <c r="O47" i="86" s="1"/>
  <c r="N46" i="86"/>
  <c r="N38" i="86"/>
  <c r="O38" i="86" s="1"/>
  <c r="N48" i="86"/>
  <c r="O48" i="86" s="1"/>
  <c r="N49" i="86"/>
  <c r="N8" i="86"/>
  <c r="N37" i="86"/>
  <c r="O37" i="86" s="1"/>
  <c r="N58" i="86"/>
  <c r="N65" i="86"/>
  <c r="N40" i="86"/>
  <c r="O40" i="86" s="1"/>
  <c r="N19" i="86"/>
  <c r="N61" i="86"/>
  <c r="N11" i="86"/>
  <c r="N62" i="86"/>
  <c r="O62" i="86" s="1"/>
  <c r="N20" i="86"/>
  <c r="N5" i="86"/>
  <c r="D5" i="82"/>
  <c r="C5" i="82"/>
  <c r="S229" i="53"/>
  <c r="AV229" i="53"/>
  <c r="W229" i="53" s="1"/>
  <c r="E169" i="55"/>
  <c r="AV169" i="55"/>
  <c r="W169" i="55" s="1"/>
  <c r="M199" i="57"/>
  <c r="AV199" i="57"/>
  <c r="W199" i="57" s="1"/>
  <c r="N24" i="63"/>
  <c r="C24" i="63"/>
  <c r="H24" i="63" s="1"/>
  <c r="N25" i="63"/>
  <c r="C25" i="63" s="1"/>
  <c r="H25" i="63" s="1"/>
  <c r="N26" i="63"/>
  <c r="C26" i="63" s="1"/>
  <c r="H26" i="63" s="1"/>
  <c r="E199" i="55"/>
  <c r="AV199" i="55"/>
  <c r="W199" i="55" s="1"/>
  <c r="AT200" i="55"/>
  <c r="U200" i="55" s="1"/>
  <c r="W187" i="55"/>
  <c r="W157" i="53"/>
  <c r="W76" i="55"/>
  <c r="B5" i="81" l="1"/>
  <c r="C5" i="81" s="1"/>
  <c r="E5" i="81"/>
  <c r="F5" i="81"/>
  <c r="G5" i="81"/>
  <c r="A6" i="81"/>
  <c r="F6" i="81" s="1"/>
  <c r="O58" i="86"/>
  <c r="O53" i="86"/>
  <c r="B5" i="80"/>
  <c r="D5" i="80" s="1"/>
  <c r="F5" i="80"/>
  <c r="E5" i="80"/>
  <c r="G5" i="80"/>
  <c r="A6" i="80"/>
  <c r="G6" i="80" s="1"/>
  <c r="O86" i="85"/>
  <c r="O104" i="85"/>
  <c r="O83" i="85"/>
  <c r="O98" i="85"/>
  <c r="O85" i="85"/>
  <c r="M94" i="86"/>
  <c r="O102" i="85"/>
  <c r="G5" i="79"/>
  <c r="O78" i="85"/>
  <c r="O90" i="85"/>
  <c r="E5" i="79"/>
  <c r="F5" i="79"/>
  <c r="A6" i="79"/>
  <c r="E6" i="79" s="1"/>
  <c r="B5" i="79"/>
  <c r="C5" i="79" s="1"/>
  <c r="O94" i="85"/>
  <c r="O82" i="85"/>
  <c r="O75" i="85"/>
  <c r="M88" i="86"/>
  <c r="M74" i="86"/>
  <c r="M101" i="86"/>
  <c r="O99" i="85"/>
  <c r="O73" i="85"/>
  <c r="O80" i="85"/>
  <c r="O88" i="85"/>
  <c r="O76" i="85"/>
  <c r="O84" i="85"/>
  <c r="O100" i="85"/>
  <c r="O101" i="85"/>
  <c r="O87" i="85"/>
  <c r="O95" i="85"/>
  <c r="O96" i="85"/>
  <c r="O91" i="85"/>
  <c r="O77" i="85"/>
  <c r="O81" i="85"/>
  <c r="O74" i="85"/>
  <c r="O93" i="85"/>
  <c r="O103" i="85"/>
  <c r="O97" i="85"/>
  <c r="O89" i="85"/>
  <c r="O92" i="85"/>
  <c r="O79" i="85"/>
  <c r="M91" i="86"/>
  <c r="M87" i="86"/>
  <c r="M78" i="86"/>
  <c r="M98" i="86"/>
  <c r="M73" i="86"/>
  <c r="M75" i="86"/>
  <c r="O3" i="86"/>
  <c r="M81" i="86"/>
  <c r="M95" i="86"/>
  <c r="M100" i="86"/>
  <c r="M77" i="86"/>
  <c r="M82" i="86"/>
  <c r="M93" i="86"/>
  <c r="M96" i="86"/>
  <c r="M76" i="86"/>
  <c r="M85" i="86"/>
  <c r="M99" i="86"/>
  <c r="M92" i="86"/>
  <c r="M104" i="86"/>
  <c r="M79" i="86"/>
  <c r="M103" i="86"/>
  <c r="M90" i="86"/>
  <c r="M80" i="86"/>
  <c r="M102" i="86"/>
  <c r="M83" i="86"/>
  <c r="M89" i="86"/>
  <c r="M84" i="86"/>
  <c r="M86" i="86"/>
  <c r="M97" i="86"/>
  <c r="O22" i="86"/>
  <c r="A7" i="82"/>
  <c r="B7" i="82" s="1"/>
  <c r="B6" i="83"/>
  <c r="D6" i="83" s="1"/>
  <c r="G6" i="82"/>
  <c r="F6" i="82"/>
  <c r="B6" i="82"/>
  <c r="D6" i="82" s="1"/>
  <c r="F6" i="83"/>
  <c r="O51" i="86"/>
  <c r="O41" i="86"/>
  <c r="N84" i="86"/>
  <c r="P91" i="84"/>
  <c r="O17" i="86"/>
  <c r="N78" i="86"/>
  <c r="N97" i="86"/>
  <c r="N100" i="86"/>
  <c r="N86" i="86"/>
  <c r="N72" i="86"/>
  <c r="O72" i="86" s="1"/>
  <c r="N80" i="86"/>
  <c r="N90" i="86"/>
  <c r="N81" i="86"/>
  <c r="N101" i="86"/>
  <c r="N96" i="86"/>
  <c r="N76" i="86"/>
  <c r="N88" i="86"/>
  <c r="O68" i="85"/>
  <c r="N91" i="86"/>
  <c r="N73" i="86"/>
  <c r="N77" i="86"/>
  <c r="N95" i="86"/>
  <c r="N85" i="86"/>
  <c r="N89" i="86"/>
  <c r="N98" i="86"/>
  <c r="N93" i="86"/>
  <c r="P25" i="84"/>
  <c r="N102" i="86"/>
  <c r="N74" i="86"/>
  <c r="N103" i="86"/>
  <c r="N75" i="86"/>
  <c r="N99" i="86"/>
  <c r="N79" i="86"/>
  <c r="N83" i="86"/>
  <c r="N82" i="86"/>
  <c r="N94" i="86"/>
  <c r="N92" i="86"/>
  <c r="N104" i="86"/>
  <c r="N87" i="86"/>
  <c r="N57" i="86"/>
  <c r="N57" i="87" s="1"/>
  <c r="O66" i="85"/>
  <c r="P95" i="84"/>
  <c r="P36" i="84"/>
  <c r="P21" i="84"/>
  <c r="P85" i="84"/>
  <c r="P30" i="84"/>
  <c r="P9" i="84"/>
  <c r="P49" i="84"/>
  <c r="P73" i="84"/>
  <c r="P77" i="84"/>
  <c r="P48" i="84"/>
  <c r="P72" i="84"/>
  <c r="P61" i="84"/>
  <c r="P64" i="84"/>
  <c r="P17" i="84"/>
  <c r="P57" i="84"/>
  <c r="P19" i="84"/>
  <c r="P63" i="84"/>
  <c r="P3" i="84"/>
  <c r="P82" i="84"/>
  <c r="P34" i="84"/>
  <c r="P78" i="84"/>
  <c r="P88" i="84"/>
  <c r="P6" i="84"/>
  <c r="P40" i="84"/>
  <c r="P31" i="84"/>
  <c r="P97" i="84"/>
  <c r="P84" i="84"/>
  <c r="P26" i="84"/>
  <c r="P54" i="84"/>
  <c r="P35" i="84"/>
  <c r="P12" i="84"/>
  <c r="P102" i="84"/>
  <c r="P11" i="84"/>
  <c r="P75" i="84"/>
  <c r="P71" i="84"/>
  <c r="P90" i="84"/>
  <c r="P99" i="84"/>
  <c r="P27" i="84"/>
  <c r="P23" i="84"/>
  <c r="P70" i="84"/>
  <c r="P37" i="84"/>
  <c r="P41" i="84"/>
  <c r="P93" i="84"/>
  <c r="P50" i="84"/>
  <c r="P18" i="84"/>
  <c r="P53" i="84"/>
  <c r="P28" i="84"/>
  <c r="P81" i="84"/>
  <c r="P2" i="84"/>
  <c r="P14" i="84"/>
  <c r="P13" i="84"/>
  <c r="P24" i="84"/>
  <c r="P74" i="84"/>
  <c r="P103" i="84"/>
  <c r="P38" i="84"/>
  <c r="P7" i="84"/>
  <c r="P79" i="84"/>
  <c r="P47" i="84"/>
  <c r="P33" i="84"/>
  <c r="P69" i="84"/>
  <c r="P46" i="84"/>
  <c r="O18" i="86"/>
  <c r="P86" i="84"/>
  <c r="P51" i="84"/>
  <c r="P10" i="84"/>
  <c r="P80" i="84"/>
  <c r="P16" i="84"/>
  <c r="P104" i="84"/>
  <c r="P4" i="84"/>
  <c r="P55" i="84"/>
  <c r="P67" i="84"/>
  <c r="P68" i="84"/>
  <c r="P89" i="84"/>
  <c r="P45" i="84"/>
  <c r="P44" i="84"/>
  <c r="P65" i="84"/>
  <c r="P60" i="84"/>
  <c r="P42" i="84"/>
  <c r="P76" i="84"/>
  <c r="P98" i="84"/>
  <c r="P56" i="84"/>
  <c r="P20" i="84"/>
  <c r="P87" i="84"/>
  <c r="P5" i="84"/>
  <c r="P92" i="84"/>
  <c r="P101" i="84"/>
  <c r="P29" i="84"/>
  <c r="P52" i="84"/>
  <c r="P96" i="84"/>
  <c r="P39" i="84"/>
  <c r="P32" i="84"/>
  <c r="P66" i="84"/>
  <c r="P22" i="84"/>
  <c r="P62" i="84"/>
  <c r="P100" i="84"/>
  <c r="P94" i="84"/>
  <c r="P8" i="84"/>
  <c r="P83" i="84"/>
  <c r="P15" i="84"/>
  <c r="P43" i="84"/>
  <c r="P58" i="84"/>
  <c r="P59" i="84"/>
  <c r="H225" i="41"/>
  <c r="H226" i="41" s="1"/>
  <c r="I207" i="41"/>
  <c r="T225" i="41"/>
  <c r="T226" i="41" s="1"/>
  <c r="B234" i="41"/>
  <c r="L225" i="41"/>
  <c r="L226" i="41" s="1"/>
  <c r="U207" i="41"/>
  <c r="G207" i="41"/>
  <c r="S207" i="41"/>
  <c r="K207" i="41"/>
  <c r="N225" i="41"/>
  <c r="N226" i="41" s="1"/>
  <c r="M207" i="41"/>
  <c r="J225" i="41"/>
  <c r="J226" i="41" s="1"/>
  <c r="D225" i="41"/>
  <c r="D226" i="41" s="1"/>
  <c r="O207" i="41"/>
  <c r="Q207" i="41"/>
  <c r="B206" i="41"/>
  <c r="P225" i="41"/>
  <c r="P226" i="41" s="1"/>
  <c r="E207" i="41"/>
  <c r="F225" i="41"/>
  <c r="F226" i="41" s="1"/>
  <c r="R225" i="41"/>
  <c r="R226" i="41" s="1"/>
  <c r="O21" i="86"/>
  <c r="G236" i="46"/>
  <c r="D254" i="46"/>
  <c r="D255" i="46" s="1"/>
  <c r="O236" i="46"/>
  <c r="P254" i="46"/>
  <c r="P255" i="46" s="1"/>
  <c r="R254" i="46"/>
  <c r="R255" i="46" s="1"/>
  <c r="E236" i="46"/>
  <c r="S236" i="46"/>
  <c r="N254" i="46"/>
  <c r="N255" i="46" s="1"/>
  <c r="U236" i="46"/>
  <c r="K236" i="46"/>
  <c r="B235" i="46"/>
  <c r="T254" i="46"/>
  <c r="T255" i="46" s="1"/>
  <c r="M236" i="46"/>
  <c r="L254" i="46"/>
  <c r="L255" i="46" s="1"/>
  <c r="F254" i="46"/>
  <c r="F255" i="46" s="1"/>
  <c r="B263" i="46"/>
  <c r="Q236" i="46"/>
  <c r="I236" i="46"/>
  <c r="H254" i="46"/>
  <c r="H255" i="46" s="1"/>
  <c r="J254" i="46"/>
  <c r="J255" i="46" s="1"/>
  <c r="I178" i="51"/>
  <c r="Q178" i="51"/>
  <c r="B205" i="51"/>
  <c r="E178" i="51"/>
  <c r="M178" i="51"/>
  <c r="T196" i="51"/>
  <c r="T197" i="51" s="1"/>
  <c r="N196" i="51"/>
  <c r="N197" i="51" s="1"/>
  <c r="L196" i="51"/>
  <c r="L197" i="51" s="1"/>
  <c r="O178" i="51"/>
  <c r="G178" i="51"/>
  <c r="U178" i="51"/>
  <c r="F196" i="51"/>
  <c r="F197" i="51" s="1"/>
  <c r="S178" i="51"/>
  <c r="H196" i="51"/>
  <c r="H197" i="51" s="1"/>
  <c r="J196" i="51"/>
  <c r="J197" i="51" s="1"/>
  <c r="R196" i="51"/>
  <c r="R197" i="51" s="1"/>
  <c r="P196" i="51"/>
  <c r="P197" i="51" s="1"/>
  <c r="B177" i="51"/>
  <c r="K178" i="51"/>
  <c r="D196" i="51"/>
  <c r="D197" i="51" s="1"/>
  <c r="M71" i="86"/>
  <c r="O71" i="86" s="1"/>
  <c r="O16" i="86"/>
  <c r="O20" i="86"/>
  <c r="O19" i="86"/>
  <c r="O59" i="86"/>
  <c r="O55" i="86"/>
  <c r="B5" i="78"/>
  <c r="C5" i="78" s="1"/>
  <c r="A6" i="78"/>
  <c r="F6" i="78" s="1"/>
  <c r="G5" i="78"/>
  <c r="E5" i="78"/>
  <c r="F5" i="78"/>
  <c r="M70" i="86"/>
  <c r="O70" i="86" s="1"/>
  <c r="O61" i="86"/>
  <c r="O42" i="86"/>
  <c r="O69" i="86"/>
  <c r="O68" i="86"/>
  <c r="E6" i="83"/>
  <c r="O29" i="86"/>
  <c r="O32" i="86"/>
  <c r="O31" i="86"/>
  <c r="O30" i="86"/>
  <c r="O56" i="86"/>
  <c r="N63" i="86"/>
  <c r="O63" i="86" s="1"/>
  <c r="O67" i="86"/>
  <c r="O54" i="86"/>
  <c r="A7" i="83"/>
  <c r="F7" i="83" s="1"/>
  <c r="O49" i="86"/>
  <c r="O45" i="86"/>
  <c r="O46" i="86"/>
  <c r="O52" i="86"/>
  <c r="O44" i="86"/>
  <c r="O10" i="86"/>
  <c r="O13" i="86"/>
  <c r="O66" i="86"/>
  <c r="N60" i="86"/>
  <c r="O60" i="86" s="1"/>
  <c r="O15" i="86"/>
  <c r="O14" i="86"/>
  <c r="O12" i="86"/>
  <c r="O25" i="86"/>
  <c r="O65" i="86"/>
  <c r="O27" i="86"/>
  <c r="O26" i="86"/>
  <c r="O24" i="86"/>
  <c r="O11" i="86"/>
  <c r="O8" i="86"/>
  <c r="O9" i="86"/>
  <c r="O5" i="86"/>
  <c r="O4" i="86"/>
  <c r="O7" i="86"/>
  <c r="O6" i="86"/>
  <c r="H254" i="45"/>
  <c r="H255" i="45" s="1"/>
  <c r="N254" i="45"/>
  <c r="N255" i="45" s="1"/>
  <c r="T254" i="45"/>
  <c r="T255" i="45" s="1"/>
  <c r="K236" i="45"/>
  <c r="R254" i="45"/>
  <c r="R255" i="45" s="1"/>
  <c r="F254" i="45"/>
  <c r="F255" i="45" s="1"/>
  <c r="B235" i="45"/>
  <c r="E236" i="45"/>
  <c r="Q236" i="45"/>
  <c r="S236" i="45"/>
  <c r="O236" i="45"/>
  <c r="P254" i="45"/>
  <c r="P255" i="45" s="1"/>
  <c r="B263" i="45"/>
  <c r="D254" i="45"/>
  <c r="D255" i="45" s="1"/>
  <c r="M236" i="45"/>
  <c r="J254" i="45"/>
  <c r="J255" i="45" s="1"/>
  <c r="U236" i="45"/>
  <c r="G236" i="45"/>
  <c r="L254" i="45"/>
  <c r="L255" i="45" s="1"/>
  <c r="I236" i="45"/>
  <c r="W49" i="53"/>
  <c r="AV80" i="58"/>
  <c r="BA80" i="58" s="1"/>
  <c r="BQ80" i="58" s="1"/>
  <c r="W229" i="52"/>
  <c r="AV110" i="52"/>
  <c r="BA110" i="52" s="1"/>
  <c r="BQ110" i="52" s="1"/>
  <c r="AV260" i="52"/>
  <c r="BA260" i="52" s="1"/>
  <c r="BQ260" i="52" s="1"/>
  <c r="AV290" i="59"/>
  <c r="W290" i="59" s="1"/>
  <c r="AV80" i="59"/>
  <c r="W80" i="59" s="1"/>
  <c r="W19" i="59"/>
  <c r="AV20" i="58"/>
  <c r="W20" i="58" s="1"/>
  <c r="AV20" i="52"/>
  <c r="BA20" i="52" s="1"/>
  <c r="BQ20" i="52" s="1"/>
  <c r="W109" i="59"/>
  <c r="AV50" i="52"/>
  <c r="BA50" i="52" s="1"/>
  <c r="BQ50" i="52" s="1"/>
  <c r="AV140" i="59"/>
  <c r="W140" i="59" s="1"/>
  <c r="AV140" i="55"/>
  <c r="W140" i="55" s="1"/>
  <c r="W169" i="52"/>
  <c r="W199" i="58"/>
  <c r="AV260" i="53"/>
  <c r="BA260" i="53" s="1"/>
  <c r="BQ260" i="53" s="1"/>
  <c r="AV200" i="59"/>
  <c r="BA200" i="59" s="1"/>
  <c r="BQ200" i="59" s="1"/>
  <c r="AV50" i="59"/>
  <c r="BA50" i="59" s="1"/>
  <c r="BQ50" i="59" s="1"/>
  <c r="AV140" i="58"/>
  <c r="W140" i="58" s="1"/>
  <c r="AV20" i="53"/>
  <c r="W20" i="53" s="1"/>
  <c r="W79" i="52"/>
  <c r="AV260" i="58"/>
  <c r="BA260" i="58" s="1"/>
  <c r="BQ260" i="58" s="1"/>
  <c r="AV290" i="58"/>
  <c r="W290" i="58" s="1"/>
  <c r="AV260" i="59"/>
  <c r="AV110" i="57"/>
  <c r="BA110" i="57" s="1"/>
  <c r="BQ110" i="57" s="1"/>
  <c r="AV140" i="53"/>
  <c r="BA140" i="53" s="1"/>
  <c r="BQ140" i="53" s="1"/>
  <c r="AV170" i="59"/>
  <c r="W170" i="59" s="1"/>
  <c r="AV290" i="52"/>
  <c r="W109" i="58"/>
  <c r="AV110" i="58"/>
  <c r="AV260" i="57"/>
  <c r="W260" i="57" s="1"/>
  <c r="W50" i="53"/>
  <c r="AV200" i="52"/>
  <c r="W200" i="52" s="1"/>
  <c r="AV290" i="57"/>
  <c r="BA290" i="57" s="1"/>
  <c r="BQ290" i="57" s="1"/>
  <c r="AV110" i="53"/>
  <c r="W110" i="53" s="1"/>
  <c r="W49" i="58"/>
  <c r="AV50" i="58"/>
  <c r="W79" i="53"/>
  <c r="W229" i="59"/>
  <c r="AV230" i="59"/>
  <c r="AV290" i="53"/>
  <c r="BA290" i="53" s="1"/>
  <c r="BQ290" i="53" s="1"/>
  <c r="W169" i="58"/>
  <c r="AV170" i="58"/>
  <c r="W139" i="52"/>
  <c r="AV140" i="52"/>
  <c r="AV230" i="58"/>
  <c r="W230" i="58" s="1"/>
  <c r="AV50" i="55"/>
  <c r="BA50" i="55" s="1"/>
  <c r="BQ50" i="55" s="1"/>
  <c r="AV260" i="55"/>
  <c r="W260" i="55" s="1"/>
  <c r="AV290" i="55"/>
  <c r="BA290" i="55" s="1"/>
  <c r="BQ290" i="55" s="1"/>
  <c r="AV200" i="55"/>
  <c r="W200" i="55" s="1"/>
  <c r="AV50" i="57"/>
  <c r="BA50" i="57" s="1"/>
  <c r="BQ50" i="57" s="1"/>
  <c r="AV20" i="57"/>
  <c r="BA20" i="57" s="1"/>
  <c r="BQ20" i="57" s="1"/>
  <c r="AV230" i="55"/>
  <c r="W230" i="55" s="1"/>
  <c r="BA20" i="59"/>
  <c r="BQ20" i="59" s="1"/>
  <c r="W20" i="59"/>
  <c r="AV20" i="55"/>
  <c r="W20" i="55" s="1"/>
  <c r="AV140" i="57"/>
  <c r="W140" i="57" s="1"/>
  <c r="AV110" i="55"/>
  <c r="W110" i="55" s="1"/>
  <c r="AV200" i="57"/>
  <c r="W200" i="57" s="1"/>
  <c r="AV80" i="55"/>
  <c r="BA80" i="55" s="1"/>
  <c r="BQ80" i="55" s="1"/>
  <c r="W80" i="53"/>
  <c r="BA80" i="53"/>
  <c r="BQ80" i="53" s="1"/>
  <c r="W200" i="58"/>
  <c r="BA200" i="58"/>
  <c r="BQ200" i="58" s="1"/>
  <c r="AV170" i="57"/>
  <c r="AV230" i="57"/>
  <c r="U207" i="50"/>
  <c r="K207" i="50"/>
  <c r="F225" i="50"/>
  <c r="F226" i="50" s="1"/>
  <c r="S207" i="50"/>
  <c r="E207" i="50"/>
  <c r="J225" i="50"/>
  <c r="J226" i="50" s="1"/>
  <c r="M207" i="50"/>
  <c r="H225" i="50"/>
  <c r="H226" i="50" s="1"/>
  <c r="R225" i="50"/>
  <c r="R226" i="50" s="1"/>
  <c r="B234" i="50"/>
  <c r="D225" i="50"/>
  <c r="D226" i="50" s="1"/>
  <c r="P225" i="50"/>
  <c r="P226" i="50" s="1"/>
  <c r="O207" i="50"/>
  <c r="I207" i="50"/>
  <c r="G207" i="50"/>
  <c r="L225" i="50"/>
  <c r="L226" i="50" s="1"/>
  <c r="N225" i="50"/>
  <c r="N226" i="50" s="1"/>
  <c r="Q207" i="50"/>
  <c r="B206" i="50"/>
  <c r="T225" i="50"/>
  <c r="T226" i="50" s="1"/>
  <c r="AV230" i="53"/>
  <c r="BA110" i="59"/>
  <c r="BQ110" i="59" s="1"/>
  <c r="W110" i="59"/>
  <c r="AV200" i="53"/>
  <c r="AV170" i="53"/>
  <c r="N6" i="87"/>
  <c r="N14" i="87"/>
  <c r="N47" i="87"/>
  <c r="O47" i="87" s="1"/>
  <c r="N65" i="87"/>
  <c r="N41" i="87"/>
  <c r="N21" i="87"/>
  <c r="N37" i="87"/>
  <c r="O37" i="87" s="1"/>
  <c r="N51" i="87"/>
  <c r="N39" i="87"/>
  <c r="O39" i="87" s="1"/>
  <c r="N19" i="87"/>
  <c r="N44" i="87"/>
  <c r="N18" i="87"/>
  <c r="N66" i="87"/>
  <c r="N34" i="87"/>
  <c r="O34" i="87" s="1"/>
  <c r="N33" i="87"/>
  <c r="O33" i="87" s="1"/>
  <c r="N62" i="87"/>
  <c r="O62" i="87" s="1"/>
  <c r="N30" i="87"/>
  <c r="N29" i="87"/>
  <c r="N27" i="87"/>
  <c r="N68" i="87"/>
  <c r="N25" i="87"/>
  <c r="N59" i="87"/>
  <c r="N5" i="87"/>
  <c r="N13" i="87"/>
  <c r="N36" i="87"/>
  <c r="O36" i="87" s="1"/>
  <c r="N67" i="87"/>
  <c r="N49" i="87"/>
  <c r="N31" i="87"/>
  <c r="N38" i="87"/>
  <c r="O38" i="87" s="1"/>
  <c r="N45" i="87"/>
  <c r="N61" i="87"/>
  <c r="N69" i="87"/>
  <c r="N11" i="87"/>
  <c r="N56" i="87"/>
  <c r="N28" i="87"/>
  <c r="O28" i="87" s="1"/>
  <c r="N52" i="87"/>
  <c r="N20" i="87"/>
  <c r="N15" i="87"/>
  <c r="N35" i="87"/>
  <c r="O35" i="87" s="1"/>
  <c r="N53" i="87"/>
  <c r="N10" i="87"/>
  <c r="N64" i="87"/>
  <c r="O64" i="87" s="1"/>
  <c r="N71" i="87"/>
  <c r="N9" i="87"/>
  <c r="N50" i="87"/>
  <c r="O50" i="87" s="1"/>
  <c r="N43" i="87"/>
  <c r="O43" i="87" s="1"/>
  <c r="N2" i="87"/>
  <c r="N58" i="87"/>
  <c r="N16" i="87"/>
  <c r="N8" i="87"/>
  <c r="N48" i="87"/>
  <c r="O48" i="87" s="1"/>
  <c r="N46" i="87"/>
  <c r="N24" i="87"/>
  <c r="N70" i="87"/>
  <c r="N32" i="87"/>
  <c r="N4" i="87"/>
  <c r="N7" i="87"/>
  <c r="N17" i="87"/>
  <c r="N3" i="87"/>
  <c r="N26" i="87"/>
  <c r="N40" i="87"/>
  <c r="O40" i="87" s="1"/>
  <c r="N22" i="87"/>
  <c r="N23" i="87"/>
  <c r="O23" i="87" s="1"/>
  <c r="N42" i="87"/>
  <c r="N54" i="87"/>
  <c r="N55" i="87"/>
  <c r="O2" i="86"/>
  <c r="N12" i="87"/>
  <c r="AV80" i="57"/>
  <c r="K236" i="49"/>
  <c r="B263" i="49"/>
  <c r="T254" i="49"/>
  <c r="T255" i="49" s="1"/>
  <c r="D254" i="49"/>
  <c r="D255" i="49" s="1"/>
  <c r="N254" i="49"/>
  <c r="N255" i="49" s="1"/>
  <c r="U236" i="49"/>
  <c r="I236" i="49"/>
  <c r="P254" i="49"/>
  <c r="P255" i="49" s="1"/>
  <c r="O236" i="49"/>
  <c r="B235" i="49"/>
  <c r="G236" i="49"/>
  <c r="E236" i="49"/>
  <c r="S236" i="49"/>
  <c r="M236" i="49"/>
  <c r="Q236" i="49"/>
  <c r="L254" i="49"/>
  <c r="L255" i="49" s="1"/>
  <c r="H254" i="49"/>
  <c r="H255" i="49" s="1"/>
  <c r="F254" i="49"/>
  <c r="F255" i="49" s="1"/>
  <c r="J254" i="49"/>
  <c r="J255" i="49" s="1"/>
  <c r="R254" i="49"/>
  <c r="R255" i="49" s="1"/>
  <c r="AV170" i="55"/>
  <c r="M10" i="87"/>
  <c r="M50" i="87"/>
  <c r="M47" i="87"/>
  <c r="M14" i="87"/>
  <c r="M51" i="87"/>
  <c r="M21" i="87"/>
  <c r="M53" i="87"/>
  <c r="M41" i="87"/>
  <c r="M11" i="87"/>
  <c r="M57" i="87"/>
  <c r="M61" i="87"/>
  <c r="M32" i="87"/>
  <c r="M8" i="87"/>
  <c r="M18" i="87"/>
  <c r="M12" i="87"/>
  <c r="M35" i="87"/>
  <c r="M17" i="87"/>
  <c r="M72" i="87"/>
  <c r="M59" i="87"/>
  <c r="M34" i="87"/>
  <c r="M33" i="87"/>
  <c r="M6" i="87"/>
  <c r="M49" i="87"/>
  <c r="M26" i="87"/>
  <c r="M5" i="87"/>
  <c r="M52" i="87"/>
  <c r="M64" i="87"/>
  <c r="M7" i="87"/>
  <c r="M31" i="87"/>
  <c r="M25" i="87"/>
  <c r="M29" i="87"/>
  <c r="M19" i="87"/>
  <c r="M9" i="87"/>
  <c r="M37" i="87"/>
  <c r="M58" i="87"/>
  <c r="M69" i="87"/>
  <c r="M43" i="87"/>
  <c r="M16" i="87"/>
  <c r="M3" i="87"/>
  <c r="M48" i="87"/>
  <c r="M62" i="87"/>
  <c r="M54" i="87"/>
  <c r="M38" i="87"/>
  <c r="M42" i="87"/>
  <c r="M55" i="87"/>
  <c r="M60" i="87"/>
  <c r="M28" i="87"/>
  <c r="M30" i="87"/>
  <c r="M66" i="87"/>
  <c r="M56" i="87"/>
  <c r="M44" i="87"/>
  <c r="M23" i="87"/>
  <c r="M63" i="87"/>
  <c r="M13" i="87"/>
  <c r="M24" i="87"/>
  <c r="M65" i="87"/>
  <c r="M46" i="87"/>
  <c r="M39" i="87"/>
  <c r="M4" i="87"/>
  <c r="M22" i="87"/>
  <c r="M20" i="87"/>
  <c r="M36" i="87"/>
  <c r="M15" i="87"/>
  <c r="M27" i="87"/>
  <c r="M2" i="87"/>
  <c r="M67" i="87"/>
  <c r="M45" i="87"/>
  <c r="M68" i="87"/>
  <c r="M40" i="87"/>
  <c r="W170" i="52"/>
  <c r="BA170" i="52"/>
  <c r="BQ170" i="52" s="1"/>
  <c r="W80" i="52"/>
  <c r="BA80" i="52"/>
  <c r="BQ80" i="52" s="1"/>
  <c r="BA230" i="52"/>
  <c r="BQ230" i="52" s="1"/>
  <c r="W230" i="52"/>
  <c r="D5" i="81" l="1"/>
  <c r="E6" i="81"/>
  <c r="A7" i="81"/>
  <c r="A8" i="81" s="1"/>
  <c r="B6" i="81"/>
  <c r="G6" i="81"/>
  <c r="C6" i="82"/>
  <c r="O58" i="87"/>
  <c r="O53" i="87"/>
  <c r="C6" i="83"/>
  <c r="F7" i="82"/>
  <c r="G7" i="82"/>
  <c r="E7" i="82"/>
  <c r="A8" i="82"/>
  <c r="C5" i="80"/>
  <c r="A7" i="80"/>
  <c r="F7" i="80" s="1"/>
  <c r="E6" i="80"/>
  <c r="B6" i="80"/>
  <c r="D6" i="80" s="1"/>
  <c r="F6" i="80"/>
  <c r="O94" i="86"/>
  <c r="O84" i="86"/>
  <c r="O104" i="86"/>
  <c r="A7" i="79"/>
  <c r="B7" i="79" s="1"/>
  <c r="D7" i="79" s="1"/>
  <c r="F6" i="79"/>
  <c r="G6" i="79"/>
  <c r="B6" i="79"/>
  <c r="D6" i="79" s="1"/>
  <c r="O81" i="86"/>
  <c r="O87" i="86"/>
  <c r="D5" i="79"/>
  <c r="O96" i="86"/>
  <c r="O79" i="86"/>
  <c r="M85" i="87"/>
  <c r="O74" i="86"/>
  <c r="O101" i="86"/>
  <c r="O88" i="86"/>
  <c r="O76" i="86"/>
  <c r="O92" i="86"/>
  <c r="O75" i="86"/>
  <c r="O82" i="86"/>
  <c r="O102" i="86"/>
  <c r="O99" i="86"/>
  <c r="O73" i="86"/>
  <c r="O80" i="86"/>
  <c r="O77" i="86"/>
  <c r="O100" i="86"/>
  <c r="O90" i="86"/>
  <c r="O83" i="86"/>
  <c r="O91" i="86"/>
  <c r="O93" i="86"/>
  <c r="O98" i="86"/>
  <c r="O89" i="86"/>
  <c r="O85" i="86"/>
  <c r="O86" i="86"/>
  <c r="O78" i="86"/>
  <c r="O97" i="86"/>
  <c r="O103" i="86"/>
  <c r="O95" i="86"/>
  <c r="M95" i="87"/>
  <c r="M74" i="87"/>
  <c r="M86" i="87"/>
  <c r="M93" i="87"/>
  <c r="M78" i="87"/>
  <c r="M98" i="87"/>
  <c r="M80" i="87"/>
  <c r="M94" i="87"/>
  <c r="M82" i="87"/>
  <c r="M75" i="87"/>
  <c r="M96" i="87"/>
  <c r="M84" i="87"/>
  <c r="M104" i="87"/>
  <c r="M91" i="87"/>
  <c r="M89" i="87"/>
  <c r="M81" i="87"/>
  <c r="M73" i="87"/>
  <c r="M83" i="87"/>
  <c r="M87" i="87"/>
  <c r="M99" i="87"/>
  <c r="M77" i="87"/>
  <c r="M100" i="87"/>
  <c r="M92" i="87"/>
  <c r="M102" i="87"/>
  <c r="M79" i="87"/>
  <c r="M76" i="87"/>
  <c r="M88" i="87"/>
  <c r="M97" i="87"/>
  <c r="M90" i="87"/>
  <c r="M101" i="87"/>
  <c r="M103" i="87"/>
  <c r="O3" i="87"/>
  <c r="O22" i="87"/>
  <c r="O51" i="87"/>
  <c r="N104" i="87"/>
  <c r="N73" i="87"/>
  <c r="N103" i="87"/>
  <c r="N98" i="87"/>
  <c r="N88" i="87"/>
  <c r="O17" i="87"/>
  <c r="O41" i="87"/>
  <c r="N85" i="87"/>
  <c r="N94" i="87"/>
  <c r="N95" i="87"/>
  <c r="N99" i="87"/>
  <c r="N93" i="87"/>
  <c r="N90" i="87"/>
  <c r="N96" i="87"/>
  <c r="N83" i="87"/>
  <c r="N78" i="87"/>
  <c r="N80" i="87"/>
  <c r="N97" i="87"/>
  <c r="N92" i="87"/>
  <c r="N79" i="87"/>
  <c r="N72" i="87"/>
  <c r="O72" i="87" s="1"/>
  <c r="N87" i="87"/>
  <c r="N91" i="87"/>
  <c r="N89" i="87"/>
  <c r="N74" i="87"/>
  <c r="N75" i="87"/>
  <c r="N86" i="87"/>
  <c r="N81" i="87"/>
  <c r="N101" i="87"/>
  <c r="N84" i="87"/>
  <c r="N102" i="87"/>
  <c r="N82" i="87"/>
  <c r="N77" i="87"/>
  <c r="N76" i="87"/>
  <c r="N100" i="87"/>
  <c r="P100" i="85"/>
  <c r="P10" i="85"/>
  <c r="P54" i="85"/>
  <c r="P58" i="85"/>
  <c r="P78" i="85"/>
  <c r="P71" i="85"/>
  <c r="P83" i="85"/>
  <c r="P14" i="85"/>
  <c r="P51" i="85"/>
  <c r="P12" i="85"/>
  <c r="P68" i="85"/>
  <c r="P98" i="85"/>
  <c r="P47" i="85"/>
  <c r="P27" i="85"/>
  <c r="P41" i="85"/>
  <c r="P19" i="85"/>
  <c r="P76" i="85"/>
  <c r="P15" i="85"/>
  <c r="P61" i="85"/>
  <c r="P65" i="85"/>
  <c r="P50" i="85"/>
  <c r="P37" i="85"/>
  <c r="P57" i="85"/>
  <c r="P67" i="85"/>
  <c r="P42" i="85"/>
  <c r="P101" i="85"/>
  <c r="P24" i="85"/>
  <c r="P5" i="85"/>
  <c r="P2" i="85"/>
  <c r="P59" i="85"/>
  <c r="P70" i="85"/>
  <c r="P79" i="85"/>
  <c r="P36" i="85"/>
  <c r="P4" i="85"/>
  <c r="P53" i="85"/>
  <c r="P46" i="85"/>
  <c r="P26" i="85"/>
  <c r="P7" i="85"/>
  <c r="P75" i="85"/>
  <c r="P89" i="85"/>
  <c r="P13" i="85"/>
  <c r="P38" i="85"/>
  <c r="P90" i="85"/>
  <c r="P6" i="85"/>
  <c r="P85" i="85"/>
  <c r="P52" i="85"/>
  <c r="P80" i="85"/>
  <c r="P93" i="85"/>
  <c r="P22" i="85"/>
  <c r="P49" i="85"/>
  <c r="P44" i="85"/>
  <c r="P25" i="85"/>
  <c r="P56" i="85"/>
  <c r="P9" i="85"/>
  <c r="P97" i="85"/>
  <c r="P102" i="85"/>
  <c r="P40" i="85"/>
  <c r="P103" i="85"/>
  <c r="P29" i="85"/>
  <c r="P95" i="85"/>
  <c r="P33" i="85"/>
  <c r="P92" i="85"/>
  <c r="P45" i="85"/>
  <c r="P21" i="85"/>
  <c r="P35" i="85"/>
  <c r="P39" i="85"/>
  <c r="P104" i="85"/>
  <c r="P87" i="85"/>
  <c r="P55" i="85"/>
  <c r="P86" i="85"/>
  <c r="P82" i="85"/>
  <c r="P18" i="85"/>
  <c r="P94" i="85"/>
  <c r="P32" i="85"/>
  <c r="P30" i="85"/>
  <c r="P31" i="85"/>
  <c r="P43" i="85"/>
  <c r="P69" i="85"/>
  <c r="P72" i="85"/>
  <c r="P99" i="85"/>
  <c r="P28" i="85"/>
  <c r="P96" i="85"/>
  <c r="P63" i="85"/>
  <c r="P3" i="85"/>
  <c r="P74" i="85"/>
  <c r="P73" i="85"/>
  <c r="P17" i="85"/>
  <c r="P23" i="85"/>
  <c r="P16" i="85"/>
  <c r="P60" i="85"/>
  <c r="O57" i="86"/>
  <c r="P81" i="85"/>
  <c r="P77" i="85"/>
  <c r="P48" i="85"/>
  <c r="P66" i="85"/>
  <c r="P11" i="85"/>
  <c r="P62" i="85"/>
  <c r="P84" i="85"/>
  <c r="P64" i="85"/>
  <c r="P34" i="85"/>
  <c r="P20" i="85"/>
  <c r="P8" i="85"/>
  <c r="P88" i="85"/>
  <c r="P91" i="85"/>
  <c r="G7" i="79"/>
  <c r="B5" i="84"/>
  <c r="D5" i="84" s="1"/>
  <c r="F5" i="84"/>
  <c r="E5" i="84"/>
  <c r="G5" i="84"/>
  <c r="A6" i="84"/>
  <c r="E6" i="84" s="1"/>
  <c r="G207" i="51"/>
  <c r="F225" i="51"/>
  <c r="F226" i="51" s="1"/>
  <c r="K207" i="51"/>
  <c r="U207" i="51"/>
  <c r="R225" i="51"/>
  <c r="R226" i="51" s="1"/>
  <c r="I207" i="51"/>
  <c r="B206" i="51"/>
  <c r="S207" i="51"/>
  <c r="M207" i="51"/>
  <c r="H225" i="51"/>
  <c r="H226" i="51" s="1"/>
  <c r="D225" i="51"/>
  <c r="D226" i="51" s="1"/>
  <c r="P225" i="51"/>
  <c r="P226" i="51" s="1"/>
  <c r="J225" i="51"/>
  <c r="J226" i="51" s="1"/>
  <c r="L225" i="51"/>
  <c r="L226" i="51" s="1"/>
  <c r="E207" i="51"/>
  <c r="B234" i="51"/>
  <c r="O207" i="51"/>
  <c r="N225" i="51"/>
  <c r="N226" i="51" s="1"/>
  <c r="Q207" i="51"/>
  <c r="T225" i="51"/>
  <c r="T226" i="51" s="1"/>
  <c r="L283" i="46"/>
  <c r="L284" i="46" s="1"/>
  <c r="U265" i="46"/>
  <c r="M265" i="46"/>
  <c r="O265" i="46"/>
  <c r="J283" i="46"/>
  <c r="J284" i="46" s="1"/>
  <c r="Q265" i="46"/>
  <c r="K265" i="46"/>
  <c r="E265" i="46"/>
  <c r="D283" i="46"/>
  <c r="D284" i="46" s="1"/>
  <c r="S265" i="46"/>
  <c r="T283" i="46"/>
  <c r="T284" i="46" s="1"/>
  <c r="G265" i="46"/>
  <c r="N283" i="46"/>
  <c r="N284" i="46" s="1"/>
  <c r="H283" i="46"/>
  <c r="H284" i="46" s="1"/>
  <c r="F283" i="46"/>
  <c r="F284" i="46" s="1"/>
  <c r="P283" i="46"/>
  <c r="P284" i="46" s="1"/>
  <c r="R283" i="46"/>
  <c r="R284" i="46" s="1"/>
  <c r="B264" i="46"/>
  <c r="I265" i="46"/>
  <c r="R254" i="41"/>
  <c r="R255" i="41" s="1"/>
  <c r="S236" i="41"/>
  <c r="N254" i="41"/>
  <c r="N255" i="41" s="1"/>
  <c r="B235" i="41"/>
  <c r="Q236" i="41"/>
  <c r="K236" i="41"/>
  <c r="T254" i="41"/>
  <c r="T255" i="41" s="1"/>
  <c r="J254" i="41"/>
  <c r="J255" i="41" s="1"/>
  <c r="U236" i="41"/>
  <c r="H254" i="41"/>
  <c r="H255" i="41" s="1"/>
  <c r="P254" i="41"/>
  <c r="P255" i="41" s="1"/>
  <c r="B263" i="41"/>
  <c r="I236" i="41"/>
  <c r="E236" i="41"/>
  <c r="G236" i="41"/>
  <c r="M236" i="41"/>
  <c r="F254" i="41"/>
  <c r="F255" i="41" s="1"/>
  <c r="L254" i="41"/>
  <c r="L255" i="41" s="1"/>
  <c r="O236" i="41"/>
  <c r="D254" i="41"/>
  <c r="D255" i="41" s="1"/>
  <c r="O18" i="87"/>
  <c r="G6" i="78"/>
  <c r="M71" i="87"/>
  <c r="O71" i="87" s="1"/>
  <c r="O16" i="87"/>
  <c r="O21" i="87"/>
  <c r="O19" i="87"/>
  <c r="O20" i="87"/>
  <c r="O57" i="87"/>
  <c r="B6" i="78"/>
  <c r="D6" i="78" s="1"/>
  <c r="O59" i="87"/>
  <c r="E6" i="78"/>
  <c r="D5" i="78"/>
  <c r="A7" i="78"/>
  <c r="F7" i="78" s="1"/>
  <c r="M70" i="87"/>
  <c r="O70" i="87" s="1"/>
  <c r="O61" i="87"/>
  <c r="O42" i="87"/>
  <c r="O69" i="87"/>
  <c r="O68" i="87"/>
  <c r="A8" i="83"/>
  <c r="F8" i="83" s="1"/>
  <c r="G7" i="83"/>
  <c r="O29" i="87"/>
  <c r="O32" i="87"/>
  <c r="O31" i="87"/>
  <c r="O30" i="87"/>
  <c r="O56" i="87"/>
  <c r="N63" i="87"/>
  <c r="O63" i="87" s="1"/>
  <c r="O55" i="87"/>
  <c r="O67" i="87"/>
  <c r="O54" i="87"/>
  <c r="E7" i="83"/>
  <c r="B7" i="83"/>
  <c r="O45" i="87"/>
  <c r="O46" i="87"/>
  <c r="O49" i="87"/>
  <c r="O52" i="87"/>
  <c r="O44" i="87"/>
  <c r="O13" i="87"/>
  <c r="N60" i="87"/>
  <c r="O60" i="87" s="1"/>
  <c r="O66" i="87"/>
  <c r="O15" i="87"/>
  <c r="O14" i="87"/>
  <c r="O12" i="87"/>
  <c r="O25" i="87"/>
  <c r="O65" i="87"/>
  <c r="O27" i="87"/>
  <c r="O26" i="87"/>
  <c r="O24" i="87"/>
  <c r="O10" i="87"/>
  <c r="O11" i="87"/>
  <c r="O8" i="87"/>
  <c r="O9" i="87"/>
  <c r="O5" i="87"/>
  <c r="O4" i="87"/>
  <c r="O7" i="87"/>
  <c r="O6" i="87"/>
  <c r="I265" i="45"/>
  <c r="F283" i="45"/>
  <c r="F284" i="45" s="1"/>
  <c r="L283" i="45"/>
  <c r="L284" i="45" s="1"/>
  <c r="R283" i="45"/>
  <c r="R284" i="45" s="1"/>
  <c r="B264" i="45"/>
  <c r="P283" i="45"/>
  <c r="P284" i="45" s="1"/>
  <c r="S265" i="45"/>
  <c r="H283" i="45"/>
  <c r="H284" i="45" s="1"/>
  <c r="U265" i="45"/>
  <c r="M265" i="45"/>
  <c r="G265" i="45"/>
  <c r="T283" i="45"/>
  <c r="T284" i="45" s="1"/>
  <c r="O265" i="45"/>
  <c r="J283" i="45"/>
  <c r="J284" i="45" s="1"/>
  <c r="N283" i="45"/>
  <c r="N284" i="45" s="1"/>
  <c r="K265" i="45"/>
  <c r="E265" i="45"/>
  <c r="D283" i="45"/>
  <c r="D284" i="45" s="1"/>
  <c r="Q265" i="45"/>
  <c r="W260" i="52"/>
  <c r="W110" i="52"/>
  <c r="BA290" i="59"/>
  <c r="BQ290" i="59" s="1"/>
  <c r="BA80" i="59"/>
  <c r="BQ80" i="59" s="1"/>
  <c r="W80" i="58"/>
  <c r="W50" i="52"/>
  <c r="W20" i="52"/>
  <c r="BA20" i="58"/>
  <c r="BQ20" i="58" s="1"/>
  <c r="W200" i="59"/>
  <c r="BA140" i="55"/>
  <c r="BQ140" i="55" s="1"/>
  <c r="BA140" i="59"/>
  <c r="BQ140" i="59" s="1"/>
  <c r="W260" i="53"/>
  <c r="BA140" i="58"/>
  <c r="BQ140" i="58" s="1"/>
  <c r="W110" i="57"/>
  <c r="W50" i="55"/>
  <c r="BA290" i="58"/>
  <c r="BQ290" i="58" s="1"/>
  <c r="W260" i="58"/>
  <c r="W50" i="59"/>
  <c r="BA20" i="53"/>
  <c r="BQ20" i="53" s="1"/>
  <c r="W140" i="53"/>
  <c r="W260" i="59"/>
  <c r="BA260" i="59"/>
  <c r="BQ260" i="59" s="1"/>
  <c r="BA170" i="59"/>
  <c r="BQ170" i="59" s="1"/>
  <c r="BA260" i="57"/>
  <c r="BQ260" i="57" s="1"/>
  <c r="BA290" i="52"/>
  <c r="BQ290" i="52" s="1"/>
  <c r="W290" i="52"/>
  <c r="BA200" i="52"/>
  <c r="BQ200" i="52" s="1"/>
  <c r="W290" i="57"/>
  <c r="BA110" i="58"/>
  <c r="BQ110" i="58" s="1"/>
  <c r="W110" i="58"/>
  <c r="BA110" i="53"/>
  <c r="BQ110" i="53" s="1"/>
  <c r="BA230" i="58"/>
  <c r="BQ230" i="58" s="1"/>
  <c r="BA140" i="52"/>
  <c r="BQ140" i="52" s="1"/>
  <c r="W140" i="52"/>
  <c r="BA170" i="58"/>
  <c r="BQ170" i="58" s="1"/>
  <c r="W170" i="58"/>
  <c r="W230" i="59"/>
  <c r="BA230" i="59"/>
  <c r="BQ230" i="59" s="1"/>
  <c r="W50" i="58"/>
  <c r="BA50" i="58"/>
  <c r="BQ50" i="58" s="1"/>
  <c r="W290" i="53"/>
  <c r="W290" i="55"/>
  <c r="BA260" i="55"/>
  <c r="BQ260" i="55" s="1"/>
  <c r="BA140" i="57"/>
  <c r="BQ140" i="57" s="1"/>
  <c r="BA200" i="55"/>
  <c r="BQ200" i="55" s="1"/>
  <c r="BA20" i="55"/>
  <c r="BQ20" i="55" s="1"/>
  <c r="W50" i="57"/>
  <c r="BA110" i="55"/>
  <c r="BQ110" i="55" s="1"/>
  <c r="BA230" i="55"/>
  <c r="BQ230" i="55" s="1"/>
  <c r="W80" i="55"/>
  <c r="W20" i="57"/>
  <c r="BA200" i="57"/>
  <c r="BQ200" i="57" s="1"/>
  <c r="G8" i="82"/>
  <c r="F8" i="82"/>
  <c r="B8" i="82"/>
  <c r="E8" i="82"/>
  <c r="A9" i="82"/>
  <c r="M14" i="88"/>
  <c r="M61" i="88"/>
  <c r="M28" i="88"/>
  <c r="M60" i="88"/>
  <c r="M40" i="88"/>
  <c r="M33" i="88"/>
  <c r="M16" i="88"/>
  <c r="M44" i="88"/>
  <c r="M4" i="88"/>
  <c r="M41" i="88"/>
  <c r="M5" i="88"/>
  <c r="M48" i="88"/>
  <c r="M24" i="88"/>
  <c r="M65" i="88"/>
  <c r="M42" i="88"/>
  <c r="M30" i="88"/>
  <c r="M13" i="88"/>
  <c r="M67" i="88"/>
  <c r="M68" i="88"/>
  <c r="M58" i="88"/>
  <c r="M51" i="88"/>
  <c r="M45" i="88"/>
  <c r="M49" i="88"/>
  <c r="M21" i="88"/>
  <c r="M12" i="88"/>
  <c r="M18" i="88"/>
  <c r="M66" i="88"/>
  <c r="M46" i="88"/>
  <c r="M69" i="88"/>
  <c r="M47" i="88"/>
  <c r="M6" i="88"/>
  <c r="M38" i="88"/>
  <c r="M31" i="88"/>
  <c r="M29" i="88"/>
  <c r="M7" i="88"/>
  <c r="M35" i="88"/>
  <c r="M39" i="88"/>
  <c r="M8" i="88"/>
  <c r="M55" i="88"/>
  <c r="M59" i="88"/>
  <c r="M34" i="88"/>
  <c r="M19" i="88"/>
  <c r="M20" i="88"/>
  <c r="M52" i="88"/>
  <c r="M36" i="88"/>
  <c r="M43" i="88"/>
  <c r="M10" i="88"/>
  <c r="M9" i="88"/>
  <c r="M26" i="88"/>
  <c r="M23" i="88"/>
  <c r="M3" i="88"/>
  <c r="M25" i="88"/>
  <c r="M54" i="88"/>
  <c r="M50" i="88"/>
  <c r="M53" i="88"/>
  <c r="M64" i="88"/>
  <c r="M17" i="88"/>
  <c r="M2" i="88"/>
  <c r="M62" i="88"/>
  <c r="M57" i="88"/>
  <c r="M37" i="88"/>
  <c r="M27" i="88"/>
  <c r="M63" i="88"/>
  <c r="M15" i="88"/>
  <c r="M32" i="88"/>
  <c r="M22" i="88"/>
  <c r="M11" i="88"/>
  <c r="M56" i="88"/>
  <c r="M72" i="88"/>
  <c r="B264" i="49"/>
  <c r="Q265" i="49"/>
  <c r="K265" i="49"/>
  <c r="M265" i="49"/>
  <c r="I265" i="49"/>
  <c r="G265" i="49"/>
  <c r="O265" i="49"/>
  <c r="E265" i="49"/>
  <c r="D283" i="49"/>
  <c r="D284" i="49" s="1"/>
  <c r="L283" i="49"/>
  <c r="L284" i="49" s="1"/>
  <c r="U265" i="49"/>
  <c r="T283" i="49"/>
  <c r="T284" i="49" s="1"/>
  <c r="P283" i="49"/>
  <c r="P284" i="49" s="1"/>
  <c r="J283" i="49"/>
  <c r="J284" i="49" s="1"/>
  <c r="H283" i="49"/>
  <c r="H284" i="49" s="1"/>
  <c r="R283" i="49"/>
  <c r="R284" i="49" s="1"/>
  <c r="N283" i="49"/>
  <c r="N284" i="49" s="1"/>
  <c r="S265" i="49"/>
  <c r="F283" i="49"/>
  <c r="F284" i="49" s="1"/>
  <c r="BA230" i="53"/>
  <c r="BQ230" i="53" s="1"/>
  <c r="W230" i="53"/>
  <c r="N8" i="88"/>
  <c r="N20" i="88"/>
  <c r="N36" i="88"/>
  <c r="O36" i="88" s="1"/>
  <c r="N29" i="88"/>
  <c r="N31" i="88"/>
  <c r="N50" i="88"/>
  <c r="O50" i="88" s="1"/>
  <c r="N25" i="88"/>
  <c r="N3" i="88"/>
  <c r="N10" i="88"/>
  <c r="N45" i="88"/>
  <c r="N27" i="88"/>
  <c r="N37" i="88"/>
  <c r="O37" i="88" s="1"/>
  <c r="N51" i="88"/>
  <c r="N65" i="88"/>
  <c r="N6" i="88"/>
  <c r="N28" i="88"/>
  <c r="O28" i="88" s="1"/>
  <c r="N68" i="88"/>
  <c r="N19" i="88"/>
  <c r="N41" i="88"/>
  <c r="N13" i="88"/>
  <c r="N17" i="88"/>
  <c r="N7" i="88"/>
  <c r="N18" i="88"/>
  <c r="N32" i="88"/>
  <c r="N5" i="88"/>
  <c r="N21" i="88"/>
  <c r="N14" i="88"/>
  <c r="N59" i="88"/>
  <c r="N53" i="88"/>
  <c r="N64" i="88"/>
  <c r="O64" i="88" s="1"/>
  <c r="N2" i="88"/>
  <c r="N11" i="88"/>
  <c r="N15" i="88"/>
  <c r="N46" i="88"/>
  <c r="N44" i="88"/>
  <c r="N26" i="88"/>
  <c r="N52" i="88"/>
  <c r="N35" i="88"/>
  <c r="O35" i="88" s="1"/>
  <c r="N43" i="88"/>
  <c r="O43" i="88" s="1"/>
  <c r="N66" i="88"/>
  <c r="N70" i="88"/>
  <c r="N54" i="88"/>
  <c r="N16" i="88"/>
  <c r="N48" i="88"/>
  <c r="O48" i="88" s="1"/>
  <c r="N62" i="88"/>
  <c r="O62" i="88" s="1"/>
  <c r="N22" i="88"/>
  <c r="N56" i="88"/>
  <c r="N61" i="88"/>
  <c r="N49" i="88"/>
  <c r="N55" i="88"/>
  <c r="N38" i="88"/>
  <c r="O38" i="88" s="1"/>
  <c r="N67" i="88"/>
  <c r="N58" i="88"/>
  <c r="N47" i="88"/>
  <c r="O47" i="88" s="1"/>
  <c r="N30" i="88"/>
  <c r="N12" i="88"/>
  <c r="N23" i="88"/>
  <c r="O23" i="88" s="1"/>
  <c r="N69" i="88"/>
  <c r="N4" i="88"/>
  <c r="N33" i="88"/>
  <c r="O33" i="88" s="1"/>
  <c r="N57" i="88"/>
  <c r="O2" i="87"/>
  <c r="N24" i="88"/>
  <c r="N34" i="88"/>
  <c r="O34" i="88" s="1"/>
  <c r="N71" i="88"/>
  <c r="N40" i="88"/>
  <c r="O40" i="88" s="1"/>
  <c r="N39" i="88"/>
  <c r="O39" i="88" s="1"/>
  <c r="N42" i="88"/>
  <c r="N9" i="88"/>
  <c r="BA170" i="55"/>
  <c r="BQ170" i="55" s="1"/>
  <c r="W170" i="55"/>
  <c r="BA80" i="57"/>
  <c r="BQ80" i="57" s="1"/>
  <c r="W80" i="57"/>
  <c r="W230" i="57"/>
  <c r="BA230" i="57"/>
  <c r="BQ230" i="57" s="1"/>
  <c r="C7" i="79"/>
  <c r="BA170" i="53"/>
  <c r="BQ170" i="53" s="1"/>
  <c r="W170" i="53"/>
  <c r="BA170" i="57"/>
  <c r="BQ170" i="57" s="1"/>
  <c r="W170" i="57"/>
  <c r="W200" i="53"/>
  <c r="BA200" i="53"/>
  <c r="BQ200" i="53" s="1"/>
  <c r="N254" i="50"/>
  <c r="N255" i="50" s="1"/>
  <c r="E236" i="50"/>
  <c r="I236" i="50"/>
  <c r="S236" i="50"/>
  <c r="Q236" i="50"/>
  <c r="B263" i="50"/>
  <c r="T254" i="50"/>
  <c r="T255" i="50" s="1"/>
  <c r="D254" i="50"/>
  <c r="D255" i="50" s="1"/>
  <c r="J254" i="50"/>
  <c r="J255" i="50" s="1"/>
  <c r="U236" i="50"/>
  <c r="G236" i="50"/>
  <c r="P254" i="50"/>
  <c r="P255" i="50" s="1"/>
  <c r="F254" i="50"/>
  <c r="F255" i="50" s="1"/>
  <c r="R254" i="50"/>
  <c r="R255" i="50" s="1"/>
  <c r="H254" i="50"/>
  <c r="H255" i="50" s="1"/>
  <c r="M236" i="50"/>
  <c r="B235" i="50"/>
  <c r="O236" i="50"/>
  <c r="K236" i="50"/>
  <c r="L254" i="50"/>
  <c r="L255" i="50" s="1"/>
  <c r="D7" i="82"/>
  <c r="C7" i="82"/>
  <c r="F7" i="81" l="1"/>
  <c r="G7" i="81"/>
  <c r="F8" i="81"/>
  <c r="E8" i="81"/>
  <c r="G8" i="81"/>
  <c r="B8" i="81"/>
  <c r="C8" i="81" s="1"/>
  <c r="A9" i="81"/>
  <c r="A10" i="81" s="1"/>
  <c r="D6" i="81"/>
  <c r="C6" i="81"/>
  <c r="B7" i="81"/>
  <c r="E7" i="81"/>
  <c r="F7" i="79"/>
  <c r="O58" i="88"/>
  <c r="O53" i="88"/>
  <c r="B7" i="80"/>
  <c r="D7" i="80" s="1"/>
  <c r="E7" i="80"/>
  <c r="G7" i="80"/>
  <c r="A8" i="80"/>
  <c r="F8" i="80" s="1"/>
  <c r="C6" i="80"/>
  <c r="E7" i="79"/>
  <c r="C6" i="79"/>
  <c r="A8" i="79"/>
  <c r="E8" i="79" s="1"/>
  <c r="O85" i="87"/>
  <c r="M94" i="88"/>
  <c r="O99" i="87"/>
  <c r="O94" i="87"/>
  <c r="O100" i="87"/>
  <c r="O75" i="87"/>
  <c r="O92" i="87"/>
  <c r="O96" i="87"/>
  <c r="O102" i="87"/>
  <c r="O84" i="87"/>
  <c r="O86" i="87"/>
  <c r="O74" i="87"/>
  <c r="O89" i="87"/>
  <c r="O91" i="87"/>
  <c r="O88" i="87"/>
  <c r="O76" i="87"/>
  <c r="O78" i="87"/>
  <c r="O73" i="87"/>
  <c r="M95" i="88"/>
  <c r="O101" i="87"/>
  <c r="O98" i="87"/>
  <c r="O83" i="87"/>
  <c r="O80" i="87"/>
  <c r="P98" i="86"/>
  <c r="O87" i="87"/>
  <c r="P67" i="86"/>
  <c r="O103" i="87"/>
  <c r="O104" i="87"/>
  <c r="O95" i="87"/>
  <c r="O79" i="87"/>
  <c r="O81" i="87"/>
  <c r="O93" i="87"/>
  <c r="O97" i="87"/>
  <c r="O77" i="87"/>
  <c r="O82" i="87"/>
  <c r="O90" i="87"/>
  <c r="M103" i="88"/>
  <c r="M82" i="88"/>
  <c r="M81" i="88"/>
  <c r="M84" i="88"/>
  <c r="M102" i="88"/>
  <c r="M104" i="88"/>
  <c r="M91" i="88"/>
  <c r="M83" i="88"/>
  <c r="M86" i="88"/>
  <c r="M99" i="88"/>
  <c r="M77" i="88"/>
  <c r="M75" i="88"/>
  <c r="M96" i="88"/>
  <c r="M78" i="88"/>
  <c r="M80" i="88"/>
  <c r="M74" i="88"/>
  <c r="M98" i="88"/>
  <c r="M89" i="88"/>
  <c r="M87" i="88"/>
  <c r="M79" i="88"/>
  <c r="M100" i="88"/>
  <c r="M93" i="88"/>
  <c r="M73" i="88"/>
  <c r="M88" i="88"/>
  <c r="M97" i="88"/>
  <c r="O3" i="88"/>
  <c r="M85" i="88"/>
  <c r="M76" i="88"/>
  <c r="M92" i="88"/>
  <c r="M90" i="88"/>
  <c r="M101" i="88"/>
  <c r="O22" i="88"/>
  <c r="O51" i="88"/>
  <c r="O41" i="88"/>
  <c r="P64" i="86"/>
  <c r="N97" i="88"/>
  <c r="O17" i="88"/>
  <c r="N90" i="88"/>
  <c r="N92" i="88"/>
  <c r="N102" i="88"/>
  <c r="N88" i="88"/>
  <c r="N75" i="88"/>
  <c r="N76" i="88"/>
  <c r="N86" i="88"/>
  <c r="N98" i="88"/>
  <c r="N87" i="88"/>
  <c r="N74" i="88"/>
  <c r="N103" i="88"/>
  <c r="N96" i="88"/>
  <c r="N82" i="88"/>
  <c r="N83" i="88"/>
  <c r="N81" i="88"/>
  <c r="N73" i="88"/>
  <c r="N94" i="88"/>
  <c r="N104" i="88"/>
  <c r="N100" i="88"/>
  <c r="N101" i="88"/>
  <c r="N85" i="88"/>
  <c r="N77" i="88"/>
  <c r="N72" i="88"/>
  <c r="O72" i="88" s="1"/>
  <c r="N91" i="88"/>
  <c r="N99" i="88"/>
  <c r="N80" i="88"/>
  <c r="N93" i="88"/>
  <c r="N89" i="88"/>
  <c r="N79" i="88"/>
  <c r="N95" i="88"/>
  <c r="N78" i="88"/>
  <c r="N84" i="88"/>
  <c r="P42" i="86"/>
  <c r="P60" i="86"/>
  <c r="P49" i="86"/>
  <c r="P83" i="86"/>
  <c r="P61" i="86"/>
  <c r="P6" i="86"/>
  <c r="P11" i="86"/>
  <c r="G5" i="85"/>
  <c r="A6" i="85"/>
  <c r="G6" i="85" s="1"/>
  <c r="P95" i="86"/>
  <c r="P44" i="86"/>
  <c r="P86" i="86"/>
  <c r="P22" i="86"/>
  <c r="P65" i="86"/>
  <c r="P46" i="86"/>
  <c r="P54" i="86"/>
  <c r="P69" i="86"/>
  <c r="F5" i="85"/>
  <c r="P66" i="86"/>
  <c r="P57" i="86"/>
  <c r="P8" i="86"/>
  <c r="P89" i="86"/>
  <c r="P62" i="86"/>
  <c r="P70" i="86"/>
  <c r="P71" i="86"/>
  <c r="E5" i="85"/>
  <c r="P78" i="86"/>
  <c r="P17" i="86"/>
  <c r="P94" i="86"/>
  <c r="P28" i="86"/>
  <c r="P16" i="86"/>
  <c r="P84" i="86"/>
  <c r="P101" i="86"/>
  <c r="P12" i="86"/>
  <c r="P53" i="86"/>
  <c r="B5" i="85"/>
  <c r="C5" i="85" s="1"/>
  <c r="P43" i="86"/>
  <c r="P73" i="86"/>
  <c r="P20" i="86"/>
  <c r="P25" i="86"/>
  <c r="P26" i="86"/>
  <c r="P80" i="86"/>
  <c r="P2" i="86"/>
  <c r="P18" i="86"/>
  <c r="P30" i="86"/>
  <c r="P81" i="86"/>
  <c r="P58" i="86"/>
  <c r="P23" i="86"/>
  <c r="P103" i="86"/>
  <c r="P37" i="86"/>
  <c r="P39" i="86"/>
  <c r="P32" i="86"/>
  <c r="P55" i="86"/>
  <c r="P93" i="86"/>
  <c r="P15" i="86"/>
  <c r="P100" i="86"/>
  <c r="P50" i="86"/>
  <c r="P76" i="86"/>
  <c r="P104" i="86"/>
  <c r="P47" i="86"/>
  <c r="P48" i="86"/>
  <c r="P91" i="86"/>
  <c r="P92" i="86"/>
  <c r="P19" i="86"/>
  <c r="P51" i="86"/>
  <c r="P96" i="86"/>
  <c r="P3" i="86"/>
  <c r="P79" i="86"/>
  <c r="P40" i="86"/>
  <c r="P63" i="86"/>
  <c r="P75" i="86"/>
  <c r="P102" i="86"/>
  <c r="P21" i="86"/>
  <c r="P74" i="86"/>
  <c r="P31" i="86"/>
  <c r="P36" i="86"/>
  <c r="P27" i="86"/>
  <c r="P52" i="86"/>
  <c r="P4" i="86"/>
  <c r="P34" i="86"/>
  <c r="P5" i="86"/>
  <c r="P38" i="86"/>
  <c r="P35" i="86"/>
  <c r="P99" i="86"/>
  <c r="P68" i="86"/>
  <c r="P33" i="86"/>
  <c r="P41" i="86"/>
  <c r="P10" i="86"/>
  <c r="P97" i="86"/>
  <c r="P88" i="86"/>
  <c r="P7" i="86"/>
  <c r="P14" i="86"/>
  <c r="P59" i="86"/>
  <c r="P87" i="86"/>
  <c r="P72" i="86"/>
  <c r="P45" i="86"/>
  <c r="P77" i="86"/>
  <c r="P13" i="86"/>
  <c r="P82" i="86"/>
  <c r="P85" i="86"/>
  <c r="P56" i="86"/>
  <c r="P9" i="86"/>
  <c r="P90" i="86"/>
  <c r="P24" i="86"/>
  <c r="P29" i="86"/>
  <c r="A7" i="84"/>
  <c r="E7" i="84" s="1"/>
  <c r="G6" i="84"/>
  <c r="F6" i="84"/>
  <c r="C5" i="84"/>
  <c r="B6" i="84"/>
  <c r="D6" i="84" s="1"/>
  <c r="E236" i="51"/>
  <c r="N254" i="51"/>
  <c r="N255" i="51" s="1"/>
  <c r="B235" i="51"/>
  <c r="D254" i="51"/>
  <c r="D255" i="51" s="1"/>
  <c r="F254" i="51"/>
  <c r="F255" i="51" s="1"/>
  <c r="G236" i="51"/>
  <c r="T254" i="51"/>
  <c r="T255" i="51" s="1"/>
  <c r="Q236" i="51"/>
  <c r="U236" i="51"/>
  <c r="R254" i="51"/>
  <c r="R255" i="51" s="1"/>
  <c r="B263" i="51"/>
  <c r="H254" i="51"/>
  <c r="H255" i="51" s="1"/>
  <c r="M236" i="51"/>
  <c r="J254" i="51"/>
  <c r="J255" i="51" s="1"/>
  <c r="P254" i="51"/>
  <c r="P255" i="51" s="1"/>
  <c r="S236" i="51"/>
  <c r="K236" i="51"/>
  <c r="O236" i="51"/>
  <c r="I236" i="51"/>
  <c r="L254" i="51"/>
  <c r="L255" i="51" s="1"/>
  <c r="D283" i="41"/>
  <c r="D284" i="41" s="1"/>
  <c r="H283" i="41"/>
  <c r="H284" i="41" s="1"/>
  <c r="M265" i="41"/>
  <c r="G265" i="41"/>
  <c r="F283" i="41"/>
  <c r="F284" i="41" s="1"/>
  <c r="R283" i="41"/>
  <c r="R284" i="41" s="1"/>
  <c r="K265" i="41"/>
  <c r="J283" i="41"/>
  <c r="J284" i="41" s="1"/>
  <c r="L283" i="41"/>
  <c r="L284" i="41" s="1"/>
  <c r="S265" i="41"/>
  <c r="B264" i="41"/>
  <c r="Q265" i="41"/>
  <c r="I265" i="41"/>
  <c r="T283" i="41"/>
  <c r="T284" i="41" s="1"/>
  <c r="P283" i="41"/>
  <c r="P284" i="41" s="1"/>
  <c r="U265" i="41"/>
  <c r="O265" i="41"/>
  <c r="N283" i="41"/>
  <c r="N284" i="41" s="1"/>
  <c r="E265" i="41"/>
  <c r="O18" i="88"/>
  <c r="M71" i="88"/>
  <c r="O71" i="88" s="1"/>
  <c r="O16" i="88"/>
  <c r="O21" i="88"/>
  <c r="O19" i="88"/>
  <c r="O20" i="88"/>
  <c r="G7" i="78"/>
  <c r="O57" i="88"/>
  <c r="E7" i="78"/>
  <c r="C6" i="78"/>
  <c r="A8" i="78"/>
  <c r="G8" i="78" s="1"/>
  <c r="B7" i="78"/>
  <c r="D7" i="78" s="1"/>
  <c r="O59" i="88"/>
  <c r="O42" i="88"/>
  <c r="O61" i="88"/>
  <c r="M70" i="88"/>
  <c r="O70" i="88" s="1"/>
  <c r="O68" i="88"/>
  <c r="O69" i="88"/>
  <c r="N63" i="88"/>
  <c r="O63" i="88" s="1"/>
  <c r="B8" i="83"/>
  <c r="G8" i="83"/>
  <c r="E8" i="83"/>
  <c r="A9" i="83"/>
  <c r="O29" i="88"/>
  <c r="O32" i="88"/>
  <c r="O31" i="88"/>
  <c r="O30" i="88"/>
  <c r="O55" i="88"/>
  <c r="O56" i="88"/>
  <c r="O67" i="88"/>
  <c r="O54" i="88"/>
  <c r="C7" i="83"/>
  <c r="D7" i="83"/>
  <c r="O45" i="88"/>
  <c r="O46" i="88"/>
  <c r="O49" i="88"/>
  <c r="O52" i="88"/>
  <c r="O44" i="88"/>
  <c r="O12" i="88"/>
  <c r="O24" i="88"/>
  <c r="N60" i="88"/>
  <c r="O60" i="88" s="1"/>
  <c r="O13" i="88"/>
  <c r="O66" i="88"/>
  <c r="O11" i="88"/>
  <c r="O15" i="88"/>
  <c r="O14" i="88"/>
  <c r="O25" i="88"/>
  <c r="O27" i="88"/>
  <c r="O65" i="88"/>
  <c r="O26" i="88"/>
  <c r="O10" i="88"/>
  <c r="O8" i="88"/>
  <c r="O9" i="88"/>
  <c r="O5" i="88"/>
  <c r="O2" i="88"/>
  <c r="O4" i="88"/>
  <c r="O7" i="88"/>
  <c r="O6" i="88"/>
  <c r="BR140" i="52"/>
  <c r="BR110" i="52"/>
  <c r="BR110" i="58"/>
  <c r="BR200" i="52"/>
  <c r="BR80" i="52"/>
  <c r="BR140" i="59"/>
  <c r="BR50" i="52"/>
  <c r="BR260" i="52"/>
  <c r="BR260" i="59"/>
  <c r="BR20" i="52"/>
  <c r="BR290" i="58"/>
  <c r="BR200" i="58"/>
  <c r="BR230" i="58"/>
  <c r="BR50" i="58"/>
  <c r="BR230" i="52"/>
  <c r="BR20" i="58"/>
  <c r="P7" i="68" s="1"/>
  <c r="BR170" i="52"/>
  <c r="BR170" i="58"/>
  <c r="BR80" i="58"/>
  <c r="BR290" i="52"/>
  <c r="BR140" i="58"/>
  <c r="BR110" i="59"/>
  <c r="BR80" i="59"/>
  <c r="BR20" i="59"/>
  <c r="I7" i="69" s="1"/>
  <c r="BR50" i="59"/>
  <c r="BR290" i="59"/>
  <c r="BR170" i="59"/>
  <c r="BR200" i="59"/>
  <c r="BR230" i="59"/>
  <c r="BR260" i="58"/>
  <c r="BR230" i="53"/>
  <c r="BR260" i="55"/>
  <c r="BR170" i="55"/>
  <c r="BR230" i="55"/>
  <c r="BR170" i="57"/>
  <c r="BR200" i="55"/>
  <c r="E9" i="82"/>
  <c r="A10" i="82"/>
  <c r="B9" i="82"/>
  <c r="G9" i="82"/>
  <c r="F9" i="82"/>
  <c r="BR50" i="55"/>
  <c r="BR50" i="57"/>
  <c r="BR140" i="55"/>
  <c r="C8" i="82"/>
  <c r="D8" i="82"/>
  <c r="BR110" i="55"/>
  <c r="BR20" i="55"/>
  <c r="BR200" i="53"/>
  <c r="BR80" i="55"/>
  <c r="BR200" i="57"/>
  <c r="BR170" i="53"/>
  <c r="BR50" i="53"/>
  <c r="BR80" i="53"/>
  <c r="BR140" i="53"/>
  <c r="BR20" i="53"/>
  <c r="BR110" i="53"/>
  <c r="BR290" i="53"/>
  <c r="BR260" i="53"/>
  <c r="BR80" i="57"/>
  <c r="BR110" i="57"/>
  <c r="BR260" i="57"/>
  <c r="BR290" i="57"/>
  <c r="BR20" i="57"/>
  <c r="U265" i="50"/>
  <c r="B264" i="50"/>
  <c r="P283" i="50"/>
  <c r="P284" i="50" s="1"/>
  <c r="J283" i="50"/>
  <c r="J284" i="50" s="1"/>
  <c r="H283" i="50"/>
  <c r="H284" i="50" s="1"/>
  <c r="T283" i="50"/>
  <c r="T284" i="50" s="1"/>
  <c r="G265" i="50"/>
  <c r="K265" i="50"/>
  <c r="I265" i="50"/>
  <c r="R283" i="50"/>
  <c r="R284" i="50" s="1"/>
  <c r="N283" i="50"/>
  <c r="N284" i="50" s="1"/>
  <c r="L283" i="50"/>
  <c r="L284" i="50" s="1"/>
  <c r="S265" i="50"/>
  <c r="F283" i="50"/>
  <c r="F284" i="50" s="1"/>
  <c r="E265" i="50"/>
  <c r="Q265" i="50"/>
  <c r="O265" i="50"/>
  <c r="M265" i="50"/>
  <c r="D283" i="50"/>
  <c r="D284" i="50" s="1"/>
  <c r="BR230" i="57"/>
  <c r="BR140" i="57"/>
  <c r="BR290" i="55"/>
  <c r="D8" i="81" l="1"/>
  <c r="E9" i="81"/>
  <c r="F9" i="81"/>
  <c r="B9" i="81"/>
  <c r="D9" i="81" s="1"/>
  <c r="G9" i="81"/>
  <c r="C7" i="81"/>
  <c r="D7" i="81"/>
  <c r="A9" i="79"/>
  <c r="G9" i="79" s="1"/>
  <c r="G8" i="79"/>
  <c r="F8" i="79"/>
  <c r="B8" i="79"/>
  <c r="C8" i="79" s="1"/>
  <c r="O95" i="88"/>
  <c r="C7" i="80"/>
  <c r="E8" i="80"/>
  <c r="B8" i="80"/>
  <c r="D8" i="80" s="1"/>
  <c r="A9" i="80"/>
  <c r="E9" i="80" s="1"/>
  <c r="G8" i="80"/>
  <c r="O82" i="88"/>
  <c r="O94" i="88"/>
  <c r="O102" i="88"/>
  <c r="O77" i="88"/>
  <c r="O73" i="88"/>
  <c r="O75" i="88"/>
  <c r="O88" i="88"/>
  <c r="O96" i="88"/>
  <c r="O78" i="88"/>
  <c r="O98" i="88"/>
  <c r="O92" i="88"/>
  <c r="O79" i="88"/>
  <c r="O83" i="88"/>
  <c r="P56" i="87"/>
  <c r="O74" i="88"/>
  <c r="P104" i="87"/>
  <c r="O84" i="88"/>
  <c r="P29" i="87"/>
  <c r="P7" i="87"/>
  <c r="P40" i="87"/>
  <c r="O91" i="88"/>
  <c r="O87" i="88"/>
  <c r="P5" i="87"/>
  <c r="O101" i="88"/>
  <c r="P35" i="87"/>
  <c r="P79" i="87"/>
  <c r="P52" i="87"/>
  <c r="P94" i="87"/>
  <c r="P46" i="87"/>
  <c r="P22" i="87"/>
  <c r="P11" i="87"/>
  <c r="P72" i="87"/>
  <c r="P61" i="87"/>
  <c r="P26" i="87"/>
  <c r="P3" i="87"/>
  <c r="P89" i="87"/>
  <c r="P76" i="87"/>
  <c r="P42" i="87"/>
  <c r="P53" i="87"/>
  <c r="P39" i="87"/>
  <c r="P98" i="87"/>
  <c r="P63" i="87"/>
  <c r="P19" i="87"/>
  <c r="P60" i="87"/>
  <c r="P86" i="87"/>
  <c r="P93" i="87"/>
  <c r="P99" i="87"/>
  <c r="P18" i="87"/>
  <c r="P67" i="87"/>
  <c r="P68" i="87"/>
  <c r="P91" i="87"/>
  <c r="P10" i="87"/>
  <c r="P12" i="87"/>
  <c r="P59" i="87"/>
  <c r="P36" i="87"/>
  <c r="P51" i="87"/>
  <c r="P101" i="87"/>
  <c r="P45" i="87"/>
  <c r="P21" i="87"/>
  <c r="P92" i="87"/>
  <c r="P88" i="87"/>
  <c r="P9" i="87"/>
  <c r="P54" i="87"/>
  <c r="P57" i="87"/>
  <c r="P20" i="87"/>
  <c r="P84" i="87"/>
  <c r="P64" i="87"/>
  <c r="P100" i="87"/>
  <c r="P97" i="87"/>
  <c r="P102" i="87"/>
  <c r="P8" i="87"/>
  <c r="P2" i="87"/>
  <c r="P23" i="87"/>
  <c r="P47" i="87"/>
  <c r="O93" i="88"/>
  <c r="P17" i="87"/>
  <c r="P4" i="87"/>
  <c r="P34" i="87"/>
  <c r="P103" i="87"/>
  <c r="P73" i="87"/>
  <c r="P14" i="87"/>
  <c r="P66" i="87"/>
  <c r="P55" i="87"/>
  <c r="P58" i="87"/>
  <c r="P15" i="87"/>
  <c r="P6" i="87"/>
  <c r="P80" i="87"/>
  <c r="O99" i="88"/>
  <c r="P71" i="87"/>
  <c r="P25" i="87"/>
  <c r="P49" i="87"/>
  <c r="P44" i="87"/>
  <c r="P32" i="87"/>
  <c r="P78" i="87"/>
  <c r="P65" i="87"/>
  <c r="P85" i="87"/>
  <c r="P48" i="87"/>
  <c r="P27" i="87"/>
  <c r="P50" i="87"/>
  <c r="P82" i="87"/>
  <c r="P74" i="87"/>
  <c r="P81" i="87"/>
  <c r="P28" i="87"/>
  <c r="P24" i="87"/>
  <c r="P75" i="87"/>
  <c r="P13" i="87"/>
  <c r="P33" i="87"/>
  <c r="P96" i="87"/>
  <c r="P16" i="87"/>
  <c r="P77" i="87"/>
  <c r="P90" i="87"/>
  <c r="P38" i="87"/>
  <c r="P70" i="87"/>
  <c r="P62" i="87"/>
  <c r="P95" i="87"/>
  <c r="P83" i="87"/>
  <c r="P30" i="87"/>
  <c r="P43" i="87"/>
  <c r="P37" i="87"/>
  <c r="P41" i="87"/>
  <c r="P69" i="87"/>
  <c r="P31" i="87"/>
  <c r="P87" i="87"/>
  <c r="O103" i="88"/>
  <c r="O85" i="88"/>
  <c r="O80" i="88"/>
  <c r="O81" i="88"/>
  <c r="O89" i="88"/>
  <c r="O90" i="88"/>
  <c r="O104" i="88"/>
  <c r="O76" i="88"/>
  <c r="O100" i="88"/>
  <c r="O86" i="88"/>
  <c r="O97" i="88"/>
  <c r="E6" i="85"/>
  <c r="B6" i="85"/>
  <c r="D6" i="85" s="1"/>
  <c r="F6" i="85"/>
  <c r="A7" i="85"/>
  <c r="E7" i="85" s="1"/>
  <c r="D5" i="85"/>
  <c r="G7" i="84"/>
  <c r="F5" i="86"/>
  <c r="G5" i="86"/>
  <c r="A6" i="86"/>
  <c r="B6" i="86" s="1"/>
  <c r="C6" i="86" s="1"/>
  <c r="A8" i="84"/>
  <c r="A9" i="84" s="1"/>
  <c r="E9" i="84" s="1"/>
  <c r="F7" i="84"/>
  <c r="B5" i="86"/>
  <c r="C5" i="86" s="1"/>
  <c r="E5" i="86"/>
  <c r="B7" i="84"/>
  <c r="D7" i="84" s="1"/>
  <c r="C6" i="84"/>
  <c r="N283" i="51"/>
  <c r="N284" i="51" s="1"/>
  <c r="S265" i="51"/>
  <c r="I265" i="51"/>
  <c r="L283" i="51"/>
  <c r="L284" i="51" s="1"/>
  <c r="D283" i="51"/>
  <c r="D284" i="51" s="1"/>
  <c r="E265" i="51"/>
  <c r="Q265" i="51"/>
  <c r="M265" i="51"/>
  <c r="G265" i="51"/>
  <c r="F283" i="51"/>
  <c r="F284" i="51" s="1"/>
  <c r="B264" i="51"/>
  <c r="K265" i="51"/>
  <c r="O265" i="51"/>
  <c r="U265" i="51"/>
  <c r="R283" i="51"/>
  <c r="R284" i="51" s="1"/>
  <c r="P283" i="51"/>
  <c r="P284" i="51" s="1"/>
  <c r="T283" i="51"/>
  <c r="T284" i="51" s="1"/>
  <c r="J283" i="51"/>
  <c r="J284" i="51" s="1"/>
  <c r="H283" i="51"/>
  <c r="H284" i="51" s="1"/>
  <c r="C7" i="78"/>
  <c r="B8" i="78"/>
  <c r="D8" i="78" s="1"/>
  <c r="A9" i="78"/>
  <c r="B9" i="78" s="1"/>
  <c r="E8" i="78"/>
  <c r="F8" i="78"/>
  <c r="C8" i="83"/>
  <c r="D8" i="83"/>
  <c r="F9" i="83"/>
  <c r="A10" i="83"/>
  <c r="G9" i="83"/>
  <c r="B9" i="83"/>
  <c r="E9" i="83"/>
  <c r="N7" i="60"/>
  <c r="R7" i="60"/>
  <c r="C7" i="60"/>
  <c r="P7" i="60"/>
  <c r="B7" i="60"/>
  <c r="AE7" i="60" s="1"/>
  <c r="Q7" i="60"/>
  <c r="S7" i="60"/>
  <c r="F7" i="60"/>
  <c r="J7" i="60"/>
  <c r="M7" i="60"/>
  <c r="L7" i="60"/>
  <c r="H7" i="60"/>
  <c r="D7" i="60"/>
  <c r="I7" i="60"/>
  <c r="O7" i="60"/>
  <c r="G7" i="60"/>
  <c r="E7" i="60"/>
  <c r="K7" i="60"/>
  <c r="T7" i="60"/>
  <c r="P7" i="69"/>
  <c r="B16" i="69"/>
  <c r="AE16" i="69" s="1"/>
  <c r="N10" i="69"/>
  <c r="Q7" i="68"/>
  <c r="B14" i="69"/>
  <c r="AE14" i="69" s="1"/>
  <c r="D9" i="69"/>
  <c r="J7" i="68"/>
  <c r="L16" i="69"/>
  <c r="K7" i="68"/>
  <c r="G7" i="68"/>
  <c r="H7" i="68"/>
  <c r="N10" i="68"/>
  <c r="D15" i="60"/>
  <c r="I8" i="60"/>
  <c r="Q9" i="60"/>
  <c r="K13" i="60"/>
  <c r="P14" i="60"/>
  <c r="F16" i="60"/>
  <c r="M14" i="60"/>
  <c r="B11" i="60"/>
  <c r="AE11" i="60" s="1"/>
  <c r="E11" i="60"/>
  <c r="T12" i="60"/>
  <c r="D11" i="60"/>
  <c r="H12" i="60"/>
  <c r="H16" i="60"/>
  <c r="K9" i="60"/>
  <c r="I15" i="60"/>
  <c r="D10" i="60"/>
  <c r="P13" i="60"/>
  <c r="N16" i="60"/>
  <c r="B15" i="60"/>
  <c r="AE15" i="60" s="1"/>
  <c r="S11" i="60"/>
  <c r="M12" i="60"/>
  <c r="I10" i="60"/>
  <c r="S12" i="60"/>
  <c r="L15" i="60"/>
  <c r="D12" i="60"/>
  <c r="D9" i="60"/>
  <c r="L8" i="60"/>
  <c r="F14" i="60"/>
  <c r="L14" i="60"/>
  <c r="J16" i="60"/>
  <c r="T13" i="60"/>
  <c r="R11" i="60"/>
  <c r="B8" i="68"/>
  <c r="AE8" i="68" s="1"/>
  <c r="J9" i="60"/>
  <c r="K14" i="60"/>
  <c r="M8" i="60"/>
  <c r="O12" i="60"/>
  <c r="O11" i="60"/>
  <c r="I9" i="60"/>
  <c r="H13" i="60"/>
  <c r="H15" i="60"/>
  <c r="S16" i="60"/>
  <c r="T14" i="60"/>
  <c r="L12" i="60"/>
  <c r="S15" i="60"/>
  <c r="B14" i="60"/>
  <c r="AE14" i="60" s="1"/>
  <c r="Q10" i="60"/>
  <c r="B10" i="60"/>
  <c r="AE10" i="60" s="1"/>
  <c r="G15" i="60"/>
  <c r="D13" i="60"/>
  <c r="M13" i="60"/>
  <c r="N12" i="60"/>
  <c r="D14" i="60"/>
  <c r="R12" i="60"/>
  <c r="C10" i="60"/>
  <c r="P9" i="60"/>
  <c r="K15" i="60"/>
  <c r="J14" i="60"/>
  <c r="P12" i="60"/>
  <c r="O15" i="60"/>
  <c r="E15" i="60"/>
  <c r="M15" i="60"/>
  <c r="C12" i="60"/>
  <c r="O8" i="60"/>
  <c r="G16" i="60"/>
  <c r="J13" i="60"/>
  <c r="T9" i="60"/>
  <c r="J8" i="60"/>
  <c r="L9" i="60"/>
  <c r="F8" i="60"/>
  <c r="I12" i="60"/>
  <c r="C9" i="60"/>
  <c r="N14" i="60"/>
  <c r="R8" i="60"/>
  <c r="P16" i="60"/>
  <c r="H10" i="60"/>
  <c r="B8" i="60"/>
  <c r="AE8" i="60" s="1"/>
  <c r="K8" i="60"/>
  <c r="T15" i="60"/>
  <c r="H14" i="60"/>
  <c r="E14" i="60"/>
  <c r="R9" i="60"/>
  <c r="E8" i="60"/>
  <c r="B13" i="60"/>
  <c r="AE13" i="60" s="1"/>
  <c r="Q9" i="69"/>
  <c r="F15" i="60"/>
  <c r="Q13" i="60"/>
  <c r="Q11" i="60"/>
  <c r="T10" i="60"/>
  <c r="D16" i="60"/>
  <c r="G9" i="60"/>
  <c r="M9" i="60"/>
  <c r="C14" i="60"/>
  <c r="C16" i="60"/>
  <c r="H8" i="60"/>
  <c r="G10" i="60"/>
  <c r="L11" i="60"/>
  <c r="H11" i="60"/>
  <c r="P15" i="60"/>
  <c r="J10" i="60"/>
  <c r="N10" i="60"/>
  <c r="I13" i="60"/>
  <c r="I11" i="60"/>
  <c r="P10" i="60"/>
  <c r="R14" i="60"/>
  <c r="O10" i="60"/>
  <c r="R15" i="60"/>
  <c r="B12" i="60"/>
  <c r="AE12" i="60" s="1"/>
  <c r="O9" i="60"/>
  <c r="F10" i="60"/>
  <c r="P8" i="60"/>
  <c r="L13" i="60"/>
  <c r="R16" i="60"/>
  <c r="S14" i="60"/>
  <c r="H9" i="60"/>
  <c r="O13" i="60"/>
  <c r="Q12" i="60"/>
  <c r="T8" i="60"/>
  <c r="G13" i="60"/>
  <c r="N11" i="60"/>
  <c r="Q16" i="60"/>
  <c r="Q15" i="60"/>
  <c r="E16" i="60"/>
  <c r="G14" i="60"/>
  <c r="E10" i="60"/>
  <c r="S10" i="60"/>
  <c r="S9" i="60"/>
  <c r="B9" i="60"/>
  <c r="AE9" i="60" s="1"/>
  <c r="R8" i="68"/>
  <c r="G8" i="60"/>
  <c r="E9" i="60"/>
  <c r="N8" i="60"/>
  <c r="F12" i="60"/>
  <c r="J12" i="60"/>
  <c r="M16" i="60"/>
  <c r="Q8" i="60"/>
  <c r="K10" i="60"/>
  <c r="I14" i="60"/>
  <c r="E12" i="60"/>
  <c r="S8" i="60"/>
  <c r="L16" i="60"/>
  <c r="Q14" i="60"/>
  <c r="M10" i="60"/>
  <c r="N13" i="60"/>
  <c r="L10" i="60"/>
  <c r="K11" i="60"/>
  <c r="G11" i="60"/>
  <c r="D8" i="60"/>
  <c r="P11" i="60"/>
  <c r="N9" i="60"/>
  <c r="I16" i="60"/>
  <c r="C13" i="60"/>
  <c r="C11" i="60"/>
  <c r="M11" i="60"/>
  <c r="C15" i="60"/>
  <c r="T16" i="60"/>
  <c r="G12" i="60"/>
  <c r="N15" i="60"/>
  <c r="K16" i="60"/>
  <c r="J11" i="60"/>
  <c r="K12" i="60"/>
  <c r="F13" i="60"/>
  <c r="T11" i="60"/>
  <c r="O16" i="69"/>
  <c r="R10" i="60"/>
  <c r="O16" i="60"/>
  <c r="C8" i="60"/>
  <c r="F9" i="60"/>
  <c r="J15" i="60"/>
  <c r="R13" i="60"/>
  <c r="B16" i="60"/>
  <c r="AE16" i="60" s="1"/>
  <c r="O14" i="60"/>
  <c r="S13" i="60"/>
  <c r="E13" i="60"/>
  <c r="F11" i="60"/>
  <c r="H12" i="69"/>
  <c r="J9" i="68"/>
  <c r="P13" i="68"/>
  <c r="G12" i="68"/>
  <c r="J13" i="68"/>
  <c r="F13" i="68"/>
  <c r="N12" i="68"/>
  <c r="K9" i="68"/>
  <c r="B7" i="69"/>
  <c r="L12" i="68"/>
  <c r="F14" i="68"/>
  <c r="D11" i="68"/>
  <c r="S11" i="68"/>
  <c r="H16" i="68"/>
  <c r="R7" i="68"/>
  <c r="M7" i="68"/>
  <c r="I7" i="68"/>
  <c r="C7" i="68"/>
  <c r="D7" i="68"/>
  <c r="E7" i="68"/>
  <c r="F7" i="68"/>
  <c r="B7" i="68"/>
  <c r="S7" i="68"/>
  <c r="N7" i="68"/>
  <c r="L7" i="68"/>
  <c r="O7" i="68"/>
  <c r="T7" i="68"/>
  <c r="F16" i="69"/>
  <c r="I8" i="68"/>
  <c r="B9" i="68"/>
  <c r="AE9" i="68" s="1"/>
  <c r="B8" i="69"/>
  <c r="AE8" i="69" s="1"/>
  <c r="K12" i="68"/>
  <c r="E9" i="69"/>
  <c r="S8" i="69"/>
  <c r="R14" i="68"/>
  <c r="J15" i="68"/>
  <c r="B11" i="68"/>
  <c r="AE11" i="68" s="1"/>
  <c r="L11" i="68"/>
  <c r="L13" i="69"/>
  <c r="G13" i="68"/>
  <c r="R16" i="68"/>
  <c r="K8" i="68"/>
  <c r="F15" i="68"/>
  <c r="H7" i="69"/>
  <c r="T16" i="69"/>
  <c r="G15" i="69"/>
  <c r="G16" i="69"/>
  <c r="E16" i="68"/>
  <c r="N16" i="68"/>
  <c r="S8" i="68"/>
  <c r="N7" i="69"/>
  <c r="S10" i="69"/>
  <c r="I16" i="69"/>
  <c r="C11" i="69"/>
  <c r="P11" i="68"/>
  <c r="I13" i="68"/>
  <c r="I9" i="68"/>
  <c r="L9" i="69"/>
  <c r="B12" i="68"/>
  <c r="AE12" i="68" s="1"/>
  <c r="P15" i="69"/>
  <c r="E14" i="68"/>
  <c r="T8" i="68"/>
  <c r="H11" i="68"/>
  <c r="S15" i="68"/>
  <c r="K7" i="69"/>
  <c r="I8" i="69"/>
  <c r="Q16" i="69"/>
  <c r="Q15" i="68"/>
  <c r="B16" i="68"/>
  <c r="AE16" i="68" s="1"/>
  <c r="G15" i="68"/>
  <c r="M16" i="69"/>
  <c r="L8" i="68"/>
  <c r="S9" i="68"/>
  <c r="N9" i="69"/>
  <c r="H12" i="68"/>
  <c r="F8" i="68"/>
  <c r="M12" i="68"/>
  <c r="I10" i="69"/>
  <c r="L7" i="69"/>
  <c r="C9" i="69"/>
  <c r="N15" i="68"/>
  <c r="E11" i="68"/>
  <c r="R11" i="68"/>
  <c r="K14" i="68"/>
  <c r="E7" i="69"/>
  <c r="I13" i="69"/>
  <c r="Q14" i="68"/>
  <c r="I11" i="68"/>
  <c r="D15" i="68"/>
  <c r="P13" i="69"/>
  <c r="F14" i="69"/>
  <c r="J7" i="69"/>
  <c r="R10" i="68"/>
  <c r="O9" i="68"/>
  <c r="M15" i="68"/>
  <c r="R13" i="68"/>
  <c r="G16" i="68"/>
  <c r="H15" i="68"/>
  <c r="Q7" i="69"/>
  <c r="H10" i="68"/>
  <c r="J11" i="68"/>
  <c r="O15" i="68"/>
  <c r="C13" i="68"/>
  <c r="P10" i="68"/>
  <c r="M7" i="69"/>
  <c r="G11" i="69"/>
  <c r="B12" i="69"/>
  <c r="AE12" i="69" s="1"/>
  <c r="D7" i="69"/>
  <c r="D14" i="69"/>
  <c r="N14" i="69"/>
  <c r="I15" i="69"/>
  <c r="T7" i="69"/>
  <c r="Q10" i="69"/>
  <c r="K8" i="69"/>
  <c r="F11" i="69"/>
  <c r="E16" i="69"/>
  <c r="M10" i="69"/>
  <c r="O14" i="69"/>
  <c r="H8" i="69"/>
  <c r="J11" i="69"/>
  <c r="S14" i="69"/>
  <c r="L11" i="69"/>
  <c r="M14" i="69"/>
  <c r="L12" i="69"/>
  <c r="S7" i="69"/>
  <c r="M11" i="69"/>
  <c r="C8" i="69"/>
  <c r="H16" i="69"/>
  <c r="L14" i="69"/>
  <c r="S9" i="69"/>
  <c r="E15" i="69"/>
  <c r="C7" i="69"/>
  <c r="N8" i="69"/>
  <c r="H15" i="69"/>
  <c r="B15" i="69"/>
  <c r="AE15" i="69" s="1"/>
  <c r="E14" i="69"/>
  <c r="P8" i="69"/>
  <c r="B10" i="69"/>
  <c r="AE10" i="69" s="1"/>
  <c r="O7" i="69"/>
  <c r="P10" i="69"/>
  <c r="C14" i="69"/>
  <c r="N15" i="69"/>
  <c r="C10" i="69"/>
  <c r="F7" i="69"/>
  <c r="G14" i="69"/>
  <c r="M9" i="69"/>
  <c r="N11" i="69"/>
  <c r="R11" i="69"/>
  <c r="G13" i="69"/>
  <c r="K11" i="69"/>
  <c r="G7" i="69"/>
  <c r="D8" i="69"/>
  <c r="O15" i="69"/>
  <c r="C16" i="69"/>
  <c r="H9" i="69"/>
  <c r="B13" i="69"/>
  <c r="AE13" i="69" s="1"/>
  <c r="R7" i="69"/>
  <c r="K15" i="68"/>
  <c r="O8" i="69"/>
  <c r="R16" i="69"/>
  <c r="S11" i="69"/>
  <c r="E8" i="68"/>
  <c r="J12" i="69"/>
  <c r="N11" i="68"/>
  <c r="B10" i="68"/>
  <c r="AE10" i="68" s="1"/>
  <c r="P16" i="69"/>
  <c r="M10" i="68"/>
  <c r="L16" i="68"/>
  <c r="J10" i="69"/>
  <c r="C16" i="68"/>
  <c r="S14" i="68"/>
  <c r="C8" i="68"/>
  <c r="J8" i="68"/>
  <c r="J16" i="69"/>
  <c r="N8" i="68"/>
  <c r="O8" i="68"/>
  <c r="O9" i="69"/>
  <c r="L9" i="68"/>
  <c r="G8" i="69"/>
  <c r="G12" i="69"/>
  <c r="M15" i="69"/>
  <c r="B14" i="68"/>
  <c r="AE14" i="68" s="1"/>
  <c r="R9" i="69"/>
  <c r="T12" i="68"/>
  <c r="P8" i="68"/>
  <c r="J14" i="69"/>
  <c r="C15" i="68"/>
  <c r="T9" i="68"/>
  <c r="R15" i="69"/>
  <c r="J13" i="69"/>
  <c r="B15" i="68"/>
  <c r="AE15" i="68" s="1"/>
  <c r="I15" i="68"/>
  <c r="M13" i="68"/>
  <c r="B13" i="68"/>
  <c r="AE13" i="68" s="1"/>
  <c r="H13" i="68"/>
  <c r="L14" i="68"/>
  <c r="T9" i="69"/>
  <c r="T16" i="68"/>
  <c r="I14" i="69"/>
  <c r="P12" i="69"/>
  <c r="T14" i="69"/>
  <c r="O13" i="69"/>
  <c r="O12" i="68"/>
  <c r="I12" i="69"/>
  <c r="L15" i="68"/>
  <c r="T14" i="68"/>
  <c r="F10" i="69"/>
  <c r="M8" i="68"/>
  <c r="M11" i="68"/>
  <c r="G10" i="69"/>
  <c r="T13" i="69"/>
  <c r="H9" i="68"/>
  <c r="Q13" i="68"/>
  <c r="F11" i="68"/>
  <c r="O16" i="68"/>
  <c r="S13" i="68"/>
  <c r="C11" i="68"/>
  <c r="K16" i="69"/>
  <c r="K16" i="68"/>
  <c r="E12" i="69"/>
  <c r="E8" i="69"/>
  <c r="J15" i="69"/>
  <c r="B9" i="69"/>
  <c r="AE9" i="69" s="1"/>
  <c r="K10" i="68"/>
  <c r="E10" i="69"/>
  <c r="H8" i="68"/>
  <c r="N14" i="68"/>
  <c r="O11" i="69"/>
  <c r="E10" i="68"/>
  <c r="G9" i="68"/>
  <c r="L13" i="68"/>
  <c r="D15" i="69"/>
  <c r="C9" i="68"/>
  <c r="E12" i="68"/>
  <c r="S16" i="69"/>
  <c r="F10" i="68"/>
  <c r="S12" i="69"/>
  <c r="J16" i="68"/>
  <c r="I11" i="69"/>
  <c r="D11" i="69"/>
  <c r="O11" i="68"/>
  <c r="R8" i="69"/>
  <c r="H14" i="69"/>
  <c r="K12" i="69"/>
  <c r="K14" i="69"/>
  <c r="F15" i="69"/>
  <c r="I9" i="69"/>
  <c r="Q11" i="69"/>
  <c r="Q11" i="68"/>
  <c r="J10" i="68"/>
  <c r="J14" i="68"/>
  <c r="E13" i="69"/>
  <c r="C13" i="69"/>
  <c r="P15" i="68"/>
  <c r="T15" i="68"/>
  <c r="S16" i="68"/>
  <c r="H13" i="69"/>
  <c r="F13" i="69"/>
  <c r="P11" i="69"/>
  <c r="S15" i="69"/>
  <c r="P14" i="69"/>
  <c r="R12" i="69"/>
  <c r="E15" i="68"/>
  <c r="R14" i="69"/>
  <c r="F16" i="68"/>
  <c r="L10" i="69"/>
  <c r="E11" i="69"/>
  <c r="D10" i="69"/>
  <c r="Q10" i="68"/>
  <c r="O10" i="68"/>
  <c r="C10" i="68"/>
  <c r="D14" i="68"/>
  <c r="M14" i="68"/>
  <c r="T11" i="69"/>
  <c r="K13" i="68"/>
  <c r="E9" i="68"/>
  <c r="M13" i="69"/>
  <c r="B11" i="69"/>
  <c r="AE11" i="69" s="1"/>
  <c r="T13" i="68"/>
  <c r="O12" i="69"/>
  <c r="D13" i="69"/>
  <c r="I14" i="68"/>
  <c r="S13" i="69"/>
  <c r="K13" i="69"/>
  <c r="N13" i="69"/>
  <c r="M12" i="69"/>
  <c r="F8" i="69"/>
  <c r="G8" i="68"/>
  <c r="Q16" i="68"/>
  <c r="M9" i="68"/>
  <c r="T11" i="68"/>
  <c r="I16" i="68"/>
  <c r="C15" i="69"/>
  <c r="K11" i="68"/>
  <c r="E13" i="68"/>
  <c r="D16" i="69"/>
  <c r="D13" i="68"/>
  <c r="O14" i="68"/>
  <c r="P14" i="68"/>
  <c r="J9" i="69"/>
  <c r="N13" i="68"/>
  <c r="C12" i="69"/>
  <c r="T15" i="69"/>
  <c r="H11" i="69"/>
  <c r="Q8" i="69"/>
  <c r="T10" i="69"/>
  <c r="G9" i="69"/>
  <c r="D12" i="68"/>
  <c r="Q9" i="68"/>
  <c r="F12" i="68"/>
  <c r="D9" i="68"/>
  <c r="Q15" i="69"/>
  <c r="Q12" i="68"/>
  <c r="R15" i="68"/>
  <c r="R9" i="68"/>
  <c r="P9" i="68"/>
  <c r="P12" i="68"/>
  <c r="Q8" i="68"/>
  <c r="K15" i="69"/>
  <c r="C14" i="68"/>
  <c r="Q12" i="69"/>
  <c r="O10" i="69"/>
  <c r="M8" i="69"/>
  <c r="L8" i="69"/>
  <c r="K10" i="69"/>
  <c r="O13" i="68"/>
  <c r="D8" i="68"/>
  <c r="N12" i="69"/>
  <c r="J12" i="68"/>
  <c r="S10" i="68"/>
  <c r="I12" i="68"/>
  <c r="H14" i="68"/>
  <c r="R12" i="68"/>
  <c r="D16" i="68"/>
  <c r="M16" i="68"/>
  <c r="Q13" i="69"/>
  <c r="N9" i="68"/>
  <c r="Q14" i="69"/>
  <c r="F9" i="68"/>
  <c r="H10" i="69"/>
  <c r="F12" i="69"/>
  <c r="G10" i="68"/>
  <c r="K9" i="69"/>
  <c r="T8" i="69"/>
  <c r="P9" i="69"/>
  <c r="J8" i="69"/>
  <c r="R10" i="69"/>
  <c r="F9" i="69"/>
  <c r="P16" i="68"/>
  <c r="T10" i="68"/>
  <c r="C12" i="68"/>
  <c r="L15" i="69"/>
  <c r="G14" i="68"/>
  <c r="S12" i="68"/>
  <c r="D10" i="68"/>
  <c r="D12" i="69"/>
  <c r="I10" i="68"/>
  <c r="L10" i="68"/>
  <c r="R13" i="69"/>
  <c r="T12" i="69"/>
  <c r="N16" i="69"/>
  <c r="G11" i="68"/>
  <c r="D9" i="82"/>
  <c r="C9" i="82"/>
  <c r="B10" i="82"/>
  <c r="G10" i="82"/>
  <c r="E10" i="82"/>
  <c r="F10" i="82"/>
  <c r="A11" i="82"/>
  <c r="R11" i="70"/>
  <c r="I12" i="70"/>
  <c r="I8" i="70"/>
  <c r="M10" i="70"/>
  <c r="J9" i="70"/>
  <c r="D9" i="70"/>
  <c r="H9" i="70"/>
  <c r="I11" i="70"/>
  <c r="H16" i="70"/>
  <c r="S7" i="70"/>
  <c r="O8" i="70"/>
  <c r="M13" i="70"/>
  <c r="I14" i="70"/>
  <c r="K7" i="70"/>
  <c r="Q8" i="70"/>
  <c r="J7" i="70"/>
  <c r="S10" i="70"/>
  <c r="J12" i="70"/>
  <c r="L7" i="70"/>
  <c r="S8" i="70"/>
  <c r="P14" i="70"/>
  <c r="J14" i="70"/>
  <c r="I10" i="70"/>
  <c r="P8" i="70"/>
  <c r="D15" i="70"/>
  <c r="L13" i="70"/>
  <c r="F10" i="70"/>
  <c r="B15" i="70"/>
  <c r="L11" i="70"/>
  <c r="D14" i="70"/>
  <c r="H11" i="70"/>
  <c r="L9" i="70"/>
  <c r="T8" i="70"/>
  <c r="R16" i="70"/>
  <c r="B9" i="70"/>
  <c r="H13" i="70"/>
  <c r="E15" i="70"/>
  <c r="K15" i="70"/>
  <c r="T14" i="70"/>
  <c r="O14" i="70"/>
  <c r="C11" i="70"/>
  <c r="B12" i="70"/>
  <c r="J11" i="70"/>
  <c r="T16" i="70"/>
  <c r="E8" i="70"/>
  <c r="C7" i="70"/>
  <c r="Q11" i="70"/>
  <c r="R8" i="70"/>
  <c r="D10" i="70"/>
  <c r="H8" i="70"/>
  <c r="M8" i="70"/>
  <c r="G16" i="70"/>
  <c r="C10" i="70"/>
  <c r="R7" i="70"/>
  <c r="J13" i="70"/>
  <c r="B7" i="70"/>
  <c r="P13" i="70"/>
  <c r="T15" i="70"/>
  <c r="G14" i="70"/>
  <c r="S15" i="70"/>
  <c r="Q15" i="70"/>
  <c r="B13" i="70"/>
  <c r="G12" i="70"/>
  <c r="M9" i="70"/>
  <c r="K13" i="70"/>
  <c r="C8" i="70"/>
  <c r="G11" i="70"/>
  <c r="E10" i="70"/>
  <c r="Q7" i="70"/>
  <c r="N16" i="70"/>
  <c r="J8" i="70"/>
  <c r="N12" i="70"/>
  <c r="T9" i="70"/>
  <c r="K14" i="70"/>
  <c r="K11" i="70"/>
  <c r="P10" i="70"/>
  <c r="N14" i="70"/>
  <c r="F15" i="70"/>
  <c r="D13" i="70"/>
  <c r="F12" i="70"/>
  <c r="N9" i="70"/>
  <c r="F14" i="70"/>
  <c r="J10" i="70"/>
  <c r="C12" i="70"/>
  <c r="H7" i="70"/>
  <c r="L10" i="70"/>
  <c r="B11" i="70"/>
  <c r="Q9" i="70"/>
  <c r="S11" i="70"/>
  <c r="G8" i="70"/>
  <c r="S13" i="70"/>
  <c r="L14" i="70"/>
  <c r="C16" i="70"/>
  <c r="M15" i="70"/>
  <c r="Q14" i="70"/>
  <c r="T10" i="70"/>
  <c r="M14" i="70"/>
  <c r="Q10" i="70"/>
  <c r="I16" i="70"/>
  <c r="H12" i="70"/>
  <c r="R12" i="70"/>
  <c r="F9" i="70"/>
  <c r="O7" i="70"/>
  <c r="L8" i="70"/>
  <c r="I7" i="70"/>
  <c r="O15" i="70"/>
  <c r="F7" i="70"/>
  <c r="H14" i="70"/>
  <c r="R9" i="70"/>
  <c r="E13" i="70"/>
  <c r="O12" i="70"/>
  <c r="M12" i="70"/>
  <c r="M7" i="70"/>
  <c r="G9" i="70"/>
  <c r="F13" i="70"/>
  <c r="P16" i="70"/>
  <c r="N10" i="70"/>
  <c r="T11" i="70"/>
  <c r="I9" i="70"/>
  <c r="L15" i="70"/>
  <c r="H10" i="70"/>
  <c r="O13" i="70"/>
  <c r="P9" i="70"/>
  <c r="F11" i="70"/>
  <c r="O16" i="70"/>
  <c r="T12" i="70"/>
  <c r="S9" i="70"/>
  <c r="M16" i="70"/>
  <c r="R13" i="70"/>
  <c r="B8" i="70"/>
  <c r="K8" i="70"/>
  <c r="M11" i="70"/>
  <c r="I15" i="70"/>
  <c r="K9" i="70"/>
  <c r="L16" i="70"/>
  <c r="E7" i="70"/>
  <c r="K12" i="70"/>
  <c r="F16" i="70"/>
  <c r="N11" i="70"/>
  <c r="H15" i="70"/>
  <c r="N13" i="70"/>
  <c r="F8" i="70"/>
  <c r="K10" i="70"/>
  <c r="B16" i="70"/>
  <c r="T7" i="70"/>
  <c r="R15" i="70"/>
  <c r="S14" i="70"/>
  <c r="C15" i="70"/>
  <c r="E16" i="70"/>
  <c r="L12" i="70"/>
  <c r="N8" i="70"/>
  <c r="K16" i="70"/>
  <c r="Q12" i="70"/>
  <c r="E14" i="70"/>
  <c r="I13" i="70"/>
  <c r="O10" i="70"/>
  <c r="C13" i="70"/>
  <c r="N7" i="70"/>
  <c r="D7" i="70"/>
  <c r="D16" i="70"/>
  <c r="E9" i="70"/>
  <c r="P15" i="70"/>
  <c r="B14" i="70"/>
  <c r="G15" i="70"/>
  <c r="B10" i="70"/>
  <c r="C9" i="70"/>
  <c r="D8" i="70"/>
  <c r="O11" i="70"/>
  <c r="P11" i="70"/>
  <c r="T13" i="70"/>
  <c r="S12" i="70"/>
  <c r="Q13" i="70"/>
  <c r="R14" i="70"/>
  <c r="G10" i="70"/>
  <c r="C14" i="70"/>
  <c r="J16" i="70"/>
  <c r="N15" i="70"/>
  <c r="R10" i="70"/>
  <c r="P7" i="70"/>
  <c r="G13" i="70"/>
  <c r="J15" i="70"/>
  <c r="D11" i="70"/>
  <c r="E11" i="70"/>
  <c r="E12" i="70"/>
  <c r="Q16" i="70"/>
  <c r="D12" i="70"/>
  <c r="P12" i="70"/>
  <c r="O9" i="70"/>
  <c r="S16" i="70"/>
  <c r="G7" i="70"/>
  <c r="K10" i="63"/>
  <c r="M11" i="63"/>
  <c r="E12" i="63"/>
  <c r="J9" i="63"/>
  <c r="G8" i="63"/>
  <c r="T13" i="63"/>
  <c r="H13" i="63"/>
  <c r="H8" i="63"/>
  <c r="J7" i="63"/>
  <c r="I16" i="63"/>
  <c r="S13" i="63"/>
  <c r="L15" i="63"/>
  <c r="E10" i="63"/>
  <c r="S10" i="63"/>
  <c r="S14" i="63"/>
  <c r="K16" i="63"/>
  <c r="Q12" i="63"/>
  <c r="S8" i="63"/>
  <c r="G16" i="63"/>
  <c r="C15" i="63"/>
  <c r="E13" i="63"/>
  <c r="G15" i="63"/>
  <c r="M14" i="63"/>
  <c r="D15" i="63"/>
  <c r="R7" i="63"/>
  <c r="I15" i="63"/>
  <c r="S11" i="63"/>
  <c r="O16" i="63"/>
  <c r="F15" i="63"/>
  <c r="C13" i="63"/>
  <c r="M7" i="63"/>
  <c r="Q15" i="63"/>
  <c r="B14" i="63"/>
  <c r="L16" i="63"/>
  <c r="I12" i="63"/>
  <c r="P7" i="63"/>
  <c r="L8" i="63"/>
  <c r="E14" i="63"/>
  <c r="L10" i="63"/>
  <c r="K9" i="63"/>
  <c r="R10" i="63"/>
  <c r="O14" i="63"/>
  <c r="R9" i="63"/>
  <c r="J16" i="63"/>
  <c r="T16" i="63"/>
  <c r="M15" i="63"/>
  <c r="K13" i="63"/>
  <c r="D14" i="63"/>
  <c r="L9" i="63"/>
  <c r="G9" i="63"/>
  <c r="M10" i="63"/>
  <c r="S9" i="63"/>
  <c r="P8" i="63"/>
  <c r="Q11" i="63"/>
  <c r="R15" i="63"/>
  <c r="T14" i="63"/>
  <c r="K12" i="63"/>
  <c r="C10" i="63"/>
  <c r="I9" i="63"/>
  <c r="D10" i="63"/>
  <c r="O8" i="63"/>
  <c r="N9" i="63"/>
  <c r="T8" i="63"/>
  <c r="K7" i="63"/>
  <c r="O12" i="63"/>
  <c r="B11" i="63"/>
  <c r="Q7" i="63"/>
  <c r="F13" i="63"/>
  <c r="T12" i="63"/>
  <c r="N11" i="63"/>
  <c r="Q13" i="63"/>
  <c r="B8" i="63"/>
  <c r="G7" i="63"/>
  <c r="J12" i="63"/>
  <c r="C7" i="63"/>
  <c r="L7" i="63"/>
  <c r="J11" i="63"/>
  <c r="C8" i="63"/>
  <c r="K11" i="63"/>
  <c r="D11" i="63"/>
  <c r="N7" i="63"/>
  <c r="B7" i="63"/>
  <c r="O9" i="63"/>
  <c r="H10" i="63"/>
  <c r="E9" i="63"/>
  <c r="O10" i="63"/>
  <c r="H9" i="63"/>
  <c r="R8" i="63"/>
  <c r="E8" i="63"/>
  <c r="B12" i="63"/>
  <c r="C14" i="63"/>
  <c r="Q14" i="63"/>
  <c r="P10" i="63"/>
  <c r="J13" i="63"/>
  <c r="D12" i="63"/>
  <c r="G12" i="63"/>
  <c r="F9" i="63"/>
  <c r="L11" i="63"/>
  <c r="H12" i="63"/>
  <c r="L14" i="63"/>
  <c r="L13" i="63"/>
  <c r="I8" i="63"/>
  <c r="M9" i="63"/>
  <c r="O11" i="63"/>
  <c r="J14" i="63"/>
  <c r="L12" i="63"/>
  <c r="D8" i="63"/>
  <c r="K14" i="63"/>
  <c r="Q16" i="63"/>
  <c r="T11" i="63"/>
  <c r="F14" i="63"/>
  <c r="B16" i="63"/>
  <c r="F11" i="63"/>
  <c r="F12" i="63"/>
  <c r="F7" i="63"/>
  <c r="R11" i="63"/>
  <c r="P16" i="63"/>
  <c r="K15" i="63"/>
  <c r="E11" i="63"/>
  <c r="J8" i="63"/>
  <c r="D13" i="63"/>
  <c r="B13" i="63"/>
  <c r="B9" i="63"/>
  <c r="R12" i="63"/>
  <c r="F8" i="63"/>
  <c r="R16" i="63"/>
  <c r="G13" i="63"/>
  <c r="C12" i="63"/>
  <c r="G10" i="63"/>
  <c r="H15" i="63"/>
  <c r="N14" i="63"/>
  <c r="I14" i="63"/>
  <c r="N15" i="63"/>
  <c r="B10" i="63"/>
  <c r="J15" i="63"/>
  <c r="R13" i="63"/>
  <c r="C9" i="63"/>
  <c r="P11" i="63"/>
  <c r="E7" i="63"/>
  <c r="M8" i="63"/>
  <c r="H7" i="63"/>
  <c r="C11" i="63"/>
  <c r="E16" i="63"/>
  <c r="P15" i="63"/>
  <c r="I13" i="63"/>
  <c r="H16" i="63"/>
  <c r="D9" i="63"/>
  <c r="M13" i="63"/>
  <c r="D16" i="63"/>
  <c r="E15" i="63"/>
  <c r="G14" i="63"/>
  <c r="M16" i="63"/>
  <c r="B15" i="63"/>
  <c r="R14" i="63"/>
  <c r="C16" i="63"/>
  <c r="S15" i="63"/>
  <c r="P12" i="63"/>
  <c r="G11" i="63"/>
  <c r="T7" i="63"/>
  <c r="I7" i="63"/>
  <c r="S16" i="63"/>
  <c r="P13" i="63"/>
  <c r="T10" i="63"/>
  <c r="P14" i="63"/>
  <c r="T15" i="63"/>
  <c r="N8" i="63"/>
  <c r="P9" i="63"/>
  <c r="D7" i="63"/>
  <c r="S7" i="63"/>
  <c r="J10" i="63"/>
  <c r="S12" i="63"/>
  <c r="I11" i="63"/>
  <c r="K8" i="63"/>
  <c r="M12" i="63"/>
  <c r="Q8" i="63"/>
  <c r="N12" i="63"/>
  <c r="O15" i="63"/>
  <c r="Q9" i="63"/>
  <c r="N10" i="63"/>
  <c r="F10" i="63"/>
  <c r="H11" i="63"/>
  <c r="Q10" i="63"/>
  <c r="T9" i="63"/>
  <c r="H14" i="63"/>
  <c r="N13" i="63"/>
  <c r="N16" i="63"/>
  <c r="I10" i="63"/>
  <c r="O7" i="63"/>
  <c r="O13" i="63"/>
  <c r="F16" i="63"/>
  <c r="R14" i="66"/>
  <c r="K14" i="66"/>
  <c r="D16" i="66"/>
  <c r="S15" i="66"/>
  <c r="B12" i="66"/>
  <c r="Q13" i="66"/>
  <c r="D14" i="66"/>
  <c r="O12" i="66"/>
  <c r="E15" i="66"/>
  <c r="R11" i="66"/>
  <c r="R8" i="66"/>
  <c r="F16" i="66"/>
  <c r="S14" i="66"/>
  <c r="L14" i="66"/>
  <c r="G11" i="66"/>
  <c r="T8" i="66"/>
  <c r="N11" i="66"/>
  <c r="R12" i="66"/>
  <c r="E8" i="66"/>
  <c r="J12" i="66"/>
  <c r="J14" i="66"/>
  <c r="E7" i="66"/>
  <c r="T11" i="66"/>
  <c r="B9" i="66"/>
  <c r="I16" i="66"/>
  <c r="O10" i="66"/>
  <c r="N16" i="66"/>
  <c r="S16" i="66"/>
  <c r="G16" i="66"/>
  <c r="E16" i="66"/>
  <c r="M12" i="66"/>
  <c r="H13" i="66"/>
  <c r="J13" i="66"/>
  <c r="I9" i="66"/>
  <c r="H14" i="66"/>
  <c r="R9" i="66"/>
  <c r="J10" i="66"/>
  <c r="H11" i="66"/>
  <c r="C10" i="66"/>
  <c r="H16" i="66"/>
  <c r="M16" i="66"/>
  <c r="D12" i="66"/>
  <c r="P10" i="66"/>
  <c r="J7" i="66"/>
  <c r="N7" i="66"/>
  <c r="O16" i="66"/>
  <c r="C9" i="66"/>
  <c r="I12" i="66"/>
  <c r="G10" i="66"/>
  <c r="I11" i="66"/>
  <c r="L8" i="66"/>
  <c r="F10" i="66"/>
  <c r="N10" i="66"/>
  <c r="K11" i="66"/>
  <c r="M9" i="66"/>
  <c r="T15" i="66"/>
  <c r="F7" i="66"/>
  <c r="M11" i="66"/>
  <c r="M13" i="66"/>
  <c r="O8" i="66"/>
  <c r="K15" i="66"/>
  <c r="M7" i="66"/>
  <c r="M15" i="66"/>
  <c r="S12" i="66"/>
  <c r="D8" i="66"/>
  <c r="K12" i="66"/>
  <c r="D9" i="66"/>
  <c r="L12" i="66"/>
  <c r="O14" i="66"/>
  <c r="G12" i="66"/>
  <c r="H12" i="66"/>
  <c r="L11" i="66"/>
  <c r="H8" i="66"/>
  <c r="E12" i="66"/>
  <c r="G8" i="66"/>
  <c r="R13" i="66"/>
  <c r="I14" i="66"/>
  <c r="Q16" i="66"/>
  <c r="N12" i="66"/>
  <c r="M8" i="66"/>
  <c r="Q14" i="66"/>
  <c r="S11" i="66"/>
  <c r="S8" i="66"/>
  <c r="G15" i="66"/>
  <c r="C12" i="66"/>
  <c r="C13" i="66"/>
  <c r="E11" i="66"/>
  <c r="F15" i="66"/>
  <c r="N13" i="66"/>
  <c r="R7" i="66"/>
  <c r="D11" i="66"/>
  <c r="G14" i="66"/>
  <c r="E14" i="66"/>
  <c r="K8" i="66"/>
  <c r="T13" i="66"/>
  <c r="H9" i="66"/>
  <c r="F9" i="66"/>
  <c r="J16" i="66"/>
  <c r="L15" i="66"/>
  <c r="B16" i="66"/>
  <c r="Q8" i="66"/>
  <c r="T14" i="66"/>
  <c r="I8" i="66"/>
  <c r="B14" i="66"/>
  <c r="F14" i="66"/>
  <c r="Q9" i="66"/>
  <c r="S7" i="66"/>
  <c r="P9" i="66"/>
  <c r="C11" i="66"/>
  <c r="I15" i="66"/>
  <c r="S13" i="66"/>
  <c r="L13" i="66"/>
  <c r="Q7" i="66"/>
  <c r="I10" i="66"/>
  <c r="O15" i="66"/>
  <c r="C15" i="66"/>
  <c r="C14" i="66"/>
  <c r="B11" i="66"/>
  <c r="F13" i="66"/>
  <c r="N14" i="66"/>
  <c r="T12" i="66"/>
  <c r="B10" i="66"/>
  <c r="F8" i="66"/>
  <c r="G13" i="66"/>
  <c r="C8" i="66"/>
  <c r="P11" i="66"/>
  <c r="K16" i="66"/>
  <c r="P14" i="66"/>
  <c r="C16" i="66"/>
  <c r="H15" i="66"/>
  <c r="L7" i="66"/>
  <c r="E13" i="66"/>
  <c r="O13" i="66"/>
  <c r="Q10" i="66"/>
  <c r="L10" i="66"/>
  <c r="D15" i="66"/>
  <c r="J15" i="66"/>
  <c r="B13" i="66"/>
  <c r="Q11" i="66"/>
  <c r="P8" i="66"/>
  <c r="K9" i="66"/>
  <c r="G7" i="66"/>
  <c r="Q15" i="66"/>
  <c r="O7" i="66"/>
  <c r="T9" i="66"/>
  <c r="J11" i="66"/>
  <c r="B7" i="66"/>
  <c r="E9" i="66"/>
  <c r="J8" i="66"/>
  <c r="I7" i="66"/>
  <c r="C7" i="66"/>
  <c r="M10" i="66"/>
  <c r="K10" i="66"/>
  <c r="N15" i="66"/>
  <c r="L9" i="66"/>
  <c r="N9" i="66"/>
  <c r="T16" i="66"/>
  <c r="F11" i="66"/>
  <c r="P7" i="66"/>
  <c r="O9" i="66"/>
  <c r="R15" i="66"/>
  <c r="Q12" i="66"/>
  <c r="E10" i="66"/>
  <c r="P13" i="66"/>
  <c r="D7" i="66"/>
  <c r="P15" i="66"/>
  <c r="I13" i="66"/>
  <c r="S10" i="66"/>
  <c r="R10" i="66"/>
  <c r="L16" i="66"/>
  <c r="S9" i="66"/>
  <c r="P16" i="66"/>
  <c r="N8" i="66"/>
  <c r="T10" i="66"/>
  <c r="G9" i="66"/>
  <c r="D13" i="66"/>
  <c r="B15" i="66"/>
  <c r="M14" i="66"/>
  <c r="O11" i="66"/>
  <c r="B8" i="66"/>
  <c r="K13" i="66"/>
  <c r="D10" i="66"/>
  <c r="T7" i="66"/>
  <c r="K7" i="66"/>
  <c r="F12" i="66"/>
  <c r="J9" i="66"/>
  <c r="R16" i="66"/>
  <c r="H10" i="66"/>
  <c r="P12" i="66"/>
  <c r="H7" i="66"/>
  <c r="B10" i="81"/>
  <c r="F10" i="81"/>
  <c r="E10" i="81"/>
  <c r="A11" i="81"/>
  <c r="G10" i="81"/>
  <c r="C9" i="81" l="1"/>
  <c r="A10" i="79"/>
  <c r="B10" i="79" s="1"/>
  <c r="D10" i="79" s="1"/>
  <c r="F9" i="79"/>
  <c r="E9" i="79"/>
  <c r="B9" i="79"/>
  <c r="D9" i="79" s="1"/>
  <c r="D8" i="79"/>
  <c r="F9" i="78"/>
  <c r="E9" i="78"/>
  <c r="G9" i="78"/>
  <c r="G9" i="80"/>
  <c r="B9" i="80"/>
  <c r="F9" i="80"/>
  <c r="A10" i="80"/>
  <c r="B10" i="80" s="1"/>
  <c r="C10" i="80" s="1"/>
  <c r="C8" i="80"/>
  <c r="P11" i="88"/>
  <c r="B5" i="87"/>
  <c r="D5" i="87" s="1"/>
  <c r="P17" i="88"/>
  <c r="P47" i="88"/>
  <c r="P74" i="88"/>
  <c r="P69" i="88"/>
  <c r="P28" i="88"/>
  <c r="P24" i="88"/>
  <c r="G5" i="87"/>
  <c r="P27" i="88"/>
  <c r="P57" i="88"/>
  <c r="P66" i="88"/>
  <c r="P6" i="88"/>
  <c r="P59" i="88"/>
  <c r="P26" i="88"/>
  <c r="P82" i="88"/>
  <c r="P4" i="88"/>
  <c r="P2" i="88"/>
  <c r="P100" i="88"/>
  <c r="P38" i="88"/>
  <c r="P16" i="88"/>
  <c r="P42" i="88"/>
  <c r="P79" i="88"/>
  <c r="P5" i="88"/>
  <c r="P65" i="88"/>
  <c r="P68" i="88"/>
  <c r="P33" i="88"/>
  <c r="P97" i="88"/>
  <c r="P48" i="88"/>
  <c r="P3" i="88"/>
  <c r="P44" i="88"/>
  <c r="P92" i="88"/>
  <c r="P67" i="88"/>
  <c r="P36" i="88"/>
  <c r="P29" i="88"/>
  <c r="P81" i="88"/>
  <c r="P30" i="88"/>
  <c r="P37" i="88"/>
  <c r="P32" i="88"/>
  <c r="P18" i="88"/>
  <c r="P75" i="88"/>
  <c r="P13" i="88"/>
  <c r="P58" i="88"/>
  <c r="P96" i="88"/>
  <c r="P56" i="88"/>
  <c r="P20" i="88"/>
  <c r="P98" i="88"/>
  <c r="P23" i="88"/>
  <c r="P104" i="88"/>
  <c r="P101" i="88"/>
  <c r="P41" i="88"/>
  <c r="P15" i="88"/>
  <c r="P78" i="88"/>
  <c r="P73" i="88"/>
  <c r="P90" i="88"/>
  <c r="P54" i="88"/>
  <c r="P14" i="88"/>
  <c r="P34" i="88"/>
  <c r="P99" i="88"/>
  <c r="P95" i="88"/>
  <c r="P72" i="88"/>
  <c r="P63" i="88"/>
  <c r="P8" i="88"/>
  <c r="P19" i="88"/>
  <c r="P52" i="88"/>
  <c r="P80" i="88"/>
  <c r="P103" i="88"/>
  <c r="P91" i="88"/>
  <c r="P50" i="88"/>
  <c r="P86" i="88"/>
  <c r="P51" i="88"/>
  <c r="P70" i="88"/>
  <c r="P55" i="88"/>
  <c r="P39" i="88"/>
  <c r="A6" i="87"/>
  <c r="F6" i="87" s="1"/>
  <c r="P62" i="88"/>
  <c r="P84" i="88"/>
  <c r="P21" i="88"/>
  <c r="P76" i="88"/>
  <c r="P53" i="88"/>
  <c r="P77" i="88"/>
  <c r="P45" i="88"/>
  <c r="P60" i="88"/>
  <c r="E5" i="87"/>
  <c r="P31" i="88"/>
  <c r="P85" i="88"/>
  <c r="P71" i="88"/>
  <c r="P61" i="88"/>
  <c r="P35" i="88"/>
  <c r="P43" i="88"/>
  <c r="P64" i="88"/>
  <c r="P102" i="88"/>
  <c r="F5" i="87"/>
  <c r="P9" i="88"/>
  <c r="P10" i="88"/>
  <c r="P87" i="88"/>
  <c r="P25" i="88"/>
  <c r="P93" i="88"/>
  <c r="P94" i="88"/>
  <c r="P7" i="88"/>
  <c r="P88" i="88"/>
  <c r="P49" i="88"/>
  <c r="P22" i="88"/>
  <c r="P83" i="88"/>
  <c r="P46" i="88"/>
  <c r="P12" i="88"/>
  <c r="P89" i="88"/>
  <c r="P40" i="88"/>
  <c r="A10" i="78"/>
  <c r="A11" i="78" s="1"/>
  <c r="A10" i="84"/>
  <c r="E10" i="84" s="1"/>
  <c r="B9" i="84"/>
  <c r="D9" i="84" s="1"/>
  <c r="G8" i="84"/>
  <c r="C6" i="85"/>
  <c r="D6" i="86"/>
  <c r="G7" i="85"/>
  <c r="B7" i="85"/>
  <c r="D7" i="85" s="1"/>
  <c r="F8" i="84"/>
  <c r="A8" i="85"/>
  <c r="G8" i="85" s="1"/>
  <c r="F7" i="85"/>
  <c r="E8" i="84"/>
  <c r="G9" i="84"/>
  <c r="F9" i="84"/>
  <c r="F6" i="86"/>
  <c r="D5" i="86"/>
  <c r="A7" i="86"/>
  <c r="E7" i="86" s="1"/>
  <c r="E6" i="86"/>
  <c r="G6" i="86"/>
  <c r="B8" i="84"/>
  <c r="D8" i="84" s="1"/>
  <c r="C7" i="84"/>
  <c r="C8" i="78"/>
  <c r="D9" i="83"/>
  <c r="C9" i="83"/>
  <c r="F10" i="83"/>
  <c r="E10" i="83"/>
  <c r="A11" i="83"/>
  <c r="G10" i="83"/>
  <c r="B10" i="83"/>
  <c r="U7" i="60"/>
  <c r="W7" i="60" s="1"/>
  <c r="U9" i="60"/>
  <c r="W9" i="60" s="1"/>
  <c r="V7" i="60"/>
  <c r="V14" i="60"/>
  <c r="U15" i="68"/>
  <c r="W15" i="68" s="1"/>
  <c r="V9" i="60"/>
  <c r="V11" i="68"/>
  <c r="AB11" i="68" s="1"/>
  <c r="V12" i="60"/>
  <c r="U8" i="60"/>
  <c r="W8" i="60" s="1"/>
  <c r="U13" i="60"/>
  <c r="W13" i="60" s="1"/>
  <c r="V15" i="60"/>
  <c r="V8" i="60"/>
  <c r="U11" i="60"/>
  <c r="W11" i="60" s="1"/>
  <c r="U10" i="60"/>
  <c r="W10" i="60" s="1"/>
  <c r="U14" i="69"/>
  <c r="W14" i="69" s="1"/>
  <c r="U12" i="60"/>
  <c r="W12" i="60" s="1"/>
  <c r="V10" i="60"/>
  <c r="V16" i="60"/>
  <c r="V11" i="60"/>
  <c r="U14" i="60"/>
  <c r="W14" i="60" s="1"/>
  <c r="U16" i="60"/>
  <c r="W16" i="60" s="1"/>
  <c r="U15" i="60"/>
  <c r="W15" i="60" s="1"/>
  <c r="V13" i="60"/>
  <c r="V7" i="69"/>
  <c r="V7" i="68"/>
  <c r="U12" i="68"/>
  <c r="W12" i="68" s="1"/>
  <c r="V13" i="68"/>
  <c r="AB13" i="68" s="1"/>
  <c r="U10" i="68"/>
  <c r="W10" i="68" s="1"/>
  <c r="V9" i="69"/>
  <c r="AB9" i="69" s="1"/>
  <c r="V16" i="69"/>
  <c r="AB16" i="69" s="1"/>
  <c r="U8" i="68"/>
  <c r="W8" i="68" s="1"/>
  <c r="U11" i="68"/>
  <c r="W11" i="68" s="1"/>
  <c r="U7" i="68"/>
  <c r="W7" i="68" s="1"/>
  <c r="U16" i="69"/>
  <c r="W16" i="69" s="1"/>
  <c r="U9" i="69"/>
  <c r="W9" i="69" s="1"/>
  <c r="V8" i="68"/>
  <c r="AB8" i="68" s="1"/>
  <c r="V9" i="68"/>
  <c r="AB9" i="68" s="1"/>
  <c r="U15" i="69"/>
  <c r="W15" i="69" s="1"/>
  <c r="V12" i="69"/>
  <c r="AB12" i="69" s="1"/>
  <c r="V10" i="69"/>
  <c r="AB10" i="69" s="1"/>
  <c r="V12" i="68"/>
  <c r="AB12" i="68" s="1"/>
  <c r="U9" i="68"/>
  <c r="W9" i="68" s="1"/>
  <c r="U12" i="69"/>
  <c r="W12" i="69" s="1"/>
  <c r="U11" i="69"/>
  <c r="AA11" i="69" s="1"/>
  <c r="U7" i="69"/>
  <c r="W7" i="69" s="1"/>
  <c r="V15" i="69"/>
  <c r="AB15" i="69" s="1"/>
  <c r="V16" i="68"/>
  <c r="AB16" i="68" s="1"/>
  <c r="U13" i="69"/>
  <c r="W13" i="69" s="1"/>
  <c r="V14" i="68"/>
  <c r="AB14" i="68" s="1"/>
  <c r="U16" i="68"/>
  <c r="W16" i="68" s="1"/>
  <c r="V10" i="68"/>
  <c r="AB10" i="68" s="1"/>
  <c r="U13" i="68"/>
  <c r="W13" i="68" s="1"/>
  <c r="V11" i="69"/>
  <c r="AB11" i="69" s="1"/>
  <c r="V14" i="69"/>
  <c r="AB14" i="69" s="1"/>
  <c r="U8" i="69"/>
  <c r="W8" i="69" s="1"/>
  <c r="V13" i="69"/>
  <c r="AB13" i="69" s="1"/>
  <c r="U10" i="69"/>
  <c r="W10" i="69" s="1"/>
  <c r="U14" i="68"/>
  <c r="AA14" i="68" s="1"/>
  <c r="V8" i="69"/>
  <c r="AB8" i="69" s="1"/>
  <c r="V15" i="68"/>
  <c r="AB15" i="68" s="1"/>
  <c r="AE7" i="66"/>
  <c r="U14" i="70"/>
  <c r="W14" i="70" s="1"/>
  <c r="V7" i="63"/>
  <c r="V8" i="70"/>
  <c r="AB8" i="70" s="1"/>
  <c r="V11" i="70"/>
  <c r="AB11" i="70" s="1"/>
  <c r="U11" i="66"/>
  <c r="W11" i="66" s="1"/>
  <c r="U9" i="70"/>
  <c r="W9" i="70" s="1"/>
  <c r="U10" i="70"/>
  <c r="W10" i="70" s="1"/>
  <c r="V11" i="66"/>
  <c r="U12" i="66"/>
  <c r="W12" i="66" s="1"/>
  <c r="U8" i="66"/>
  <c r="W8" i="66" s="1"/>
  <c r="V15" i="63"/>
  <c r="AE11" i="70"/>
  <c r="C10" i="82"/>
  <c r="D10" i="82"/>
  <c r="AE13" i="66"/>
  <c r="AE10" i="66"/>
  <c r="V12" i="66"/>
  <c r="V16" i="63"/>
  <c r="U15" i="70"/>
  <c r="W15" i="70" s="1"/>
  <c r="U12" i="70"/>
  <c r="W12" i="70" s="1"/>
  <c r="B11" i="81"/>
  <c r="A12" i="81"/>
  <c r="G11" i="81"/>
  <c r="F11" i="81"/>
  <c r="E11" i="81"/>
  <c r="U15" i="63"/>
  <c r="W15" i="63" s="1"/>
  <c r="AE14" i="70"/>
  <c r="AE9" i="70"/>
  <c r="V15" i="66"/>
  <c r="AE14" i="66"/>
  <c r="AE9" i="66"/>
  <c r="C9" i="78"/>
  <c r="D9" i="78"/>
  <c r="V9" i="63"/>
  <c r="AE8" i="70"/>
  <c r="U8" i="70"/>
  <c r="W8" i="70" s="1"/>
  <c r="U7" i="66"/>
  <c r="U10" i="66"/>
  <c r="W10" i="66" s="1"/>
  <c r="V14" i="66"/>
  <c r="V10" i="70"/>
  <c r="AB10" i="70" s="1"/>
  <c r="V9" i="70"/>
  <c r="AB9" i="70" s="1"/>
  <c r="C10" i="81"/>
  <c r="D10" i="81"/>
  <c r="V10" i="66"/>
  <c r="AE11" i="66"/>
  <c r="U13" i="66"/>
  <c r="W13" i="66" s="1"/>
  <c r="V16" i="70"/>
  <c r="AB16" i="70" s="1"/>
  <c r="AE16" i="70"/>
  <c r="U12" i="63"/>
  <c r="W12" i="63" s="1"/>
  <c r="V11" i="63"/>
  <c r="V14" i="63"/>
  <c r="V7" i="70"/>
  <c r="V13" i="70"/>
  <c r="AB13" i="70" s="1"/>
  <c r="V7" i="66"/>
  <c r="AE8" i="66"/>
  <c r="U15" i="66"/>
  <c r="W15" i="66" s="1"/>
  <c r="AE16" i="66"/>
  <c r="V12" i="63"/>
  <c r="AE13" i="70"/>
  <c r="U7" i="70"/>
  <c r="W7" i="70" s="1"/>
  <c r="V14" i="70"/>
  <c r="AB14" i="70" s="1"/>
  <c r="AE10" i="70"/>
  <c r="V9" i="66"/>
  <c r="AB9" i="66" s="1"/>
  <c r="V16" i="66"/>
  <c r="AB16" i="66" s="1"/>
  <c r="U11" i="63"/>
  <c r="W11" i="63" s="1"/>
  <c r="U8" i="63"/>
  <c r="W8" i="63" s="1"/>
  <c r="U13" i="63"/>
  <c r="W13" i="63" s="1"/>
  <c r="U13" i="70"/>
  <c r="W13" i="70" s="1"/>
  <c r="U16" i="70"/>
  <c r="W16" i="70" s="1"/>
  <c r="AE12" i="66"/>
  <c r="AE15" i="70"/>
  <c r="AE15" i="66"/>
  <c r="U16" i="66"/>
  <c r="W16" i="66" s="1"/>
  <c r="V8" i="66"/>
  <c r="V10" i="63"/>
  <c r="G11" i="82"/>
  <c r="F11" i="82"/>
  <c r="B11" i="82"/>
  <c r="E11" i="82"/>
  <c r="A12" i="82"/>
  <c r="U16" i="63"/>
  <c r="W16" i="63" s="1"/>
  <c r="V8" i="63"/>
  <c r="U14" i="63"/>
  <c r="W14" i="63" s="1"/>
  <c r="U7" i="63"/>
  <c r="W7" i="63" s="1"/>
  <c r="V12" i="70"/>
  <c r="AB12" i="70" s="1"/>
  <c r="AE12" i="70"/>
  <c r="U9" i="66"/>
  <c r="W9" i="66" s="1"/>
  <c r="U10" i="63"/>
  <c r="W10" i="63" s="1"/>
  <c r="U11" i="70"/>
  <c r="W11" i="70" s="1"/>
  <c r="V15" i="70"/>
  <c r="AB15" i="70" s="1"/>
  <c r="U14" i="66"/>
  <c r="W14" i="66" s="1"/>
  <c r="V13" i="66"/>
  <c r="U9" i="63"/>
  <c r="W9" i="63" s="1"/>
  <c r="V13" i="63"/>
  <c r="AE10" i="63" l="1"/>
  <c r="AE15" i="63"/>
  <c r="C9" i="79"/>
  <c r="G10" i="79"/>
  <c r="F10" i="79"/>
  <c r="C10" i="79"/>
  <c r="E10" i="79"/>
  <c r="A11" i="79"/>
  <c r="A12" i="79" s="1"/>
  <c r="B12" i="79" s="1"/>
  <c r="AE16" i="63"/>
  <c r="AE14" i="63"/>
  <c r="AE8" i="63"/>
  <c r="E10" i="78"/>
  <c r="B10" i="78"/>
  <c r="C10" i="78" s="1"/>
  <c r="AE11" i="63"/>
  <c r="G10" i="78"/>
  <c r="AE9" i="63"/>
  <c r="AE12" i="63"/>
  <c r="AE13" i="63"/>
  <c r="AB12" i="66"/>
  <c r="AB15" i="66"/>
  <c r="D10" i="80"/>
  <c r="A11" i="80"/>
  <c r="E10" i="80"/>
  <c r="F10" i="80"/>
  <c r="G10" i="80"/>
  <c r="C9" i="80"/>
  <c r="D9" i="80"/>
  <c r="C5" i="87"/>
  <c r="A7" i="87"/>
  <c r="F7" i="87" s="1"/>
  <c r="E6" i="87"/>
  <c r="B6" i="87"/>
  <c r="C6" i="87" s="1"/>
  <c r="G6" i="87"/>
  <c r="AB13" i="66"/>
  <c r="AB8" i="66"/>
  <c r="F10" i="78"/>
  <c r="AB11" i="66"/>
  <c r="AB14" i="66"/>
  <c r="AB10" i="66"/>
  <c r="F5" i="88"/>
  <c r="E5" i="88"/>
  <c r="G10" i="84"/>
  <c r="B10" i="84"/>
  <c r="D10" i="84" s="1"/>
  <c r="B5" i="88"/>
  <c r="C5" i="88" s="1"/>
  <c r="A6" i="88"/>
  <c r="G6" i="88" s="1"/>
  <c r="G5" i="88"/>
  <c r="A11" i="84"/>
  <c r="G11" i="84" s="1"/>
  <c r="F10" i="84"/>
  <c r="C7" i="85"/>
  <c r="C9" i="84"/>
  <c r="E8" i="85"/>
  <c r="A9" i="85"/>
  <c r="A10" i="85" s="1"/>
  <c r="F8" i="85"/>
  <c r="B8" i="85"/>
  <c r="C8" i="85" s="1"/>
  <c r="B7" i="86"/>
  <c r="D7" i="86" s="1"/>
  <c r="A8" i="86"/>
  <c r="E8" i="86" s="1"/>
  <c r="C8" i="84"/>
  <c r="F7" i="86"/>
  <c r="G7" i="86"/>
  <c r="AE7" i="63"/>
  <c r="C10" i="83"/>
  <c r="D10" i="83"/>
  <c r="G11" i="83"/>
  <c r="E11" i="83"/>
  <c r="B11" i="83"/>
  <c r="A12" i="83"/>
  <c r="F11" i="83"/>
  <c r="AB7" i="66"/>
  <c r="AA15" i="68"/>
  <c r="AC15" i="68" s="1"/>
  <c r="AD15" i="68" s="1"/>
  <c r="AA8" i="68"/>
  <c r="AC8" i="68" s="1"/>
  <c r="AD8" i="68" s="1"/>
  <c r="AA9" i="68"/>
  <c r="AC9" i="68" s="1"/>
  <c r="AD9" i="68" s="1"/>
  <c r="AC11" i="69"/>
  <c r="AD11" i="69" s="1"/>
  <c r="AA16" i="69"/>
  <c r="AC16" i="69" s="1"/>
  <c r="AD16" i="69" s="1"/>
  <c r="AA14" i="69"/>
  <c r="AC14" i="69" s="1"/>
  <c r="AD14" i="69" s="1"/>
  <c r="AA12" i="68"/>
  <c r="AC12" i="68" s="1"/>
  <c r="AD12" i="68" s="1"/>
  <c r="W14" i="68"/>
  <c r="AA9" i="69"/>
  <c r="AC9" i="69" s="1"/>
  <c r="AD9" i="69" s="1"/>
  <c r="AA12" i="69"/>
  <c r="AC12" i="69" s="1"/>
  <c r="AD12" i="69" s="1"/>
  <c r="AA11" i="68"/>
  <c r="AC11" i="68" s="1"/>
  <c r="AD11" i="68" s="1"/>
  <c r="AA10" i="68"/>
  <c r="AC10" i="68" s="1"/>
  <c r="AD10" i="68" s="1"/>
  <c r="AA8" i="69"/>
  <c r="AC8" i="69" s="1"/>
  <c r="AD8" i="69" s="1"/>
  <c r="AA13" i="69"/>
  <c r="AC13" i="69" s="1"/>
  <c r="AD13" i="69" s="1"/>
  <c r="AA16" i="68"/>
  <c r="AC16" i="68" s="1"/>
  <c r="AD16" i="68" s="1"/>
  <c r="AC14" i="68"/>
  <c r="AD14" i="68" s="1"/>
  <c r="AA15" i="69"/>
  <c r="AC15" i="69" s="1"/>
  <c r="AD15" i="69" s="1"/>
  <c r="AA13" i="68"/>
  <c r="AC13" i="68" s="1"/>
  <c r="AD13" i="68" s="1"/>
  <c r="W11" i="69"/>
  <c r="AA10" i="69"/>
  <c r="AC10" i="69" s="1"/>
  <c r="AD10" i="69" s="1"/>
  <c r="AA12" i="66"/>
  <c r="AA16" i="66"/>
  <c r="AC16" i="66" s="1"/>
  <c r="AA8" i="66"/>
  <c r="AA10" i="66"/>
  <c r="AA12" i="70"/>
  <c r="AC12" i="70" s="1"/>
  <c r="AA9" i="70"/>
  <c r="AC9" i="70" s="1"/>
  <c r="AA14" i="70"/>
  <c r="AC14" i="70" s="1"/>
  <c r="AA15" i="70"/>
  <c r="AC15" i="70" s="1"/>
  <c r="AA10" i="70"/>
  <c r="AC10" i="70" s="1"/>
  <c r="AA11" i="66"/>
  <c r="D11" i="82"/>
  <c r="C11" i="82"/>
  <c r="B11" i="78"/>
  <c r="F11" i="78"/>
  <c r="E11" i="78"/>
  <c r="G11" i="78"/>
  <c r="A12" i="78"/>
  <c r="AA13" i="66"/>
  <c r="AA14" i="66"/>
  <c r="AA15" i="66"/>
  <c r="D10" i="78"/>
  <c r="W7" i="66"/>
  <c r="AA7" i="66"/>
  <c r="AA13" i="70"/>
  <c r="AC13" i="70" s="1"/>
  <c r="AA8" i="70"/>
  <c r="AC8" i="70" s="1"/>
  <c r="G12" i="82"/>
  <c r="F12" i="82"/>
  <c r="A13" i="82"/>
  <c r="E12" i="82"/>
  <c r="B12" i="82"/>
  <c r="AA11" i="70"/>
  <c r="AC11" i="70" s="1"/>
  <c r="AA9" i="66"/>
  <c r="AC9" i="66" s="1"/>
  <c r="B12" i="81"/>
  <c r="A13" i="81"/>
  <c r="G12" i="81"/>
  <c r="E12" i="81"/>
  <c r="F12" i="81"/>
  <c r="AA16" i="70"/>
  <c r="AC16" i="70" s="1"/>
  <c r="D11" i="81"/>
  <c r="C11" i="81"/>
  <c r="F12" i="79" l="1"/>
  <c r="E12" i="79"/>
  <c r="A13" i="79"/>
  <c r="A14" i="79" s="1"/>
  <c r="G12" i="79"/>
  <c r="G11" i="79"/>
  <c r="B11" i="79"/>
  <c r="C11" i="79" s="1"/>
  <c r="F11" i="79"/>
  <c r="E11" i="79"/>
  <c r="AE7" i="70"/>
  <c r="AE7" i="68" s="1"/>
  <c r="AE7" i="69" s="1"/>
  <c r="AC12" i="66"/>
  <c r="AC15" i="66"/>
  <c r="AC13" i="66"/>
  <c r="AC11" i="66"/>
  <c r="F11" i="80"/>
  <c r="G11" i="80"/>
  <c r="E11" i="80"/>
  <c r="A12" i="80"/>
  <c r="E12" i="80" s="1"/>
  <c r="B11" i="80"/>
  <c r="D11" i="80" s="1"/>
  <c r="D6" i="87"/>
  <c r="E7" i="87"/>
  <c r="B7" i="87"/>
  <c r="D7" i="87" s="1"/>
  <c r="G7" i="87"/>
  <c r="A8" i="87"/>
  <c r="E8" i="87" s="1"/>
  <c r="AC8" i="66"/>
  <c r="AC10" i="66"/>
  <c r="AC14" i="66"/>
  <c r="C10" i="84"/>
  <c r="F11" i="84"/>
  <c r="E11" i="84"/>
  <c r="A12" i="84"/>
  <c r="A13" i="84" s="1"/>
  <c r="B11" i="84"/>
  <c r="C11" i="84" s="1"/>
  <c r="A7" i="88"/>
  <c r="F7" i="88" s="1"/>
  <c r="F6" i="88"/>
  <c r="E6" i="88"/>
  <c r="B6" i="88"/>
  <c r="D6" i="88" s="1"/>
  <c r="D5" i="88"/>
  <c r="F9" i="85"/>
  <c r="C7" i="86"/>
  <c r="G9" i="85"/>
  <c r="B9" i="85"/>
  <c r="D9" i="85" s="1"/>
  <c r="E9" i="85"/>
  <c r="D8" i="85"/>
  <c r="F8" i="86"/>
  <c r="A9" i="86"/>
  <c r="F9" i="86" s="1"/>
  <c r="B8" i="86"/>
  <c r="D8" i="86" s="1"/>
  <c r="G8" i="86"/>
  <c r="C11" i="83"/>
  <c r="D11" i="83"/>
  <c r="E12" i="83"/>
  <c r="G12" i="83"/>
  <c r="B12" i="83"/>
  <c r="A13" i="83"/>
  <c r="F12" i="83"/>
  <c r="AC7" i="66"/>
  <c r="E13" i="79"/>
  <c r="F13" i="79"/>
  <c r="G13" i="79"/>
  <c r="B13" i="79"/>
  <c r="C12" i="79"/>
  <c r="D12" i="79"/>
  <c r="B12" i="78"/>
  <c r="G12" i="78"/>
  <c r="E12" i="78"/>
  <c r="A13" i="78"/>
  <c r="F12" i="78"/>
  <c r="B13" i="81"/>
  <c r="E13" i="81"/>
  <c r="G13" i="81"/>
  <c r="A14" i="81"/>
  <c r="F13" i="81"/>
  <c r="C12" i="81"/>
  <c r="D12" i="81"/>
  <c r="G10" i="85"/>
  <c r="F10" i="85"/>
  <c r="A11" i="85"/>
  <c r="B10" i="85"/>
  <c r="E10" i="85"/>
  <c r="D11" i="78"/>
  <c r="C11" i="78"/>
  <c r="D12" i="82"/>
  <c r="C12" i="82"/>
  <c r="A14" i="82"/>
  <c r="B13" i="82"/>
  <c r="E13" i="82"/>
  <c r="F13" i="82"/>
  <c r="G13" i="82"/>
  <c r="D11" i="79" l="1"/>
  <c r="E12" i="84"/>
  <c r="F12" i="84"/>
  <c r="B12" i="84"/>
  <c r="D12" i="84" s="1"/>
  <c r="G12" i="84"/>
  <c r="G12" i="80"/>
  <c r="B12" i="80"/>
  <c r="D12" i="80" s="1"/>
  <c r="F12" i="80"/>
  <c r="A13" i="80"/>
  <c r="F13" i="80" s="1"/>
  <c r="C11" i="80"/>
  <c r="A9" i="87"/>
  <c r="G9" i="87" s="1"/>
  <c r="G8" i="87"/>
  <c r="F8" i="87"/>
  <c r="B8" i="87"/>
  <c r="D8" i="87" s="1"/>
  <c r="C7" i="87"/>
  <c r="B7" i="88"/>
  <c r="D7" i="88" s="1"/>
  <c r="G7" i="88"/>
  <c r="A8" i="88"/>
  <c r="G8" i="88" s="1"/>
  <c r="E7" i="88"/>
  <c r="AD7" i="66"/>
  <c r="C6" i="88"/>
  <c r="D11" i="84"/>
  <c r="AD16" i="66"/>
  <c r="AD15" i="66"/>
  <c r="AD14" i="66"/>
  <c r="AD13" i="66"/>
  <c r="C9" i="85"/>
  <c r="AD12" i="66"/>
  <c r="AD11" i="66"/>
  <c r="A10" i="86"/>
  <c r="F10" i="86" s="1"/>
  <c r="B9" i="86"/>
  <c r="C9" i="86" s="1"/>
  <c r="G9" i="86"/>
  <c r="E9" i="86"/>
  <c r="C8" i="86"/>
  <c r="AD10" i="66"/>
  <c r="AD9" i="66"/>
  <c r="AD8" i="66"/>
  <c r="A14" i="83"/>
  <c r="G13" i="83"/>
  <c r="E13" i="83"/>
  <c r="F13" i="83"/>
  <c r="B13" i="83"/>
  <c r="C12" i="83"/>
  <c r="D12" i="83"/>
  <c r="A15" i="82"/>
  <c r="B14" i="82"/>
  <c r="F14" i="82"/>
  <c r="E14" i="82"/>
  <c r="G14" i="82"/>
  <c r="C13" i="79"/>
  <c r="D13" i="79"/>
  <c r="D12" i="78"/>
  <c r="C12" i="78"/>
  <c r="B14" i="79"/>
  <c r="G14" i="79"/>
  <c r="E14" i="79"/>
  <c r="F14" i="79"/>
  <c r="A15" i="79"/>
  <c r="G14" i="81"/>
  <c r="A15" i="81"/>
  <c r="F14" i="81"/>
  <c r="B14" i="81"/>
  <c r="E14" i="81"/>
  <c r="G13" i="84"/>
  <c r="F13" i="84"/>
  <c r="B13" i="84"/>
  <c r="E13" i="84"/>
  <c r="A14" i="84"/>
  <c r="C10" i="85"/>
  <c r="D10" i="85"/>
  <c r="C13" i="81"/>
  <c r="D13" i="81"/>
  <c r="A12" i="85"/>
  <c r="G11" i="85"/>
  <c r="F11" i="85"/>
  <c r="E11" i="85"/>
  <c r="B11" i="85"/>
  <c r="C13" i="82"/>
  <c r="D13" i="82"/>
  <c r="A14" i="78"/>
  <c r="E13" i="78"/>
  <c r="B13" i="78"/>
  <c r="F13" i="78"/>
  <c r="G13" i="78"/>
  <c r="C12" i="84" l="1"/>
  <c r="C12" i="80"/>
  <c r="B13" i="80"/>
  <c r="C13" i="80" s="1"/>
  <c r="E13" i="80"/>
  <c r="A14" i="80"/>
  <c r="E14" i="80" s="1"/>
  <c r="G13" i="80"/>
  <c r="A10" i="87"/>
  <c r="G10" i="87" s="1"/>
  <c r="E9" i="87"/>
  <c r="B9" i="87"/>
  <c r="C9" i="87" s="1"/>
  <c r="F9" i="87"/>
  <c r="C8" i="87"/>
  <c r="E8" i="88"/>
  <c r="F8" i="88"/>
  <c r="C7" i="88"/>
  <c r="A9" i="88"/>
  <c r="G9" i="88" s="1"/>
  <c r="B8" i="88"/>
  <c r="D8" i="88" s="1"/>
  <c r="D9" i="86"/>
  <c r="B14" i="72"/>
  <c r="D14" i="72" s="1"/>
  <c r="G10" i="86"/>
  <c r="B10" i="86"/>
  <c r="D10" i="86" s="1"/>
  <c r="A11" i="86"/>
  <c r="G11" i="86" s="1"/>
  <c r="B13" i="72"/>
  <c r="D13" i="72" s="1"/>
  <c r="B8" i="72"/>
  <c r="F8" i="72" s="1"/>
  <c r="B12" i="72"/>
  <c r="D12" i="72" s="1"/>
  <c r="B7" i="72"/>
  <c r="B11" i="72"/>
  <c r="E11" i="72" s="1"/>
  <c r="B9" i="72"/>
  <c r="F9" i="72" s="1"/>
  <c r="B16" i="72"/>
  <c r="E16" i="72" s="1"/>
  <c r="B10" i="72"/>
  <c r="F10" i="72" s="1"/>
  <c r="E10" i="86"/>
  <c r="B15" i="72"/>
  <c r="F15" i="72" s="1"/>
  <c r="C13" i="83"/>
  <c r="D13" i="83"/>
  <c r="G14" i="83"/>
  <c r="B14" i="83"/>
  <c r="F14" i="83"/>
  <c r="A15" i="83"/>
  <c r="E14" i="83"/>
  <c r="D13" i="78"/>
  <c r="C13" i="78"/>
  <c r="G14" i="78"/>
  <c r="B14" i="78"/>
  <c r="E14" i="78"/>
  <c r="A15" i="78"/>
  <c r="F14" i="78"/>
  <c r="F14" i="84"/>
  <c r="A15" i="84"/>
  <c r="B14" i="84"/>
  <c r="G14" i="84"/>
  <c r="E14" i="84"/>
  <c r="D13" i="84"/>
  <c r="C13" i="84"/>
  <c r="D11" i="85"/>
  <c r="C11" i="85"/>
  <c r="A16" i="79"/>
  <c r="F15" i="79"/>
  <c r="B15" i="79"/>
  <c r="E15" i="79"/>
  <c r="G15" i="79"/>
  <c r="D14" i="81"/>
  <c r="C14" i="81"/>
  <c r="G15" i="81"/>
  <c r="B15" i="81"/>
  <c r="A16" i="81"/>
  <c r="E15" i="81"/>
  <c r="F15" i="81"/>
  <c r="C14" i="82"/>
  <c r="D14" i="82"/>
  <c r="G12" i="85"/>
  <c r="F12" i="85"/>
  <c r="E12" i="85"/>
  <c r="A13" i="85"/>
  <c r="B12" i="85"/>
  <c r="D14" i="79"/>
  <c r="C14" i="79"/>
  <c r="E15" i="82"/>
  <c r="F15" i="82"/>
  <c r="A16" i="82"/>
  <c r="G15" i="82"/>
  <c r="B15" i="82"/>
  <c r="D7" i="72" l="1"/>
  <c r="D13" i="80"/>
  <c r="G14" i="80"/>
  <c r="B14" i="80"/>
  <c r="F14" i="80"/>
  <c r="A15" i="80"/>
  <c r="A16" i="80" s="1"/>
  <c r="G16" i="80" s="1"/>
  <c r="E10" i="87"/>
  <c r="F10" i="87"/>
  <c r="A11" i="87"/>
  <c r="A12" i="87" s="1"/>
  <c r="B10" i="87"/>
  <c r="D10" i="87" s="1"/>
  <c r="D9" i="87"/>
  <c r="C8" i="88"/>
  <c r="A10" i="88"/>
  <c r="G10" i="88" s="1"/>
  <c r="F9" i="88"/>
  <c r="B9" i="88"/>
  <c r="D9" i="88" s="1"/>
  <c r="E9" i="88"/>
  <c r="A12" i="86"/>
  <c r="E12" i="86" s="1"/>
  <c r="F11" i="86"/>
  <c r="B11" i="86"/>
  <c r="D11" i="86" s="1"/>
  <c r="C14" i="72"/>
  <c r="E14" i="72"/>
  <c r="E11" i="86"/>
  <c r="C10" i="86"/>
  <c r="C9" i="72"/>
  <c r="F14" i="72"/>
  <c r="H14" i="72" s="1"/>
  <c r="D8" i="72"/>
  <c r="H8" i="72" s="1"/>
  <c r="F13" i="72"/>
  <c r="H13" i="72" s="1"/>
  <c r="AB14" i="63" s="1"/>
  <c r="C13" i="72"/>
  <c r="E13" i="72"/>
  <c r="F12" i="72"/>
  <c r="H12" i="72" s="1"/>
  <c r="E12" i="72"/>
  <c r="E7" i="72"/>
  <c r="C12" i="72"/>
  <c r="F7" i="72"/>
  <c r="E8" i="72"/>
  <c r="C8" i="72"/>
  <c r="D9" i="72"/>
  <c r="H9" i="72" s="1"/>
  <c r="E9" i="72"/>
  <c r="D11" i="72"/>
  <c r="F16" i="72"/>
  <c r="C11" i="72"/>
  <c r="G11" i="72" s="1"/>
  <c r="I11" i="72" s="1"/>
  <c r="E10" i="72"/>
  <c r="D10" i="72"/>
  <c r="H10" i="72" s="1"/>
  <c r="C16" i="72"/>
  <c r="G16" i="72" s="1"/>
  <c r="I16" i="72" s="1"/>
  <c r="C7" i="72"/>
  <c r="C10" i="72"/>
  <c r="D16" i="72"/>
  <c r="F11" i="72"/>
  <c r="D15" i="72"/>
  <c r="H15" i="72" s="1"/>
  <c r="E15" i="72"/>
  <c r="C15" i="72"/>
  <c r="E15" i="83"/>
  <c r="A16" i="83"/>
  <c r="F15" i="83"/>
  <c r="G15" i="83"/>
  <c r="B15" i="83"/>
  <c r="C14" i="83"/>
  <c r="D14" i="83"/>
  <c r="F13" i="85"/>
  <c r="G13" i="85"/>
  <c r="A14" i="85"/>
  <c r="B13" i="85"/>
  <c r="E13" i="85"/>
  <c r="C14" i="84"/>
  <c r="D14" i="84"/>
  <c r="A16" i="84"/>
  <c r="G15" i="84"/>
  <c r="E15" i="84"/>
  <c r="F15" i="84"/>
  <c r="B15" i="84"/>
  <c r="D15" i="79"/>
  <c r="C15" i="79"/>
  <c r="A16" i="78"/>
  <c r="G15" i="78"/>
  <c r="B15" i="78"/>
  <c r="F15" i="78"/>
  <c r="E15" i="78"/>
  <c r="D15" i="82"/>
  <c r="C15" i="82"/>
  <c r="G16" i="81"/>
  <c r="A17" i="81"/>
  <c r="F16" i="81"/>
  <c r="E16" i="81"/>
  <c r="B16" i="81"/>
  <c r="G16" i="79"/>
  <c r="E16" i="79"/>
  <c r="F16" i="79"/>
  <c r="A17" i="79"/>
  <c r="B16" i="79"/>
  <c r="D14" i="78"/>
  <c r="C14" i="78"/>
  <c r="A17" i="82"/>
  <c r="G16" i="82"/>
  <c r="F16" i="82"/>
  <c r="E16" i="82"/>
  <c r="B16" i="82"/>
  <c r="D15" i="81"/>
  <c r="C15" i="81"/>
  <c r="D12" i="85"/>
  <c r="C12" i="85"/>
  <c r="AB15" i="63" l="1"/>
  <c r="AB13" i="63"/>
  <c r="H7" i="72"/>
  <c r="AB11" i="63" s="1"/>
  <c r="AB10" i="63"/>
  <c r="C10" i="87"/>
  <c r="F15" i="80"/>
  <c r="F16" i="80"/>
  <c r="E16" i="80"/>
  <c r="B16" i="80"/>
  <c r="C16" i="80" s="1"/>
  <c r="A17" i="80"/>
  <c r="G17" i="80" s="1"/>
  <c r="G15" i="80"/>
  <c r="B15" i="80"/>
  <c r="E15" i="80"/>
  <c r="D14" i="80"/>
  <c r="C14" i="80"/>
  <c r="F11" i="87"/>
  <c r="E11" i="87"/>
  <c r="B11" i="87"/>
  <c r="C11" i="87" s="1"/>
  <c r="G11" i="87"/>
  <c r="C9" i="88"/>
  <c r="F10" i="88"/>
  <c r="E10" i="88"/>
  <c r="B10" i="88"/>
  <c r="C10" i="88" s="1"/>
  <c r="A11" i="88"/>
  <c r="G11" i="88" s="1"/>
  <c r="A13" i="86"/>
  <c r="A14" i="86" s="1"/>
  <c r="F14" i="86" s="1"/>
  <c r="F12" i="86"/>
  <c r="B12" i="86"/>
  <c r="D12" i="86" s="1"/>
  <c r="C11" i="86"/>
  <c r="G12" i="86"/>
  <c r="G14" i="72"/>
  <c r="G9" i="72"/>
  <c r="I9" i="72" s="1"/>
  <c r="G15" i="72"/>
  <c r="G13" i="72"/>
  <c r="G7" i="72"/>
  <c r="I7" i="72" s="1"/>
  <c r="G12" i="72"/>
  <c r="G8" i="72"/>
  <c r="H11" i="72"/>
  <c r="AB7" i="63" s="1"/>
  <c r="H16" i="72"/>
  <c r="AB16" i="63" s="1"/>
  <c r="G10" i="72"/>
  <c r="D15" i="83"/>
  <c r="C15" i="83"/>
  <c r="A17" i="83"/>
  <c r="E16" i="83"/>
  <c r="B16" i="83"/>
  <c r="F16" i="83"/>
  <c r="G16" i="83"/>
  <c r="D16" i="82"/>
  <c r="C16" i="82"/>
  <c r="B17" i="81"/>
  <c r="E17" i="81"/>
  <c r="F17" i="81"/>
  <c r="G17" i="81"/>
  <c r="A18" i="81"/>
  <c r="D15" i="84"/>
  <c r="C15" i="84"/>
  <c r="F12" i="87"/>
  <c r="E12" i="87"/>
  <c r="G12" i="87"/>
  <c r="B12" i="87"/>
  <c r="A13" i="87"/>
  <c r="E16" i="84"/>
  <c r="F16" i="84"/>
  <c r="B16" i="84"/>
  <c r="A17" i="84"/>
  <c r="G16" i="84"/>
  <c r="E17" i="82"/>
  <c r="G17" i="82"/>
  <c r="A18" i="82"/>
  <c r="B17" i="82"/>
  <c r="F17" i="82"/>
  <c r="D15" i="78"/>
  <c r="C15" i="78"/>
  <c r="D16" i="79"/>
  <c r="C16" i="79"/>
  <c r="F16" i="78"/>
  <c r="G16" i="78"/>
  <c r="E16" i="78"/>
  <c r="A17" i="78"/>
  <c r="B16" i="78"/>
  <c r="E17" i="79"/>
  <c r="A18" i="79"/>
  <c r="F17" i="79"/>
  <c r="B17" i="79"/>
  <c r="G17" i="79"/>
  <c r="C13" i="85"/>
  <c r="D13" i="85"/>
  <c r="D16" i="81"/>
  <c r="C16" i="81"/>
  <c r="E14" i="85"/>
  <c r="G14" i="85"/>
  <c r="A15" i="85"/>
  <c r="F14" i="85"/>
  <c r="B14" i="85"/>
  <c r="AA13" i="63" l="1"/>
  <c r="AC13" i="63" s="1"/>
  <c r="AA9" i="63"/>
  <c r="AB9" i="63"/>
  <c r="AB12" i="63"/>
  <c r="I15" i="72"/>
  <c r="AA15" i="63"/>
  <c r="AC15" i="63" s="1"/>
  <c r="AA10" i="63"/>
  <c r="AC10" i="63" s="1"/>
  <c r="AA16" i="63"/>
  <c r="AC16" i="63" s="1"/>
  <c r="AB8" i="63"/>
  <c r="I13" i="72"/>
  <c r="AA14" i="63"/>
  <c r="AC14" i="63" s="1"/>
  <c r="I8" i="72"/>
  <c r="AA8" i="63"/>
  <c r="I14" i="72"/>
  <c r="AA11" i="63"/>
  <c r="AC11" i="63" s="1"/>
  <c r="I10" i="72"/>
  <c r="AA12" i="63"/>
  <c r="D11" i="87"/>
  <c r="D16" i="80"/>
  <c r="B17" i="80"/>
  <c r="D17" i="80" s="1"/>
  <c r="F17" i="80"/>
  <c r="A18" i="80"/>
  <c r="B18" i="80" s="1"/>
  <c r="E17" i="80"/>
  <c r="C15" i="80"/>
  <c r="D15" i="80"/>
  <c r="D10" i="88"/>
  <c r="E14" i="86"/>
  <c r="F13" i="86"/>
  <c r="E13" i="86"/>
  <c r="E11" i="88"/>
  <c r="B11" i="88"/>
  <c r="D11" i="88" s="1"/>
  <c r="A12" i="88"/>
  <c r="A13" i="88" s="1"/>
  <c r="E13" i="88" s="1"/>
  <c r="G14" i="86"/>
  <c r="B14" i="86"/>
  <c r="C14" i="86" s="1"/>
  <c r="G13" i="86"/>
  <c r="F11" i="88"/>
  <c r="A15" i="86"/>
  <c r="F15" i="86" s="1"/>
  <c r="B13" i="86"/>
  <c r="C13" i="86" s="1"/>
  <c r="C12" i="86"/>
  <c r="I12" i="72"/>
  <c r="AA7" i="63"/>
  <c r="AC7" i="63" s="1"/>
  <c r="C16" i="83"/>
  <c r="D16" i="83"/>
  <c r="E17" i="83"/>
  <c r="F17" i="83"/>
  <c r="G17" i="83"/>
  <c r="B17" i="83"/>
  <c r="A18" i="83"/>
  <c r="C14" i="85"/>
  <c r="D14" i="85"/>
  <c r="G15" i="85"/>
  <c r="B15" i="85"/>
  <c r="E15" i="85"/>
  <c r="F15" i="85"/>
  <c r="A16" i="85"/>
  <c r="C17" i="79"/>
  <c r="D17" i="79"/>
  <c r="D17" i="82"/>
  <c r="C17" i="82"/>
  <c r="B18" i="82"/>
  <c r="E18" i="82"/>
  <c r="A19" i="82"/>
  <c r="F18" i="82"/>
  <c r="G18" i="82"/>
  <c r="E18" i="79"/>
  <c r="G18" i="79"/>
  <c r="F18" i="79"/>
  <c r="B18" i="79"/>
  <c r="A19" i="79"/>
  <c r="G18" i="81"/>
  <c r="B18" i="81"/>
  <c r="F18" i="81"/>
  <c r="A19" i="81"/>
  <c r="E18" i="81"/>
  <c r="C12" i="87"/>
  <c r="D12" i="87"/>
  <c r="D16" i="78"/>
  <c r="C16" i="78"/>
  <c r="F17" i="78"/>
  <c r="E17" i="78"/>
  <c r="G17" i="78"/>
  <c r="A18" i="78"/>
  <c r="B17" i="78"/>
  <c r="E17" i="84"/>
  <c r="B17" i="84"/>
  <c r="A18" i="84"/>
  <c r="F17" i="84"/>
  <c r="G17" i="84"/>
  <c r="D16" i="84"/>
  <c r="C16" i="84"/>
  <c r="D17" i="81"/>
  <c r="C17" i="81"/>
  <c r="E13" i="87"/>
  <c r="B13" i="87"/>
  <c r="G13" i="87"/>
  <c r="F13" i="87"/>
  <c r="A14" i="87"/>
  <c r="AC9" i="63" l="1"/>
  <c r="AC12" i="63"/>
  <c r="AC8" i="63"/>
  <c r="A19" i="80"/>
  <c r="B19" i="80" s="1"/>
  <c r="E18" i="80"/>
  <c r="F18" i="80"/>
  <c r="G18" i="80"/>
  <c r="C17" i="80"/>
  <c r="B12" i="88"/>
  <c r="C12" i="88" s="1"/>
  <c r="D14" i="86"/>
  <c r="A14" i="88"/>
  <c r="E14" i="88" s="1"/>
  <c r="G12" i="88"/>
  <c r="G13" i="88"/>
  <c r="A16" i="86"/>
  <c r="A17" i="86" s="1"/>
  <c r="E15" i="86"/>
  <c r="B15" i="86"/>
  <c r="C15" i="86" s="1"/>
  <c r="G15" i="86"/>
  <c r="B13" i="88"/>
  <c r="C13" i="88" s="1"/>
  <c r="F13" i="88"/>
  <c r="F12" i="88"/>
  <c r="E12" i="88"/>
  <c r="D13" i="86"/>
  <c r="C11" i="88"/>
  <c r="A19" i="83"/>
  <c r="B18" i="83"/>
  <c r="G18" i="83"/>
  <c r="F18" i="83"/>
  <c r="E18" i="83"/>
  <c r="D17" i="83"/>
  <c r="C17" i="83"/>
  <c r="F19" i="82"/>
  <c r="E19" i="82"/>
  <c r="G19" i="82"/>
  <c r="A20" i="82"/>
  <c r="B19" i="82"/>
  <c r="B14" i="87"/>
  <c r="E14" i="87"/>
  <c r="F14" i="87"/>
  <c r="G14" i="87"/>
  <c r="A15" i="87"/>
  <c r="F19" i="81"/>
  <c r="E19" i="81"/>
  <c r="A20" i="81"/>
  <c r="G19" i="81"/>
  <c r="B19" i="81"/>
  <c r="D18" i="82"/>
  <c r="C18" i="82"/>
  <c r="A17" i="85"/>
  <c r="E16" i="85"/>
  <c r="F16" i="85"/>
  <c r="G16" i="85"/>
  <c r="B16" i="85"/>
  <c r="C18" i="81"/>
  <c r="D18" i="81"/>
  <c r="C13" i="87"/>
  <c r="D13" i="87"/>
  <c r="E18" i="84"/>
  <c r="G18" i="84"/>
  <c r="A19" i="84"/>
  <c r="F18" i="84"/>
  <c r="B18" i="84"/>
  <c r="D17" i="84"/>
  <c r="C17" i="84"/>
  <c r="C15" i="85"/>
  <c r="D15" i="85"/>
  <c r="C17" i="78"/>
  <c r="D17" i="78"/>
  <c r="G19" i="79"/>
  <c r="B19" i="79"/>
  <c r="A20" i="79"/>
  <c r="F19" i="79"/>
  <c r="E19" i="79"/>
  <c r="D18" i="79"/>
  <c r="C18" i="79"/>
  <c r="B18" i="78"/>
  <c r="A19" i="78"/>
  <c r="E18" i="78"/>
  <c r="G18" i="78"/>
  <c r="F18" i="78"/>
  <c r="C18" i="80"/>
  <c r="D18" i="80"/>
  <c r="AD10" i="63" l="1"/>
  <c r="AD16" i="63"/>
  <c r="AD9" i="63"/>
  <c r="AD11" i="63"/>
  <c r="AD8" i="63"/>
  <c r="AD7" i="63"/>
  <c r="AD12" i="63"/>
  <c r="AD13" i="63"/>
  <c r="AD14" i="63"/>
  <c r="AD15" i="63"/>
  <c r="F19" i="80"/>
  <c r="A20" i="80"/>
  <c r="F20" i="80" s="1"/>
  <c r="E19" i="80"/>
  <c r="G19" i="80"/>
  <c r="E16" i="86"/>
  <c r="F16" i="86"/>
  <c r="G16" i="86"/>
  <c r="B16" i="86"/>
  <c r="C16" i="86" s="1"/>
  <c r="G14" i="88"/>
  <c r="B14" i="88"/>
  <c r="D14" i="88" s="1"/>
  <c r="D12" i="88"/>
  <c r="F14" i="88"/>
  <c r="A15" i="88"/>
  <c r="E15" i="88" s="1"/>
  <c r="D13" i="88"/>
  <c r="D15" i="86"/>
  <c r="E19" i="83"/>
  <c r="G19" i="83"/>
  <c r="A20" i="83"/>
  <c r="F19" i="83"/>
  <c r="B19" i="83"/>
  <c r="C18" i="83"/>
  <c r="D18" i="83"/>
  <c r="C16" i="85"/>
  <c r="D16" i="85"/>
  <c r="C14" i="87"/>
  <c r="D14" i="87"/>
  <c r="C19" i="82"/>
  <c r="D19" i="82"/>
  <c r="F20" i="82"/>
  <c r="E20" i="82"/>
  <c r="B20" i="82"/>
  <c r="A21" i="82"/>
  <c r="G20" i="82"/>
  <c r="A21" i="79"/>
  <c r="G20" i="79"/>
  <c r="F20" i="79"/>
  <c r="B20" i="79"/>
  <c r="E20" i="79"/>
  <c r="G17" i="85"/>
  <c r="A18" i="85"/>
  <c r="E17" i="85"/>
  <c r="F17" i="85"/>
  <c r="B17" i="85"/>
  <c r="C19" i="79"/>
  <c r="D19" i="79"/>
  <c r="C19" i="81"/>
  <c r="D19" i="81"/>
  <c r="F19" i="84"/>
  <c r="G19" i="84"/>
  <c r="A20" i="84"/>
  <c r="E19" i="84"/>
  <c r="B19" i="84"/>
  <c r="F20" i="81"/>
  <c r="E20" i="81"/>
  <c r="B20" i="81"/>
  <c r="A21" i="81"/>
  <c r="G20" i="81"/>
  <c r="C18" i="84"/>
  <c r="D18" i="84"/>
  <c r="C18" i="78"/>
  <c r="D18" i="78"/>
  <c r="B19" i="78"/>
  <c r="E19" i="78"/>
  <c r="A20" i="78"/>
  <c r="F19" i="78"/>
  <c r="G19" i="78"/>
  <c r="G15" i="87"/>
  <c r="F15" i="87"/>
  <c r="E15" i="87"/>
  <c r="B15" i="87"/>
  <c r="A16" i="87"/>
  <c r="B17" i="86"/>
  <c r="F17" i="86"/>
  <c r="G17" i="86"/>
  <c r="A18" i="86"/>
  <c r="E17" i="86"/>
  <c r="D19" i="80"/>
  <c r="C19" i="80"/>
  <c r="B10" i="73" l="1"/>
  <c r="H10" i="73" s="1"/>
  <c r="B11" i="73"/>
  <c r="G11" i="73" s="1"/>
  <c r="B8" i="73"/>
  <c r="C8" i="73" s="1"/>
  <c r="B7" i="73"/>
  <c r="H7" i="73" s="1"/>
  <c r="B9" i="73"/>
  <c r="F9" i="73" s="1"/>
  <c r="B16" i="73"/>
  <c r="D16" i="73" s="1"/>
  <c r="B15" i="73"/>
  <c r="D15" i="73" s="1"/>
  <c r="B12" i="73"/>
  <c r="E12" i="73" s="1"/>
  <c r="B14" i="73"/>
  <c r="C14" i="73" s="1"/>
  <c r="B13" i="73"/>
  <c r="E13" i="73" s="1"/>
  <c r="G20" i="80"/>
  <c r="E20" i="80"/>
  <c r="B20" i="80"/>
  <c r="D20" i="80" s="1"/>
  <c r="A21" i="80"/>
  <c r="A22" i="80" s="1"/>
  <c r="G16" i="73"/>
  <c r="E16" i="73"/>
  <c r="A16" i="88"/>
  <c r="F16" i="88" s="1"/>
  <c r="B15" i="88"/>
  <c r="D15" i="88" s="1"/>
  <c r="D16" i="86"/>
  <c r="C14" i="88"/>
  <c r="F15" i="88"/>
  <c r="G15" i="88"/>
  <c r="D19" i="83"/>
  <c r="C19" i="83"/>
  <c r="E20" i="83"/>
  <c r="F20" i="83"/>
  <c r="B20" i="83"/>
  <c r="A21" i="83"/>
  <c r="G20" i="83"/>
  <c r="C19" i="78"/>
  <c r="D19" i="78"/>
  <c r="B21" i="82"/>
  <c r="E21" i="82"/>
  <c r="G21" i="82"/>
  <c r="A22" i="82"/>
  <c r="F21" i="82"/>
  <c r="D20" i="82"/>
  <c r="C20" i="82"/>
  <c r="C19" i="84"/>
  <c r="D19" i="84"/>
  <c r="E18" i="86"/>
  <c r="G18" i="86"/>
  <c r="A19" i="86"/>
  <c r="F18" i="86"/>
  <c r="B18" i="86"/>
  <c r="A21" i="84"/>
  <c r="B20" i="84"/>
  <c r="E20" i="84"/>
  <c r="G20" i="84"/>
  <c r="F20" i="84"/>
  <c r="C20" i="81"/>
  <c r="D20" i="81"/>
  <c r="C17" i="85"/>
  <c r="D17" i="85"/>
  <c r="D17" i="86"/>
  <c r="C17" i="86"/>
  <c r="B16" i="87"/>
  <c r="F16" i="87"/>
  <c r="E16" i="87"/>
  <c r="A17" i="87"/>
  <c r="G16" i="87"/>
  <c r="C15" i="87"/>
  <c r="D15" i="87"/>
  <c r="G18" i="85"/>
  <c r="E18" i="85"/>
  <c r="A19" i="85"/>
  <c r="F18" i="85"/>
  <c r="B18" i="85"/>
  <c r="C20" i="79"/>
  <c r="D20" i="79"/>
  <c r="E20" i="78"/>
  <c r="G20" i="78"/>
  <c r="F20" i="78"/>
  <c r="A21" i="78"/>
  <c r="B20" i="78"/>
  <c r="F21" i="81"/>
  <c r="A22" i="81"/>
  <c r="G21" i="81"/>
  <c r="E21" i="81"/>
  <c r="B21" i="81"/>
  <c r="E21" i="79"/>
  <c r="F21" i="79"/>
  <c r="G21" i="79"/>
  <c r="B21" i="79"/>
  <c r="A22" i="79"/>
  <c r="E11" i="73" l="1"/>
  <c r="H11" i="73"/>
  <c r="F11" i="73"/>
  <c r="D11" i="73"/>
  <c r="C11" i="73"/>
  <c r="H12" i="73"/>
  <c r="C10" i="73"/>
  <c r="E10" i="73"/>
  <c r="G10" i="73"/>
  <c r="F10" i="73"/>
  <c r="D10" i="73"/>
  <c r="E9" i="73"/>
  <c r="C16" i="73"/>
  <c r="I16" i="73" s="1"/>
  <c r="K16" i="73" s="1"/>
  <c r="C12" i="73"/>
  <c r="H13" i="73"/>
  <c r="G12" i="73"/>
  <c r="G7" i="73"/>
  <c r="D7" i="73"/>
  <c r="E7" i="73"/>
  <c r="F7" i="73"/>
  <c r="H9" i="73"/>
  <c r="G9" i="73"/>
  <c r="D12" i="73"/>
  <c r="C9" i="73"/>
  <c r="F12" i="73"/>
  <c r="D14" i="73"/>
  <c r="F14" i="73"/>
  <c r="D9" i="73"/>
  <c r="H16" i="73"/>
  <c r="E14" i="73"/>
  <c r="H15" i="73"/>
  <c r="E15" i="73"/>
  <c r="G15" i="73"/>
  <c r="C15" i="73"/>
  <c r="F15" i="73"/>
  <c r="G14" i="73"/>
  <c r="C7" i="73"/>
  <c r="D13" i="73"/>
  <c r="F16" i="73"/>
  <c r="E8" i="73"/>
  <c r="H8" i="73"/>
  <c r="F8" i="73"/>
  <c r="G13" i="73"/>
  <c r="H14" i="73"/>
  <c r="F13" i="73"/>
  <c r="D8" i="73"/>
  <c r="G8" i="73"/>
  <c r="C13" i="73"/>
  <c r="G21" i="80"/>
  <c r="F21" i="80"/>
  <c r="B21" i="80"/>
  <c r="D21" i="80" s="1"/>
  <c r="E21" i="80"/>
  <c r="C20" i="80"/>
  <c r="C15" i="88"/>
  <c r="A17" i="88"/>
  <c r="A18" i="88" s="1"/>
  <c r="B16" i="88"/>
  <c r="C16" i="88" s="1"/>
  <c r="E16" i="88"/>
  <c r="G16" i="88"/>
  <c r="D20" i="83"/>
  <c r="C20" i="83"/>
  <c r="B21" i="83"/>
  <c r="F21" i="83"/>
  <c r="G21" i="83"/>
  <c r="E21" i="83"/>
  <c r="A22" i="83"/>
  <c r="A23" i="79"/>
  <c r="F22" i="79"/>
  <c r="B22" i="79"/>
  <c r="G22" i="79"/>
  <c r="E22" i="79"/>
  <c r="D21" i="79"/>
  <c r="C21" i="79"/>
  <c r="D18" i="85"/>
  <c r="C18" i="85"/>
  <c r="B19" i="85"/>
  <c r="A20" i="85"/>
  <c r="E19" i="85"/>
  <c r="F19" i="85"/>
  <c r="G19" i="85"/>
  <c r="E22" i="82"/>
  <c r="F22" i="82"/>
  <c r="G22" i="82"/>
  <c r="B22" i="82"/>
  <c r="A23" i="82"/>
  <c r="D21" i="81"/>
  <c r="C21" i="81"/>
  <c r="D20" i="84"/>
  <c r="C20" i="84"/>
  <c r="B21" i="84"/>
  <c r="E21" i="84"/>
  <c r="G21" i="84"/>
  <c r="A22" i="84"/>
  <c r="F21" i="84"/>
  <c r="D21" i="82"/>
  <c r="C21" i="82"/>
  <c r="C18" i="86"/>
  <c r="D18" i="86"/>
  <c r="G17" i="87"/>
  <c r="E17" i="87"/>
  <c r="A18" i="87"/>
  <c r="F17" i="87"/>
  <c r="B17" i="87"/>
  <c r="A20" i="86"/>
  <c r="E19" i="86"/>
  <c r="B19" i="86"/>
  <c r="G19" i="86"/>
  <c r="F19" i="86"/>
  <c r="A22" i="78"/>
  <c r="G21" i="78"/>
  <c r="E21" i="78"/>
  <c r="F21" i="78"/>
  <c r="B21" i="78"/>
  <c r="D20" i="78"/>
  <c r="C20" i="78"/>
  <c r="C16" i="87"/>
  <c r="D16" i="87"/>
  <c r="A23" i="81"/>
  <c r="B22" i="81"/>
  <c r="E22" i="81"/>
  <c r="F22" i="81"/>
  <c r="G22" i="81"/>
  <c r="A23" i="80"/>
  <c r="E22" i="80"/>
  <c r="B22" i="80"/>
  <c r="G22" i="80"/>
  <c r="F22" i="80"/>
  <c r="J10" i="73" l="1"/>
  <c r="J11" i="73"/>
  <c r="AB7" i="70" s="1"/>
  <c r="I11" i="73"/>
  <c r="K11" i="73" s="1"/>
  <c r="I10" i="73"/>
  <c r="K10" i="73" s="1"/>
  <c r="I9" i="73"/>
  <c r="K9" i="73" s="1"/>
  <c r="J7" i="73"/>
  <c r="J9" i="73"/>
  <c r="I12" i="73"/>
  <c r="K12" i="73" s="1"/>
  <c r="J16" i="73"/>
  <c r="J12" i="73"/>
  <c r="I8" i="73"/>
  <c r="K8" i="73" s="1"/>
  <c r="I7" i="73"/>
  <c r="K7" i="73" s="1"/>
  <c r="I14" i="73"/>
  <c r="K14" i="73" s="1"/>
  <c r="J15" i="73"/>
  <c r="I15" i="73"/>
  <c r="K15" i="73" s="1"/>
  <c r="J14" i="73"/>
  <c r="J8" i="73"/>
  <c r="J13" i="73"/>
  <c r="I13" i="73"/>
  <c r="K13" i="73" s="1"/>
  <c r="AA7" i="70"/>
  <c r="C21" i="80"/>
  <c r="B17" i="88"/>
  <c r="D17" i="88" s="1"/>
  <c r="F17" i="88"/>
  <c r="G17" i="88"/>
  <c r="D16" i="88"/>
  <c r="E17" i="88"/>
  <c r="F22" i="83"/>
  <c r="E22" i="83"/>
  <c r="G22" i="83"/>
  <c r="B22" i="83"/>
  <c r="A23" i="83"/>
  <c r="D21" i="83"/>
  <c r="C21" i="83"/>
  <c r="C21" i="78"/>
  <c r="D21" i="78"/>
  <c r="D22" i="81"/>
  <c r="C22" i="81"/>
  <c r="F23" i="81"/>
  <c r="E23" i="81"/>
  <c r="A24" i="81"/>
  <c r="G23" i="81"/>
  <c r="B23" i="81"/>
  <c r="F22" i="78"/>
  <c r="G22" i="78"/>
  <c r="E22" i="78"/>
  <c r="A23" i="78"/>
  <c r="B22" i="78"/>
  <c r="E22" i="84"/>
  <c r="B22" i="84"/>
  <c r="F22" i="84"/>
  <c r="G22" i="84"/>
  <c r="A23" i="84"/>
  <c r="G20" i="85"/>
  <c r="F20" i="85"/>
  <c r="A21" i="85"/>
  <c r="E20" i="85"/>
  <c r="B20" i="85"/>
  <c r="D19" i="85"/>
  <c r="C19" i="85"/>
  <c r="B18" i="88"/>
  <c r="F18" i="88"/>
  <c r="E18" i="88"/>
  <c r="G18" i="88"/>
  <c r="A19" i="88"/>
  <c r="D19" i="86"/>
  <c r="C19" i="86"/>
  <c r="C21" i="84"/>
  <c r="D21" i="84"/>
  <c r="E20" i="86"/>
  <c r="B20" i="86"/>
  <c r="G20" i="86"/>
  <c r="F20" i="86"/>
  <c r="A21" i="86"/>
  <c r="C17" i="87"/>
  <c r="D17" i="87"/>
  <c r="B18" i="87"/>
  <c r="A19" i="87"/>
  <c r="F18" i="87"/>
  <c r="E18" i="87"/>
  <c r="G18" i="87"/>
  <c r="A24" i="82"/>
  <c r="B23" i="82"/>
  <c r="E23" i="82"/>
  <c r="G23" i="82"/>
  <c r="F23" i="82"/>
  <c r="D22" i="79"/>
  <c r="C22" i="79"/>
  <c r="D22" i="82"/>
  <c r="C22" i="82"/>
  <c r="A24" i="79"/>
  <c r="E23" i="79"/>
  <c r="G23" i="79"/>
  <c r="B23" i="79"/>
  <c r="F23" i="79"/>
  <c r="D22" i="80"/>
  <c r="C22" i="80"/>
  <c r="G23" i="80"/>
  <c r="B23" i="80"/>
  <c r="A24" i="80"/>
  <c r="F23" i="80"/>
  <c r="E23" i="80"/>
  <c r="AC7" i="70" l="1"/>
  <c r="C17" i="88"/>
  <c r="A24" i="83"/>
  <c r="B23" i="83"/>
  <c r="G23" i="83"/>
  <c r="E23" i="83"/>
  <c r="F23" i="83"/>
  <c r="C22" i="83"/>
  <c r="D22" i="83"/>
  <c r="D22" i="84"/>
  <c r="C22" i="84"/>
  <c r="C23" i="79"/>
  <c r="D23" i="79"/>
  <c r="B19" i="87"/>
  <c r="A20" i="87"/>
  <c r="E19" i="87"/>
  <c r="G19" i="87"/>
  <c r="F19" i="87"/>
  <c r="D22" i="78"/>
  <c r="C22" i="78"/>
  <c r="C18" i="87"/>
  <c r="D18" i="87"/>
  <c r="C18" i="88"/>
  <c r="D18" i="88"/>
  <c r="G23" i="78"/>
  <c r="F23" i="78"/>
  <c r="E23" i="78"/>
  <c r="A24" i="78"/>
  <c r="B23" i="78"/>
  <c r="B24" i="79"/>
  <c r="E24" i="79"/>
  <c r="A25" i="79"/>
  <c r="F24" i="79"/>
  <c r="G24" i="79"/>
  <c r="G21" i="86"/>
  <c r="B21" i="86"/>
  <c r="F21" i="86"/>
  <c r="E21" i="86"/>
  <c r="A22" i="86"/>
  <c r="D23" i="81"/>
  <c r="C23" i="81"/>
  <c r="D20" i="85"/>
  <c r="C20" i="85"/>
  <c r="D20" i="86"/>
  <c r="C20" i="86"/>
  <c r="A25" i="81"/>
  <c r="F24" i="81"/>
  <c r="G24" i="81"/>
  <c r="E24" i="81"/>
  <c r="B24" i="81"/>
  <c r="G21" i="85"/>
  <c r="B21" i="85"/>
  <c r="A22" i="85"/>
  <c r="E21" i="85"/>
  <c r="F21" i="85"/>
  <c r="D23" i="82"/>
  <c r="C23" i="82"/>
  <c r="B23" i="84"/>
  <c r="F23" i="84"/>
  <c r="E23" i="84"/>
  <c r="G23" i="84"/>
  <c r="A24" i="84"/>
  <c r="F24" i="82"/>
  <c r="G24" i="82"/>
  <c r="E24" i="82"/>
  <c r="B24" i="82"/>
  <c r="A25" i="82"/>
  <c r="E19" i="88"/>
  <c r="G19" i="88"/>
  <c r="A20" i="88"/>
  <c r="F19" i="88"/>
  <c r="B19" i="88"/>
  <c r="D23" i="80"/>
  <c r="C23" i="80"/>
  <c r="G24" i="80"/>
  <c r="E24" i="80"/>
  <c r="A25" i="80"/>
  <c r="B24" i="80"/>
  <c r="F24" i="80"/>
  <c r="AD15" i="70" l="1"/>
  <c r="AD16" i="70"/>
  <c r="AD13" i="70"/>
  <c r="AD14" i="70"/>
  <c r="AD11" i="70"/>
  <c r="AD12" i="70"/>
  <c r="AD9" i="70"/>
  <c r="AD10" i="70"/>
  <c r="AD7" i="70"/>
  <c r="AD8" i="70"/>
  <c r="B24" i="83"/>
  <c r="A25" i="83"/>
  <c r="G24" i="83"/>
  <c r="E24" i="83"/>
  <c r="F24" i="83"/>
  <c r="D23" i="83"/>
  <c r="C23" i="83"/>
  <c r="D19" i="88"/>
  <c r="C19" i="88"/>
  <c r="B22" i="86"/>
  <c r="G22" i="86"/>
  <c r="A23" i="86"/>
  <c r="E22" i="86"/>
  <c r="F22" i="86"/>
  <c r="B20" i="88"/>
  <c r="E20" i="88"/>
  <c r="G20" i="88"/>
  <c r="F20" i="88"/>
  <c r="A21" i="88"/>
  <c r="E22" i="85"/>
  <c r="F22" i="85"/>
  <c r="G22" i="85"/>
  <c r="B22" i="85"/>
  <c r="A23" i="85"/>
  <c r="C21" i="85"/>
  <c r="D21" i="85"/>
  <c r="D21" i="86"/>
  <c r="C21" i="86"/>
  <c r="B25" i="82"/>
  <c r="F25" i="82"/>
  <c r="E25" i="82"/>
  <c r="G25" i="82"/>
  <c r="A26" i="82"/>
  <c r="D24" i="82"/>
  <c r="C24" i="82"/>
  <c r="C24" i="81"/>
  <c r="D24" i="81"/>
  <c r="A26" i="79"/>
  <c r="F25" i="79"/>
  <c r="G25" i="79"/>
  <c r="B25" i="79"/>
  <c r="E25" i="79"/>
  <c r="G20" i="87"/>
  <c r="F20" i="87"/>
  <c r="E20" i="87"/>
  <c r="A21" i="87"/>
  <c r="B20" i="87"/>
  <c r="G24" i="84"/>
  <c r="A25" i="84"/>
  <c r="E24" i="84"/>
  <c r="F24" i="84"/>
  <c r="B24" i="84"/>
  <c r="E25" i="81"/>
  <c r="F25" i="81"/>
  <c r="A26" i="81"/>
  <c r="G25" i="81"/>
  <c r="B25" i="81"/>
  <c r="D24" i="79"/>
  <c r="C24" i="79"/>
  <c r="D19" i="87"/>
  <c r="C19" i="87"/>
  <c r="C23" i="78"/>
  <c r="D23" i="78"/>
  <c r="G24" i="78"/>
  <c r="F24" i="78"/>
  <c r="A25" i="78"/>
  <c r="B24" i="78"/>
  <c r="E24" i="78"/>
  <c r="D23" i="84"/>
  <c r="C23" i="84"/>
  <c r="D24" i="80"/>
  <c r="C24" i="80"/>
  <c r="E25" i="80"/>
  <c r="F25" i="80"/>
  <c r="B25" i="80"/>
  <c r="A26" i="80"/>
  <c r="G25" i="80"/>
  <c r="B7" i="74" l="1"/>
  <c r="C7" i="74" s="1"/>
  <c r="B8" i="74"/>
  <c r="J8" i="74" s="1"/>
  <c r="B16" i="74"/>
  <c r="G16" i="74" s="1"/>
  <c r="B11" i="74"/>
  <c r="H11" i="74" s="1"/>
  <c r="B13" i="74"/>
  <c r="J13" i="74" s="1"/>
  <c r="B12" i="74"/>
  <c r="I12" i="74" s="1"/>
  <c r="B14" i="74"/>
  <c r="H14" i="74" s="1"/>
  <c r="B9" i="74"/>
  <c r="G9" i="74" s="1"/>
  <c r="B15" i="74"/>
  <c r="C15" i="74" s="1"/>
  <c r="B10" i="74"/>
  <c r="G25" i="83"/>
  <c r="B25" i="83"/>
  <c r="F25" i="83"/>
  <c r="A26" i="83"/>
  <c r="E25" i="83"/>
  <c r="C24" i="83"/>
  <c r="D24" i="83"/>
  <c r="F26" i="81"/>
  <c r="A27" i="81"/>
  <c r="E26" i="81"/>
  <c r="B26" i="81"/>
  <c r="G26" i="81"/>
  <c r="D22" i="85"/>
  <c r="C22" i="85"/>
  <c r="E26" i="79"/>
  <c r="F26" i="79"/>
  <c r="B26" i="79"/>
  <c r="G26" i="79"/>
  <c r="A27" i="79"/>
  <c r="D24" i="78"/>
  <c r="C24" i="78"/>
  <c r="D24" i="84"/>
  <c r="C24" i="84"/>
  <c r="B21" i="88"/>
  <c r="F21" i="88"/>
  <c r="G21" i="88"/>
  <c r="A22" i="88"/>
  <c r="E21" i="88"/>
  <c r="E25" i="78"/>
  <c r="F25" i="78"/>
  <c r="B25" i="78"/>
  <c r="G25" i="78"/>
  <c r="A26" i="78"/>
  <c r="G25" i="84"/>
  <c r="E25" i="84"/>
  <c r="B25" i="84"/>
  <c r="F25" i="84"/>
  <c r="A26" i="84"/>
  <c r="B26" i="82"/>
  <c r="A27" i="82"/>
  <c r="E26" i="82"/>
  <c r="F26" i="82"/>
  <c r="G26" i="82"/>
  <c r="D20" i="87"/>
  <c r="C20" i="87"/>
  <c r="C20" i="88"/>
  <c r="D20" i="88"/>
  <c r="F21" i="87"/>
  <c r="G21" i="87"/>
  <c r="E21" i="87"/>
  <c r="A22" i="87"/>
  <c r="B21" i="87"/>
  <c r="D25" i="82"/>
  <c r="C25" i="82"/>
  <c r="G23" i="86"/>
  <c r="E23" i="86"/>
  <c r="A24" i="86"/>
  <c r="B23" i="86"/>
  <c r="F23" i="86"/>
  <c r="D22" i="86"/>
  <c r="C22" i="86"/>
  <c r="C25" i="81"/>
  <c r="D25" i="81"/>
  <c r="C25" i="79"/>
  <c r="D25" i="79"/>
  <c r="F23" i="85"/>
  <c r="B23" i="85"/>
  <c r="A24" i="85"/>
  <c r="G23" i="85"/>
  <c r="E23" i="85"/>
  <c r="G26" i="80"/>
  <c r="E26" i="80"/>
  <c r="F26" i="80"/>
  <c r="A27" i="80"/>
  <c r="B26" i="80"/>
  <c r="D25" i="80"/>
  <c r="C25" i="80"/>
  <c r="E16" i="74" l="1"/>
  <c r="D13" i="74"/>
  <c r="I7" i="74"/>
  <c r="F8" i="74"/>
  <c r="E8" i="74"/>
  <c r="F7" i="74"/>
  <c r="D7" i="74"/>
  <c r="E7" i="74"/>
  <c r="J7" i="74"/>
  <c r="H12" i="74"/>
  <c r="I15" i="74"/>
  <c r="E15" i="74"/>
  <c r="G7" i="74"/>
  <c r="H7" i="74"/>
  <c r="G13" i="74"/>
  <c r="F12" i="74"/>
  <c r="F13" i="74"/>
  <c r="D12" i="74"/>
  <c r="I13" i="74"/>
  <c r="J16" i="74"/>
  <c r="I16" i="74"/>
  <c r="G15" i="74"/>
  <c r="G8" i="74"/>
  <c r="D16" i="74"/>
  <c r="E12" i="74"/>
  <c r="E13" i="74"/>
  <c r="H8" i="74"/>
  <c r="D15" i="74"/>
  <c r="D8" i="74"/>
  <c r="I9" i="74"/>
  <c r="I8" i="74"/>
  <c r="H13" i="74"/>
  <c r="H15" i="74"/>
  <c r="C13" i="74"/>
  <c r="G12" i="74"/>
  <c r="C8" i="74"/>
  <c r="E11" i="74"/>
  <c r="C11" i="74"/>
  <c r="I11" i="74"/>
  <c r="C16" i="74"/>
  <c r="C12" i="74"/>
  <c r="D11" i="74"/>
  <c r="F16" i="74"/>
  <c r="J11" i="74"/>
  <c r="F14" i="74"/>
  <c r="G11" i="74"/>
  <c r="F11" i="74"/>
  <c r="H16" i="74"/>
  <c r="J12" i="74"/>
  <c r="F9" i="74"/>
  <c r="J9" i="74"/>
  <c r="G14" i="74"/>
  <c r="E9" i="74"/>
  <c r="E14" i="74"/>
  <c r="D9" i="74"/>
  <c r="D14" i="74"/>
  <c r="J14" i="74"/>
  <c r="C9" i="74"/>
  <c r="H9" i="74"/>
  <c r="I14" i="74"/>
  <c r="C14" i="74"/>
  <c r="J15" i="74"/>
  <c r="E10" i="74"/>
  <c r="F10" i="74"/>
  <c r="G10" i="74"/>
  <c r="I10" i="74"/>
  <c r="H10" i="74"/>
  <c r="J10" i="74"/>
  <c r="C10" i="74"/>
  <c r="D10" i="74"/>
  <c r="F15" i="74"/>
  <c r="D25" i="83"/>
  <c r="C25" i="83"/>
  <c r="B26" i="83"/>
  <c r="A27" i="83"/>
  <c r="F26" i="83"/>
  <c r="E26" i="83"/>
  <c r="G26" i="83"/>
  <c r="C26" i="82"/>
  <c r="D26" i="82"/>
  <c r="E26" i="84"/>
  <c r="A27" i="84"/>
  <c r="G26" i="84"/>
  <c r="F26" i="84"/>
  <c r="B26" i="84"/>
  <c r="F24" i="85"/>
  <c r="A25" i="85"/>
  <c r="E24" i="85"/>
  <c r="G24" i="85"/>
  <c r="B24" i="85"/>
  <c r="D21" i="87"/>
  <c r="C21" i="87"/>
  <c r="C25" i="84"/>
  <c r="D25" i="84"/>
  <c r="F27" i="79"/>
  <c r="A28" i="79"/>
  <c r="B27" i="79"/>
  <c r="E27" i="79"/>
  <c r="G27" i="79"/>
  <c r="G22" i="87"/>
  <c r="A23" i="87"/>
  <c r="E22" i="87"/>
  <c r="B22" i="87"/>
  <c r="F22" i="87"/>
  <c r="F26" i="78"/>
  <c r="A27" i="78"/>
  <c r="E26" i="78"/>
  <c r="G26" i="78"/>
  <c r="B26" i="78"/>
  <c r="D26" i="79"/>
  <c r="C26" i="79"/>
  <c r="D23" i="85"/>
  <c r="C23" i="85"/>
  <c r="D25" i="78"/>
  <c r="C25" i="78"/>
  <c r="G22" i="88"/>
  <c r="B22" i="88"/>
  <c r="A23" i="88"/>
  <c r="F22" i="88"/>
  <c r="E22" i="88"/>
  <c r="C26" i="81"/>
  <c r="D26" i="81"/>
  <c r="D23" i="86"/>
  <c r="C23" i="86"/>
  <c r="E24" i="86"/>
  <c r="A25" i="86"/>
  <c r="F24" i="86"/>
  <c r="G24" i="86"/>
  <c r="B24" i="86"/>
  <c r="A28" i="81"/>
  <c r="B27" i="81"/>
  <c r="F27" i="81"/>
  <c r="E27" i="81"/>
  <c r="G27" i="81"/>
  <c r="B27" i="82"/>
  <c r="F27" i="82"/>
  <c r="E27" i="82"/>
  <c r="G27" i="82"/>
  <c r="A28" i="82"/>
  <c r="D21" i="88"/>
  <c r="C21" i="88"/>
  <c r="C26" i="80"/>
  <c r="D26" i="80"/>
  <c r="F27" i="80"/>
  <c r="E27" i="80"/>
  <c r="G27" i="80"/>
  <c r="B27" i="80"/>
  <c r="A28" i="80"/>
  <c r="K13" i="74" l="1"/>
  <c r="M13" i="74" s="1"/>
  <c r="K16" i="74"/>
  <c r="M16" i="74" s="1"/>
  <c r="K7" i="74"/>
  <c r="M7" i="74" s="1"/>
  <c r="K15" i="74"/>
  <c r="M15" i="74" s="1"/>
  <c r="L7" i="74"/>
  <c r="L11" i="74"/>
  <c r="K8" i="74"/>
  <c r="M8" i="74" s="1"/>
  <c r="L12" i="74"/>
  <c r="K12" i="74"/>
  <c r="M12" i="74" s="1"/>
  <c r="L8" i="74"/>
  <c r="L16" i="74"/>
  <c r="K11" i="74"/>
  <c r="L13" i="74"/>
  <c r="L14" i="74"/>
  <c r="L15" i="74"/>
  <c r="L9" i="74"/>
  <c r="K14" i="74"/>
  <c r="M14" i="74" s="1"/>
  <c r="K9" i="74"/>
  <c r="M9" i="74" s="1"/>
  <c r="K10" i="74"/>
  <c r="M10" i="74" s="1"/>
  <c r="L10" i="74"/>
  <c r="B27" i="83"/>
  <c r="E27" i="83"/>
  <c r="F27" i="83"/>
  <c r="A28" i="83"/>
  <c r="G27" i="83"/>
  <c r="C26" i="83"/>
  <c r="D26" i="83"/>
  <c r="A26" i="86"/>
  <c r="F25" i="86"/>
  <c r="G25" i="86"/>
  <c r="E25" i="86"/>
  <c r="B25" i="86"/>
  <c r="C26" i="78"/>
  <c r="D26" i="78"/>
  <c r="E28" i="82"/>
  <c r="B28" i="82"/>
  <c r="A29" i="82"/>
  <c r="F28" i="82"/>
  <c r="G28" i="82"/>
  <c r="F27" i="78"/>
  <c r="G27" i="78"/>
  <c r="A28" i="78"/>
  <c r="B27" i="78"/>
  <c r="E27" i="78"/>
  <c r="D24" i="85"/>
  <c r="C24" i="85"/>
  <c r="C27" i="82"/>
  <c r="D27" i="82"/>
  <c r="D22" i="87"/>
  <c r="C22" i="87"/>
  <c r="A26" i="85"/>
  <c r="G25" i="85"/>
  <c r="E25" i="85"/>
  <c r="F25" i="85"/>
  <c r="B25" i="85"/>
  <c r="B23" i="88"/>
  <c r="G23" i="88"/>
  <c r="F23" i="88"/>
  <c r="A24" i="88"/>
  <c r="E23" i="88"/>
  <c r="C22" i="88"/>
  <c r="D22" i="88"/>
  <c r="F23" i="87"/>
  <c r="G23" i="87"/>
  <c r="A24" i="87"/>
  <c r="E23" i="87"/>
  <c r="B23" i="87"/>
  <c r="D26" i="84"/>
  <c r="C26" i="84"/>
  <c r="C27" i="81"/>
  <c r="D27" i="81"/>
  <c r="A29" i="81"/>
  <c r="B28" i="81"/>
  <c r="F28" i="81"/>
  <c r="E28" i="81"/>
  <c r="G28" i="81"/>
  <c r="F27" i="84"/>
  <c r="E27" i="84"/>
  <c r="A28" i="84"/>
  <c r="G27" i="84"/>
  <c r="B27" i="84"/>
  <c r="D24" i="86"/>
  <c r="C24" i="86"/>
  <c r="C27" i="79"/>
  <c r="D27" i="79"/>
  <c r="F28" i="79"/>
  <c r="A29" i="79"/>
  <c r="B28" i="79"/>
  <c r="G28" i="79"/>
  <c r="E28" i="79"/>
  <c r="F28" i="80"/>
  <c r="B28" i="80"/>
  <c r="A29" i="80"/>
  <c r="E28" i="80"/>
  <c r="G28" i="80"/>
  <c r="C27" i="80"/>
  <c r="D27" i="80"/>
  <c r="AB7" i="68" l="1"/>
  <c r="M11" i="74"/>
  <c r="AA7" i="68"/>
  <c r="C27" i="83"/>
  <c r="D27" i="83"/>
  <c r="F28" i="83"/>
  <c r="E28" i="83"/>
  <c r="A29" i="83"/>
  <c r="G28" i="83"/>
  <c r="B28" i="83"/>
  <c r="C27" i="78"/>
  <c r="D27" i="78"/>
  <c r="F28" i="84"/>
  <c r="A29" i="84"/>
  <c r="G28" i="84"/>
  <c r="B28" i="84"/>
  <c r="E28" i="84"/>
  <c r="F28" i="78"/>
  <c r="E28" i="78"/>
  <c r="A29" i="78"/>
  <c r="G28" i="78"/>
  <c r="B28" i="78"/>
  <c r="D28" i="81"/>
  <c r="C28" i="81"/>
  <c r="E24" i="88"/>
  <c r="F24" i="88"/>
  <c r="A25" i="88"/>
  <c r="G24" i="88"/>
  <c r="B24" i="88"/>
  <c r="D28" i="79"/>
  <c r="C28" i="79"/>
  <c r="B29" i="81"/>
  <c r="G29" i="81"/>
  <c r="E29" i="81"/>
  <c r="F29" i="81"/>
  <c r="A30" i="81"/>
  <c r="C23" i="88"/>
  <c r="D23" i="88"/>
  <c r="F29" i="79"/>
  <c r="B29" i="79"/>
  <c r="A30" i="79"/>
  <c r="G29" i="79"/>
  <c r="E29" i="79"/>
  <c r="C25" i="85"/>
  <c r="D25" i="85"/>
  <c r="E29" i="82"/>
  <c r="A30" i="82"/>
  <c r="F29" i="82"/>
  <c r="G29" i="82"/>
  <c r="B29" i="82"/>
  <c r="D28" i="82"/>
  <c r="C28" i="82"/>
  <c r="D23" i="87"/>
  <c r="C23" i="87"/>
  <c r="A27" i="85"/>
  <c r="E26" i="85"/>
  <c r="G26" i="85"/>
  <c r="B26" i="85"/>
  <c r="F26" i="85"/>
  <c r="D27" i="84"/>
  <c r="C27" i="84"/>
  <c r="G24" i="87"/>
  <c r="B24" i="87"/>
  <c r="A25" i="87"/>
  <c r="E24" i="87"/>
  <c r="F24" i="87"/>
  <c r="C25" i="86"/>
  <c r="D25" i="86"/>
  <c r="A27" i="86"/>
  <c r="F26" i="86"/>
  <c r="G26" i="86"/>
  <c r="B26" i="86"/>
  <c r="E26" i="86"/>
  <c r="D28" i="80"/>
  <c r="C28" i="80"/>
  <c r="E29" i="80"/>
  <c r="G29" i="80"/>
  <c r="F29" i="80"/>
  <c r="B29" i="80"/>
  <c r="A30" i="80"/>
  <c r="AC7" i="68" l="1"/>
  <c r="AD7" i="68" s="1"/>
  <c r="B14" i="75" s="1"/>
  <c r="D28" i="83"/>
  <c r="C28" i="83"/>
  <c r="A30" i="83"/>
  <c r="F29" i="83"/>
  <c r="E29" i="83"/>
  <c r="G29" i="83"/>
  <c r="B29" i="83"/>
  <c r="C26" i="85"/>
  <c r="D26" i="85"/>
  <c r="G30" i="79"/>
  <c r="B30" i="79"/>
  <c r="A31" i="79"/>
  <c r="E30" i="79"/>
  <c r="F30" i="79"/>
  <c r="C29" i="79"/>
  <c r="D29" i="79"/>
  <c r="E27" i="85"/>
  <c r="G27" i="85"/>
  <c r="A28" i="85"/>
  <c r="B27" i="85"/>
  <c r="F27" i="85"/>
  <c r="D28" i="78"/>
  <c r="C28" i="78"/>
  <c r="A28" i="86"/>
  <c r="F27" i="86"/>
  <c r="E27" i="86"/>
  <c r="B27" i="86"/>
  <c r="G27" i="86"/>
  <c r="A31" i="81"/>
  <c r="G30" i="81"/>
  <c r="B30" i="81"/>
  <c r="F30" i="81"/>
  <c r="E30" i="81"/>
  <c r="B29" i="78"/>
  <c r="G29" i="78"/>
  <c r="E29" i="78"/>
  <c r="F29" i="78"/>
  <c r="A30" i="78"/>
  <c r="D29" i="82"/>
  <c r="C29" i="82"/>
  <c r="F25" i="87"/>
  <c r="B25" i="87"/>
  <c r="A26" i="87"/>
  <c r="E25" i="87"/>
  <c r="G25" i="87"/>
  <c r="C29" i="81"/>
  <c r="D29" i="81"/>
  <c r="C28" i="84"/>
  <c r="D28" i="84"/>
  <c r="D26" i="86"/>
  <c r="C26" i="86"/>
  <c r="B30" i="82"/>
  <c r="F30" i="82"/>
  <c r="G30" i="82"/>
  <c r="E30" i="82"/>
  <c r="A31" i="82"/>
  <c r="D24" i="87"/>
  <c r="C24" i="87"/>
  <c r="B29" i="84"/>
  <c r="A30" i="84"/>
  <c r="F29" i="84"/>
  <c r="G29" i="84"/>
  <c r="E29" i="84"/>
  <c r="D24" i="88"/>
  <c r="C24" i="88"/>
  <c r="F25" i="88"/>
  <c r="G25" i="88"/>
  <c r="B25" i="88"/>
  <c r="E25" i="88"/>
  <c r="A26" i="88"/>
  <c r="B30" i="80"/>
  <c r="G30" i="80"/>
  <c r="A31" i="80"/>
  <c r="F30" i="80"/>
  <c r="E30" i="80"/>
  <c r="D29" i="80"/>
  <c r="C29" i="80"/>
  <c r="B7" i="75" l="1"/>
  <c r="E7" i="75" s="1"/>
  <c r="B16" i="75"/>
  <c r="E16" i="75" s="1"/>
  <c r="B8" i="75"/>
  <c r="I8" i="75" s="1"/>
  <c r="B12" i="75"/>
  <c r="C12" i="75" s="1"/>
  <c r="B11" i="75"/>
  <c r="C11" i="75" s="1"/>
  <c r="B10" i="75"/>
  <c r="F10" i="75" s="1"/>
  <c r="B15" i="75"/>
  <c r="I15" i="75" s="1"/>
  <c r="B13" i="75"/>
  <c r="E13" i="75" s="1"/>
  <c r="G14" i="75"/>
  <c r="D14" i="75"/>
  <c r="B9" i="75"/>
  <c r="C9" i="75" s="1"/>
  <c r="H14" i="75"/>
  <c r="C14" i="75"/>
  <c r="K14" i="75"/>
  <c r="E14" i="75"/>
  <c r="I14" i="75"/>
  <c r="F14" i="75"/>
  <c r="J14" i="75"/>
  <c r="L14" i="75"/>
  <c r="C29" i="83"/>
  <c r="D29" i="83"/>
  <c r="F30" i="83"/>
  <c r="A31" i="83"/>
  <c r="G30" i="83"/>
  <c r="E30" i="83"/>
  <c r="B30" i="83"/>
  <c r="F30" i="78"/>
  <c r="B30" i="78"/>
  <c r="G30" i="78"/>
  <c r="A31" i="78"/>
  <c r="E30" i="78"/>
  <c r="A27" i="88"/>
  <c r="G26" i="88"/>
  <c r="F26" i="88"/>
  <c r="B26" i="88"/>
  <c r="E26" i="88"/>
  <c r="C25" i="88"/>
  <c r="D25" i="88"/>
  <c r="C30" i="82"/>
  <c r="D30" i="82"/>
  <c r="C27" i="85"/>
  <c r="D27" i="85"/>
  <c r="E28" i="85"/>
  <c r="F28" i="85"/>
  <c r="G28" i="85"/>
  <c r="B28" i="85"/>
  <c r="A29" i="85"/>
  <c r="D29" i="78"/>
  <c r="C29" i="78"/>
  <c r="C30" i="81"/>
  <c r="D30" i="81"/>
  <c r="A32" i="81"/>
  <c r="F31" i="81"/>
  <c r="E31" i="81"/>
  <c r="B31" i="81"/>
  <c r="G31" i="81"/>
  <c r="B30" i="84"/>
  <c r="F30" i="84"/>
  <c r="E30" i="84"/>
  <c r="A31" i="84"/>
  <c r="G30" i="84"/>
  <c r="E31" i="79"/>
  <c r="B31" i="79"/>
  <c r="A32" i="79"/>
  <c r="F31" i="79"/>
  <c r="G31" i="79"/>
  <c r="D29" i="84"/>
  <c r="C29" i="84"/>
  <c r="B26" i="87"/>
  <c r="F26" i="87"/>
  <c r="A27" i="87"/>
  <c r="E26" i="87"/>
  <c r="G26" i="87"/>
  <c r="D27" i="86"/>
  <c r="C27" i="86"/>
  <c r="D30" i="79"/>
  <c r="C30" i="79"/>
  <c r="C25" i="87"/>
  <c r="D25" i="87"/>
  <c r="E31" i="82"/>
  <c r="A32" i="82"/>
  <c r="G31" i="82"/>
  <c r="B31" i="82"/>
  <c r="F31" i="82"/>
  <c r="E28" i="86"/>
  <c r="A29" i="86"/>
  <c r="B28" i="86"/>
  <c r="F28" i="86"/>
  <c r="G28" i="86"/>
  <c r="B31" i="80"/>
  <c r="F31" i="80"/>
  <c r="A32" i="80"/>
  <c r="E31" i="80"/>
  <c r="G31" i="80"/>
  <c r="C30" i="80"/>
  <c r="D30" i="80"/>
  <c r="K8" i="75" l="1"/>
  <c r="L8" i="75"/>
  <c r="L12" i="75"/>
  <c r="G12" i="75"/>
  <c r="H12" i="75"/>
  <c r="J8" i="75"/>
  <c r="H8" i="75"/>
  <c r="K12" i="75"/>
  <c r="K16" i="75"/>
  <c r="I12" i="75"/>
  <c r="H11" i="75"/>
  <c r="G8" i="75"/>
  <c r="L16" i="75"/>
  <c r="I16" i="75"/>
  <c r="D16" i="75"/>
  <c r="I7" i="75"/>
  <c r="F16" i="75"/>
  <c r="G16" i="75"/>
  <c r="H16" i="75"/>
  <c r="D7" i="75"/>
  <c r="D12" i="75"/>
  <c r="J7" i="75"/>
  <c r="E11" i="75"/>
  <c r="G7" i="75"/>
  <c r="C8" i="75"/>
  <c r="J16" i="75"/>
  <c r="H7" i="75"/>
  <c r="G11" i="75"/>
  <c r="J12" i="75"/>
  <c r="F12" i="75"/>
  <c r="L11" i="75"/>
  <c r="E12" i="75"/>
  <c r="I11" i="75"/>
  <c r="K7" i="75"/>
  <c r="F7" i="75"/>
  <c r="F11" i="75"/>
  <c r="C7" i="75"/>
  <c r="L7" i="75"/>
  <c r="K11" i="75"/>
  <c r="J11" i="75"/>
  <c r="D11" i="75"/>
  <c r="E8" i="75"/>
  <c r="J10" i="75"/>
  <c r="L13" i="75"/>
  <c r="F15" i="75"/>
  <c r="L10" i="75"/>
  <c r="E15" i="75"/>
  <c r="C16" i="75"/>
  <c r="F8" i="75"/>
  <c r="D8" i="75"/>
  <c r="G10" i="75"/>
  <c r="C13" i="75"/>
  <c r="K13" i="75"/>
  <c r="E9" i="75"/>
  <c r="H13" i="75"/>
  <c r="L9" i="75"/>
  <c r="D13" i="75"/>
  <c r="I13" i="75"/>
  <c r="K9" i="75"/>
  <c r="G13" i="75"/>
  <c r="F13" i="75"/>
  <c r="K15" i="75"/>
  <c r="D15" i="75"/>
  <c r="D10" i="75"/>
  <c r="I10" i="75"/>
  <c r="C15" i="75"/>
  <c r="H10" i="75"/>
  <c r="K10" i="75"/>
  <c r="G15" i="75"/>
  <c r="J15" i="75"/>
  <c r="E10" i="75"/>
  <c r="C10" i="75"/>
  <c r="H15" i="75"/>
  <c r="L15" i="75"/>
  <c r="D9" i="75"/>
  <c r="J9" i="75"/>
  <c r="G9" i="75"/>
  <c r="F9" i="75"/>
  <c r="I9" i="75"/>
  <c r="AB7" i="69"/>
  <c r="J13" i="75"/>
  <c r="H9" i="75"/>
  <c r="AA7" i="69"/>
  <c r="M14" i="75"/>
  <c r="O14" i="75" s="1"/>
  <c r="N14" i="75"/>
  <c r="C30" i="83"/>
  <c r="D30" i="83"/>
  <c r="B31" i="83"/>
  <c r="G31" i="83"/>
  <c r="F31" i="83"/>
  <c r="E31" i="83"/>
  <c r="A32" i="83"/>
  <c r="C30" i="84"/>
  <c r="D30" i="84"/>
  <c r="D28" i="86"/>
  <c r="C28" i="86"/>
  <c r="A28" i="87"/>
  <c r="G27" i="87"/>
  <c r="F27" i="87"/>
  <c r="B27" i="87"/>
  <c r="E27" i="87"/>
  <c r="D31" i="81"/>
  <c r="C31" i="81"/>
  <c r="G29" i="86"/>
  <c r="F29" i="86"/>
  <c r="E29" i="86"/>
  <c r="A30" i="86"/>
  <c r="B29" i="86"/>
  <c r="C26" i="87"/>
  <c r="D26" i="87"/>
  <c r="B32" i="81"/>
  <c r="E32" i="81"/>
  <c r="A33" i="81"/>
  <c r="F32" i="81"/>
  <c r="G32" i="81"/>
  <c r="C31" i="82"/>
  <c r="D31" i="82"/>
  <c r="D26" i="88"/>
  <c r="C26" i="88"/>
  <c r="G32" i="79"/>
  <c r="B32" i="79"/>
  <c r="A33" i="79"/>
  <c r="F32" i="79"/>
  <c r="E32" i="79"/>
  <c r="B27" i="88"/>
  <c r="F27" i="88"/>
  <c r="E27" i="88"/>
  <c r="A28" i="88"/>
  <c r="G27" i="88"/>
  <c r="G32" i="82"/>
  <c r="A33" i="82"/>
  <c r="B32" i="82"/>
  <c r="E32" i="82"/>
  <c r="F32" i="82"/>
  <c r="C31" i="79"/>
  <c r="D31" i="79"/>
  <c r="B29" i="85"/>
  <c r="A30" i="85"/>
  <c r="E29" i="85"/>
  <c r="F29" i="85"/>
  <c r="G29" i="85"/>
  <c r="C28" i="85"/>
  <c r="D28" i="85"/>
  <c r="E31" i="78"/>
  <c r="F31" i="78"/>
  <c r="A32" i="78"/>
  <c r="B31" i="78"/>
  <c r="G31" i="78"/>
  <c r="G31" i="84"/>
  <c r="A32" i="84"/>
  <c r="E31" i="84"/>
  <c r="B31" i="84"/>
  <c r="F31" i="84"/>
  <c r="C30" i="78"/>
  <c r="D30" i="78"/>
  <c r="E32" i="80"/>
  <c r="A33" i="80"/>
  <c r="F32" i="80"/>
  <c r="B32" i="80"/>
  <c r="G32" i="80"/>
  <c r="D31" i="80"/>
  <c r="C31" i="80"/>
  <c r="N12" i="75" l="1"/>
  <c r="M12" i="75"/>
  <c r="O12" i="75" s="1"/>
  <c r="N16" i="75"/>
  <c r="M16" i="75"/>
  <c r="O16" i="75" s="1"/>
  <c r="M8" i="75"/>
  <c r="O8" i="75" s="1"/>
  <c r="M7" i="75"/>
  <c r="O7" i="75" s="1"/>
  <c r="N11" i="75"/>
  <c r="M11" i="75"/>
  <c r="O11" i="75" s="1"/>
  <c r="N7" i="75"/>
  <c r="N8" i="75"/>
  <c r="M13" i="75"/>
  <c r="O13" i="75" s="1"/>
  <c r="AC7" i="69"/>
  <c r="AD7" i="69" s="1"/>
  <c r="B16" i="77" s="1"/>
  <c r="K16" i="77" s="1"/>
  <c r="N10" i="75"/>
  <c r="M9" i="75"/>
  <c r="O9" i="75" s="1"/>
  <c r="M10" i="75"/>
  <c r="O10" i="75" s="1"/>
  <c r="N15" i="75"/>
  <c r="M15" i="75"/>
  <c r="O15" i="75" s="1"/>
  <c r="N13" i="75"/>
  <c r="N9" i="75"/>
  <c r="B12" i="77"/>
  <c r="L12" i="77" s="1"/>
  <c r="C31" i="83"/>
  <c r="D31" i="83"/>
  <c r="A33" i="83"/>
  <c r="B32" i="83"/>
  <c r="F32" i="83"/>
  <c r="E32" i="83"/>
  <c r="G32" i="83"/>
  <c r="G30" i="85"/>
  <c r="F30" i="85"/>
  <c r="E30" i="85"/>
  <c r="B30" i="85"/>
  <c r="A31" i="85"/>
  <c r="A34" i="79"/>
  <c r="E33" i="79"/>
  <c r="G33" i="79"/>
  <c r="F33" i="79"/>
  <c r="B33" i="79"/>
  <c r="D29" i="86"/>
  <c r="C29" i="86"/>
  <c r="C29" i="85"/>
  <c r="D29" i="85"/>
  <c r="C32" i="79"/>
  <c r="D32" i="79"/>
  <c r="G30" i="86"/>
  <c r="F30" i="86"/>
  <c r="B30" i="86"/>
  <c r="E30" i="86"/>
  <c r="A31" i="86"/>
  <c r="D31" i="84"/>
  <c r="C31" i="84"/>
  <c r="G32" i="84"/>
  <c r="A33" i="84"/>
  <c r="F32" i="84"/>
  <c r="B32" i="84"/>
  <c r="E32" i="84"/>
  <c r="C32" i="82"/>
  <c r="D32" i="82"/>
  <c r="D27" i="87"/>
  <c r="C27" i="87"/>
  <c r="D31" i="78"/>
  <c r="C31" i="78"/>
  <c r="G33" i="82"/>
  <c r="F33" i="82"/>
  <c r="E33" i="82"/>
  <c r="B33" i="82"/>
  <c r="A34" i="82"/>
  <c r="A34" i="81"/>
  <c r="G33" i="81"/>
  <c r="E33" i="81"/>
  <c r="F33" i="81"/>
  <c r="B33" i="81"/>
  <c r="F28" i="87"/>
  <c r="B28" i="87"/>
  <c r="A29" i="87"/>
  <c r="E28" i="87"/>
  <c r="G28" i="87"/>
  <c r="G32" i="78"/>
  <c r="A33" i="78"/>
  <c r="F32" i="78"/>
  <c r="E32" i="78"/>
  <c r="B32" i="78"/>
  <c r="F28" i="88"/>
  <c r="E28" i="88"/>
  <c r="A29" i="88"/>
  <c r="G28" i="88"/>
  <c r="B28" i="88"/>
  <c r="C32" i="81"/>
  <c r="D32" i="81"/>
  <c r="C27" i="88"/>
  <c r="D27" i="88"/>
  <c r="G33" i="80"/>
  <c r="A34" i="80"/>
  <c r="F33" i="80"/>
  <c r="E33" i="80"/>
  <c r="B33" i="80"/>
  <c r="D32" i="80"/>
  <c r="C32" i="80"/>
  <c r="B11" i="77" l="1"/>
  <c r="H11" i="77" s="1"/>
  <c r="I16" i="77"/>
  <c r="B13" i="77"/>
  <c r="M13" i="77" s="1"/>
  <c r="L16" i="77"/>
  <c r="G16" i="77"/>
  <c r="J16" i="77"/>
  <c r="B10" i="77"/>
  <c r="I10" i="77" s="1"/>
  <c r="B15" i="77"/>
  <c r="L15" i="77" s="1"/>
  <c r="B8" i="77"/>
  <c r="C8" i="77" s="1"/>
  <c r="B9" i="77"/>
  <c r="N9" i="77" s="1"/>
  <c r="E16" i="77"/>
  <c r="B14" i="77"/>
  <c r="K14" i="77" s="1"/>
  <c r="B7" i="77"/>
  <c r="M7" i="77" s="1"/>
  <c r="D16" i="77"/>
  <c r="H16" i="77"/>
  <c r="N16" i="77"/>
  <c r="M16" i="77"/>
  <c r="C16" i="77"/>
  <c r="F16" i="77"/>
  <c r="D12" i="77"/>
  <c r="K12" i="77"/>
  <c r="E12" i="77"/>
  <c r="J12" i="77"/>
  <c r="F12" i="77"/>
  <c r="N12" i="77"/>
  <c r="C12" i="77"/>
  <c r="I12" i="77"/>
  <c r="H12" i="77"/>
  <c r="G12" i="77"/>
  <c r="M12" i="77"/>
  <c r="C32" i="83"/>
  <c r="D32" i="83"/>
  <c r="B33" i="83"/>
  <c r="F33" i="83"/>
  <c r="G33" i="83"/>
  <c r="A34" i="83"/>
  <c r="E33" i="83"/>
  <c r="D33" i="81"/>
  <c r="C33" i="81"/>
  <c r="E29" i="87"/>
  <c r="F29" i="87"/>
  <c r="A30" i="87"/>
  <c r="B29" i="87"/>
  <c r="G29" i="87"/>
  <c r="C32" i="84"/>
  <c r="D32" i="84"/>
  <c r="C28" i="87"/>
  <c r="D28" i="87"/>
  <c r="C28" i="88"/>
  <c r="D28" i="88"/>
  <c r="D33" i="79"/>
  <c r="C33" i="79"/>
  <c r="G29" i="88"/>
  <c r="B29" i="88"/>
  <c r="E29" i="88"/>
  <c r="F29" i="88"/>
  <c r="A30" i="88"/>
  <c r="B33" i="84"/>
  <c r="G33" i="84"/>
  <c r="A34" i="84"/>
  <c r="E33" i="84"/>
  <c r="F33" i="84"/>
  <c r="B34" i="81"/>
  <c r="G34" i="81"/>
  <c r="A35" i="81"/>
  <c r="E34" i="81"/>
  <c r="F34" i="81"/>
  <c r="A35" i="82"/>
  <c r="B34" i="82"/>
  <c r="G34" i="82"/>
  <c r="F34" i="82"/>
  <c r="E34" i="82"/>
  <c r="D32" i="78"/>
  <c r="C32" i="78"/>
  <c r="C33" i="82"/>
  <c r="D33" i="82"/>
  <c r="E34" i="79"/>
  <c r="B34" i="79"/>
  <c r="F34" i="79"/>
  <c r="G34" i="79"/>
  <c r="A35" i="79"/>
  <c r="F31" i="86"/>
  <c r="E31" i="86"/>
  <c r="B31" i="86"/>
  <c r="A32" i="86"/>
  <c r="G31" i="86"/>
  <c r="F31" i="85"/>
  <c r="G31" i="85"/>
  <c r="E31" i="85"/>
  <c r="B31" i="85"/>
  <c r="A32" i="85"/>
  <c r="C30" i="85"/>
  <c r="D30" i="85"/>
  <c r="G33" i="78"/>
  <c r="A34" i="78"/>
  <c r="F33" i="78"/>
  <c r="B33" i="78"/>
  <c r="E33" i="78"/>
  <c r="C30" i="86"/>
  <c r="D30" i="86"/>
  <c r="B34" i="80"/>
  <c r="G34" i="80"/>
  <c r="F34" i="80"/>
  <c r="A35" i="80"/>
  <c r="E34" i="80"/>
  <c r="D33" i="80"/>
  <c r="C33" i="80"/>
  <c r="H13" i="77" l="1"/>
  <c r="J11" i="77"/>
  <c r="F9" i="77"/>
  <c r="E9" i="77"/>
  <c r="I9" i="77"/>
  <c r="G13" i="77"/>
  <c r="L13" i="77"/>
  <c r="J13" i="77"/>
  <c r="F13" i="77"/>
  <c r="D11" i="77"/>
  <c r="F11" i="77"/>
  <c r="C11" i="77"/>
  <c r="M11" i="77"/>
  <c r="G11" i="77"/>
  <c r="N11" i="77"/>
  <c r="K11" i="77"/>
  <c r="E11" i="77"/>
  <c r="I13" i="77"/>
  <c r="L11" i="77"/>
  <c r="N14" i="77"/>
  <c r="N13" i="77"/>
  <c r="I11" i="77"/>
  <c r="J14" i="77"/>
  <c r="N7" i="77"/>
  <c r="G14" i="77"/>
  <c r="L14" i="77"/>
  <c r="M14" i="77"/>
  <c r="E14" i="77"/>
  <c r="C7" i="77"/>
  <c r="N15" i="77"/>
  <c r="F15" i="77"/>
  <c r="H7" i="77"/>
  <c r="H14" i="77"/>
  <c r="D13" i="77"/>
  <c r="I7" i="77"/>
  <c r="D14" i="77"/>
  <c r="E7" i="77"/>
  <c r="K13" i="77"/>
  <c r="E13" i="77"/>
  <c r="C13" i="77"/>
  <c r="K7" i="77"/>
  <c r="G7" i="77"/>
  <c r="F10" i="77"/>
  <c r="C15" i="77"/>
  <c r="K10" i="77"/>
  <c r="D15" i="77"/>
  <c r="I15" i="77"/>
  <c r="H8" i="77"/>
  <c r="M8" i="77"/>
  <c r="J8" i="77"/>
  <c r="E8" i="77"/>
  <c r="J15" i="77"/>
  <c r="H15" i="77"/>
  <c r="M15" i="77"/>
  <c r="K8" i="77"/>
  <c r="F8" i="77"/>
  <c r="I8" i="77"/>
  <c r="F14" i="77"/>
  <c r="C14" i="77"/>
  <c r="F7" i="77"/>
  <c r="G15" i="77"/>
  <c r="K15" i="77"/>
  <c r="L7" i="77"/>
  <c r="M9" i="77"/>
  <c r="E10" i="77"/>
  <c r="G10" i="77"/>
  <c r="M10" i="77"/>
  <c r="D10" i="77"/>
  <c r="H10" i="77"/>
  <c r="C10" i="77"/>
  <c r="N10" i="77"/>
  <c r="J10" i="77"/>
  <c r="I14" i="77"/>
  <c r="J9" i="77"/>
  <c r="L9" i="77"/>
  <c r="D7" i="77"/>
  <c r="N8" i="77"/>
  <c r="J7" i="77"/>
  <c r="E15" i="77"/>
  <c r="L10" i="77"/>
  <c r="C9" i="77"/>
  <c r="H9" i="77"/>
  <c r="D8" i="77"/>
  <c r="G8" i="77"/>
  <c r="L8" i="77"/>
  <c r="G9" i="77"/>
  <c r="K9" i="77"/>
  <c r="D9" i="77"/>
  <c r="P16" i="77"/>
  <c r="O16" i="77"/>
  <c r="Q16" i="77" s="1"/>
  <c r="O12" i="77"/>
  <c r="Q12" i="77" s="1"/>
  <c r="P12" i="77"/>
  <c r="D33" i="83"/>
  <c r="C33" i="83"/>
  <c r="A35" i="83"/>
  <c r="G34" i="83"/>
  <c r="B34" i="83"/>
  <c r="F34" i="83"/>
  <c r="E34" i="83"/>
  <c r="E35" i="79"/>
  <c r="G35" i="79"/>
  <c r="F35" i="79"/>
  <c r="B35" i="79"/>
  <c r="A36" i="79"/>
  <c r="E35" i="81"/>
  <c r="F35" i="81"/>
  <c r="A36" i="81"/>
  <c r="G35" i="81"/>
  <c r="B35" i="81"/>
  <c r="A36" i="82"/>
  <c r="F35" i="82"/>
  <c r="E35" i="82"/>
  <c r="G35" i="82"/>
  <c r="B35" i="82"/>
  <c r="G34" i="78"/>
  <c r="A35" i="78"/>
  <c r="E34" i="78"/>
  <c r="B34" i="78"/>
  <c r="F34" i="78"/>
  <c r="C34" i="81"/>
  <c r="D34" i="81"/>
  <c r="C34" i="82"/>
  <c r="D34" i="82"/>
  <c r="D34" i="79"/>
  <c r="C34" i="79"/>
  <c r="B32" i="86"/>
  <c r="A33" i="86"/>
  <c r="F32" i="86"/>
  <c r="E32" i="86"/>
  <c r="G32" i="86"/>
  <c r="D33" i="78"/>
  <c r="C33" i="78"/>
  <c r="C31" i="86"/>
  <c r="D31" i="86"/>
  <c r="A35" i="84"/>
  <c r="F34" i="84"/>
  <c r="E34" i="84"/>
  <c r="G34" i="84"/>
  <c r="B34" i="84"/>
  <c r="G32" i="85"/>
  <c r="E32" i="85"/>
  <c r="B32" i="85"/>
  <c r="A33" i="85"/>
  <c r="F32" i="85"/>
  <c r="D29" i="87"/>
  <c r="C29" i="87"/>
  <c r="D31" i="85"/>
  <c r="C31" i="85"/>
  <c r="D33" i="84"/>
  <c r="C33" i="84"/>
  <c r="G30" i="87"/>
  <c r="F30" i="87"/>
  <c r="B30" i="87"/>
  <c r="A31" i="87"/>
  <c r="E30" i="87"/>
  <c r="B30" i="88"/>
  <c r="A31" i="88"/>
  <c r="E30" i="88"/>
  <c r="F30" i="88"/>
  <c r="G30" i="88"/>
  <c r="C29" i="88"/>
  <c r="D29" i="88"/>
  <c r="C34" i="80"/>
  <c r="D34" i="80"/>
  <c r="A36" i="80"/>
  <c r="G35" i="80"/>
  <c r="F35" i="80"/>
  <c r="E35" i="80"/>
  <c r="B35" i="80"/>
  <c r="P11" i="77" l="1"/>
  <c r="O11" i="77"/>
  <c r="Q11" i="77" s="1"/>
  <c r="P13" i="77"/>
  <c r="O13" i="77"/>
  <c r="Q13" i="77" s="1"/>
  <c r="P15" i="77"/>
  <c r="O7" i="77"/>
  <c r="Q7" i="77" s="1"/>
  <c r="O14" i="77"/>
  <c r="Q14" i="77" s="1"/>
  <c r="P14" i="77"/>
  <c r="O9" i="77"/>
  <c r="Q9" i="77" s="1"/>
  <c r="P7" i="77"/>
  <c r="O10" i="77"/>
  <c r="Q10" i="77" s="1"/>
  <c r="O15" i="77"/>
  <c r="Q15" i="77" s="1"/>
  <c r="O8" i="77"/>
  <c r="Q8" i="77" s="1"/>
  <c r="P8" i="77"/>
  <c r="P9" i="77"/>
  <c r="P10" i="77"/>
  <c r="D34" i="83"/>
  <c r="C34" i="83"/>
  <c r="A36" i="83"/>
  <c r="E35" i="83"/>
  <c r="G35" i="83"/>
  <c r="F35" i="83"/>
  <c r="B35" i="83"/>
  <c r="F33" i="85"/>
  <c r="E33" i="85"/>
  <c r="A34" i="85"/>
  <c r="G33" i="85"/>
  <c r="B33" i="85"/>
  <c r="F33" i="86"/>
  <c r="B33" i="86"/>
  <c r="G33" i="86"/>
  <c r="E33" i="86"/>
  <c r="A34" i="86"/>
  <c r="C32" i="85"/>
  <c r="D32" i="85"/>
  <c r="D32" i="86"/>
  <c r="C32" i="86"/>
  <c r="B36" i="82"/>
  <c r="A37" i="82"/>
  <c r="F36" i="82"/>
  <c r="E36" i="82"/>
  <c r="G36" i="82"/>
  <c r="A32" i="88"/>
  <c r="G31" i="88"/>
  <c r="F31" i="88"/>
  <c r="E31" i="88"/>
  <c r="B31" i="88"/>
  <c r="D35" i="81"/>
  <c r="C35" i="81"/>
  <c r="D30" i="88"/>
  <c r="C30" i="88"/>
  <c r="C34" i="84"/>
  <c r="D34" i="84"/>
  <c r="E36" i="81"/>
  <c r="G36" i="81"/>
  <c r="A37" i="81"/>
  <c r="B36" i="81"/>
  <c r="F36" i="81"/>
  <c r="A32" i="87"/>
  <c r="G31" i="87"/>
  <c r="B31" i="87"/>
  <c r="F31" i="87"/>
  <c r="E31" i="87"/>
  <c r="D30" i="87"/>
  <c r="C30" i="87"/>
  <c r="E36" i="79"/>
  <c r="A37" i="79"/>
  <c r="G36" i="79"/>
  <c r="B36" i="79"/>
  <c r="F36" i="79"/>
  <c r="G35" i="84"/>
  <c r="F35" i="84"/>
  <c r="A36" i="84"/>
  <c r="B35" i="84"/>
  <c r="E35" i="84"/>
  <c r="D35" i="79"/>
  <c r="C35" i="79"/>
  <c r="D35" i="82"/>
  <c r="C35" i="82"/>
  <c r="D34" i="78"/>
  <c r="C34" i="78"/>
  <c r="B35" i="78"/>
  <c r="E35" i="78"/>
  <c r="G35" i="78"/>
  <c r="A36" i="78"/>
  <c r="F35" i="78"/>
  <c r="A37" i="80"/>
  <c r="G36" i="80"/>
  <c r="E36" i="80"/>
  <c r="F36" i="80"/>
  <c r="B36" i="80"/>
  <c r="C35" i="80"/>
  <c r="D35" i="80"/>
  <c r="E36" i="83" l="1"/>
  <c r="B36" i="83"/>
  <c r="F36" i="83"/>
  <c r="A37" i="83"/>
  <c r="G36" i="83"/>
  <c r="C35" i="83"/>
  <c r="D35" i="83"/>
  <c r="G37" i="82"/>
  <c r="B37" i="82"/>
  <c r="E37" i="82"/>
  <c r="F37" i="82"/>
  <c r="A38" i="82"/>
  <c r="D36" i="82"/>
  <c r="C36" i="82"/>
  <c r="A37" i="78"/>
  <c r="B36" i="78"/>
  <c r="F36" i="78"/>
  <c r="E36" i="78"/>
  <c r="G36" i="78"/>
  <c r="C36" i="79"/>
  <c r="D36" i="79"/>
  <c r="B37" i="79"/>
  <c r="G37" i="79"/>
  <c r="E37" i="79"/>
  <c r="A38" i="79"/>
  <c r="F37" i="79"/>
  <c r="C35" i="78"/>
  <c r="D35" i="78"/>
  <c r="F34" i="86"/>
  <c r="E34" i="86"/>
  <c r="G34" i="86"/>
  <c r="B34" i="86"/>
  <c r="A35" i="86"/>
  <c r="D31" i="88"/>
  <c r="C31" i="88"/>
  <c r="D33" i="86"/>
  <c r="C33" i="86"/>
  <c r="D31" i="87"/>
  <c r="C31" i="87"/>
  <c r="D33" i="85"/>
  <c r="C33" i="85"/>
  <c r="F32" i="87"/>
  <c r="E32" i="87"/>
  <c r="G32" i="87"/>
  <c r="B32" i="87"/>
  <c r="A33" i="87"/>
  <c r="G32" i="88"/>
  <c r="E32" i="88"/>
  <c r="F32" i="88"/>
  <c r="B32" i="88"/>
  <c r="A33" i="88"/>
  <c r="C35" i="84"/>
  <c r="D35" i="84"/>
  <c r="G34" i="85"/>
  <c r="B34" i="85"/>
  <c r="F34" i="85"/>
  <c r="E34" i="85"/>
  <c r="A35" i="85"/>
  <c r="G36" i="84"/>
  <c r="A37" i="84"/>
  <c r="B36" i="84"/>
  <c r="E36" i="84"/>
  <c r="F36" i="84"/>
  <c r="C36" i="81"/>
  <c r="D36" i="81"/>
  <c r="G37" i="81"/>
  <c r="A38" i="81"/>
  <c r="E37" i="81"/>
  <c r="F37" i="81"/>
  <c r="B37" i="81"/>
  <c r="F37" i="80"/>
  <c r="A38" i="80"/>
  <c r="G37" i="80"/>
  <c r="E37" i="80"/>
  <c r="B37" i="80"/>
  <c r="D36" i="80"/>
  <c r="C36" i="80"/>
  <c r="C36" i="83" l="1"/>
  <c r="D36" i="83"/>
  <c r="F37" i="83"/>
  <c r="A38" i="83"/>
  <c r="B37" i="83"/>
  <c r="E37" i="83"/>
  <c r="G37" i="83"/>
  <c r="D37" i="81"/>
  <c r="C37" i="81"/>
  <c r="A39" i="81"/>
  <c r="B38" i="81"/>
  <c r="E38" i="81"/>
  <c r="G38" i="81"/>
  <c r="F38" i="81"/>
  <c r="E33" i="88"/>
  <c r="B33" i="88"/>
  <c r="F33" i="88"/>
  <c r="G33" i="88"/>
  <c r="A34" i="88"/>
  <c r="D37" i="79"/>
  <c r="C37" i="79"/>
  <c r="C32" i="88"/>
  <c r="D32" i="88"/>
  <c r="G35" i="86"/>
  <c r="F35" i="86"/>
  <c r="A36" i="86"/>
  <c r="B35" i="86"/>
  <c r="E35" i="86"/>
  <c r="C34" i="86"/>
  <c r="D34" i="86"/>
  <c r="D36" i="78"/>
  <c r="C36" i="78"/>
  <c r="B37" i="78"/>
  <c r="E37" i="78"/>
  <c r="A38" i="78"/>
  <c r="G37" i="78"/>
  <c r="F37" i="78"/>
  <c r="E33" i="87"/>
  <c r="B33" i="87"/>
  <c r="G33" i="87"/>
  <c r="A34" i="87"/>
  <c r="F33" i="87"/>
  <c r="D34" i="85"/>
  <c r="C34" i="85"/>
  <c r="D36" i="84"/>
  <c r="C36" i="84"/>
  <c r="C32" i="87"/>
  <c r="D32" i="87"/>
  <c r="E37" i="84"/>
  <c r="G37" i="84"/>
  <c r="B37" i="84"/>
  <c r="A38" i="84"/>
  <c r="F37" i="84"/>
  <c r="A39" i="82"/>
  <c r="F38" i="82"/>
  <c r="E38" i="82"/>
  <c r="B38" i="82"/>
  <c r="G38" i="82"/>
  <c r="G35" i="85"/>
  <c r="F35" i="85"/>
  <c r="A36" i="85"/>
  <c r="B35" i="85"/>
  <c r="E35" i="85"/>
  <c r="G38" i="79"/>
  <c r="A39" i="79"/>
  <c r="B38" i="79"/>
  <c r="E38" i="79"/>
  <c r="F38" i="79"/>
  <c r="C37" i="82"/>
  <c r="D37" i="82"/>
  <c r="B38" i="80"/>
  <c r="G38" i="80"/>
  <c r="F38" i="80"/>
  <c r="E38" i="80"/>
  <c r="A39" i="80"/>
  <c r="D37" i="80"/>
  <c r="C37" i="80"/>
  <c r="C37" i="83" l="1"/>
  <c r="D37" i="83"/>
  <c r="G38" i="83"/>
  <c r="E38" i="83"/>
  <c r="B38" i="83"/>
  <c r="A39" i="83"/>
  <c r="F38" i="83"/>
  <c r="F39" i="82"/>
  <c r="B39" i="82"/>
  <c r="G39" i="82"/>
  <c r="E39" i="82"/>
  <c r="A40" i="82"/>
  <c r="E38" i="84"/>
  <c r="A39" i="84"/>
  <c r="B38" i="84"/>
  <c r="F38" i="84"/>
  <c r="G38" i="84"/>
  <c r="D37" i="84"/>
  <c r="C37" i="84"/>
  <c r="F38" i="78"/>
  <c r="B38" i="78"/>
  <c r="E38" i="78"/>
  <c r="G38" i="78"/>
  <c r="A39" i="78"/>
  <c r="B34" i="88"/>
  <c r="G34" i="88"/>
  <c r="F34" i="88"/>
  <c r="A35" i="88"/>
  <c r="E34" i="88"/>
  <c r="D38" i="79"/>
  <c r="C38" i="79"/>
  <c r="B39" i="79"/>
  <c r="F39" i="79"/>
  <c r="G39" i="79"/>
  <c r="E39" i="79"/>
  <c r="A40" i="79"/>
  <c r="C37" i="78"/>
  <c r="D37" i="78"/>
  <c r="D33" i="88"/>
  <c r="C33" i="88"/>
  <c r="D35" i="85"/>
  <c r="C35" i="85"/>
  <c r="A37" i="85"/>
  <c r="B36" i="85"/>
  <c r="E36" i="85"/>
  <c r="G36" i="85"/>
  <c r="F36" i="85"/>
  <c r="C35" i="86"/>
  <c r="D35" i="86"/>
  <c r="C38" i="81"/>
  <c r="D38" i="81"/>
  <c r="G36" i="86"/>
  <c r="A37" i="86"/>
  <c r="E36" i="86"/>
  <c r="B36" i="86"/>
  <c r="F36" i="86"/>
  <c r="G39" i="81"/>
  <c r="A40" i="81"/>
  <c r="F39" i="81"/>
  <c r="E39" i="81"/>
  <c r="B39" i="81"/>
  <c r="D33" i="87"/>
  <c r="C33" i="87"/>
  <c r="C38" i="82"/>
  <c r="D38" i="82"/>
  <c r="E34" i="87"/>
  <c r="F34" i="87"/>
  <c r="A35" i="87"/>
  <c r="G34" i="87"/>
  <c r="B34" i="87"/>
  <c r="C38" i="80"/>
  <c r="D38" i="80"/>
  <c r="G39" i="80"/>
  <c r="F39" i="80"/>
  <c r="E39" i="80"/>
  <c r="B39" i="80"/>
  <c r="A40" i="80"/>
  <c r="B39" i="83" l="1"/>
  <c r="E39" i="83"/>
  <c r="G39" i="83"/>
  <c r="F39" i="83"/>
  <c r="A40" i="83"/>
  <c r="D38" i="83"/>
  <c r="C38" i="83"/>
  <c r="C38" i="78"/>
  <c r="D38" i="78"/>
  <c r="E40" i="79"/>
  <c r="F40" i="79"/>
  <c r="B40" i="79"/>
  <c r="A41" i="79"/>
  <c r="G40" i="79"/>
  <c r="C39" i="79"/>
  <c r="D39" i="79"/>
  <c r="D38" i="84"/>
  <c r="C38" i="84"/>
  <c r="B39" i="84"/>
  <c r="G39" i="84"/>
  <c r="F39" i="84"/>
  <c r="E39" i="84"/>
  <c r="A40" i="84"/>
  <c r="C34" i="87"/>
  <c r="D34" i="87"/>
  <c r="C39" i="81"/>
  <c r="D39" i="81"/>
  <c r="C36" i="86"/>
  <c r="D36" i="86"/>
  <c r="B35" i="87"/>
  <c r="E35" i="87"/>
  <c r="F35" i="87"/>
  <c r="G35" i="87"/>
  <c r="A36" i="87"/>
  <c r="D36" i="85"/>
  <c r="C36" i="85"/>
  <c r="E35" i="88"/>
  <c r="A36" i="88"/>
  <c r="G35" i="88"/>
  <c r="B35" i="88"/>
  <c r="F35" i="88"/>
  <c r="A41" i="82"/>
  <c r="B40" i="82"/>
  <c r="G40" i="82"/>
  <c r="F40" i="82"/>
  <c r="E40" i="82"/>
  <c r="E37" i="85"/>
  <c r="G37" i="85"/>
  <c r="A38" i="85"/>
  <c r="F37" i="85"/>
  <c r="B37" i="85"/>
  <c r="G40" i="81"/>
  <c r="F40" i="81"/>
  <c r="A41" i="81"/>
  <c r="B40" i="81"/>
  <c r="E40" i="81"/>
  <c r="A38" i="86"/>
  <c r="B37" i="86"/>
  <c r="F37" i="86"/>
  <c r="E37" i="86"/>
  <c r="G37" i="86"/>
  <c r="D34" i="88"/>
  <c r="C34" i="88"/>
  <c r="D39" i="82"/>
  <c r="C39" i="82"/>
  <c r="F39" i="78"/>
  <c r="G39" i="78"/>
  <c r="E39" i="78"/>
  <c r="B39" i="78"/>
  <c r="A40" i="78"/>
  <c r="B40" i="80"/>
  <c r="A41" i="80"/>
  <c r="G40" i="80"/>
  <c r="F40" i="80"/>
  <c r="E40" i="80"/>
  <c r="C39" i="80"/>
  <c r="D39" i="80"/>
  <c r="A41" i="83" l="1"/>
  <c r="G40" i="83"/>
  <c r="B40" i="83"/>
  <c r="F40" i="83"/>
  <c r="E40" i="83"/>
  <c r="D39" i="83"/>
  <c r="C39" i="83"/>
  <c r="B40" i="78"/>
  <c r="G40" i="78"/>
  <c r="E40" i="78"/>
  <c r="A41" i="78"/>
  <c r="F40" i="78"/>
  <c r="F41" i="81"/>
  <c r="E41" i="81"/>
  <c r="G41" i="81"/>
  <c r="A42" i="81"/>
  <c r="B41" i="81"/>
  <c r="B36" i="88"/>
  <c r="A37" i="88"/>
  <c r="F36" i="88"/>
  <c r="E36" i="88"/>
  <c r="G36" i="88"/>
  <c r="A41" i="84"/>
  <c r="B40" i="84"/>
  <c r="F40" i="84"/>
  <c r="E40" i="84"/>
  <c r="G40" i="84"/>
  <c r="D39" i="78"/>
  <c r="C39" i="78"/>
  <c r="D40" i="81"/>
  <c r="C40" i="81"/>
  <c r="D37" i="85"/>
  <c r="C37" i="85"/>
  <c r="D39" i="84"/>
  <c r="C39" i="84"/>
  <c r="A37" i="87"/>
  <c r="E36" i="87"/>
  <c r="B36" i="87"/>
  <c r="F36" i="87"/>
  <c r="G36" i="87"/>
  <c r="G38" i="85"/>
  <c r="A39" i="85"/>
  <c r="F38" i="85"/>
  <c r="B38" i="85"/>
  <c r="E38" i="85"/>
  <c r="D35" i="87"/>
  <c r="C35" i="87"/>
  <c r="B41" i="79"/>
  <c r="E41" i="79"/>
  <c r="A42" i="79"/>
  <c r="G41" i="79"/>
  <c r="F41" i="79"/>
  <c r="D40" i="79"/>
  <c r="C40" i="79"/>
  <c r="D40" i="82"/>
  <c r="C40" i="82"/>
  <c r="D37" i="86"/>
  <c r="C37" i="86"/>
  <c r="E41" i="82"/>
  <c r="F41" i="82"/>
  <c r="A42" i="82"/>
  <c r="B41" i="82"/>
  <c r="G41" i="82"/>
  <c r="B38" i="86"/>
  <c r="F38" i="86"/>
  <c r="G38" i="86"/>
  <c r="A39" i="86"/>
  <c r="E38" i="86"/>
  <c r="C35" i="88"/>
  <c r="D35" i="88"/>
  <c r="A42" i="80"/>
  <c r="G41" i="80"/>
  <c r="F41" i="80"/>
  <c r="B41" i="80"/>
  <c r="E41" i="80"/>
  <c r="D40" i="80"/>
  <c r="C40" i="80"/>
  <c r="C40" i="83" l="1"/>
  <c r="D40" i="83"/>
  <c r="E41" i="83"/>
  <c r="G41" i="83"/>
  <c r="F41" i="83"/>
  <c r="B41" i="83"/>
  <c r="A42" i="83"/>
  <c r="E41" i="84"/>
  <c r="G41" i="84"/>
  <c r="B41" i="84"/>
  <c r="A42" i="84"/>
  <c r="F41" i="84"/>
  <c r="D36" i="87"/>
  <c r="C36" i="87"/>
  <c r="F37" i="87"/>
  <c r="E37" i="87"/>
  <c r="A38" i="87"/>
  <c r="B37" i="87"/>
  <c r="G37" i="87"/>
  <c r="B39" i="86"/>
  <c r="E39" i="86"/>
  <c r="A40" i="86"/>
  <c r="F39" i="86"/>
  <c r="G39" i="86"/>
  <c r="B37" i="88"/>
  <c r="G37" i="88"/>
  <c r="F37" i="88"/>
  <c r="A38" i="88"/>
  <c r="E37" i="88"/>
  <c r="E42" i="79"/>
  <c r="B42" i="79"/>
  <c r="A43" i="79"/>
  <c r="G42" i="79"/>
  <c r="F42" i="79"/>
  <c r="C36" i="88"/>
  <c r="D36" i="88"/>
  <c r="C41" i="81"/>
  <c r="D41" i="81"/>
  <c r="C38" i="86"/>
  <c r="D38" i="86"/>
  <c r="D41" i="79"/>
  <c r="C41" i="79"/>
  <c r="F42" i="81"/>
  <c r="E42" i="81"/>
  <c r="B42" i="81"/>
  <c r="G42" i="81"/>
  <c r="A43" i="81"/>
  <c r="D41" i="82"/>
  <c r="C41" i="82"/>
  <c r="A43" i="82"/>
  <c r="E42" i="82"/>
  <c r="F42" i="82"/>
  <c r="B42" i="82"/>
  <c r="G42" i="82"/>
  <c r="C38" i="85"/>
  <c r="D38" i="85"/>
  <c r="B41" i="78"/>
  <c r="F41" i="78"/>
  <c r="A42" i="78"/>
  <c r="E41" i="78"/>
  <c r="G41" i="78"/>
  <c r="E39" i="85"/>
  <c r="F39" i="85"/>
  <c r="B39" i="85"/>
  <c r="A40" i="85"/>
  <c r="G39" i="85"/>
  <c r="D40" i="84"/>
  <c r="C40" i="84"/>
  <c r="C40" i="78"/>
  <c r="D40" i="78"/>
  <c r="D41" i="80"/>
  <c r="C41" i="80"/>
  <c r="E42" i="80"/>
  <c r="A43" i="80"/>
  <c r="G42" i="80"/>
  <c r="F42" i="80"/>
  <c r="B42" i="80"/>
  <c r="G42" i="83" l="1"/>
  <c r="A43" i="83"/>
  <c r="E42" i="83"/>
  <c r="B42" i="83"/>
  <c r="F42" i="83"/>
  <c r="C41" i="83"/>
  <c r="D41" i="83"/>
  <c r="B40" i="86"/>
  <c r="E40" i="86"/>
  <c r="F40" i="86"/>
  <c r="A41" i="86"/>
  <c r="G40" i="86"/>
  <c r="D42" i="82"/>
  <c r="C42" i="82"/>
  <c r="D39" i="86"/>
  <c r="C39" i="86"/>
  <c r="G43" i="82"/>
  <c r="E43" i="82"/>
  <c r="F43" i="82"/>
  <c r="A44" i="82"/>
  <c r="B43" i="82"/>
  <c r="D37" i="87"/>
  <c r="C37" i="87"/>
  <c r="G40" i="85"/>
  <c r="B40" i="85"/>
  <c r="F40" i="85"/>
  <c r="E40" i="85"/>
  <c r="A41" i="85"/>
  <c r="B38" i="87"/>
  <c r="E38" i="87"/>
  <c r="G38" i="87"/>
  <c r="A39" i="87"/>
  <c r="F38" i="87"/>
  <c r="G43" i="79"/>
  <c r="B43" i="79"/>
  <c r="A44" i="79"/>
  <c r="E43" i="79"/>
  <c r="F43" i="79"/>
  <c r="C39" i="85"/>
  <c r="D39" i="85"/>
  <c r="B43" i="81"/>
  <c r="G43" i="81"/>
  <c r="A44" i="81"/>
  <c r="F43" i="81"/>
  <c r="E43" i="81"/>
  <c r="C42" i="79"/>
  <c r="D42" i="79"/>
  <c r="D42" i="81"/>
  <c r="C42" i="81"/>
  <c r="G38" i="88"/>
  <c r="F38" i="88"/>
  <c r="B38" i="88"/>
  <c r="A39" i="88"/>
  <c r="E38" i="88"/>
  <c r="A43" i="78"/>
  <c r="B42" i="78"/>
  <c r="G42" i="78"/>
  <c r="E42" i="78"/>
  <c r="F42" i="78"/>
  <c r="G42" i="84"/>
  <c r="A43" i="84"/>
  <c r="B42" i="84"/>
  <c r="F42" i="84"/>
  <c r="E42" i="84"/>
  <c r="C41" i="84"/>
  <c r="D41" i="84"/>
  <c r="C41" i="78"/>
  <c r="D41" i="78"/>
  <c r="C37" i="88"/>
  <c r="D37" i="88"/>
  <c r="F43" i="80"/>
  <c r="A44" i="80"/>
  <c r="G43" i="80"/>
  <c r="B43" i="80"/>
  <c r="E43" i="80"/>
  <c r="C42" i="80"/>
  <c r="D42" i="80"/>
  <c r="C42" i="83" l="1"/>
  <c r="D42" i="83"/>
  <c r="B43" i="83"/>
  <c r="F43" i="83"/>
  <c r="E43" i="83"/>
  <c r="G43" i="83"/>
  <c r="A44" i="83"/>
  <c r="E39" i="88"/>
  <c r="A40" i="88"/>
  <c r="F39" i="88"/>
  <c r="B39" i="88"/>
  <c r="G39" i="88"/>
  <c r="C43" i="82"/>
  <c r="D43" i="82"/>
  <c r="C38" i="88"/>
  <c r="D38" i="88"/>
  <c r="B44" i="79"/>
  <c r="F44" i="79"/>
  <c r="A45" i="79"/>
  <c r="G44" i="79"/>
  <c r="E44" i="79"/>
  <c r="F44" i="82"/>
  <c r="E44" i="82"/>
  <c r="B44" i="82"/>
  <c r="A45" i="82"/>
  <c r="G44" i="82"/>
  <c r="D43" i="79"/>
  <c r="C43" i="79"/>
  <c r="A44" i="84"/>
  <c r="E43" i="84"/>
  <c r="F43" i="84"/>
  <c r="G43" i="84"/>
  <c r="B43" i="84"/>
  <c r="G43" i="78"/>
  <c r="A44" i="78"/>
  <c r="E43" i="78"/>
  <c r="F43" i="78"/>
  <c r="B43" i="78"/>
  <c r="F39" i="87"/>
  <c r="E39" i="87"/>
  <c r="G39" i="87"/>
  <c r="A40" i="87"/>
  <c r="B39" i="87"/>
  <c r="C42" i="84"/>
  <c r="D42" i="84"/>
  <c r="C38" i="87"/>
  <c r="D38" i="87"/>
  <c r="A42" i="85"/>
  <c r="E41" i="85"/>
  <c r="F41" i="85"/>
  <c r="B41" i="85"/>
  <c r="G41" i="85"/>
  <c r="B44" i="81"/>
  <c r="A45" i="81"/>
  <c r="F44" i="81"/>
  <c r="E44" i="81"/>
  <c r="G44" i="81"/>
  <c r="G41" i="86"/>
  <c r="E41" i="86"/>
  <c r="A42" i="86"/>
  <c r="B41" i="86"/>
  <c r="F41" i="86"/>
  <c r="C43" i="81"/>
  <c r="D43" i="81"/>
  <c r="C40" i="85"/>
  <c r="D40" i="85"/>
  <c r="C42" i="78"/>
  <c r="D42" i="78"/>
  <c r="D40" i="86"/>
  <c r="C40" i="86"/>
  <c r="C43" i="80"/>
  <c r="D43" i="80"/>
  <c r="A45" i="80"/>
  <c r="F44" i="80"/>
  <c r="B44" i="80"/>
  <c r="G44" i="80"/>
  <c r="E44" i="80"/>
  <c r="A45" i="83" l="1"/>
  <c r="F44" i="83"/>
  <c r="G44" i="83"/>
  <c r="B44" i="83"/>
  <c r="E44" i="83"/>
  <c r="C43" i="83"/>
  <c r="D43" i="83"/>
  <c r="B44" i="84"/>
  <c r="G44" i="84"/>
  <c r="E44" i="84"/>
  <c r="F44" i="84"/>
  <c r="A45" i="84"/>
  <c r="E42" i="86"/>
  <c r="G42" i="86"/>
  <c r="B42" i="86"/>
  <c r="F42" i="86"/>
  <c r="A43" i="86"/>
  <c r="E45" i="81"/>
  <c r="A46" i="81"/>
  <c r="F45" i="81"/>
  <c r="G45" i="81"/>
  <c r="B45" i="81"/>
  <c r="C43" i="78"/>
  <c r="D43" i="78"/>
  <c r="C44" i="81"/>
  <c r="D44" i="81"/>
  <c r="C41" i="85"/>
  <c r="D41" i="85"/>
  <c r="F44" i="78"/>
  <c r="A45" i="78"/>
  <c r="G44" i="78"/>
  <c r="B44" i="78"/>
  <c r="E44" i="78"/>
  <c r="B45" i="79"/>
  <c r="F45" i="79"/>
  <c r="A46" i="79"/>
  <c r="E45" i="79"/>
  <c r="G45" i="79"/>
  <c r="C41" i="86"/>
  <c r="D41" i="86"/>
  <c r="C39" i="87"/>
  <c r="D39" i="87"/>
  <c r="C43" i="84"/>
  <c r="D43" i="84"/>
  <c r="D44" i="79"/>
  <c r="C44" i="79"/>
  <c r="E42" i="85"/>
  <c r="G42" i="85"/>
  <c r="B42" i="85"/>
  <c r="F42" i="85"/>
  <c r="A43" i="85"/>
  <c r="C39" i="88"/>
  <c r="D39" i="88"/>
  <c r="G40" i="87"/>
  <c r="A41" i="87"/>
  <c r="E40" i="87"/>
  <c r="B40" i="87"/>
  <c r="F40" i="87"/>
  <c r="E45" i="82"/>
  <c r="B45" i="82"/>
  <c r="G45" i="82"/>
  <c r="F45" i="82"/>
  <c r="A46" i="82"/>
  <c r="A41" i="88"/>
  <c r="F40" i="88"/>
  <c r="G40" i="88"/>
  <c r="B40" i="88"/>
  <c r="E40" i="88"/>
  <c r="D44" i="82"/>
  <c r="C44" i="82"/>
  <c r="E45" i="80"/>
  <c r="F45" i="80"/>
  <c r="A46" i="80"/>
  <c r="G45" i="80"/>
  <c r="B45" i="80"/>
  <c r="C44" i="80"/>
  <c r="D44" i="80"/>
  <c r="C44" i="83" l="1"/>
  <c r="D44" i="83"/>
  <c r="E45" i="83"/>
  <c r="G45" i="83"/>
  <c r="A46" i="83"/>
  <c r="F45" i="83"/>
  <c r="B45" i="83"/>
  <c r="F45" i="78"/>
  <c r="G45" i="78"/>
  <c r="E45" i="78"/>
  <c r="A46" i="78"/>
  <c r="B45" i="78"/>
  <c r="C45" i="81"/>
  <c r="D45" i="81"/>
  <c r="C45" i="82"/>
  <c r="D45" i="82"/>
  <c r="B45" i="84"/>
  <c r="E45" i="84"/>
  <c r="A46" i="84"/>
  <c r="G45" i="84"/>
  <c r="F45" i="84"/>
  <c r="F41" i="87"/>
  <c r="A42" i="87"/>
  <c r="E41" i="87"/>
  <c r="B41" i="87"/>
  <c r="G41" i="87"/>
  <c r="G46" i="79"/>
  <c r="E46" i="79"/>
  <c r="A47" i="79"/>
  <c r="F46" i="79"/>
  <c r="B46" i="79"/>
  <c r="F43" i="85"/>
  <c r="E43" i="85"/>
  <c r="G43" i="85"/>
  <c r="B43" i="85"/>
  <c r="A44" i="85"/>
  <c r="G46" i="81"/>
  <c r="A47" i="81"/>
  <c r="B46" i="81"/>
  <c r="E46" i="81"/>
  <c r="F46" i="81"/>
  <c r="C42" i="85"/>
  <c r="D42" i="85"/>
  <c r="E43" i="86"/>
  <c r="B43" i="86"/>
  <c r="A44" i="86"/>
  <c r="G43" i="86"/>
  <c r="F43" i="86"/>
  <c r="D40" i="88"/>
  <c r="C40" i="88"/>
  <c r="G41" i="88"/>
  <c r="F41" i="88"/>
  <c r="E41" i="88"/>
  <c r="A42" i="88"/>
  <c r="B41" i="88"/>
  <c r="D44" i="78"/>
  <c r="C44" i="78"/>
  <c r="C45" i="79"/>
  <c r="D45" i="79"/>
  <c r="F46" i="82"/>
  <c r="E46" i="82"/>
  <c r="G46" i="82"/>
  <c r="A47" i="82"/>
  <c r="B46" i="82"/>
  <c r="D42" i="86"/>
  <c r="C42" i="86"/>
  <c r="C40" i="87"/>
  <c r="D40" i="87"/>
  <c r="C44" i="84"/>
  <c r="D44" i="84"/>
  <c r="C45" i="80"/>
  <c r="D45" i="80"/>
  <c r="G46" i="80"/>
  <c r="A47" i="80"/>
  <c r="E46" i="80"/>
  <c r="F46" i="80"/>
  <c r="B46" i="80"/>
  <c r="C45" i="83" l="1"/>
  <c r="D45" i="83"/>
  <c r="F46" i="83"/>
  <c r="B46" i="83"/>
  <c r="A47" i="83"/>
  <c r="G46" i="83"/>
  <c r="E46" i="83"/>
  <c r="G42" i="87"/>
  <c r="F42" i="87"/>
  <c r="A43" i="87"/>
  <c r="E42" i="87"/>
  <c r="B42" i="87"/>
  <c r="F42" i="88"/>
  <c r="G42" i="88"/>
  <c r="B42" i="88"/>
  <c r="A43" i="88"/>
  <c r="E42" i="88"/>
  <c r="G47" i="81"/>
  <c r="B47" i="81"/>
  <c r="F47" i="81"/>
  <c r="E47" i="81"/>
  <c r="A48" i="81"/>
  <c r="G44" i="85"/>
  <c r="E44" i="85"/>
  <c r="A45" i="85"/>
  <c r="B44" i="85"/>
  <c r="F44" i="85"/>
  <c r="D43" i="85"/>
  <c r="C43" i="85"/>
  <c r="F46" i="84"/>
  <c r="E46" i="84"/>
  <c r="G46" i="84"/>
  <c r="B46" i="84"/>
  <c r="A47" i="84"/>
  <c r="C46" i="81"/>
  <c r="D46" i="81"/>
  <c r="D45" i="84"/>
  <c r="C45" i="84"/>
  <c r="D46" i="82"/>
  <c r="C46" i="82"/>
  <c r="E47" i="82"/>
  <c r="B47" i="82"/>
  <c r="A48" i="82"/>
  <c r="F47" i="82"/>
  <c r="G47" i="82"/>
  <c r="D46" i="79"/>
  <c r="C46" i="79"/>
  <c r="E44" i="86"/>
  <c r="F44" i="86"/>
  <c r="B44" i="86"/>
  <c r="G44" i="86"/>
  <c r="A45" i="86"/>
  <c r="C43" i="86"/>
  <c r="D43" i="86"/>
  <c r="A48" i="79"/>
  <c r="E47" i="79"/>
  <c r="F47" i="79"/>
  <c r="G47" i="79"/>
  <c r="B47" i="79"/>
  <c r="D45" i="78"/>
  <c r="C45" i="78"/>
  <c r="F46" i="78"/>
  <c r="E46" i="78"/>
  <c r="A47" i="78"/>
  <c r="B46" i="78"/>
  <c r="G46" i="78"/>
  <c r="C41" i="88"/>
  <c r="D41" i="88"/>
  <c r="C41" i="87"/>
  <c r="D41" i="87"/>
  <c r="B47" i="80"/>
  <c r="E47" i="80"/>
  <c r="F47" i="80"/>
  <c r="A48" i="80"/>
  <c r="G47" i="80"/>
  <c r="C46" i="80"/>
  <c r="D46" i="80"/>
  <c r="E47" i="83" l="1"/>
  <c r="G47" i="83"/>
  <c r="F47" i="83"/>
  <c r="A48" i="83"/>
  <c r="B47" i="83"/>
  <c r="C46" i="83"/>
  <c r="D46" i="83"/>
  <c r="E48" i="79"/>
  <c r="A49" i="79"/>
  <c r="F48" i="79"/>
  <c r="B48" i="79"/>
  <c r="G48" i="79"/>
  <c r="A49" i="81"/>
  <c r="E48" i="81"/>
  <c r="F48" i="81"/>
  <c r="B48" i="81"/>
  <c r="G48" i="81"/>
  <c r="C47" i="81"/>
  <c r="D47" i="81"/>
  <c r="D47" i="82"/>
  <c r="C47" i="82"/>
  <c r="D44" i="86"/>
  <c r="C44" i="86"/>
  <c r="B47" i="84"/>
  <c r="A48" i="84"/>
  <c r="F47" i="84"/>
  <c r="E47" i="84"/>
  <c r="G47" i="84"/>
  <c r="D44" i="85"/>
  <c r="C44" i="85"/>
  <c r="C46" i="78"/>
  <c r="D46" i="78"/>
  <c r="C46" i="84"/>
  <c r="D46" i="84"/>
  <c r="F45" i="86"/>
  <c r="A46" i="86"/>
  <c r="E45" i="86"/>
  <c r="B45" i="86"/>
  <c r="G45" i="86"/>
  <c r="A48" i="78"/>
  <c r="F47" i="78"/>
  <c r="B47" i="78"/>
  <c r="E47" i="78"/>
  <c r="G47" i="78"/>
  <c r="B43" i="88"/>
  <c r="G43" i="88"/>
  <c r="E43" i="88"/>
  <c r="A44" i="88"/>
  <c r="F43" i="88"/>
  <c r="D42" i="88"/>
  <c r="C42" i="88"/>
  <c r="D42" i="87"/>
  <c r="C42" i="87"/>
  <c r="D47" i="79"/>
  <c r="C47" i="79"/>
  <c r="B48" i="82"/>
  <c r="A49" i="82"/>
  <c r="E48" i="82"/>
  <c r="F48" i="82"/>
  <c r="G48" i="82"/>
  <c r="A44" i="87"/>
  <c r="G43" i="87"/>
  <c r="E43" i="87"/>
  <c r="F43" i="87"/>
  <c r="B43" i="87"/>
  <c r="G45" i="85"/>
  <c r="B45" i="85"/>
  <c r="F45" i="85"/>
  <c r="E45" i="85"/>
  <c r="A46" i="85"/>
  <c r="D47" i="80"/>
  <c r="C47" i="80"/>
  <c r="B48" i="80"/>
  <c r="A49" i="80"/>
  <c r="F48" i="80"/>
  <c r="G48" i="80"/>
  <c r="E48" i="80"/>
  <c r="C47" i="83" l="1"/>
  <c r="D47" i="83"/>
  <c r="B48" i="83"/>
  <c r="A49" i="83"/>
  <c r="E48" i="83"/>
  <c r="F48" i="83"/>
  <c r="G48" i="83"/>
  <c r="F48" i="78"/>
  <c r="A49" i="78"/>
  <c r="B48" i="78"/>
  <c r="G48" i="78"/>
  <c r="E48" i="78"/>
  <c r="C47" i="78"/>
  <c r="D47" i="78"/>
  <c r="D47" i="84"/>
  <c r="C47" i="84"/>
  <c r="D45" i="86"/>
  <c r="C45" i="86"/>
  <c r="A47" i="86"/>
  <c r="E46" i="86"/>
  <c r="B46" i="86"/>
  <c r="G46" i="86"/>
  <c r="F46" i="86"/>
  <c r="G46" i="85"/>
  <c r="F46" i="85"/>
  <c r="E46" i="85"/>
  <c r="B46" i="85"/>
  <c r="A47" i="85"/>
  <c r="C45" i="85"/>
  <c r="D45" i="85"/>
  <c r="D48" i="82"/>
  <c r="C48" i="82"/>
  <c r="D43" i="87"/>
  <c r="C43" i="87"/>
  <c r="E44" i="88"/>
  <c r="F44" i="88"/>
  <c r="B44" i="88"/>
  <c r="A45" i="88"/>
  <c r="G44" i="88"/>
  <c r="C48" i="81"/>
  <c r="D48" i="81"/>
  <c r="E44" i="87"/>
  <c r="F44" i="87"/>
  <c r="G44" i="87"/>
  <c r="A45" i="87"/>
  <c r="B44" i="87"/>
  <c r="G49" i="81"/>
  <c r="E49" i="81"/>
  <c r="A50" i="81"/>
  <c r="F49" i="81"/>
  <c r="B49" i="81"/>
  <c r="D48" i="79"/>
  <c r="C48" i="79"/>
  <c r="D43" i="88"/>
  <c r="C43" i="88"/>
  <c r="G49" i="82"/>
  <c r="A50" i="82"/>
  <c r="B49" i="82"/>
  <c r="F49" i="82"/>
  <c r="E49" i="82"/>
  <c r="B48" i="84"/>
  <c r="G48" i="84"/>
  <c r="E48" i="84"/>
  <c r="A49" i="84"/>
  <c r="F48" i="84"/>
  <c r="B49" i="79"/>
  <c r="F49" i="79"/>
  <c r="G49" i="79"/>
  <c r="E49" i="79"/>
  <c r="A50" i="79"/>
  <c r="G49" i="80"/>
  <c r="B49" i="80"/>
  <c r="A50" i="80"/>
  <c r="E49" i="80"/>
  <c r="F49" i="80"/>
  <c r="C48" i="80"/>
  <c r="D48" i="80"/>
  <c r="B49" i="83" l="1"/>
  <c r="A50" i="83"/>
  <c r="F49" i="83"/>
  <c r="G49" i="83"/>
  <c r="E49" i="83"/>
  <c r="D48" i="83"/>
  <c r="C48" i="83"/>
  <c r="E50" i="79"/>
  <c r="B50" i="79"/>
  <c r="G50" i="79"/>
  <c r="F50" i="79"/>
  <c r="A51" i="79"/>
  <c r="C44" i="88"/>
  <c r="D44" i="88"/>
  <c r="C46" i="86"/>
  <c r="D46" i="86"/>
  <c r="G45" i="87"/>
  <c r="A46" i="87"/>
  <c r="B45" i="87"/>
  <c r="E45" i="87"/>
  <c r="F45" i="87"/>
  <c r="G45" i="88"/>
  <c r="B45" i="88"/>
  <c r="F45" i="88"/>
  <c r="A46" i="88"/>
  <c r="E45" i="88"/>
  <c r="D48" i="84"/>
  <c r="C48" i="84"/>
  <c r="C49" i="82"/>
  <c r="D49" i="82"/>
  <c r="C49" i="81"/>
  <c r="D49" i="81"/>
  <c r="B47" i="86"/>
  <c r="A48" i="86"/>
  <c r="F47" i="86"/>
  <c r="E47" i="86"/>
  <c r="G47" i="86"/>
  <c r="A51" i="81"/>
  <c r="F50" i="81"/>
  <c r="E50" i="81"/>
  <c r="B50" i="81"/>
  <c r="G50" i="81"/>
  <c r="C49" i="79"/>
  <c r="D49" i="79"/>
  <c r="A50" i="84"/>
  <c r="F49" i="84"/>
  <c r="B49" i="84"/>
  <c r="E49" i="84"/>
  <c r="G49" i="84"/>
  <c r="C44" i="87"/>
  <c r="D44" i="87"/>
  <c r="A48" i="85"/>
  <c r="G47" i="85"/>
  <c r="E47" i="85"/>
  <c r="F47" i="85"/>
  <c r="B47" i="85"/>
  <c r="C46" i="85"/>
  <c r="D46" i="85"/>
  <c r="C48" i="78"/>
  <c r="D48" i="78"/>
  <c r="E50" i="82"/>
  <c r="F50" i="82"/>
  <c r="A51" i="82"/>
  <c r="B50" i="82"/>
  <c r="G50" i="82"/>
  <c r="G49" i="78"/>
  <c r="E49" i="78"/>
  <c r="F49" i="78"/>
  <c r="A50" i="78"/>
  <c r="B49" i="78"/>
  <c r="G50" i="80"/>
  <c r="E50" i="80"/>
  <c r="F50" i="80"/>
  <c r="A51" i="80"/>
  <c r="B50" i="80"/>
  <c r="C49" i="80"/>
  <c r="D49" i="80"/>
  <c r="A51" i="83" l="1"/>
  <c r="F50" i="83"/>
  <c r="G50" i="83"/>
  <c r="B50" i="83"/>
  <c r="E50" i="83"/>
  <c r="D49" i="83"/>
  <c r="C49" i="83"/>
  <c r="D45" i="88"/>
  <c r="C45" i="88"/>
  <c r="C49" i="78"/>
  <c r="D49" i="78"/>
  <c r="G51" i="81"/>
  <c r="B51" i="81"/>
  <c r="A52" i="81"/>
  <c r="F51" i="81"/>
  <c r="E51" i="81"/>
  <c r="F50" i="78"/>
  <c r="G50" i="78"/>
  <c r="A51" i="78"/>
  <c r="B50" i="78"/>
  <c r="E50" i="78"/>
  <c r="F48" i="85"/>
  <c r="B48" i="85"/>
  <c r="E48" i="85"/>
  <c r="G48" i="85"/>
  <c r="A49" i="85"/>
  <c r="C45" i="87"/>
  <c r="D45" i="87"/>
  <c r="E48" i="86"/>
  <c r="F48" i="86"/>
  <c r="B48" i="86"/>
  <c r="G48" i="86"/>
  <c r="A49" i="86"/>
  <c r="B46" i="87"/>
  <c r="A47" i="87"/>
  <c r="E46" i="87"/>
  <c r="G46" i="87"/>
  <c r="F46" i="87"/>
  <c r="C47" i="86"/>
  <c r="D47" i="86"/>
  <c r="F51" i="82"/>
  <c r="A52" i="82"/>
  <c r="B51" i="82"/>
  <c r="E51" i="82"/>
  <c r="G51" i="82"/>
  <c r="D49" i="84"/>
  <c r="C49" i="84"/>
  <c r="C50" i="82"/>
  <c r="D50" i="82"/>
  <c r="G50" i="84"/>
  <c r="E50" i="84"/>
  <c r="F50" i="84"/>
  <c r="A51" i="84"/>
  <c r="B50" i="84"/>
  <c r="E51" i="79"/>
  <c r="A52" i="79"/>
  <c r="B51" i="79"/>
  <c r="F51" i="79"/>
  <c r="G51" i="79"/>
  <c r="C50" i="81"/>
  <c r="D50" i="81"/>
  <c r="F46" i="88"/>
  <c r="B46" i="88"/>
  <c r="A47" i="88"/>
  <c r="G46" i="88"/>
  <c r="E46" i="88"/>
  <c r="C50" i="79"/>
  <c r="D50" i="79"/>
  <c r="C47" i="85"/>
  <c r="D47" i="85"/>
  <c r="D50" i="80"/>
  <c r="C50" i="80"/>
  <c r="G51" i="80"/>
  <c r="A52" i="80"/>
  <c r="B51" i="80"/>
  <c r="F51" i="80"/>
  <c r="E51" i="80"/>
  <c r="C50" i="83" l="1"/>
  <c r="D50" i="83"/>
  <c r="F51" i="83"/>
  <c r="B51" i="83"/>
  <c r="G51" i="83"/>
  <c r="E51" i="83"/>
  <c r="A52" i="83"/>
  <c r="C50" i="78"/>
  <c r="D50" i="78"/>
  <c r="B47" i="87"/>
  <c r="F47" i="87"/>
  <c r="G47" i="87"/>
  <c r="E47" i="87"/>
  <c r="A48" i="87"/>
  <c r="F51" i="78"/>
  <c r="B51" i="78"/>
  <c r="E51" i="78"/>
  <c r="A52" i="78"/>
  <c r="G51" i="78"/>
  <c r="D48" i="85"/>
  <c r="C48" i="85"/>
  <c r="F49" i="86"/>
  <c r="E49" i="86"/>
  <c r="G49" i="86"/>
  <c r="A50" i="86"/>
  <c r="B49" i="86"/>
  <c r="D46" i="87"/>
  <c r="C46" i="87"/>
  <c r="B47" i="88"/>
  <c r="A48" i="88"/>
  <c r="F47" i="88"/>
  <c r="E47" i="88"/>
  <c r="G47" i="88"/>
  <c r="C46" i="88"/>
  <c r="D46" i="88"/>
  <c r="D48" i="86"/>
  <c r="C48" i="86"/>
  <c r="F52" i="79"/>
  <c r="G52" i="79"/>
  <c r="E52" i="79"/>
  <c r="A53" i="79"/>
  <c r="B52" i="79"/>
  <c r="B52" i="81"/>
  <c r="F52" i="81"/>
  <c r="G52" i="81"/>
  <c r="E52" i="81"/>
  <c r="A53" i="81"/>
  <c r="E51" i="84"/>
  <c r="G51" i="84"/>
  <c r="F51" i="84"/>
  <c r="B51" i="84"/>
  <c r="A52" i="84"/>
  <c r="C51" i="81"/>
  <c r="D51" i="81"/>
  <c r="D50" i="84"/>
  <c r="C50" i="84"/>
  <c r="D51" i="82"/>
  <c r="C51" i="82"/>
  <c r="E52" i="82"/>
  <c r="G52" i="82"/>
  <c r="B52" i="82"/>
  <c r="F52" i="82"/>
  <c r="A53" i="82"/>
  <c r="A50" i="85"/>
  <c r="E49" i="85"/>
  <c r="B49" i="85"/>
  <c r="G49" i="85"/>
  <c r="F49" i="85"/>
  <c r="D51" i="79"/>
  <c r="C51" i="79"/>
  <c r="D51" i="80"/>
  <c r="C51" i="80"/>
  <c r="A53" i="80"/>
  <c r="G52" i="80"/>
  <c r="E52" i="80"/>
  <c r="B52" i="80"/>
  <c r="F52" i="80"/>
  <c r="G52" i="83" l="1"/>
  <c r="A53" i="83"/>
  <c r="B52" i="83"/>
  <c r="F52" i="83"/>
  <c r="E52" i="83"/>
  <c r="C51" i="83"/>
  <c r="D51" i="83"/>
  <c r="E52" i="84"/>
  <c r="F52" i="84"/>
  <c r="A53" i="84"/>
  <c r="G52" i="84"/>
  <c r="B52" i="84"/>
  <c r="C51" i="84"/>
  <c r="D51" i="84"/>
  <c r="C49" i="85"/>
  <c r="D49" i="85"/>
  <c r="G52" i="78"/>
  <c r="B52" i="78"/>
  <c r="F52" i="78"/>
  <c r="A53" i="78"/>
  <c r="E52" i="78"/>
  <c r="F50" i="85"/>
  <c r="B50" i="85"/>
  <c r="G50" i="85"/>
  <c r="A51" i="85"/>
  <c r="E50" i="85"/>
  <c r="C51" i="78"/>
  <c r="D51" i="78"/>
  <c r="G53" i="82"/>
  <c r="F53" i="82"/>
  <c r="E53" i="82"/>
  <c r="A54" i="82"/>
  <c r="B53" i="82"/>
  <c r="A54" i="81"/>
  <c r="G53" i="81"/>
  <c r="F53" i="81"/>
  <c r="B53" i="81"/>
  <c r="E53" i="81"/>
  <c r="B48" i="88"/>
  <c r="A49" i="88"/>
  <c r="F48" i="88"/>
  <c r="E48" i="88"/>
  <c r="G48" i="88"/>
  <c r="B48" i="87"/>
  <c r="G48" i="87"/>
  <c r="E48" i="87"/>
  <c r="F48" i="87"/>
  <c r="A49" i="87"/>
  <c r="C52" i="81"/>
  <c r="D52" i="81"/>
  <c r="C52" i="79"/>
  <c r="D52" i="79"/>
  <c r="C49" i="86"/>
  <c r="D49" i="86"/>
  <c r="C47" i="87"/>
  <c r="D47" i="87"/>
  <c r="D47" i="88"/>
  <c r="C47" i="88"/>
  <c r="G53" i="79"/>
  <c r="E53" i="79"/>
  <c r="A54" i="79"/>
  <c r="B53" i="79"/>
  <c r="F53" i="79"/>
  <c r="B50" i="86"/>
  <c r="A51" i="86"/>
  <c r="G50" i="86"/>
  <c r="F50" i="86"/>
  <c r="E50" i="86"/>
  <c r="C52" i="82"/>
  <c r="D52" i="82"/>
  <c r="B53" i="80"/>
  <c r="A54" i="80"/>
  <c r="G53" i="80"/>
  <c r="E53" i="80"/>
  <c r="F53" i="80"/>
  <c r="C52" i="80"/>
  <c r="D52" i="80"/>
  <c r="C52" i="83" l="1"/>
  <c r="D52" i="83"/>
  <c r="A54" i="83"/>
  <c r="G53" i="83"/>
  <c r="F53" i="83"/>
  <c r="B53" i="83"/>
  <c r="E53" i="83"/>
  <c r="C48" i="88"/>
  <c r="D48" i="88"/>
  <c r="D50" i="85"/>
  <c r="C50" i="85"/>
  <c r="C53" i="81"/>
  <c r="D53" i="81"/>
  <c r="G53" i="78"/>
  <c r="E53" i="78"/>
  <c r="B53" i="78"/>
  <c r="F53" i="78"/>
  <c r="A54" i="78"/>
  <c r="A55" i="81"/>
  <c r="G54" i="81"/>
  <c r="B54" i="81"/>
  <c r="E54" i="81"/>
  <c r="F54" i="81"/>
  <c r="D52" i="78"/>
  <c r="C52" i="78"/>
  <c r="A52" i="86"/>
  <c r="E51" i="86"/>
  <c r="G51" i="86"/>
  <c r="F51" i="86"/>
  <c r="B51" i="86"/>
  <c r="D53" i="82"/>
  <c r="C53" i="82"/>
  <c r="D50" i="86"/>
  <c r="C50" i="86"/>
  <c r="E49" i="87"/>
  <c r="A50" i="87"/>
  <c r="B49" i="87"/>
  <c r="F49" i="87"/>
  <c r="G49" i="87"/>
  <c r="G54" i="82"/>
  <c r="B54" i="82"/>
  <c r="A55" i="82"/>
  <c r="E54" i="82"/>
  <c r="F54" i="82"/>
  <c r="D53" i="79"/>
  <c r="C53" i="79"/>
  <c r="G54" i="79"/>
  <c r="E54" i="79"/>
  <c r="F54" i="79"/>
  <c r="B54" i="79"/>
  <c r="A55" i="79"/>
  <c r="C48" i="87"/>
  <c r="D48" i="87"/>
  <c r="D52" i="84"/>
  <c r="C52" i="84"/>
  <c r="A54" i="84"/>
  <c r="E53" i="84"/>
  <c r="B53" i="84"/>
  <c r="F53" i="84"/>
  <c r="G53" i="84"/>
  <c r="F51" i="85"/>
  <c r="E51" i="85"/>
  <c r="A52" i="85"/>
  <c r="B51" i="85"/>
  <c r="G51" i="85"/>
  <c r="E49" i="88"/>
  <c r="A50" i="88"/>
  <c r="G49" i="88"/>
  <c r="F49" i="88"/>
  <c r="B49" i="88"/>
  <c r="B54" i="80"/>
  <c r="G54" i="80"/>
  <c r="A55" i="80"/>
  <c r="E54" i="80"/>
  <c r="F54" i="80"/>
  <c r="C53" i="80"/>
  <c r="D53" i="80"/>
  <c r="A55" i="83" l="1"/>
  <c r="G54" i="83"/>
  <c r="B54" i="83"/>
  <c r="F54" i="83"/>
  <c r="E54" i="83"/>
  <c r="D53" i="83"/>
  <c r="C53" i="83"/>
  <c r="C49" i="87"/>
  <c r="D49" i="87"/>
  <c r="C54" i="81"/>
  <c r="D54" i="81"/>
  <c r="G50" i="87"/>
  <c r="F50" i="87"/>
  <c r="A51" i="87"/>
  <c r="E50" i="87"/>
  <c r="B50" i="87"/>
  <c r="E50" i="88"/>
  <c r="G50" i="88"/>
  <c r="F50" i="88"/>
  <c r="A51" i="88"/>
  <c r="B50" i="88"/>
  <c r="B55" i="79"/>
  <c r="F55" i="79"/>
  <c r="E55" i="79"/>
  <c r="G55" i="79"/>
  <c r="A56" i="79"/>
  <c r="F55" i="81"/>
  <c r="G55" i="81"/>
  <c r="E55" i="81"/>
  <c r="B55" i="81"/>
  <c r="A56" i="81"/>
  <c r="D54" i="79"/>
  <c r="C54" i="79"/>
  <c r="G54" i="78"/>
  <c r="F54" i="78"/>
  <c r="B54" i="78"/>
  <c r="E54" i="78"/>
  <c r="A55" i="78"/>
  <c r="C49" i="88"/>
  <c r="D49" i="88"/>
  <c r="C51" i="85"/>
  <c r="D51" i="85"/>
  <c r="D53" i="78"/>
  <c r="C53" i="78"/>
  <c r="D51" i="86"/>
  <c r="C51" i="86"/>
  <c r="C53" i="84"/>
  <c r="D53" i="84"/>
  <c r="F55" i="82"/>
  <c r="A56" i="82"/>
  <c r="B55" i="82"/>
  <c r="E55" i="82"/>
  <c r="G55" i="82"/>
  <c r="G52" i="86"/>
  <c r="B52" i="86"/>
  <c r="E52" i="86"/>
  <c r="F52" i="86"/>
  <c r="A53" i="86"/>
  <c r="A53" i="85"/>
  <c r="B52" i="85"/>
  <c r="G52" i="85"/>
  <c r="E52" i="85"/>
  <c r="F52" i="85"/>
  <c r="C54" i="82"/>
  <c r="D54" i="82"/>
  <c r="A55" i="84"/>
  <c r="F54" i="84"/>
  <c r="B54" i="84"/>
  <c r="E54" i="84"/>
  <c r="G54" i="84"/>
  <c r="G55" i="80"/>
  <c r="F55" i="80"/>
  <c r="A56" i="80"/>
  <c r="B55" i="80"/>
  <c r="E55" i="80"/>
  <c r="C54" i="80"/>
  <c r="D54" i="80"/>
  <c r="D54" i="83" l="1"/>
  <c r="C54" i="83"/>
  <c r="E55" i="83"/>
  <c r="A56" i="83"/>
  <c r="G55" i="83"/>
  <c r="B55" i="83"/>
  <c r="F55" i="83"/>
  <c r="C52" i="86"/>
  <c r="D52" i="86"/>
  <c r="G55" i="78"/>
  <c r="A56" i="78"/>
  <c r="F55" i="78"/>
  <c r="B55" i="78"/>
  <c r="E55" i="78"/>
  <c r="C50" i="88"/>
  <c r="D50" i="88"/>
  <c r="C54" i="84"/>
  <c r="D54" i="84"/>
  <c r="D54" i="78"/>
  <c r="C54" i="78"/>
  <c r="B51" i="88"/>
  <c r="F51" i="88"/>
  <c r="A52" i="88"/>
  <c r="E51" i="88"/>
  <c r="G51" i="88"/>
  <c r="D55" i="79"/>
  <c r="C55" i="79"/>
  <c r="C55" i="82"/>
  <c r="D55" i="82"/>
  <c r="E55" i="84"/>
  <c r="B55" i="84"/>
  <c r="F55" i="84"/>
  <c r="G55" i="84"/>
  <c r="A56" i="84"/>
  <c r="F56" i="82"/>
  <c r="B56" i="82"/>
  <c r="E56" i="82"/>
  <c r="A57" i="82"/>
  <c r="G56" i="82"/>
  <c r="D50" i="87"/>
  <c r="C50" i="87"/>
  <c r="E56" i="81"/>
  <c r="A57" i="81"/>
  <c r="G56" i="81"/>
  <c r="F56" i="81"/>
  <c r="B56" i="81"/>
  <c r="D55" i="81"/>
  <c r="C55" i="81"/>
  <c r="A52" i="87"/>
  <c r="G51" i="87"/>
  <c r="F51" i="87"/>
  <c r="B51" i="87"/>
  <c r="E51" i="87"/>
  <c r="E53" i="85"/>
  <c r="G53" i="85"/>
  <c r="A54" i="85"/>
  <c r="B53" i="85"/>
  <c r="F53" i="85"/>
  <c r="D52" i="85"/>
  <c r="C52" i="85"/>
  <c r="E53" i="86"/>
  <c r="G53" i="86"/>
  <c r="A54" i="86"/>
  <c r="F53" i="86"/>
  <c r="B53" i="86"/>
  <c r="G56" i="79"/>
  <c r="A57" i="79"/>
  <c r="B56" i="79"/>
  <c r="E56" i="79"/>
  <c r="F56" i="79"/>
  <c r="D55" i="80"/>
  <c r="C55" i="80"/>
  <c r="A57" i="80"/>
  <c r="G56" i="80"/>
  <c r="B56" i="80"/>
  <c r="F56" i="80"/>
  <c r="E56" i="80"/>
  <c r="D55" i="83" l="1"/>
  <c r="C55" i="83"/>
  <c r="G56" i="83"/>
  <c r="F56" i="83"/>
  <c r="B56" i="83"/>
  <c r="E56" i="83"/>
  <c r="A57" i="83"/>
  <c r="G52" i="88"/>
  <c r="B52" i="88"/>
  <c r="F52" i="88"/>
  <c r="A53" i="88"/>
  <c r="E52" i="88"/>
  <c r="F57" i="82"/>
  <c r="A58" i="82"/>
  <c r="G57" i="82"/>
  <c r="B57" i="82"/>
  <c r="E57" i="82"/>
  <c r="C51" i="88"/>
  <c r="D51" i="88"/>
  <c r="C56" i="79"/>
  <c r="D56" i="79"/>
  <c r="D51" i="87"/>
  <c r="C51" i="87"/>
  <c r="C56" i="82"/>
  <c r="D56" i="82"/>
  <c r="E57" i="79"/>
  <c r="B57" i="79"/>
  <c r="A58" i="79"/>
  <c r="F57" i="79"/>
  <c r="G57" i="79"/>
  <c r="F56" i="84"/>
  <c r="B56" i="84"/>
  <c r="G56" i="84"/>
  <c r="E56" i="84"/>
  <c r="A57" i="84"/>
  <c r="C53" i="86"/>
  <c r="D53" i="86"/>
  <c r="A53" i="87"/>
  <c r="G52" i="87"/>
  <c r="E52" i="87"/>
  <c r="B52" i="87"/>
  <c r="F52" i="87"/>
  <c r="A55" i="86"/>
  <c r="G54" i="86"/>
  <c r="E54" i="86"/>
  <c r="F54" i="86"/>
  <c r="B54" i="86"/>
  <c r="D55" i="84"/>
  <c r="C55" i="84"/>
  <c r="D56" i="81"/>
  <c r="C56" i="81"/>
  <c r="D55" i="78"/>
  <c r="C55" i="78"/>
  <c r="G57" i="81"/>
  <c r="A58" i="81"/>
  <c r="F57" i="81"/>
  <c r="B57" i="81"/>
  <c r="E57" i="81"/>
  <c r="G56" i="78"/>
  <c r="A57" i="78"/>
  <c r="F56" i="78"/>
  <c r="E56" i="78"/>
  <c r="B56" i="78"/>
  <c r="D53" i="85"/>
  <c r="C53" i="85"/>
  <c r="E54" i="85"/>
  <c r="A55" i="85"/>
  <c r="B54" i="85"/>
  <c r="F54" i="85"/>
  <c r="G54" i="85"/>
  <c r="D56" i="80"/>
  <c r="C56" i="80"/>
  <c r="A58" i="80"/>
  <c r="B57" i="80"/>
  <c r="G57" i="80"/>
  <c r="F57" i="80"/>
  <c r="E57" i="80"/>
  <c r="E57" i="83" l="1"/>
  <c r="G57" i="83"/>
  <c r="A58" i="83"/>
  <c r="F57" i="83"/>
  <c r="B57" i="83"/>
  <c r="D56" i="83"/>
  <c r="C56" i="83"/>
  <c r="C57" i="81"/>
  <c r="D57" i="81"/>
  <c r="E58" i="81"/>
  <c r="B58" i="81"/>
  <c r="F58" i="81"/>
  <c r="A59" i="81"/>
  <c r="G58" i="81"/>
  <c r="C54" i="85"/>
  <c r="D54" i="85"/>
  <c r="F53" i="87"/>
  <c r="G53" i="87"/>
  <c r="A54" i="87"/>
  <c r="B53" i="87"/>
  <c r="E53" i="87"/>
  <c r="F55" i="85"/>
  <c r="B55" i="85"/>
  <c r="G55" i="85"/>
  <c r="E55" i="85"/>
  <c r="A56" i="85"/>
  <c r="E57" i="84"/>
  <c r="B57" i="84"/>
  <c r="G57" i="84"/>
  <c r="F57" i="84"/>
  <c r="A58" i="84"/>
  <c r="D56" i="84"/>
  <c r="C56" i="84"/>
  <c r="C57" i="82"/>
  <c r="D57" i="82"/>
  <c r="C56" i="78"/>
  <c r="D56" i="78"/>
  <c r="D54" i="86"/>
  <c r="C54" i="86"/>
  <c r="B58" i="82"/>
  <c r="E58" i="82"/>
  <c r="G58" i="82"/>
  <c r="F58" i="82"/>
  <c r="A59" i="82"/>
  <c r="F57" i="78"/>
  <c r="E57" i="78"/>
  <c r="B57" i="78"/>
  <c r="A58" i="78"/>
  <c r="G57" i="78"/>
  <c r="E58" i="79"/>
  <c r="A59" i="79"/>
  <c r="G58" i="79"/>
  <c r="B58" i="79"/>
  <c r="F58" i="79"/>
  <c r="D57" i="79"/>
  <c r="C57" i="79"/>
  <c r="E53" i="88"/>
  <c r="G53" i="88"/>
  <c r="A54" i="88"/>
  <c r="F53" i="88"/>
  <c r="B53" i="88"/>
  <c r="G55" i="86"/>
  <c r="A56" i="86"/>
  <c r="E55" i="86"/>
  <c r="F55" i="86"/>
  <c r="B55" i="86"/>
  <c r="D52" i="88"/>
  <c r="C52" i="88"/>
  <c r="C52" i="87"/>
  <c r="D52" i="87"/>
  <c r="C57" i="80"/>
  <c r="D57" i="80"/>
  <c r="B58" i="80"/>
  <c r="E58" i="80"/>
  <c r="F58" i="80"/>
  <c r="G58" i="80"/>
  <c r="A59" i="80"/>
  <c r="D57" i="83" l="1"/>
  <c r="C57" i="83"/>
  <c r="E58" i="83"/>
  <c r="G58" i="83"/>
  <c r="B58" i="83"/>
  <c r="A59" i="83"/>
  <c r="F58" i="83"/>
  <c r="C55" i="85"/>
  <c r="D55" i="85"/>
  <c r="D58" i="79"/>
  <c r="C58" i="79"/>
  <c r="E56" i="85"/>
  <c r="A57" i="85"/>
  <c r="B56" i="85"/>
  <c r="F56" i="85"/>
  <c r="G56" i="85"/>
  <c r="D53" i="87"/>
  <c r="C53" i="87"/>
  <c r="F59" i="79"/>
  <c r="B59" i="79"/>
  <c r="E59" i="79"/>
  <c r="G59" i="79"/>
  <c r="A60" i="79"/>
  <c r="G54" i="87"/>
  <c r="B54" i="87"/>
  <c r="E54" i="87"/>
  <c r="F54" i="87"/>
  <c r="A55" i="87"/>
  <c r="D55" i="86"/>
  <c r="C55" i="86"/>
  <c r="G59" i="82"/>
  <c r="F59" i="82"/>
  <c r="B59" i="82"/>
  <c r="A60" i="82"/>
  <c r="E59" i="82"/>
  <c r="G58" i="78"/>
  <c r="F58" i="78"/>
  <c r="A59" i="78"/>
  <c r="B58" i="78"/>
  <c r="E58" i="78"/>
  <c r="C57" i="78"/>
  <c r="D57" i="78"/>
  <c r="F56" i="86"/>
  <c r="A57" i="86"/>
  <c r="B56" i="86"/>
  <c r="G56" i="86"/>
  <c r="E56" i="86"/>
  <c r="A59" i="84"/>
  <c r="F58" i="84"/>
  <c r="B58" i="84"/>
  <c r="G58" i="84"/>
  <c r="E58" i="84"/>
  <c r="C53" i="88"/>
  <c r="D53" i="88"/>
  <c r="B59" i="81"/>
  <c r="E59" i="81"/>
  <c r="G59" i="81"/>
  <c r="A60" i="81"/>
  <c r="F59" i="81"/>
  <c r="G54" i="88"/>
  <c r="A55" i="88"/>
  <c r="F54" i="88"/>
  <c r="E54" i="88"/>
  <c r="B54" i="88"/>
  <c r="D58" i="81"/>
  <c r="C58" i="81"/>
  <c r="C57" i="84"/>
  <c r="D57" i="84"/>
  <c r="D58" i="82"/>
  <c r="C58" i="82"/>
  <c r="C58" i="80"/>
  <c r="D58" i="80"/>
  <c r="B59" i="80"/>
  <c r="F59" i="80"/>
  <c r="E59" i="80"/>
  <c r="G59" i="80"/>
  <c r="A60" i="80"/>
  <c r="C58" i="83" l="1"/>
  <c r="D58" i="83"/>
  <c r="B59" i="83"/>
  <c r="A60" i="83"/>
  <c r="E59" i="83"/>
  <c r="F59" i="83"/>
  <c r="G59" i="83"/>
  <c r="D59" i="79"/>
  <c r="C59" i="79"/>
  <c r="E59" i="78"/>
  <c r="G59" i="78"/>
  <c r="F59" i="78"/>
  <c r="A60" i="78"/>
  <c r="B59" i="78"/>
  <c r="D59" i="81"/>
  <c r="C59" i="81"/>
  <c r="D58" i="84"/>
  <c r="C58" i="84"/>
  <c r="A61" i="82"/>
  <c r="F60" i="82"/>
  <c r="B60" i="82"/>
  <c r="E60" i="82"/>
  <c r="G60" i="82"/>
  <c r="C59" i="82"/>
  <c r="D59" i="82"/>
  <c r="E60" i="79"/>
  <c r="A61" i="79"/>
  <c r="F60" i="79"/>
  <c r="B60" i="79"/>
  <c r="G60" i="79"/>
  <c r="C54" i="88"/>
  <c r="D54" i="88"/>
  <c r="F59" i="84"/>
  <c r="G59" i="84"/>
  <c r="E59" i="84"/>
  <c r="B59" i="84"/>
  <c r="A60" i="84"/>
  <c r="D56" i="85"/>
  <c r="C56" i="85"/>
  <c r="E55" i="88"/>
  <c r="A56" i="88"/>
  <c r="G55" i="88"/>
  <c r="F55" i="88"/>
  <c r="B55" i="88"/>
  <c r="D56" i="86"/>
  <c r="C56" i="86"/>
  <c r="F57" i="85"/>
  <c r="G57" i="85"/>
  <c r="A58" i="85"/>
  <c r="B57" i="85"/>
  <c r="E57" i="85"/>
  <c r="C58" i="78"/>
  <c r="D58" i="78"/>
  <c r="B57" i="86"/>
  <c r="A58" i="86"/>
  <c r="E57" i="86"/>
  <c r="G57" i="86"/>
  <c r="F57" i="86"/>
  <c r="B55" i="87"/>
  <c r="A56" i="87"/>
  <c r="F55" i="87"/>
  <c r="G55" i="87"/>
  <c r="E55" i="87"/>
  <c r="A61" i="81"/>
  <c r="E60" i="81"/>
  <c r="B60" i="81"/>
  <c r="G60" i="81"/>
  <c r="F60" i="81"/>
  <c r="C54" i="87"/>
  <c r="D54" i="87"/>
  <c r="D59" i="80"/>
  <c r="C59" i="80"/>
  <c r="G60" i="80"/>
  <c r="B60" i="80"/>
  <c r="E60" i="80"/>
  <c r="A61" i="80"/>
  <c r="F60" i="80"/>
  <c r="G60" i="83" l="1"/>
  <c r="A61" i="83"/>
  <c r="E60" i="83"/>
  <c r="B60" i="83"/>
  <c r="F60" i="83"/>
  <c r="D59" i="83"/>
  <c r="C59" i="83"/>
  <c r="B60" i="84"/>
  <c r="G60" i="84"/>
  <c r="A61" i="84"/>
  <c r="E60" i="84"/>
  <c r="F60" i="84"/>
  <c r="D60" i="82"/>
  <c r="C60" i="82"/>
  <c r="D59" i="84"/>
  <c r="C59" i="84"/>
  <c r="C57" i="86"/>
  <c r="D57" i="86"/>
  <c r="B61" i="82"/>
  <c r="E61" i="82"/>
  <c r="F61" i="82"/>
  <c r="G61" i="82"/>
  <c r="A62" i="82"/>
  <c r="C60" i="81"/>
  <c r="D60" i="81"/>
  <c r="D57" i="85"/>
  <c r="C57" i="85"/>
  <c r="E58" i="85"/>
  <c r="F58" i="85"/>
  <c r="G58" i="85"/>
  <c r="B58" i="85"/>
  <c r="A59" i="85"/>
  <c r="B61" i="81"/>
  <c r="F61" i="81"/>
  <c r="A62" i="81"/>
  <c r="E61" i="81"/>
  <c r="G61" i="81"/>
  <c r="D59" i="78"/>
  <c r="C59" i="78"/>
  <c r="B58" i="86"/>
  <c r="E58" i="86"/>
  <c r="G58" i="86"/>
  <c r="F58" i="86"/>
  <c r="A59" i="86"/>
  <c r="D60" i="79"/>
  <c r="C60" i="79"/>
  <c r="A61" i="78"/>
  <c r="B60" i="78"/>
  <c r="G60" i="78"/>
  <c r="E60" i="78"/>
  <c r="F60" i="78"/>
  <c r="D55" i="88"/>
  <c r="C55" i="88"/>
  <c r="C55" i="87"/>
  <c r="D55" i="87"/>
  <c r="G61" i="79"/>
  <c r="A62" i="79"/>
  <c r="E61" i="79"/>
  <c r="B61" i="79"/>
  <c r="F61" i="79"/>
  <c r="G56" i="88"/>
  <c r="E56" i="88"/>
  <c r="B56" i="88"/>
  <c r="A57" i="88"/>
  <c r="F56" i="88"/>
  <c r="E56" i="87"/>
  <c r="A57" i="87"/>
  <c r="F56" i="87"/>
  <c r="G56" i="87"/>
  <c r="B56" i="87"/>
  <c r="F61" i="80"/>
  <c r="G61" i="80"/>
  <c r="B61" i="80"/>
  <c r="E61" i="80"/>
  <c r="A62" i="80"/>
  <c r="C60" i="80"/>
  <c r="D60" i="80"/>
  <c r="B61" i="83" l="1"/>
  <c r="G61" i="83"/>
  <c r="A62" i="83"/>
  <c r="F61" i="83"/>
  <c r="E61" i="83"/>
  <c r="D60" i="83"/>
  <c r="C60" i="83"/>
  <c r="G62" i="82"/>
  <c r="A63" i="82"/>
  <c r="E62" i="82"/>
  <c r="B62" i="82"/>
  <c r="F62" i="82"/>
  <c r="D56" i="87"/>
  <c r="C56" i="87"/>
  <c r="C61" i="82"/>
  <c r="D61" i="82"/>
  <c r="G57" i="87"/>
  <c r="E57" i="87"/>
  <c r="B57" i="87"/>
  <c r="A58" i="87"/>
  <c r="F57" i="87"/>
  <c r="D61" i="81"/>
  <c r="C61" i="81"/>
  <c r="G57" i="88"/>
  <c r="F57" i="88"/>
  <c r="E57" i="88"/>
  <c r="B57" i="88"/>
  <c r="A58" i="88"/>
  <c r="D60" i="78"/>
  <c r="C60" i="78"/>
  <c r="B59" i="85"/>
  <c r="G59" i="85"/>
  <c r="A60" i="85"/>
  <c r="F59" i="85"/>
  <c r="E59" i="85"/>
  <c r="C58" i="85"/>
  <c r="D58" i="85"/>
  <c r="B62" i="81"/>
  <c r="F62" i="81"/>
  <c r="A63" i="81"/>
  <c r="G62" i="81"/>
  <c r="E62" i="81"/>
  <c r="A62" i="78"/>
  <c r="F61" i="78"/>
  <c r="B61" i="78"/>
  <c r="G61" i="78"/>
  <c r="E61" i="78"/>
  <c r="A60" i="86"/>
  <c r="B59" i="86"/>
  <c r="F59" i="86"/>
  <c r="E59" i="86"/>
  <c r="G59" i="86"/>
  <c r="D56" i="88"/>
  <c r="C56" i="88"/>
  <c r="C61" i="79"/>
  <c r="D61" i="79"/>
  <c r="E61" i="84"/>
  <c r="G61" i="84"/>
  <c r="A62" i="84"/>
  <c r="F61" i="84"/>
  <c r="B61" i="84"/>
  <c r="F62" i="79"/>
  <c r="A63" i="79"/>
  <c r="B62" i="79"/>
  <c r="G62" i="79"/>
  <c r="E62" i="79"/>
  <c r="D58" i="86"/>
  <c r="C58" i="86"/>
  <c r="D60" i="84"/>
  <c r="C60" i="84"/>
  <c r="D61" i="80"/>
  <c r="C61" i="80"/>
  <c r="G62" i="80"/>
  <c r="E62" i="80"/>
  <c r="A63" i="80"/>
  <c r="B62" i="80"/>
  <c r="F62" i="80"/>
  <c r="F62" i="83" l="1"/>
  <c r="A63" i="83"/>
  <c r="E62" i="83"/>
  <c r="G62" i="83"/>
  <c r="B62" i="83"/>
  <c r="D61" i="83"/>
  <c r="C61" i="83"/>
  <c r="D62" i="81"/>
  <c r="C62" i="81"/>
  <c r="G58" i="87"/>
  <c r="F58" i="87"/>
  <c r="B58" i="87"/>
  <c r="A59" i="87"/>
  <c r="E58" i="87"/>
  <c r="D57" i="87"/>
  <c r="C57" i="87"/>
  <c r="C59" i="86"/>
  <c r="D59" i="86"/>
  <c r="F60" i="85"/>
  <c r="G60" i="85"/>
  <c r="B60" i="85"/>
  <c r="E60" i="85"/>
  <c r="A61" i="85"/>
  <c r="E60" i="86"/>
  <c r="B60" i="86"/>
  <c r="G60" i="86"/>
  <c r="F60" i="86"/>
  <c r="A61" i="86"/>
  <c r="D62" i="79"/>
  <c r="C62" i="79"/>
  <c r="E63" i="79"/>
  <c r="G63" i="79"/>
  <c r="B63" i="79"/>
  <c r="F63" i="79"/>
  <c r="A64" i="79"/>
  <c r="C59" i="85"/>
  <c r="D59" i="85"/>
  <c r="C61" i="84"/>
  <c r="D61" i="84"/>
  <c r="C61" i="78"/>
  <c r="D61" i="78"/>
  <c r="B58" i="88"/>
  <c r="E58" i="88"/>
  <c r="A59" i="88"/>
  <c r="G58" i="88"/>
  <c r="F58" i="88"/>
  <c r="G62" i="84"/>
  <c r="B62" i="84"/>
  <c r="F62" i="84"/>
  <c r="A63" i="84"/>
  <c r="E62" i="84"/>
  <c r="G62" i="78"/>
  <c r="A63" i="78"/>
  <c r="F62" i="78"/>
  <c r="B62" i="78"/>
  <c r="E62" i="78"/>
  <c r="C57" i="88"/>
  <c r="D57" i="88"/>
  <c r="D62" i="82"/>
  <c r="C62" i="82"/>
  <c r="B63" i="82"/>
  <c r="A64" i="82"/>
  <c r="G63" i="82"/>
  <c r="F63" i="82"/>
  <c r="E63" i="82"/>
  <c r="F63" i="81"/>
  <c r="B63" i="81"/>
  <c r="E63" i="81"/>
  <c r="G63" i="81"/>
  <c r="A64" i="81"/>
  <c r="A64" i="80"/>
  <c r="B63" i="80"/>
  <c r="G63" i="80"/>
  <c r="E63" i="80"/>
  <c r="F63" i="80"/>
  <c r="C62" i="80"/>
  <c r="D62" i="80"/>
  <c r="E63" i="83" l="1"/>
  <c r="G63" i="83"/>
  <c r="A64" i="83"/>
  <c r="B63" i="83"/>
  <c r="F63" i="83"/>
  <c r="D62" i="83"/>
  <c r="C62" i="83"/>
  <c r="C62" i="78"/>
  <c r="D62" i="78"/>
  <c r="A62" i="85"/>
  <c r="B61" i="85"/>
  <c r="G61" i="85"/>
  <c r="F61" i="85"/>
  <c r="E61" i="85"/>
  <c r="A65" i="81"/>
  <c r="F64" i="81"/>
  <c r="B64" i="81"/>
  <c r="E64" i="81"/>
  <c r="G64" i="81"/>
  <c r="F63" i="78"/>
  <c r="B63" i="78"/>
  <c r="G63" i="78"/>
  <c r="E63" i="78"/>
  <c r="A64" i="78"/>
  <c r="C60" i="85"/>
  <c r="D60" i="85"/>
  <c r="G64" i="79"/>
  <c r="E64" i="79"/>
  <c r="B64" i="79"/>
  <c r="F64" i="79"/>
  <c r="A65" i="79"/>
  <c r="A64" i="84"/>
  <c r="G63" i="84"/>
  <c r="F63" i="84"/>
  <c r="E63" i="84"/>
  <c r="B63" i="84"/>
  <c r="C63" i="81"/>
  <c r="D63" i="81"/>
  <c r="C63" i="79"/>
  <c r="D63" i="79"/>
  <c r="D62" i="84"/>
  <c r="C62" i="84"/>
  <c r="D63" i="82"/>
  <c r="C63" i="82"/>
  <c r="G59" i="87"/>
  <c r="A60" i="87"/>
  <c r="F59" i="87"/>
  <c r="B59" i="87"/>
  <c r="E59" i="87"/>
  <c r="G64" i="82"/>
  <c r="B64" i="82"/>
  <c r="A65" i="82"/>
  <c r="E64" i="82"/>
  <c r="F64" i="82"/>
  <c r="F59" i="88"/>
  <c r="G59" i="88"/>
  <c r="B59" i="88"/>
  <c r="E59" i="88"/>
  <c r="A60" i="88"/>
  <c r="G61" i="86"/>
  <c r="B61" i="86"/>
  <c r="A62" i="86"/>
  <c r="E61" i="86"/>
  <c r="F61" i="86"/>
  <c r="D58" i="87"/>
  <c r="C58" i="87"/>
  <c r="D58" i="88"/>
  <c r="C58" i="88"/>
  <c r="D60" i="86"/>
  <c r="C60" i="86"/>
  <c r="C63" i="80"/>
  <c r="D63" i="80"/>
  <c r="B64" i="80"/>
  <c r="A65" i="80"/>
  <c r="E64" i="80"/>
  <c r="F64" i="80"/>
  <c r="G64" i="80"/>
  <c r="C63" i="83" l="1"/>
  <c r="D63" i="83"/>
  <c r="G64" i="83"/>
  <c r="B64" i="83"/>
  <c r="E64" i="83"/>
  <c r="F64" i="83"/>
  <c r="A65" i="83"/>
  <c r="C63" i="78"/>
  <c r="D63" i="78"/>
  <c r="C61" i="86"/>
  <c r="D61" i="86"/>
  <c r="F65" i="82"/>
  <c r="E65" i="82"/>
  <c r="B65" i="82"/>
  <c r="G65" i="82"/>
  <c r="A66" i="82"/>
  <c r="C63" i="84"/>
  <c r="D63" i="84"/>
  <c r="D64" i="82"/>
  <c r="C64" i="82"/>
  <c r="D64" i="81"/>
  <c r="C64" i="81"/>
  <c r="G60" i="87"/>
  <c r="F60" i="87"/>
  <c r="B60" i="87"/>
  <c r="E60" i="87"/>
  <c r="A61" i="87"/>
  <c r="A65" i="84"/>
  <c r="G64" i="84"/>
  <c r="E64" i="84"/>
  <c r="B64" i="84"/>
  <c r="F64" i="84"/>
  <c r="C59" i="87"/>
  <c r="D59" i="87"/>
  <c r="A66" i="79"/>
  <c r="G65" i="79"/>
  <c r="F65" i="79"/>
  <c r="B65" i="79"/>
  <c r="E65" i="79"/>
  <c r="G65" i="81"/>
  <c r="F65" i="81"/>
  <c r="E65" i="81"/>
  <c r="B65" i="81"/>
  <c r="A66" i="81"/>
  <c r="D61" i="85"/>
  <c r="C61" i="85"/>
  <c r="A63" i="86"/>
  <c r="B62" i="86"/>
  <c r="E62" i="86"/>
  <c r="G62" i="86"/>
  <c r="F62" i="86"/>
  <c r="F60" i="88"/>
  <c r="E60" i="88"/>
  <c r="B60" i="88"/>
  <c r="G60" i="88"/>
  <c r="A61" i="88"/>
  <c r="A63" i="85"/>
  <c r="E62" i="85"/>
  <c r="B62" i="85"/>
  <c r="F62" i="85"/>
  <c r="G62" i="85"/>
  <c r="C59" i="88"/>
  <c r="D59" i="88"/>
  <c r="D64" i="79"/>
  <c r="C64" i="79"/>
  <c r="G64" i="78"/>
  <c r="F64" i="78"/>
  <c r="E64" i="78"/>
  <c r="A65" i="78"/>
  <c r="B64" i="78"/>
  <c r="G65" i="80"/>
  <c r="A66" i="80"/>
  <c r="F65" i="80"/>
  <c r="E65" i="80"/>
  <c r="B65" i="80"/>
  <c r="C64" i="80"/>
  <c r="D64" i="80"/>
  <c r="F65" i="83" l="1"/>
  <c r="E65" i="83"/>
  <c r="A66" i="83"/>
  <c r="G65" i="83"/>
  <c r="B65" i="83"/>
  <c r="D64" i="83"/>
  <c r="C64" i="83"/>
  <c r="G63" i="85"/>
  <c r="F63" i="85"/>
  <c r="B63" i="85"/>
  <c r="A64" i="85"/>
  <c r="E63" i="85"/>
  <c r="A62" i="88"/>
  <c r="E61" i="88"/>
  <c r="G61" i="88"/>
  <c r="F61" i="88"/>
  <c r="B61" i="88"/>
  <c r="C64" i="78"/>
  <c r="D64" i="78"/>
  <c r="C60" i="88"/>
  <c r="D60" i="88"/>
  <c r="C65" i="79"/>
  <c r="D65" i="79"/>
  <c r="B66" i="79"/>
  <c r="F66" i="79"/>
  <c r="A67" i="79"/>
  <c r="G66" i="79"/>
  <c r="E66" i="79"/>
  <c r="E65" i="78"/>
  <c r="A66" i="78"/>
  <c r="G65" i="78"/>
  <c r="B65" i="78"/>
  <c r="F65" i="78"/>
  <c r="G66" i="82"/>
  <c r="E66" i="82"/>
  <c r="A67" i="82"/>
  <c r="B66" i="82"/>
  <c r="F66" i="82"/>
  <c r="C62" i="86"/>
  <c r="D62" i="86"/>
  <c r="D64" i="84"/>
  <c r="C64" i="84"/>
  <c r="C65" i="82"/>
  <c r="D65" i="82"/>
  <c r="A67" i="81"/>
  <c r="B66" i="81"/>
  <c r="F66" i="81"/>
  <c r="G66" i="81"/>
  <c r="E66" i="81"/>
  <c r="A66" i="84"/>
  <c r="F65" i="84"/>
  <c r="G65" i="84"/>
  <c r="B65" i="84"/>
  <c r="E65" i="84"/>
  <c r="E63" i="86"/>
  <c r="A64" i="86"/>
  <c r="G63" i="86"/>
  <c r="F63" i="86"/>
  <c r="B63" i="86"/>
  <c r="D62" i="85"/>
  <c r="C62" i="85"/>
  <c r="C65" i="81"/>
  <c r="D65" i="81"/>
  <c r="A62" i="87"/>
  <c r="E61" i="87"/>
  <c r="F61" i="87"/>
  <c r="G61" i="87"/>
  <c r="B61" i="87"/>
  <c r="D60" i="87"/>
  <c r="C60" i="87"/>
  <c r="D65" i="80"/>
  <c r="C65" i="80"/>
  <c r="G66" i="80"/>
  <c r="A67" i="80"/>
  <c r="F66" i="80"/>
  <c r="E66" i="80"/>
  <c r="B66" i="80"/>
  <c r="D65" i="83" l="1"/>
  <c r="C65" i="83"/>
  <c r="F66" i="83"/>
  <c r="E66" i="83"/>
  <c r="B66" i="83"/>
  <c r="G66" i="83"/>
  <c r="A67" i="83"/>
  <c r="G62" i="87"/>
  <c r="B62" i="87"/>
  <c r="E62" i="87"/>
  <c r="A63" i="87"/>
  <c r="F62" i="87"/>
  <c r="D63" i="85"/>
  <c r="C63" i="85"/>
  <c r="A65" i="86"/>
  <c r="E64" i="86"/>
  <c r="B64" i="86"/>
  <c r="F64" i="86"/>
  <c r="G64" i="86"/>
  <c r="D66" i="79"/>
  <c r="C66" i="79"/>
  <c r="D61" i="87"/>
  <c r="C61" i="87"/>
  <c r="E67" i="82"/>
  <c r="A68" i="82"/>
  <c r="G67" i="82"/>
  <c r="F67" i="82"/>
  <c r="B67" i="82"/>
  <c r="D65" i="84"/>
  <c r="C65" i="84"/>
  <c r="C66" i="82"/>
  <c r="D66" i="82"/>
  <c r="A67" i="84"/>
  <c r="G66" i="84"/>
  <c r="B66" i="84"/>
  <c r="F66" i="84"/>
  <c r="E66" i="84"/>
  <c r="C61" i="88"/>
  <c r="D61" i="88"/>
  <c r="C65" i="78"/>
  <c r="D65" i="78"/>
  <c r="D66" i="81"/>
  <c r="C66" i="81"/>
  <c r="B67" i="81"/>
  <c r="F67" i="81"/>
  <c r="A68" i="81"/>
  <c r="G67" i="81"/>
  <c r="E67" i="81"/>
  <c r="F62" i="88"/>
  <c r="B62" i="88"/>
  <c r="E62" i="88"/>
  <c r="A63" i="88"/>
  <c r="G62" i="88"/>
  <c r="C63" i="86"/>
  <c r="D63" i="86"/>
  <c r="E64" i="85"/>
  <c r="A65" i="85"/>
  <c r="B64" i="85"/>
  <c r="F64" i="85"/>
  <c r="G64" i="85"/>
  <c r="A67" i="78"/>
  <c r="B66" i="78"/>
  <c r="F66" i="78"/>
  <c r="E66" i="78"/>
  <c r="G66" i="78"/>
  <c r="F67" i="79"/>
  <c r="G67" i="79"/>
  <c r="E67" i="79"/>
  <c r="B67" i="79"/>
  <c r="A68" i="79"/>
  <c r="D66" i="80"/>
  <c r="C66" i="80"/>
  <c r="G67" i="80"/>
  <c r="A68" i="80"/>
  <c r="E67" i="80"/>
  <c r="F67" i="80"/>
  <c r="B67" i="80"/>
  <c r="D66" i="83" l="1"/>
  <c r="C66" i="83"/>
  <c r="F67" i="83"/>
  <c r="G67" i="83"/>
  <c r="E67" i="83"/>
  <c r="A68" i="83"/>
  <c r="B67" i="83"/>
  <c r="E68" i="82"/>
  <c r="A69" i="82"/>
  <c r="B68" i="82"/>
  <c r="F68" i="82"/>
  <c r="G68" i="82"/>
  <c r="C62" i="87"/>
  <c r="D62" i="87"/>
  <c r="E68" i="79"/>
  <c r="F68" i="79"/>
  <c r="B68" i="79"/>
  <c r="G68" i="79"/>
  <c r="A69" i="79"/>
  <c r="D67" i="79"/>
  <c r="C67" i="79"/>
  <c r="F63" i="88"/>
  <c r="E63" i="88"/>
  <c r="B63" i="88"/>
  <c r="A64" i="88"/>
  <c r="G63" i="88"/>
  <c r="E65" i="85"/>
  <c r="A66" i="85"/>
  <c r="F65" i="85"/>
  <c r="B65" i="85"/>
  <c r="G65" i="85"/>
  <c r="D66" i="84"/>
  <c r="C66" i="84"/>
  <c r="D62" i="88"/>
  <c r="C62" i="88"/>
  <c r="E67" i="84"/>
  <c r="G67" i="84"/>
  <c r="B67" i="84"/>
  <c r="F67" i="84"/>
  <c r="A68" i="84"/>
  <c r="D64" i="86"/>
  <c r="C64" i="86"/>
  <c r="B65" i="86"/>
  <c r="E65" i="86"/>
  <c r="A66" i="86"/>
  <c r="F65" i="86"/>
  <c r="G65" i="86"/>
  <c r="C66" i="78"/>
  <c r="D66" i="78"/>
  <c r="B68" i="81"/>
  <c r="A69" i="81"/>
  <c r="E68" i="81"/>
  <c r="G68" i="81"/>
  <c r="F68" i="81"/>
  <c r="G67" i="78"/>
  <c r="B67" i="78"/>
  <c r="F67" i="78"/>
  <c r="E67" i="78"/>
  <c r="A68" i="78"/>
  <c r="C67" i="81"/>
  <c r="D67" i="81"/>
  <c r="D67" i="82"/>
  <c r="C67" i="82"/>
  <c r="A64" i="87"/>
  <c r="F63" i="87"/>
  <c r="B63" i="87"/>
  <c r="E63" i="87"/>
  <c r="G63" i="87"/>
  <c r="C64" i="85"/>
  <c r="D64" i="85"/>
  <c r="D67" i="80"/>
  <c r="C67" i="80"/>
  <c r="F68" i="80"/>
  <c r="G68" i="80"/>
  <c r="E68" i="80"/>
  <c r="B68" i="80"/>
  <c r="A69" i="80"/>
  <c r="F68" i="83" l="1"/>
  <c r="A69" i="83"/>
  <c r="E68" i="83"/>
  <c r="B68" i="83"/>
  <c r="G68" i="83"/>
  <c r="D67" i="83"/>
  <c r="C67" i="83"/>
  <c r="D67" i="84"/>
  <c r="C67" i="84"/>
  <c r="A70" i="79"/>
  <c r="F69" i="79"/>
  <c r="E69" i="79"/>
  <c r="B69" i="79"/>
  <c r="G69" i="79"/>
  <c r="D68" i="81"/>
  <c r="C68" i="81"/>
  <c r="D68" i="79"/>
  <c r="C68" i="79"/>
  <c r="C63" i="87"/>
  <c r="D63" i="87"/>
  <c r="B69" i="81"/>
  <c r="F69" i="81"/>
  <c r="A70" i="81"/>
  <c r="G69" i="81"/>
  <c r="E69" i="81"/>
  <c r="A65" i="87"/>
  <c r="B64" i="87"/>
  <c r="E64" i="87"/>
  <c r="G64" i="87"/>
  <c r="F64" i="87"/>
  <c r="C65" i="85"/>
  <c r="D65" i="85"/>
  <c r="E66" i="86"/>
  <c r="A67" i="86"/>
  <c r="B66" i="86"/>
  <c r="F66" i="86"/>
  <c r="G66" i="86"/>
  <c r="F66" i="85"/>
  <c r="A67" i="85"/>
  <c r="G66" i="85"/>
  <c r="B66" i="85"/>
  <c r="E66" i="85"/>
  <c r="A69" i="78"/>
  <c r="E68" i="78"/>
  <c r="F68" i="78"/>
  <c r="G68" i="78"/>
  <c r="B68" i="78"/>
  <c r="C65" i="86"/>
  <c r="D65" i="86"/>
  <c r="D68" i="82"/>
  <c r="C68" i="82"/>
  <c r="B64" i="88"/>
  <c r="G64" i="88"/>
  <c r="E64" i="88"/>
  <c r="F64" i="88"/>
  <c r="A65" i="88"/>
  <c r="B69" i="82"/>
  <c r="F69" i="82"/>
  <c r="E69" i="82"/>
  <c r="A70" i="82"/>
  <c r="G69" i="82"/>
  <c r="D67" i="78"/>
  <c r="C67" i="78"/>
  <c r="G68" i="84"/>
  <c r="E68" i="84"/>
  <c r="B68" i="84"/>
  <c r="A69" i="84"/>
  <c r="F68" i="84"/>
  <c r="C63" i="88"/>
  <c r="D63" i="88"/>
  <c r="C68" i="80"/>
  <c r="D68" i="80"/>
  <c r="A70" i="80"/>
  <c r="F69" i="80"/>
  <c r="B69" i="80"/>
  <c r="E69" i="80"/>
  <c r="G69" i="80"/>
  <c r="D68" i="83" l="1"/>
  <c r="C68" i="83"/>
  <c r="F69" i="83"/>
  <c r="B69" i="83"/>
  <c r="A70" i="83"/>
  <c r="E69" i="83"/>
  <c r="G69" i="83"/>
  <c r="D69" i="81"/>
  <c r="C69" i="81"/>
  <c r="B69" i="78"/>
  <c r="A70" i="78"/>
  <c r="F69" i="78"/>
  <c r="E69" i="78"/>
  <c r="G69" i="78"/>
  <c r="C69" i="82"/>
  <c r="D69" i="82"/>
  <c r="C66" i="86"/>
  <c r="D66" i="86"/>
  <c r="C68" i="84"/>
  <c r="D68" i="84"/>
  <c r="E67" i="86"/>
  <c r="B67" i="86"/>
  <c r="A68" i="86"/>
  <c r="F67" i="86"/>
  <c r="G67" i="86"/>
  <c r="C64" i="87"/>
  <c r="D64" i="87"/>
  <c r="B67" i="85"/>
  <c r="G67" i="85"/>
  <c r="E67" i="85"/>
  <c r="F67" i="85"/>
  <c r="A68" i="85"/>
  <c r="G69" i="84"/>
  <c r="A70" i="84"/>
  <c r="F69" i="84"/>
  <c r="B69" i="84"/>
  <c r="E69" i="84"/>
  <c r="C68" i="78"/>
  <c r="D68" i="78"/>
  <c r="C66" i="85"/>
  <c r="D66" i="85"/>
  <c r="E65" i="88"/>
  <c r="B65" i="88"/>
  <c r="F65" i="88"/>
  <c r="G65" i="88"/>
  <c r="A66" i="88"/>
  <c r="D69" i="79"/>
  <c r="C69" i="79"/>
  <c r="E70" i="81"/>
  <c r="A71" i="81"/>
  <c r="B70" i="81"/>
  <c r="G70" i="81"/>
  <c r="F70" i="81"/>
  <c r="C64" i="88"/>
  <c r="D64" i="88"/>
  <c r="E70" i="82"/>
  <c r="B70" i="82"/>
  <c r="G70" i="82"/>
  <c r="F70" i="82"/>
  <c r="A71" i="82"/>
  <c r="A66" i="87"/>
  <c r="F65" i="87"/>
  <c r="G65" i="87"/>
  <c r="E65" i="87"/>
  <c r="B65" i="87"/>
  <c r="F70" i="79"/>
  <c r="G70" i="79"/>
  <c r="B70" i="79"/>
  <c r="A71" i="79"/>
  <c r="E70" i="79"/>
  <c r="C69" i="80"/>
  <c r="D69" i="80"/>
  <c r="B70" i="80"/>
  <c r="F70" i="80"/>
  <c r="E70" i="80"/>
  <c r="A71" i="80"/>
  <c r="G70" i="80"/>
  <c r="G70" i="83" l="1"/>
  <c r="A71" i="83"/>
  <c r="B70" i="83"/>
  <c r="F70" i="83"/>
  <c r="E70" i="83"/>
  <c r="C69" i="83"/>
  <c r="D69" i="83"/>
  <c r="B68" i="86"/>
  <c r="E68" i="86"/>
  <c r="F68" i="86"/>
  <c r="G68" i="86"/>
  <c r="A69" i="86"/>
  <c r="D67" i="86"/>
  <c r="C67" i="86"/>
  <c r="B71" i="79"/>
  <c r="A72" i="79"/>
  <c r="E71" i="79"/>
  <c r="G71" i="79"/>
  <c r="F71" i="79"/>
  <c r="D70" i="79"/>
  <c r="C70" i="79"/>
  <c r="C69" i="84"/>
  <c r="D69" i="84"/>
  <c r="C70" i="81"/>
  <c r="D70" i="81"/>
  <c r="A72" i="81"/>
  <c r="B71" i="81"/>
  <c r="G71" i="81"/>
  <c r="E71" i="81"/>
  <c r="F71" i="81"/>
  <c r="A71" i="84"/>
  <c r="B70" i="84"/>
  <c r="E70" i="84"/>
  <c r="G70" i="84"/>
  <c r="F70" i="84"/>
  <c r="C65" i="87"/>
  <c r="D65" i="87"/>
  <c r="B68" i="85"/>
  <c r="A69" i="85"/>
  <c r="E68" i="85"/>
  <c r="G68" i="85"/>
  <c r="F68" i="85"/>
  <c r="B66" i="88"/>
  <c r="A67" i="88"/>
  <c r="G66" i="88"/>
  <c r="F66" i="88"/>
  <c r="E66" i="88"/>
  <c r="B66" i="87"/>
  <c r="A67" i="87"/>
  <c r="G66" i="87"/>
  <c r="E66" i="87"/>
  <c r="F66" i="87"/>
  <c r="E71" i="82"/>
  <c r="A72" i="82"/>
  <c r="B71" i="82"/>
  <c r="F71" i="82"/>
  <c r="G71" i="82"/>
  <c r="C67" i="85"/>
  <c r="D67" i="85"/>
  <c r="D65" i="88"/>
  <c r="C65" i="88"/>
  <c r="E70" i="78"/>
  <c r="A71" i="78"/>
  <c r="B70" i="78"/>
  <c r="F70" i="78"/>
  <c r="G70" i="78"/>
  <c r="D69" i="78"/>
  <c r="C69" i="78"/>
  <c r="D70" i="82"/>
  <c r="C70" i="82"/>
  <c r="B71" i="80"/>
  <c r="E71" i="80"/>
  <c r="G71" i="80"/>
  <c r="A72" i="80"/>
  <c r="F71" i="80"/>
  <c r="C70" i="80"/>
  <c r="D70" i="80"/>
  <c r="E71" i="83" l="1"/>
  <c r="B71" i="83"/>
  <c r="A72" i="83"/>
  <c r="G71" i="83"/>
  <c r="F71" i="83"/>
  <c r="D70" i="83"/>
  <c r="C70" i="83"/>
  <c r="D71" i="82"/>
  <c r="C71" i="82"/>
  <c r="G69" i="85"/>
  <c r="E69" i="85"/>
  <c r="F69" i="85"/>
  <c r="A70" i="85"/>
  <c r="B69" i="85"/>
  <c r="G72" i="82"/>
  <c r="A73" i="82"/>
  <c r="E72" i="82"/>
  <c r="B72" i="82"/>
  <c r="F72" i="82"/>
  <c r="C68" i="85"/>
  <c r="D68" i="85"/>
  <c r="F67" i="87"/>
  <c r="E67" i="87"/>
  <c r="A68" i="87"/>
  <c r="B67" i="87"/>
  <c r="G67" i="87"/>
  <c r="C66" i="87"/>
  <c r="D66" i="87"/>
  <c r="C70" i="84"/>
  <c r="D70" i="84"/>
  <c r="B72" i="79"/>
  <c r="G72" i="79"/>
  <c r="F72" i="79"/>
  <c r="E72" i="79"/>
  <c r="A73" i="79"/>
  <c r="D70" i="78"/>
  <c r="C70" i="78"/>
  <c r="A72" i="78"/>
  <c r="B71" i="78"/>
  <c r="E71" i="78"/>
  <c r="F71" i="78"/>
  <c r="G71" i="78"/>
  <c r="G71" i="84"/>
  <c r="F71" i="84"/>
  <c r="A72" i="84"/>
  <c r="B71" i="84"/>
  <c r="E71" i="84"/>
  <c r="D71" i="79"/>
  <c r="C71" i="79"/>
  <c r="E69" i="86"/>
  <c r="F69" i="86"/>
  <c r="A70" i="86"/>
  <c r="B69" i="86"/>
  <c r="G69" i="86"/>
  <c r="F67" i="88"/>
  <c r="G67" i="88"/>
  <c r="A68" i="88"/>
  <c r="E67" i="88"/>
  <c r="B67" i="88"/>
  <c r="C66" i="88"/>
  <c r="D66" i="88"/>
  <c r="D71" i="81"/>
  <c r="C71" i="81"/>
  <c r="E72" i="81"/>
  <c r="G72" i="81"/>
  <c r="B72" i="81"/>
  <c r="F72" i="81"/>
  <c r="A73" i="81"/>
  <c r="D68" i="86"/>
  <c r="C68" i="86"/>
  <c r="E72" i="80"/>
  <c r="A73" i="80"/>
  <c r="F72" i="80"/>
  <c r="G72" i="80"/>
  <c r="B72" i="80"/>
  <c r="D71" i="80"/>
  <c r="C71" i="80"/>
  <c r="C71" i="83" l="1"/>
  <c r="D71" i="83"/>
  <c r="G72" i="83"/>
  <c r="E72" i="83"/>
  <c r="F72" i="83"/>
  <c r="B72" i="83"/>
  <c r="A73" i="83"/>
  <c r="G68" i="88"/>
  <c r="E68" i="88"/>
  <c r="B68" i="88"/>
  <c r="F68" i="88"/>
  <c r="A69" i="88"/>
  <c r="D71" i="78"/>
  <c r="C71" i="78"/>
  <c r="G72" i="78"/>
  <c r="B72" i="78"/>
  <c r="A73" i="78"/>
  <c r="F72" i="78"/>
  <c r="E72" i="78"/>
  <c r="D69" i="86"/>
  <c r="C69" i="86"/>
  <c r="E73" i="79"/>
  <c r="A74" i="79"/>
  <c r="G73" i="79"/>
  <c r="B73" i="79"/>
  <c r="F73" i="79"/>
  <c r="C72" i="81"/>
  <c r="D72" i="81"/>
  <c r="D72" i="82"/>
  <c r="C72" i="82"/>
  <c r="E73" i="82"/>
  <c r="F73" i="82"/>
  <c r="A74" i="82"/>
  <c r="B73" i="82"/>
  <c r="G73" i="82"/>
  <c r="D72" i="79"/>
  <c r="C72" i="79"/>
  <c r="D71" i="84"/>
  <c r="C71" i="84"/>
  <c r="D69" i="85"/>
  <c r="C69" i="85"/>
  <c r="B72" i="84"/>
  <c r="E72" i="84"/>
  <c r="G72" i="84"/>
  <c r="A73" i="84"/>
  <c r="F72" i="84"/>
  <c r="G70" i="85"/>
  <c r="A71" i="85"/>
  <c r="F70" i="85"/>
  <c r="E70" i="85"/>
  <c r="B70" i="85"/>
  <c r="G73" i="81"/>
  <c r="F73" i="81"/>
  <c r="E73" i="81"/>
  <c r="A74" i="81"/>
  <c r="B73" i="81"/>
  <c r="F70" i="86"/>
  <c r="A71" i="86"/>
  <c r="B70" i="86"/>
  <c r="E70" i="86"/>
  <c r="G70" i="86"/>
  <c r="D67" i="88"/>
  <c r="C67" i="88"/>
  <c r="C67" i="87"/>
  <c r="D67" i="87"/>
  <c r="E68" i="87"/>
  <c r="F68" i="87"/>
  <c r="A69" i="87"/>
  <c r="B68" i="87"/>
  <c r="G68" i="87"/>
  <c r="C72" i="80"/>
  <c r="D72" i="80"/>
  <c r="E73" i="80"/>
  <c r="A74" i="80"/>
  <c r="F73" i="80"/>
  <c r="G73" i="80"/>
  <c r="B73" i="80"/>
  <c r="A74" i="83" l="1"/>
  <c r="F73" i="83"/>
  <c r="G73" i="83"/>
  <c r="B73" i="83"/>
  <c r="E73" i="83"/>
  <c r="C72" i="83"/>
  <c r="D72" i="83"/>
  <c r="A75" i="79"/>
  <c r="B74" i="79"/>
  <c r="E74" i="79"/>
  <c r="F74" i="79"/>
  <c r="G74" i="79"/>
  <c r="A75" i="81"/>
  <c r="B74" i="81"/>
  <c r="F74" i="81"/>
  <c r="G74" i="81"/>
  <c r="E74" i="81"/>
  <c r="D68" i="87"/>
  <c r="C68" i="87"/>
  <c r="A70" i="87"/>
  <c r="E69" i="87"/>
  <c r="F69" i="87"/>
  <c r="B69" i="87"/>
  <c r="G69" i="87"/>
  <c r="C70" i="85"/>
  <c r="D70" i="85"/>
  <c r="C73" i="82"/>
  <c r="D73" i="82"/>
  <c r="E74" i="82"/>
  <c r="G74" i="82"/>
  <c r="B74" i="82"/>
  <c r="F74" i="82"/>
  <c r="A75" i="82"/>
  <c r="G73" i="78"/>
  <c r="B73" i="78"/>
  <c r="A74" i="78"/>
  <c r="E73" i="78"/>
  <c r="F73" i="78"/>
  <c r="D72" i="78"/>
  <c r="C72" i="78"/>
  <c r="B71" i="85"/>
  <c r="F71" i="85"/>
  <c r="A72" i="85"/>
  <c r="E71" i="85"/>
  <c r="G71" i="85"/>
  <c r="F73" i="84"/>
  <c r="B73" i="84"/>
  <c r="G73" i="84"/>
  <c r="A74" i="84"/>
  <c r="E73" i="84"/>
  <c r="B69" i="88"/>
  <c r="E69" i="88"/>
  <c r="G69" i="88"/>
  <c r="A70" i="88"/>
  <c r="F69" i="88"/>
  <c r="D70" i="86"/>
  <c r="C70" i="86"/>
  <c r="F71" i="86"/>
  <c r="A72" i="86"/>
  <c r="G71" i="86"/>
  <c r="E71" i="86"/>
  <c r="B71" i="86"/>
  <c r="C72" i="84"/>
  <c r="D72" i="84"/>
  <c r="D68" i="88"/>
  <c r="C68" i="88"/>
  <c r="D73" i="79"/>
  <c r="C73" i="79"/>
  <c r="C73" i="81"/>
  <c r="D73" i="81"/>
  <c r="C73" i="80"/>
  <c r="D73" i="80"/>
  <c r="B74" i="80"/>
  <c r="A75" i="80"/>
  <c r="G74" i="80"/>
  <c r="F74" i="80"/>
  <c r="E74" i="80"/>
  <c r="D73" i="83" l="1"/>
  <c r="C73" i="83"/>
  <c r="G74" i="83"/>
  <c r="A75" i="83"/>
  <c r="B74" i="83"/>
  <c r="F74" i="83"/>
  <c r="E74" i="83"/>
  <c r="D71" i="85"/>
  <c r="C71" i="85"/>
  <c r="D69" i="87"/>
  <c r="C69" i="87"/>
  <c r="C74" i="79"/>
  <c r="D74" i="79"/>
  <c r="B70" i="88"/>
  <c r="A71" i="88"/>
  <c r="E70" i="88"/>
  <c r="F70" i="88"/>
  <c r="G70" i="88"/>
  <c r="F74" i="78"/>
  <c r="E74" i="78"/>
  <c r="G74" i="78"/>
  <c r="B74" i="78"/>
  <c r="A75" i="78"/>
  <c r="A71" i="87"/>
  <c r="G70" i="87"/>
  <c r="E70" i="87"/>
  <c r="B70" i="87"/>
  <c r="F70" i="87"/>
  <c r="F75" i="79"/>
  <c r="G75" i="79"/>
  <c r="A76" i="79"/>
  <c r="B75" i="79"/>
  <c r="E75" i="79"/>
  <c r="D69" i="88"/>
  <c r="C69" i="88"/>
  <c r="C73" i="78"/>
  <c r="D73" i="78"/>
  <c r="C73" i="84"/>
  <c r="D73" i="84"/>
  <c r="D74" i="82"/>
  <c r="C74" i="82"/>
  <c r="D71" i="86"/>
  <c r="C71" i="86"/>
  <c r="D74" i="81"/>
  <c r="C74" i="81"/>
  <c r="E75" i="81"/>
  <c r="A76" i="81"/>
  <c r="B75" i="81"/>
  <c r="G75" i="81"/>
  <c r="F75" i="81"/>
  <c r="G75" i="82"/>
  <c r="F75" i="82"/>
  <c r="A76" i="82"/>
  <c r="E75" i="82"/>
  <c r="B75" i="82"/>
  <c r="A73" i="86"/>
  <c r="E72" i="86"/>
  <c r="B72" i="86"/>
  <c r="G72" i="86"/>
  <c r="F72" i="86"/>
  <c r="G72" i="85"/>
  <c r="B72" i="85"/>
  <c r="E72" i="85"/>
  <c r="A73" i="85"/>
  <c r="F72" i="85"/>
  <c r="B74" i="84"/>
  <c r="G74" i="84"/>
  <c r="A75" i="84"/>
  <c r="F74" i="84"/>
  <c r="E74" i="84"/>
  <c r="G75" i="80"/>
  <c r="E75" i="80"/>
  <c r="A76" i="80"/>
  <c r="B75" i="80"/>
  <c r="F75" i="80"/>
  <c r="D74" i="80"/>
  <c r="C74" i="80"/>
  <c r="C74" i="83" l="1"/>
  <c r="D74" i="83"/>
  <c r="A76" i="83"/>
  <c r="F75" i="83"/>
  <c r="B75" i="83"/>
  <c r="E75" i="83"/>
  <c r="G75" i="83"/>
  <c r="D75" i="82"/>
  <c r="C75" i="82"/>
  <c r="A76" i="78"/>
  <c r="E75" i="78"/>
  <c r="F75" i="78"/>
  <c r="G75" i="78"/>
  <c r="B75" i="78"/>
  <c r="D74" i="78"/>
  <c r="C74" i="78"/>
  <c r="F76" i="82"/>
  <c r="A77" i="82"/>
  <c r="E76" i="82"/>
  <c r="G76" i="82"/>
  <c r="B76" i="82"/>
  <c r="G75" i="84"/>
  <c r="E75" i="84"/>
  <c r="A76" i="84"/>
  <c r="F75" i="84"/>
  <c r="B75" i="84"/>
  <c r="C74" i="84"/>
  <c r="D74" i="84"/>
  <c r="A74" i="85"/>
  <c r="B73" i="85"/>
  <c r="G73" i="85"/>
  <c r="E73" i="85"/>
  <c r="F73" i="85"/>
  <c r="D75" i="81"/>
  <c r="C75" i="81"/>
  <c r="D75" i="79"/>
  <c r="C75" i="79"/>
  <c r="F76" i="81"/>
  <c r="G76" i="81"/>
  <c r="A77" i="81"/>
  <c r="B76" i="81"/>
  <c r="E76" i="81"/>
  <c r="A77" i="79"/>
  <c r="G76" i="79"/>
  <c r="B76" i="79"/>
  <c r="E76" i="79"/>
  <c r="F76" i="79"/>
  <c r="G71" i="88"/>
  <c r="E71" i="88"/>
  <c r="A72" i="88"/>
  <c r="F71" i="88"/>
  <c r="B71" i="88"/>
  <c r="C70" i="88"/>
  <c r="D70" i="88"/>
  <c r="D72" i="85"/>
  <c r="C72" i="85"/>
  <c r="D70" i="87"/>
  <c r="C70" i="87"/>
  <c r="C72" i="86"/>
  <c r="D72" i="86"/>
  <c r="E73" i="86"/>
  <c r="F73" i="86"/>
  <c r="B73" i="86"/>
  <c r="A74" i="86"/>
  <c r="G73" i="86"/>
  <c r="F71" i="87"/>
  <c r="B71" i="87"/>
  <c r="G71" i="87"/>
  <c r="E71" i="87"/>
  <c r="A72" i="87"/>
  <c r="C75" i="80"/>
  <c r="D75" i="80"/>
  <c r="G76" i="80"/>
  <c r="B76" i="80"/>
  <c r="F76" i="80"/>
  <c r="A77" i="80"/>
  <c r="E76" i="80"/>
  <c r="D75" i="83" l="1"/>
  <c r="C75" i="83"/>
  <c r="A77" i="83"/>
  <c r="G76" i="83"/>
  <c r="E76" i="83"/>
  <c r="B76" i="83"/>
  <c r="F76" i="83"/>
  <c r="A78" i="81"/>
  <c r="E77" i="81"/>
  <c r="B77" i="81"/>
  <c r="F77" i="81"/>
  <c r="G77" i="81"/>
  <c r="E76" i="84"/>
  <c r="G76" i="84"/>
  <c r="F76" i="84"/>
  <c r="A77" i="84"/>
  <c r="B76" i="84"/>
  <c r="F72" i="87"/>
  <c r="G72" i="87"/>
  <c r="B72" i="87"/>
  <c r="A73" i="87"/>
  <c r="E72" i="87"/>
  <c r="C76" i="82"/>
  <c r="D76" i="82"/>
  <c r="C71" i="88"/>
  <c r="D71" i="88"/>
  <c r="B74" i="85"/>
  <c r="E74" i="85"/>
  <c r="A75" i="85"/>
  <c r="G74" i="85"/>
  <c r="F74" i="85"/>
  <c r="C71" i="87"/>
  <c r="D71" i="87"/>
  <c r="A73" i="88"/>
  <c r="B72" i="88"/>
  <c r="G72" i="88"/>
  <c r="F72" i="88"/>
  <c r="E72" i="88"/>
  <c r="G77" i="82"/>
  <c r="B77" i="82"/>
  <c r="F77" i="82"/>
  <c r="E77" i="82"/>
  <c r="A78" i="82"/>
  <c r="A75" i="86"/>
  <c r="E74" i="86"/>
  <c r="B74" i="86"/>
  <c r="G74" i="86"/>
  <c r="F74" i="86"/>
  <c r="C76" i="79"/>
  <c r="D76" i="79"/>
  <c r="D73" i="86"/>
  <c r="C73" i="86"/>
  <c r="D73" i="85"/>
  <c r="C73" i="85"/>
  <c r="D75" i="78"/>
  <c r="C75" i="78"/>
  <c r="C75" i="84"/>
  <c r="D75" i="84"/>
  <c r="A77" i="78"/>
  <c r="E76" i="78"/>
  <c r="F76" i="78"/>
  <c r="B76" i="78"/>
  <c r="G76" i="78"/>
  <c r="A78" i="79"/>
  <c r="E77" i="79"/>
  <c r="G77" i="79"/>
  <c r="F77" i="79"/>
  <c r="B77" i="79"/>
  <c r="D76" i="81"/>
  <c r="C76" i="81"/>
  <c r="E77" i="80"/>
  <c r="G77" i="80"/>
  <c r="A78" i="80"/>
  <c r="F77" i="80"/>
  <c r="B77" i="80"/>
  <c r="C76" i="80"/>
  <c r="D76" i="80"/>
  <c r="F77" i="83" l="1"/>
  <c r="E77" i="83"/>
  <c r="B77" i="83"/>
  <c r="G77" i="83"/>
  <c r="A78" i="83"/>
  <c r="C76" i="83"/>
  <c r="D76" i="83"/>
  <c r="D77" i="82"/>
  <c r="C77" i="82"/>
  <c r="G78" i="81"/>
  <c r="E78" i="81"/>
  <c r="F78" i="81"/>
  <c r="A79" i="81"/>
  <c r="B78" i="81"/>
  <c r="A78" i="78"/>
  <c r="B77" i="78"/>
  <c r="E77" i="78"/>
  <c r="G77" i="78"/>
  <c r="F77" i="78"/>
  <c r="E73" i="87"/>
  <c r="A74" i="87"/>
  <c r="F73" i="87"/>
  <c r="B73" i="87"/>
  <c r="G73" i="87"/>
  <c r="C74" i="86"/>
  <c r="D74" i="86"/>
  <c r="D77" i="79"/>
  <c r="C77" i="79"/>
  <c r="C76" i="78"/>
  <c r="D76" i="78"/>
  <c r="B78" i="82"/>
  <c r="E78" i="82"/>
  <c r="G78" i="82"/>
  <c r="A79" i="82"/>
  <c r="F78" i="82"/>
  <c r="C72" i="87"/>
  <c r="D72" i="87"/>
  <c r="C72" i="88"/>
  <c r="D72" i="88"/>
  <c r="G73" i="88"/>
  <c r="B73" i="88"/>
  <c r="A74" i="88"/>
  <c r="E73" i="88"/>
  <c r="F73" i="88"/>
  <c r="D74" i="85"/>
  <c r="C74" i="85"/>
  <c r="C76" i="84"/>
  <c r="D76" i="84"/>
  <c r="G78" i="79"/>
  <c r="F78" i="79"/>
  <c r="A79" i="79"/>
  <c r="E78" i="79"/>
  <c r="B78" i="79"/>
  <c r="G77" i="84"/>
  <c r="B77" i="84"/>
  <c r="E77" i="84"/>
  <c r="A78" i="84"/>
  <c r="F77" i="84"/>
  <c r="G75" i="86"/>
  <c r="B75" i="86"/>
  <c r="E75" i="86"/>
  <c r="A76" i="86"/>
  <c r="F75" i="86"/>
  <c r="F75" i="85"/>
  <c r="A76" i="85"/>
  <c r="B75" i="85"/>
  <c r="E75" i="85"/>
  <c r="G75" i="85"/>
  <c r="C77" i="81"/>
  <c r="D77" i="81"/>
  <c r="C77" i="80"/>
  <c r="D77" i="80"/>
  <c r="G78" i="80"/>
  <c r="E78" i="80"/>
  <c r="A79" i="80"/>
  <c r="F78" i="80"/>
  <c r="B78" i="80"/>
  <c r="A79" i="83" l="1"/>
  <c r="F78" i="83"/>
  <c r="B78" i="83"/>
  <c r="G78" i="83"/>
  <c r="E78" i="83"/>
  <c r="D77" i="83"/>
  <c r="C77" i="83"/>
  <c r="D75" i="86"/>
  <c r="C75" i="86"/>
  <c r="A75" i="88"/>
  <c r="F74" i="88"/>
  <c r="G74" i="88"/>
  <c r="E74" i="88"/>
  <c r="B74" i="88"/>
  <c r="A79" i="84"/>
  <c r="B78" i="84"/>
  <c r="G78" i="84"/>
  <c r="F78" i="84"/>
  <c r="E78" i="84"/>
  <c r="C73" i="88"/>
  <c r="D73" i="88"/>
  <c r="C77" i="84"/>
  <c r="D77" i="84"/>
  <c r="C73" i="87"/>
  <c r="D73" i="87"/>
  <c r="C78" i="79"/>
  <c r="D78" i="79"/>
  <c r="G74" i="87"/>
  <c r="A75" i="87"/>
  <c r="B74" i="87"/>
  <c r="F74" i="87"/>
  <c r="E74" i="87"/>
  <c r="G79" i="79"/>
  <c r="A80" i="79"/>
  <c r="B79" i="79"/>
  <c r="E79" i="79"/>
  <c r="F79" i="79"/>
  <c r="D75" i="85"/>
  <c r="C75" i="85"/>
  <c r="A80" i="82"/>
  <c r="G79" i="82"/>
  <c r="B79" i="82"/>
  <c r="F79" i="82"/>
  <c r="E79" i="82"/>
  <c r="E76" i="85"/>
  <c r="G76" i="85"/>
  <c r="A77" i="85"/>
  <c r="B76" i="85"/>
  <c r="F76" i="85"/>
  <c r="C77" i="78"/>
  <c r="D77" i="78"/>
  <c r="C78" i="82"/>
  <c r="D78" i="82"/>
  <c r="G78" i="78"/>
  <c r="B78" i="78"/>
  <c r="E78" i="78"/>
  <c r="A79" i="78"/>
  <c r="F78" i="78"/>
  <c r="A77" i="86"/>
  <c r="B76" i="86"/>
  <c r="E76" i="86"/>
  <c r="F76" i="86"/>
  <c r="G76" i="86"/>
  <c r="C78" i="81"/>
  <c r="D78" i="81"/>
  <c r="A80" i="81"/>
  <c r="G79" i="81"/>
  <c r="F79" i="81"/>
  <c r="B79" i="81"/>
  <c r="E79" i="81"/>
  <c r="A80" i="80"/>
  <c r="F79" i="80"/>
  <c r="B79" i="80"/>
  <c r="E79" i="80"/>
  <c r="G79" i="80"/>
  <c r="C78" i="80"/>
  <c r="D78" i="80"/>
  <c r="F79" i="83" l="1"/>
  <c r="G79" i="83"/>
  <c r="B79" i="83"/>
  <c r="A80" i="83"/>
  <c r="E79" i="83"/>
  <c r="C78" i="83"/>
  <c r="D78" i="83"/>
  <c r="C76" i="86"/>
  <c r="D76" i="86"/>
  <c r="C79" i="82"/>
  <c r="D79" i="82"/>
  <c r="A80" i="78"/>
  <c r="B79" i="78"/>
  <c r="E79" i="78"/>
  <c r="G79" i="78"/>
  <c r="F79" i="78"/>
  <c r="F80" i="82"/>
  <c r="B80" i="82"/>
  <c r="E80" i="82"/>
  <c r="A81" i="82"/>
  <c r="G80" i="82"/>
  <c r="D78" i="78"/>
  <c r="C78" i="78"/>
  <c r="C79" i="81"/>
  <c r="D79" i="81"/>
  <c r="C79" i="79"/>
  <c r="D79" i="79"/>
  <c r="G80" i="81"/>
  <c r="F80" i="81"/>
  <c r="E80" i="81"/>
  <c r="A81" i="81"/>
  <c r="B80" i="81"/>
  <c r="B80" i="79"/>
  <c r="G80" i="79"/>
  <c r="E80" i="79"/>
  <c r="A81" i="79"/>
  <c r="F80" i="79"/>
  <c r="D76" i="85"/>
  <c r="C76" i="85"/>
  <c r="C78" i="84"/>
  <c r="D78" i="84"/>
  <c r="F79" i="84"/>
  <c r="A80" i="84"/>
  <c r="B79" i="84"/>
  <c r="G79" i="84"/>
  <c r="E79" i="84"/>
  <c r="C74" i="87"/>
  <c r="D74" i="87"/>
  <c r="D74" i="88"/>
  <c r="C74" i="88"/>
  <c r="A76" i="87"/>
  <c r="B75" i="87"/>
  <c r="F75" i="87"/>
  <c r="E75" i="87"/>
  <c r="G75" i="87"/>
  <c r="B77" i="85"/>
  <c r="E77" i="85"/>
  <c r="G77" i="85"/>
  <c r="A78" i="85"/>
  <c r="F77" i="85"/>
  <c r="A78" i="86"/>
  <c r="B77" i="86"/>
  <c r="F77" i="86"/>
  <c r="G77" i="86"/>
  <c r="E77" i="86"/>
  <c r="G75" i="88"/>
  <c r="F75" i="88"/>
  <c r="B75" i="88"/>
  <c r="A76" i="88"/>
  <c r="E75" i="88"/>
  <c r="E80" i="80"/>
  <c r="B80" i="80"/>
  <c r="G80" i="80"/>
  <c r="A81" i="80"/>
  <c r="F80" i="80"/>
  <c r="C79" i="80"/>
  <c r="D79" i="80"/>
  <c r="F80" i="83" l="1"/>
  <c r="B80" i="83"/>
  <c r="G80" i="83"/>
  <c r="E80" i="83"/>
  <c r="A81" i="83"/>
  <c r="D79" i="83"/>
  <c r="C79" i="83"/>
  <c r="E81" i="81"/>
  <c r="A82" i="81"/>
  <c r="G81" i="81"/>
  <c r="B81" i="81"/>
  <c r="F81" i="81"/>
  <c r="G78" i="86"/>
  <c r="A79" i="86"/>
  <c r="B78" i="86"/>
  <c r="F78" i="86"/>
  <c r="E78" i="86"/>
  <c r="D77" i="85"/>
  <c r="C77" i="85"/>
  <c r="D79" i="84"/>
  <c r="C79" i="84"/>
  <c r="B80" i="84"/>
  <c r="G80" i="84"/>
  <c r="F80" i="84"/>
  <c r="E80" i="84"/>
  <c r="A81" i="84"/>
  <c r="B76" i="88"/>
  <c r="E76" i="88"/>
  <c r="F76" i="88"/>
  <c r="A77" i="88"/>
  <c r="G76" i="88"/>
  <c r="D75" i="87"/>
  <c r="C75" i="87"/>
  <c r="G81" i="82"/>
  <c r="F81" i="82"/>
  <c r="E81" i="82"/>
  <c r="A82" i="82"/>
  <c r="B81" i="82"/>
  <c r="D80" i="82"/>
  <c r="C80" i="82"/>
  <c r="C79" i="78"/>
  <c r="D79" i="78"/>
  <c r="F78" i="85"/>
  <c r="G78" i="85"/>
  <c r="B78" i="85"/>
  <c r="E78" i="85"/>
  <c r="A79" i="85"/>
  <c r="D75" i="88"/>
  <c r="C75" i="88"/>
  <c r="E81" i="79"/>
  <c r="B81" i="79"/>
  <c r="A82" i="79"/>
  <c r="G81" i="79"/>
  <c r="F81" i="79"/>
  <c r="A77" i="87"/>
  <c r="F76" i="87"/>
  <c r="E76" i="87"/>
  <c r="B76" i="87"/>
  <c r="G76" i="87"/>
  <c r="D80" i="79"/>
  <c r="C80" i="79"/>
  <c r="D80" i="81"/>
  <c r="C80" i="81"/>
  <c r="E80" i="78"/>
  <c r="B80" i="78"/>
  <c r="F80" i="78"/>
  <c r="A81" i="78"/>
  <c r="G80" i="78"/>
  <c r="D77" i="86"/>
  <c r="C77" i="86"/>
  <c r="E81" i="80"/>
  <c r="F81" i="80"/>
  <c r="A82" i="80"/>
  <c r="G81" i="80"/>
  <c r="B81" i="80"/>
  <c r="C80" i="80"/>
  <c r="D80" i="80"/>
  <c r="C80" i="83" l="1"/>
  <c r="D80" i="83"/>
  <c r="F81" i="83"/>
  <c r="B81" i="83"/>
  <c r="A82" i="83"/>
  <c r="G81" i="83"/>
  <c r="E81" i="83"/>
  <c r="D78" i="85"/>
  <c r="C78" i="85"/>
  <c r="C76" i="87"/>
  <c r="D76" i="87"/>
  <c r="B82" i="81"/>
  <c r="E82" i="81"/>
  <c r="G82" i="81"/>
  <c r="A83" i="81"/>
  <c r="F82" i="81"/>
  <c r="E77" i="87"/>
  <c r="G77" i="87"/>
  <c r="A78" i="87"/>
  <c r="F77" i="87"/>
  <c r="B77" i="87"/>
  <c r="E79" i="85"/>
  <c r="F79" i="85"/>
  <c r="A80" i="85"/>
  <c r="G79" i="85"/>
  <c r="B79" i="85"/>
  <c r="B77" i="88"/>
  <c r="G77" i="88"/>
  <c r="E77" i="88"/>
  <c r="A78" i="88"/>
  <c r="F77" i="88"/>
  <c r="D76" i="88"/>
  <c r="C76" i="88"/>
  <c r="D81" i="82"/>
  <c r="C81" i="82"/>
  <c r="C80" i="84"/>
  <c r="D80" i="84"/>
  <c r="G82" i="82"/>
  <c r="E82" i="82"/>
  <c r="F82" i="82"/>
  <c r="B82" i="82"/>
  <c r="A83" i="82"/>
  <c r="F82" i="79"/>
  <c r="A83" i="79"/>
  <c r="B82" i="79"/>
  <c r="G82" i="79"/>
  <c r="E82" i="79"/>
  <c r="B81" i="78"/>
  <c r="A82" i="78"/>
  <c r="G81" i="78"/>
  <c r="F81" i="78"/>
  <c r="E81" i="78"/>
  <c r="C81" i="79"/>
  <c r="D81" i="79"/>
  <c r="C80" i="78"/>
  <c r="D80" i="78"/>
  <c r="C78" i="86"/>
  <c r="D78" i="86"/>
  <c r="E79" i="86"/>
  <c r="G79" i="86"/>
  <c r="B79" i="86"/>
  <c r="A80" i="86"/>
  <c r="F79" i="86"/>
  <c r="C81" i="81"/>
  <c r="D81" i="81"/>
  <c r="A82" i="84"/>
  <c r="B81" i="84"/>
  <c r="E81" i="84"/>
  <c r="F81" i="84"/>
  <c r="G81" i="84"/>
  <c r="D81" i="80"/>
  <c r="C81" i="80"/>
  <c r="A83" i="80"/>
  <c r="G82" i="80"/>
  <c r="E82" i="80"/>
  <c r="F82" i="80"/>
  <c r="B82" i="80"/>
  <c r="D81" i="83" l="1"/>
  <c r="C81" i="83"/>
  <c r="B82" i="83"/>
  <c r="G82" i="83"/>
  <c r="F82" i="83"/>
  <c r="E82" i="83"/>
  <c r="A83" i="83"/>
  <c r="B80" i="85"/>
  <c r="E80" i="85"/>
  <c r="F80" i="85"/>
  <c r="G80" i="85"/>
  <c r="A81" i="85"/>
  <c r="B83" i="82"/>
  <c r="A84" i="82"/>
  <c r="E83" i="82"/>
  <c r="F83" i="82"/>
  <c r="G83" i="82"/>
  <c r="D82" i="82"/>
  <c r="C82" i="82"/>
  <c r="B78" i="88"/>
  <c r="E78" i="88"/>
  <c r="F78" i="88"/>
  <c r="A79" i="88"/>
  <c r="G78" i="88"/>
  <c r="D77" i="87"/>
  <c r="C77" i="87"/>
  <c r="C81" i="84"/>
  <c r="D81" i="84"/>
  <c r="F78" i="87"/>
  <c r="A79" i="87"/>
  <c r="B78" i="87"/>
  <c r="E78" i="87"/>
  <c r="G78" i="87"/>
  <c r="E82" i="84"/>
  <c r="G82" i="84"/>
  <c r="A83" i="84"/>
  <c r="F82" i="84"/>
  <c r="B82" i="84"/>
  <c r="C81" i="78"/>
  <c r="D81" i="78"/>
  <c r="B83" i="81"/>
  <c r="F83" i="81"/>
  <c r="G83" i="81"/>
  <c r="A84" i="81"/>
  <c r="E83" i="81"/>
  <c r="E80" i="86"/>
  <c r="A81" i="86"/>
  <c r="B80" i="86"/>
  <c r="F80" i="86"/>
  <c r="G80" i="86"/>
  <c r="C82" i="79"/>
  <c r="D82" i="79"/>
  <c r="D77" i="88"/>
  <c r="C77" i="88"/>
  <c r="F82" i="78"/>
  <c r="A83" i="78"/>
  <c r="E82" i="78"/>
  <c r="G82" i="78"/>
  <c r="B82" i="78"/>
  <c r="C82" i="81"/>
  <c r="D82" i="81"/>
  <c r="C79" i="85"/>
  <c r="D79" i="85"/>
  <c r="A84" i="79"/>
  <c r="B83" i="79"/>
  <c r="F83" i="79"/>
  <c r="E83" i="79"/>
  <c r="G83" i="79"/>
  <c r="D79" i="86"/>
  <c r="C79" i="86"/>
  <c r="D82" i="80"/>
  <c r="C82" i="80"/>
  <c r="B83" i="80"/>
  <c r="E83" i="80"/>
  <c r="A84" i="80"/>
  <c r="G83" i="80"/>
  <c r="F83" i="80"/>
  <c r="C82" i="83" l="1"/>
  <c r="D82" i="83"/>
  <c r="F83" i="83"/>
  <c r="A84" i="83"/>
  <c r="B83" i="83"/>
  <c r="E83" i="83"/>
  <c r="G83" i="83"/>
  <c r="C83" i="81"/>
  <c r="D83" i="81"/>
  <c r="G83" i="78"/>
  <c r="B83" i="78"/>
  <c r="A84" i="78"/>
  <c r="F83" i="78"/>
  <c r="E83" i="78"/>
  <c r="C80" i="85"/>
  <c r="D80" i="85"/>
  <c r="G79" i="88"/>
  <c r="B79" i="88"/>
  <c r="F79" i="88"/>
  <c r="E79" i="88"/>
  <c r="A80" i="88"/>
  <c r="C82" i="84"/>
  <c r="D82" i="84"/>
  <c r="G83" i="84"/>
  <c r="A84" i="84"/>
  <c r="E83" i="84"/>
  <c r="B83" i="84"/>
  <c r="F83" i="84"/>
  <c r="C78" i="88"/>
  <c r="D78" i="88"/>
  <c r="D83" i="79"/>
  <c r="C83" i="79"/>
  <c r="C78" i="87"/>
  <c r="D78" i="87"/>
  <c r="E79" i="87"/>
  <c r="B79" i="87"/>
  <c r="A80" i="87"/>
  <c r="F79" i="87"/>
  <c r="G79" i="87"/>
  <c r="F84" i="82"/>
  <c r="B84" i="82"/>
  <c r="A85" i="82"/>
  <c r="G84" i="82"/>
  <c r="E84" i="82"/>
  <c r="D83" i="82"/>
  <c r="C83" i="82"/>
  <c r="F84" i="79"/>
  <c r="B84" i="79"/>
  <c r="G84" i="79"/>
  <c r="E84" i="79"/>
  <c r="A85" i="79"/>
  <c r="A82" i="85"/>
  <c r="G81" i="85"/>
  <c r="E81" i="85"/>
  <c r="F81" i="85"/>
  <c r="B81" i="85"/>
  <c r="A85" i="81"/>
  <c r="B84" i="81"/>
  <c r="G84" i="81"/>
  <c r="F84" i="81"/>
  <c r="E84" i="81"/>
  <c r="C82" i="78"/>
  <c r="D82" i="78"/>
  <c r="D80" i="86"/>
  <c r="C80" i="86"/>
  <c r="A82" i="86"/>
  <c r="G81" i="86"/>
  <c r="B81" i="86"/>
  <c r="E81" i="86"/>
  <c r="F81" i="86"/>
  <c r="C83" i="80"/>
  <c r="D83" i="80"/>
  <c r="A85" i="80"/>
  <c r="F84" i="80"/>
  <c r="G84" i="80"/>
  <c r="B84" i="80"/>
  <c r="E84" i="80"/>
  <c r="A85" i="83" l="1"/>
  <c r="E84" i="83"/>
  <c r="B84" i="83"/>
  <c r="G84" i="83"/>
  <c r="F84" i="83"/>
  <c r="C83" i="83"/>
  <c r="D83" i="83"/>
  <c r="C84" i="82"/>
  <c r="D84" i="82"/>
  <c r="D81" i="85"/>
  <c r="C81" i="85"/>
  <c r="B80" i="87"/>
  <c r="G80" i="87"/>
  <c r="A81" i="87"/>
  <c r="F80" i="87"/>
  <c r="E80" i="87"/>
  <c r="A81" i="88"/>
  <c r="G80" i="88"/>
  <c r="E80" i="88"/>
  <c r="F80" i="88"/>
  <c r="B80" i="88"/>
  <c r="C81" i="86"/>
  <c r="D81" i="86"/>
  <c r="G82" i="85"/>
  <c r="E82" i="85"/>
  <c r="B82" i="85"/>
  <c r="F82" i="85"/>
  <c r="A83" i="85"/>
  <c r="C79" i="87"/>
  <c r="D79" i="87"/>
  <c r="B85" i="79"/>
  <c r="G85" i="79"/>
  <c r="F85" i="79"/>
  <c r="E85" i="79"/>
  <c r="A86" i="79"/>
  <c r="E82" i="86"/>
  <c r="A83" i="86"/>
  <c r="G82" i="86"/>
  <c r="F82" i="86"/>
  <c r="B82" i="86"/>
  <c r="C79" i="88"/>
  <c r="D79" i="88"/>
  <c r="C84" i="79"/>
  <c r="D84" i="79"/>
  <c r="E84" i="78"/>
  <c r="F84" i="78"/>
  <c r="A85" i="78"/>
  <c r="B84" i="78"/>
  <c r="G84" i="78"/>
  <c r="C83" i="84"/>
  <c r="D83" i="84"/>
  <c r="D83" i="78"/>
  <c r="C83" i="78"/>
  <c r="C84" i="81"/>
  <c r="D84" i="81"/>
  <c r="A86" i="82"/>
  <c r="G85" i="82"/>
  <c r="B85" i="82"/>
  <c r="F85" i="82"/>
  <c r="E85" i="82"/>
  <c r="E85" i="81"/>
  <c r="B85" i="81"/>
  <c r="G85" i="81"/>
  <c r="F85" i="81"/>
  <c r="A86" i="81"/>
  <c r="E84" i="84"/>
  <c r="G84" i="84"/>
  <c r="A85" i="84"/>
  <c r="F84" i="84"/>
  <c r="B84" i="84"/>
  <c r="D84" i="80"/>
  <c r="C84" i="80"/>
  <c r="A86" i="80"/>
  <c r="F85" i="80"/>
  <c r="E85" i="80"/>
  <c r="B85" i="80"/>
  <c r="G85" i="80"/>
  <c r="D84" i="83" l="1"/>
  <c r="C84" i="83"/>
  <c r="F85" i="83"/>
  <c r="A86" i="83"/>
  <c r="E85" i="83"/>
  <c r="G85" i="83"/>
  <c r="B85" i="83"/>
  <c r="E86" i="82"/>
  <c r="F86" i="82"/>
  <c r="A87" i="82"/>
  <c r="G86" i="82"/>
  <c r="B86" i="82"/>
  <c r="D82" i="86"/>
  <c r="C82" i="86"/>
  <c r="G83" i="85"/>
  <c r="B83" i="85"/>
  <c r="A84" i="85"/>
  <c r="E83" i="85"/>
  <c r="F83" i="85"/>
  <c r="C84" i="84"/>
  <c r="D84" i="84"/>
  <c r="E83" i="86"/>
  <c r="B83" i="86"/>
  <c r="F83" i="86"/>
  <c r="A84" i="86"/>
  <c r="G83" i="86"/>
  <c r="D80" i="88"/>
  <c r="C80" i="88"/>
  <c r="E85" i="84"/>
  <c r="G85" i="84"/>
  <c r="F85" i="84"/>
  <c r="A86" i="84"/>
  <c r="B85" i="84"/>
  <c r="F86" i="79"/>
  <c r="B86" i="79"/>
  <c r="E86" i="79"/>
  <c r="A87" i="79"/>
  <c r="G86" i="79"/>
  <c r="B86" i="81"/>
  <c r="F86" i="81"/>
  <c r="G86" i="81"/>
  <c r="E86" i="81"/>
  <c r="A87" i="81"/>
  <c r="B81" i="88"/>
  <c r="F81" i="88"/>
  <c r="G81" i="88"/>
  <c r="E81" i="88"/>
  <c r="A82" i="88"/>
  <c r="C84" i="78"/>
  <c r="D84" i="78"/>
  <c r="B85" i="78"/>
  <c r="F85" i="78"/>
  <c r="G85" i="78"/>
  <c r="E85" i="78"/>
  <c r="A86" i="78"/>
  <c r="D85" i="79"/>
  <c r="C85" i="79"/>
  <c r="C85" i="81"/>
  <c r="D85" i="81"/>
  <c r="B81" i="87"/>
  <c r="A82" i="87"/>
  <c r="G81" i="87"/>
  <c r="F81" i="87"/>
  <c r="E81" i="87"/>
  <c r="D80" i="87"/>
  <c r="C80" i="87"/>
  <c r="D85" i="82"/>
  <c r="C85" i="82"/>
  <c r="D82" i="85"/>
  <c r="C82" i="85"/>
  <c r="C85" i="80"/>
  <c r="D85" i="80"/>
  <c r="B86" i="80"/>
  <c r="G86" i="80"/>
  <c r="F86" i="80"/>
  <c r="E86" i="80"/>
  <c r="A87" i="80"/>
  <c r="C85" i="83" l="1"/>
  <c r="D85" i="83"/>
  <c r="F86" i="83"/>
  <c r="A87" i="83"/>
  <c r="E86" i="83"/>
  <c r="B86" i="83"/>
  <c r="G86" i="83"/>
  <c r="B82" i="87"/>
  <c r="A83" i="87"/>
  <c r="F82" i="87"/>
  <c r="G82" i="87"/>
  <c r="E82" i="87"/>
  <c r="B84" i="86"/>
  <c r="F84" i="86"/>
  <c r="E84" i="86"/>
  <c r="A85" i="86"/>
  <c r="G84" i="86"/>
  <c r="G86" i="78"/>
  <c r="E86" i="78"/>
  <c r="B86" i="78"/>
  <c r="A87" i="78"/>
  <c r="F86" i="78"/>
  <c r="D86" i="81"/>
  <c r="C86" i="81"/>
  <c r="C83" i="86"/>
  <c r="D83" i="86"/>
  <c r="C81" i="88"/>
  <c r="D81" i="88"/>
  <c r="C81" i="87"/>
  <c r="D81" i="87"/>
  <c r="E87" i="79"/>
  <c r="G87" i="79"/>
  <c r="F87" i="79"/>
  <c r="B87" i="79"/>
  <c r="A88" i="79"/>
  <c r="C85" i="78"/>
  <c r="D85" i="78"/>
  <c r="C86" i="79"/>
  <c r="D86" i="79"/>
  <c r="C85" i="84"/>
  <c r="D85" i="84"/>
  <c r="F84" i="85"/>
  <c r="E84" i="85"/>
  <c r="A85" i="85"/>
  <c r="G84" i="85"/>
  <c r="B84" i="85"/>
  <c r="B86" i="84"/>
  <c r="A87" i="84"/>
  <c r="G86" i="84"/>
  <c r="F86" i="84"/>
  <c r="E86" i="84"/>
  <c r="D83" i="85"/>
  <c r="C83" i="85"/>
  <c r="D86" i="82"/>
  <c r="C86" i="82"/>
  <c r="F87" i="81"/>
  <c r="G87" i="81"/>
  <c r="A88" i="81"/>
  <c r="B87" i="81"/>
  <c r="E87" i="81"/>
  <c r="B87" i="82"/>
  <c r="E87" i="82"/>
  <c r="A88" i="82"/>
  <c r="F87" i="82"/>
  <c r="G87" i="82"/>
  <c r="B82" i="88"/>
  <c r="G82" i="88"/>
  <c r="F82" i="88"/>
  <c r="A83" i="88"/>
  <c r="E82" i="88"/>
  <c r="D86" i="80"/>
  <c r="C86" i="80"/>
  <c r="B87" i="80"/>
  <c r="G87" i="80"/>
  <c r="E87" i="80"/>
  <c r="F87" i="80"/>
  <c r="A88" i="80"/>
  <c r="C86" i="83" l="1"/>
  <c r="D86" i="83"/>
  <c r="A88" i="83"/>
  <c r="B87" i="83"/>
  <c r="F87" i="83"/>
  <c r="E87" i="83"/>
  <c r="G87" i="83"/>
  <c r="G88" i="81"/>
  <c r="E88" i="81"/>
  <c r="F88" i="81"/>
  <c r="B88" i="81"/>
  <c r="A89" i="81"/>
  <c r="G83" i="87"/>
  <c r="A84" i="87"/>
  <c r="B83" i="87"/>
  <c r="E83" i="87"/>
  <c r="F83" i="87"/>
  <c r="C82" i="87"/>
  <c r="D82" i="87"/>
  <c r="C84" i="85"/>
  <c r="D84" i="85"/>
  <c r="F83" i="88"/>
  <c r="G83" i="88"/>
  <c r="E83" i="88"/>
  <c r="A84" i="88"/>
  <c r="B83" i="88"/>
  <c r="F87" i="78"/>
  <c r="E87" i="78"/>
  <c r="B87" i="78"/>
  <c r="A88" i="78"/>
  <c r="G87" i="78"/>
  <c r="D86" i="78"/>
  <c r="C86" i="78"/>
  <c r="B88" i="79"/>
  <c r="E88" i="79"/>
  <c r="G88" i="79"/>
  <c r="A89" i="79"/>
  <c r="F88" i="79"/>
  <c r="D82" i="88"/>
  <c r="C82" i="88"/>
  <c r="D87" i="79"/>
  <c r="C87" i="79"/>
  <c r="E87" i="84"/>
  <c r="F87" i="84"/>
  <c r="G87" i="84"/>
  <c r="B87" i="84"/>
  <c r="A88" i="84"/>
  <c r="G85" i="86"/>
  <c r="F85" i="86"/>
  <c r="B85" i="86"/>
  <c r="E85" i="86"/>
  <c r="A86" i="86"/>
  <c r="A89" i="82"/>
  <c r="B88" i="82"/>
  <c r="E88" i="82"/>
  <c r="G88" i="82"/>
  <c r="F88" i="82"/>
  <c r="D86" i="84"/>
  <c r="C86" i="84"/>
  <c r="C87" i="82"/>
  <c r="D87" i="82"/>
  <c r="D84" i="86"/>
  <c r="C84" i="86"/>
  <c r="B85" i="85"/>
  <c r="F85" i="85"/>
  <c r="E85" i="85"/>
  <c r="A86" i="85"/>
  <c r="G85" i="85"/>
  <c r="C87" i="81"/>
  <c r="D87" i="81"/>
  <c r="C87" i="80"/>
  <c r="D87" i="80"/>
  <c r="E88" i="80"/>
  <c r="F88" i="80"/>
  <c r="B88" i="80"/>
  <c r="G88" i="80"/>
  <c r="A89" i="80"/>
  <c r="D87" i="83" l="1"/>
  <c r="C87" i="83"/>
  <c r="B88" i="83"/>
  <c r="A89" i="83"/>
  <c r="E88" i="83"/>
  <c r="F88" i="83"/>
  <c r="G88" i="83"/>
  <c r="C83" i="88"/>
  <c r="D83" i="88"/>
  <c r="D88" i="82"/>
  <c r="C88" i="82"/>
  <c r="G89" i="82"/>
  <c r="E89" i="82"/>
  <c r="B89" i="82"/>
  <c r="F89" i="82"/>
  <c r="A90" i="82"/>
  <c r="B89" i="79"/>
  <c r="E89" i="79"/>
  <c r="F89" i="79"/>
  <c r="G89" i="79"/>
  <c r="A90" i="79"/>
  <c r="F86" i="86"/>
  <c r="A87" i="86"/>
  <c r="E86" i="86"/>
  <c r="G86" i="86"/>
  <c r="B86" i="86"/>
  <c r="E86" i="85"/>
  <c r="F86" i="85"/>
  <c r="G86" i="85"/>
  <c r="B86" i="85"/>
  <c r="A87" i="85"/>
  <c r="C85" i="86"/>
  <c r="D85" i="86"/>
  <c r="C88" i="79"/>
  <c r="D88" i="79"/>
  <c r="B88" i="84"/>
  <c r="A89" i="84"/>
  <c r="F88" i="84"/>
  <c r="E88" i="84"/>
  <c r="G88" i="84"/>
  <c r="C83" i="87"/>
  <c r="D83" i="87"/>
  <c r="D87" i="84"/>
  <c r="C87" i="84"/>
  <c r="A89" i="78"/>
  <c r="G88" i="78"/>
  <c r="F88" i="78"/>
  <c r="B88" i="78"/>
  <c r="E88" i="78"/>
  <c r="G84" i="87"/>
  <c r="B84" i="87"/>
  <c r="F84" i="87"/>
  <c r="A85" i="87"/>
  <c r="E84" i="87"/>
  <c r="C87" i="78"/>
  <c r="D87" i="78"/>
  <c r="F89" i="81"/>
  <c r="A90" i="81"/>
  <c r="G89" i="81"/>
  <c r="B89" i="81"/>
  <c r="E89" i="81"/>
  <c r="C85" i="85"/>
  <c r="D85" i="85"/>
  <c r="C88" i="81"/>
  <c r="D88" i="81"/>
  <c r="B84" i="88"/>
  <c r="A85" i="88"/>
  <c r="F84" i="88"/>
  <c r="G84" i="88"/>
  <c r="E84" i="88"/>
  <c r="G89" i="80"/>
  <c r="A90" i="80"/>
  <c r="F89" i="80"/>
  <c r="E89" i="80"/>
  <c r="B89" i="80"/>
  <c r="C88" i="80"/>
  <c r="D88" i="80"/>
  <c r="F89" i="83" l="1"/>
  <c r="G89" i="83"/>
  <c r="A90" i="83"/>
  <c r="B89" i="83"/>
  <c r="E89" i="83"/>
  <c r="C88" i="83"/>
  <c r="D88" i="83"/>
  <c r="E87" i="86"/>
  <c r="G87" i="86"/>
  <c r="A88" i="86"/>
  <c r="B87" i="86"/>
  <c r="F87" i="86"/>
  <c r="G89" i="84"/>
  <c r="B89" i="84"/>
  <c r="E89" i="84"/>
  <c r="F89" i="84"/>
  <c r="A90" i="84"/>
  <c r="D88" i="84"/>
  <c r="C88" i="84"/>
  <c r="D84" i="87"/>
  <c r="C84" i="87"/>
  <c r="E85" i="87"/>
  <c r="F85" i="87"/>
  <c r="G85" i="87"/>
  <c r="A86" i="87"/>
  <c r="B85" i="87"/>
  <c r="F90" i="79"/>
  <c r="E90" i="79"/>
  <c r="A91" i="79"/>
  <c r="B90" i="79"/>
  <c r="G90" i="79"/>
  <c r="A86" i="88"/>
  <c r="F85" i="88"/>
  <c r="B85" i="88"/>
  <c r="G85" i="88"/>
  <c r="E85" i="88"/>
  <c r="D84" i="88"/>
  <c r="C84" i="88"/>
  <c r="D89" i="79"/>
  <c r="C89" i="79"/>
  <c r="C88" i="78"/>
  <c r="D88" i="78"/>
  <c r="E90" i="82"/>
  <c r="A91" i="82"/>
  <c r="G90" i="82"/>
  <c r="F90" i="82"/>
  <c r="B90" i="82"/>
  <c r="G87" i="85"/>
  <c r="E87" i="85"/>
  <c r="A88" i="85"/>
  <c r="B87" i="85"/>
  <c r="F87" i="85"/>
  <c r="C86" i="85"/>
  <c r="D86" i="85"/>
  <c r="C89" i="82"/>
  <c r="D89" i="82"/>
  <c r="B89" i="78"/>
  <c r="A90" i="78"/>
  <c r="E89" i="78"/>
  <c r="G89" i="78"/>
  <c r="F89" i="78"/>
  <c r="D89" i="81"/>
  <c r="C89" i="81"/>
  <c r="D86" i="86"/>
  <c r="C86" i="86"/>
  <c r="F90" i="81"/>
  <c r="A91" i="81"/>
  <c r="E90" i="81"/>
  <c r="B90" i="81"/>
  <c r="G90" i="81"/>
  <c r="D89" i="80"/>
  <c r="C89" i="80"/>
  <c r="G90" i="80"/>
  <c r="A91" i="80"/>
  <c r="E90" i="80"/>
  <c r="B90" i="80"/>
  <c r="F90" i="80"/>
  <c r="F90" i="83" l="1"/>
  <c r="A91" i="83"/>
  <c r="G90" i="83"/>
  <c r="B90" i="83"/>
  <c r="E90" i="83"/>
  <c r="D89" i="83"/>
  <c r="C89" i="83"/>
  <c r="D89" i="78"/>
  <c r="C89" i="78"/>
  <c r="A87" i="87"/>
  <c r="F86" i="87"/>
  <c r="E86" i="87"/>
  <c r="B86" i="87"/>
  <c r="G86" i="87"/>
  <c r="D90" i="81"/>
  <c r="C90" i="81"/>
  <c r="E91" i="81"/>
  <c r="F91" i="81"/>
  <c r="A92" i="81"/>
  <c r="B91" i="81"/>
  <c r="G91" i="81"/>
  <c r="C87" i="85"/>
  <c r="D87" i="85"/>
  <c r="E88" i="85"/>
  <c r="F88" i="85"/>
  <c r="B88" i="85"/>
  <c r="G88" i="85"/>
  <c r="A89" i="85"/>
  <c r="D85" i="88"/>
  <c r="C85" i="88"/>
  <c r="B90" i="84"/>
  <c r="A91" i="84"/>
  <c r="E90" i="84"/>
  <c r="G90" i="84"/>
  <c r="F90" i="84"/>
  <c r="F86" i="88"/>
  <c r="G86" i="88"/>
  <c r="E86" i="88"/>
  <c r="B86" i="88"/>
  <c r="A87" i="88"/>
  <c r="C90" i="82"/>
  <c r="D90" i="82"/>
  <c r="D90" i="79"/>
  <c r="C90" i="79"/>
  <c r="C89" i="84"/>
  <c r="D89" i="84"/>
  <c r="B91" i="79"/>
  <c r="E91" i="79"/>
  <c r="A92" i="79"/>
  <c r="G91" i="79"/>
  <c r="F91" i="79"/>
  <c r="B91" i="82"/>
  <c r="E91" i="82"/>
  <c r="A92" i="82"/>
  <c r="G91" i="82"/>
  <c r="F91" i="82"/>
  <c r="C87" i="86"/>
  <c r="D87" i="86"/>
  <c r="E90" i="78"/>
  <c r="A91" i="78"/>
  <c r="B90" i="78"/>
  <c r="F90" i="78"/>
  <c r="G90" i="78"/>
  <c r="C85" i="87"/>
  <c r="D85" i="87"/>
  <c r="B88" i="86"/>
  <c r="E88" i="86"/>
  <c r="A89" i="86"/>
  <c r="G88" i="86"/>
  <c r="F88" i="86"/>
  <c r="C90" i="80"/>
  <c r="D90" i="80"/>
  <c r="G91" i="80"/>
  <c r="F91" i="80"/>
  <c r="A92" i="80"/>
  <c r="B91" i="80"/>
  <c r="E91" i="80"/>
  <c r="E91" i="83" l="1"/>
  <c r="G91" i="83"/>
  <c r="A92" i="83"/>
  <c r="F91" i="83"/>
  <c r="B91" i="83"/>
  <c r="D90" i="83"/>
  <c r="C90" i="83"/>
  <c r="E87" i="88"/>
  <c r="B87" i="88"/>
  <c r="A88" i="88"/>
  <c r="F87" i="88"/>
  <c r="G87" i="88"/>
  <c r="C86" i="88"/>
  <c r="D86" i="88"/>
  <c r="C90" i="84"/>
  <c r="D90" i="84"/>
  <c r="C86" i="87"/>
  <c r="D86" i="87"/>
  <c r="E92" i="82"/>
  <c r="G92" i="82"/>
  <c r="A93" i="82"/>
  <c r="F92" i="82"/>
  <c r="B92" i="82"/>
  <c r="G89" i="86"/>
  <c r="A90" i="86"/>
  <c r="B89" i="86"/>
  <c r="E89" i="86"/>
  <c r="F89" i="86"/>
  <c r="E92" i="81"/>
  <c r="G92" i="81"/>
  <c r="F92" i="81"/>
  <c r="B92" i="81"/>
  <c r="A93" i="81"/>
  <c r="B91" i="84"/>
  <c r="A92" i="84"/>
  <c r="G91" i="84"/>
  <c r="E91" i="84"/>
  <c r="F91" i="84"/>
  <c r="C91" i="82"/>
  <c r="D91" i="82"/>
  <c r="D91" i="81"/>
  <c r="C91" i="81"/>
  <c r="D88" i="86"/>
  <c r="C88" i="86"/>
  <c r="D91" i="79"/>
  <c r="C91" i="79"/>
  <c r="C90" i="78"/>
  <c r="D90" i="78"/>
  <c r="B91" i="78"/>
  <c r="A92" i="78"/>
  <c r="E91" i="78"/>
  <c r="G91" i="78"/>
  <c r="F91" i="78"/>
  <c r="A90" i="85"/>
  <c r="G89" i="85"/>
  <c r="F89" i="85"/>
  <c r="E89" i="85"/>
  <c r="B89" i="85"/>
  <c r="C88" i="85"/>
  <c r="D88" i="85"/>
  <c r="A88" i="87"/>
  <c r="G87" i="87"/>
  <c r="B87" i="87"/>
  <c r="F87" i="87"/>
  <c r="E87" i="87"/>
  <c r="A93" i="79"/>
  <c r="G92" i="79"/>
  <c r="E92" i="79"/>
  <c r="F92" i="79"/>
  <c r="B92" i="79"/>
  <c r="E92" i="80"/>
  <c r="B92" i="80"/>
  <c r="A93" i="80"/>
  <c r="G92" i="80"/>
  <c r="F92" i="80"/>
  <c r="D91" i="80"/>
  <c r="C91" i="80"/>
  <c r="C91" i="83" l="1"/>
  <c r="D91" i="83"/>
  <c r="E92" i="83"/>
  <c r="G92" i="83"/>
  <c r="B92" i="83"/>
  <c r="F92" i="83"/>
  <c r="A93" i="83"/>
  <c r="C92" i="82"/>
  <c r="D92" i="82"/>
  <c r="C91" i="78"/>
  <c r="D91" i="78"/>
  <c r="E90" i="85"/>
  <c r="G90" i="85"/>
  <c r="B90" i="85"/>
  <c r="F90" i="85"/>
  <c r="A91" i="85"/>
  <c r="F92" i="84"/>
  <c r="B92" i="84"/>
  <c r="G92" i="84"/>
  <c r="A93" i="84"/>
  <c r="E92" i="84"/>
  <c r="B90" i="86"/>
  <c r="E90" i="86"/>
  <c r="G90" i="86"/>
  <c r="A91" i="86"/>
  <c r="F90" i="86"/>
  <c r="D87" i="88"/>
  <c r="C87" i="88"/>
  <c r="D92" i="79"/>
  <c r="C92" i="79"/>
  <c r="E93" i="82"/>
  <c r="B93" i="82"/>
  <c r="F93" i="82"/>
  <c r="G93" i="82"/>
  <c r="A94" i="82"/>
  <c r="E93" i="79"/>
  <c r="F93" i="79"/>
  <c r="G93" i="79"/>
  <c r="A94" i="79"/>
  <c r="B93" i="79"/>
  <c r="A93" i="78"/>
  <c r="B92" i="78"/>
  <c r="G92" i="78"/>
  <c r="F92" i="78"/>
  <c r="E92" i="78"/>
  <c r="C91" i="84"/>
  <c r="D91" i="84"/>
  <c r="D92" i="81"/>
  <c r="C92" i="81"/>
  <c r="C87" i="87"/>
  <c r="D87" i="87"/>
  <c r="F88" i="87"/>
  <c r="A89" i="87"/>
  <c r="G88" i="87"/>
  <c r="E88" i="87"/>
  <c r="B88" i="87"/>
  <c r="A94" i="81"/>
  <c r="F93" i="81"/>
  <c r="E93" i="81"/>
  <c r="G93" i="81"/>
  <c r="B93" i="81"/>
  <c r="C89" i="85"/>
  <c r="D89" i="85"/>
  <c r="D89" i="86"/>
  <c r="C89" i="86"/>
  <c r="G88" i="88"/>
  <c r="B88" i="88"/>
  <c r="F88" i="88"/>
  <c r="E88" i="88"/>
  <c r="A89" i="88"/>
  <c r="A94" i="80"/>
  <c r="G93" i="80"/>
  <c r="F93" i="80"/>
  <c r="B93" i="80"/>
  <c r="E93" i="80"/>
  <c r="C92" i="80"/>
  <c r="D92" i="80"/>
  <c r="G93" i="83" l="1"/>
  <c r="A94" i="83"/>
  <c r="F93" i="83"/>
  <c r="B93" i="83"/>
  <c r="E93" i="83"/>
  <c r="C92" i="83"/>
  <c r="D92" i="83"/>
  <c r="A94" i="78"/>
  <c r="E93" i="78"/>
  <c r="B93" i="78"/>
  <c r="F93" i="78"/>
  <c r="G93" i="78"/>
  <c r="C93" i="79"/>
  <c r="D93" i="79"/>
  <c r="G94" i="79"/>
  <c r="F94" i="79"/>
  <c r="B94" i="79"/>
  <c r="E94" i="79"/>
  <c r="A95" i="79"/>
  <c r="A90" i="88"/>
  <c r="E89" i="88"/>
  <c r="G89" i="88"/>
  <c r="F89" i="88"/>
  <c r="B89" i="88"/>
  <c r="D90" i="86"/>
  <c r="C90" i="86"/>
  <c r="G89" i="87"/>
  <c r="B89" i="87"/>
  <c r="F89" i="87"/>
  <c r="E89" i="87"/>
  <c r="A90" i="87"/>
  <c r="G93" i="84"/>
  <c r="F93" i="84"/>
  <c r="B93" i="84"/>
  <c r="A94" i="84"/>
  <c r="E93" i="84"/>
  <c r="C93" i="81"/>
  <c r="D93" i="81"/>
  <c r="E94" i="81"/>
  <c r="B94" i="81"/>
  <c r="G94" i="81"/>
  <c r="A95" i="81"/>
  <c r="F94" i="81"/>
  <c r="C88" i="87"/>
  <c r="D88" i="87"/>
  <c r="C88" i="88"/>
  <c r="D88" i="88"/>
  <c r="F94" i="82"/>
  <c r="G94" i="82"/>
  <c r="A95" i="82"/>
  <c r="B94" i="82"/>
  <c r="E94" i="82"/>
  <c r="D92" i="84"/>
  <c r="C92" i="84"/>
  <c r="C93" i="82"/>
  <c r="D93" i="82"/>
  <c r="B91" i="85"/>
  <c r="A92" i="85"/>
  <c r="G91" i="85"/>
  <c r="F91" i="85"/>
  <c r="E91" i="85"/>
  <c r="D90" i="85"/>
  <c r="C90" i="85"/>
  <c r="D92" i="78"/>
  <c r="C92" i="78"/>
  <c r="E91" i="86"/>
  <c r="B91" i="86"/>
  <c r="A92" i="86"/>
  <c r="G91" i="86"/>
  <c r="F91" i="86"/>
  <c r="D93" i="80"/>
  <c r="C93" i="80"/>
  <c r="B94" i="80"/>
  <c r="E94" i="80"/>
  <c r="A95" i="80"/>
  <c r="G94" i="80"/>
  <c r="F94" i="80"/>
  <c r="E94" i="83" l="1"/>
  <c r="G94" i="83"/>
  <c r="A95" i="83"/>
  <c r="B94" i="83"/>
  <c r="F94" i="83"/>
  <c r="D93" i="83"/>
  <c r="C93" i="83"/>
  <c r="C89" i="87"/>
  <c r="D89" i="87"/>
  <c r="D94" i="81"/>
  <c r="C94" i="81"/>
  <c r="D89" i="88"/>
  <c r="C89" i="88"/>
  <c r="C91" i="85"/>
  <c r="D91" i="85"/>
  <c r="F92" i="86"/>
  <c r="E92" i="86"/>
  <c r="G92" i="86"/>
  <c r="B92" i="86"/>
  <c r="A93" i="86"/>
  <c r="D91" i="86"/>
  <c r="C91" i="86"/>
  <c r="C94" i="82"/>
  <c r="D94" i="82"/>
  <c r="F94" i="84"/>
  <c r="A95" i="84"/>
  <c r="G94" i="84"/>
  <c r="E94" i="84"/>
  <c r="B94" i="84"/>
  <c r="F95" i="79"/>
  <c r="E95" i="79"/>
  <c r="G95" i="79"/>
  <c r="A96" i="79"/>
  <c r="B95" i="79"/>
  <c r="F90" i="88"/>
  <c r="A91" i="88"/>
  <c r="B90" i="88"/>
  <c r="E90" i="88"/>
  <c r="G90" i="88"/>
  <c r="A96" i="82"/>
  <c r="F95" i="82"/>
  <c r="G95" i="82"/>
  <c r="E95" i="82"/>
  <c r="B95" i="82"/>
  <c r="C93" i="84"/>
  <c r="D93" i="84"/>
  <c r="G90" i="87"/>
  <c r="E90" i="87"/>
  <c r="A91" i="87"/>
  <c r="F90" i="87"/>
  <c r="B90" i="87"/>
  <c r="D94" i="79"/>
  <c r="C94" i="79"/>
  <c r="F95" i="81"/>
  <c r="E95" i="81"/>
  <c r="A96" i="81"/>
  <c r="G95" i="81"/>
  <c r="B95" i="81"/>
  <c r="C93" i="78"/>
  <c r="D93" i="78"/>
  <c r="A93" i="85"/>
  <c r="F92" i="85"/>
  <c r="E92" i="85"/>
  <c r="B92" i="85"/>
  <c r="G92" i="85"/>
  <c r="E94" i="78"/>
  <c r="G94" i="78"/>
  <c r="F94" i="78"/>
  <c r="B94" i="78"/>
  <c r="A95" i="78"/>
  <c r="E95" i="80"/>
  <c r="F95" i="80"/>
  <c r="B95" i="80"/>
  <c r="A96" i="80"/>
  <c r="G95" i="80"/>
  <c r="D94" i="80"/>
  <c r="C94" i="80"/>
  <c r="C94" i="83" l="1"/>
  <c r="D94" i="83"/>
  <c r="G95" i="83"/>
  <c r="A96" i="83"/>
  <c r="E95" i="83"/>
  <c r="F95" i="83"/>
  <c r="B95" i="83"/>
  <c r="A96" i="84"/>
  <c r="G95" i="84"/>
  <c r="E95" i="84"/>
  <c r="F95" i="84"/>
  <c r="B95" i="84"/>
  <c r="B96" i="81"/>
  <c r="G96" i="81"/>
  <c r="F96" i="81"/>
  <c r="E96" i="81"/>
  <c r="A97" i="81"/>
  <c r="F95" i="78"/>
  <c r="G95" i="78"/>
  <c r="B95" i="78"/>
  <c r="E95" i="78"/>
  <c r="A96" i="78"/>
  <c r="C90" i="88"/>
  <c r="D90" i="88"/>
  <c r="F91" i="88"/>
  <c r="A92" i="88"/>
  <c r="G91" i="88"/>
  <c r="B91" i="88"/>
  <c r="E91" i="88"/>
  <c r="G93" i="86"/>
  <c r="A94" i="86"/>
  <c r="F93" i="86"/>
  <c r="E93" i="86"/>
  <c r="B93" i="86"/>
  <c r="C90" i="87"/>
  <c r="D90" i="87"/>
  <c r="D92" i="86"/>
  <c r="C92" i="86"/>
  <c r="G96" i="82"/>
  <c r="B96" i="82"/>
  <c r="E96" i="82"/>
  <c r="F96" i="82"/>
  <c r="A97" i="82"/>
  <c r="D94" i="78"/>
  <c r="C94" i="78"/>
  <c r="D95" i="79"/>
  <c r="C95" i="79"/>
  <c r="E91" i="87"/>
  <c r="F91" i="87"/>
  <c r="G91" i="87"/>
  <c r="B91" i="87"/>
  <c r="A92" i="87"/>
  <c r="E96" i="79"/>
  <c r="B96" i="79"/>
  <c r="G96" i="79"/>
  <c r="A97" i="79"/>
  <c r="F96" i="79"/>
  <c r="D92" i="85"/>
  <c r="C92" i="85"/>
  <c r="F93" i="85"/>
  <c r="A94" i="85"/>
  <c r="E93" i="85"/>
  <c r="B93" i="85"/>
  <c r="G93" i="85"/>
  <c r="D94" i="84"/>
  <c r="C94" i="84"/>
  <c r="C95" i="82"/>
  <c r="D95" i="82"/>
  <c r="C95" i="81"/>
  <c r="D95" i="81"/>
  <c r="B96" i="80"/>
  <c r="G96" i="80"/>
  <c r="F96" i="80"/>
  <c r="E96" i="80"/>
  <c r="A97" i="80"/>
  <c r="C95" i="80"/>
  <c r="D95" i="80"/>
  <c r="C95" i="83" l="1"/>
  <c r="D95" i="83"/>
  <c r="A97" i="83"/>
  <c r="E96" i="83"/>
  <c r="F96" i="83"/>
  <c r="B96" i="83"/>
  <c r="G96" i="83"/>
  <c r="F97" i="82"/>
  <c r="G97" i="82"/>
  <c r="B97" i="82"/>
  <c r="E97" i="82"/>
  <c r="A98" i="82"/>
  <c r="D96" i="79"/>
  <c r="C96" i="79"/>
  <c r="F96" i="78"/>
  <c r="B96" i="78"/>
  <c r="A97" i="78"/>
  <c r="G96" i="78"/>
  <c r="E96" i="78"/>
  <c r="D96" i="82"/>
  <c r="C96" i="82"/>
  <c r="E94" i="85"/>
  <c r="B94" i="85"/>
  <c r="A95" i="85"/>
  <c r="G94" i="85"/>
  <c r="F94" i="85"/>
  <c r="F94" i="86"/>
  <c r="A95" i="86"/>
  <c r="E94" i="86"/>
  <c r="G94" i="86"/>
  <c r="B94" i="86"/>
  <c r="A98" i="79"/>
  <c r="E97" i="79"/>
  <c r="F97" i="79"/>
  <c r="G97" i="79"/>
  <c r="B97" i="79"/>
  <c r="A97" i="84"/>
  <c r="B96" i="84"/>
  <c r="F96" i="84"/>
  <c r="G96" i="84"/>
  <c r="E96" i="84"/>
  <c r="F92" i="87"/>
  <c r="A93" i="87"/>
  <c r="B92" i="87"/>
  <c r="E92" i="87"/>
  <c r="G92" i="87"/>
  <c r="C95" i="78"/>
  <c r="D95" i="78"/>
  <c r="D91" i="87"/>
  <c r="C91" i="87"/>
  <c r="D93" i="86"/>
  <c r="C93" i="86"/>
  <c r="B97" i="81"/>
  <c r="A98" i="81"/>
  <c r="G97" i="81"/>
  <c r="E97" i="81"/>
  <c r="F97" i="81"/>
  <c r="D93" i="85"/>
  <c r="C93" i="85"/>
  <c r="D96" i="81"/>
  <c r="C96" i="81"/>
  <c r="D95" i="84"/>
  <c r="C95" i="84"/>
  <c r="G92" i="88"/>
  <c r="A93" i="88"/>
  <c r="F92" i="88"/>
  <c r="E92" i="88"/>
  <c r="B92" i="88"/>
  <c r="D91" i="88"/>
  <c r="C91" i="88"/>
  <c r="B97" i="80"/>
  <c r="G97" i="80"/>
  <c r="F97" i="80"/>
  <c r="A98" i="80"/>
  <c r="E97" i="80"/>
  <c r="D96" i="80"/>
  <c r="C96" i="80"/>
  <c r="D96" i="83" l="1"/>
  <c r="C96" i="83"/>
  <c r="E97" i="83"/>
  <c r="A98" i="83"/>
  <c r="F97" i="83"/>
  <c r="B97" i="83"/>
  <c r="G97" i="83"/>
  <c r="E95" i="86"/>
  <c r="A96" i="86"/>
  <c r="G95" i="86"/>
  <c r="F95" i="86"/>
  <c r="B95" i="86"/>
  <c r="G95" i="85"/>
  <c r="A96" i="85"/>
  <c r="E95" i="85"/>
  <c r="B95" i="85"/>
  <c r="F95" i="85"/>
  <c r="F98" i="81"/>
  <c r="G98" i="81"/>
  <c r="E98" i="81"/>
  <c r="B98" i="81"/>
  <c r="A99" i="81"/>
  <c r="C92" i="88"/>
  <c r="D92" i="88"/>
  <c r="D97" i="79"/>
  <c r="C97" i="79"/>
  <c r="C92" i="87"/>
  <c r="D92" i="87"/>
  <c r="D94" i="85"/>
  <c r="C94" i="85"/>
  <c r="A98" i="84"/>
  <c r="B97" i="84"/>
  <c r="F97" i="84"/>
  <c r="G97" i="84"/>
  <c r="E97" i="84"/>
  <c r="D97" i="82"/>
  <c r="C97" i="82"/>
  <c r="C96" i="84"/>
  <c r="D96" i="84"/>
  <c r="D97" i="81"/>
  <c r="C97" i="81"/>
  <c r="A94" i="87"/>
  <c r="B93" i="87"/>
  <c r="G93" i="87"/>
  <c r="E93" i="87"/>
  <c r="F93" i="87"/>
  <c r="F93" i="88"/>
  <c r="A94" i="88"/>
  <c r="E93" i="88"/>
  <c r="B93" i="88"/>
  <c r="G93" i="88"/>
  <c r="A98" i="78"/>
  <c r="E97" i="78"/>
  <c r="G97" i="78"/>
  <c r="F97" i="78"/>
  <c r="B97" i="78"/>
  <c r="B98" i="79"/>
  <c r="A99" i="79"/>
  <c r="F98" i="79"/>
  <c r="E98" i="79"/>
  <c r="G98" i="79"/>
  <c r="C96" i="78"/>
  <c r="D96" i="78"/>
  <c r="C94" i="86"/>
  <c r="D94" i="86"/>
  <c r="B98" i="82"/>
  <c r="E98" i="82"/>
  <c r="A99" i="82"/>
  <c r="G98" i="82"/>
  <c r="F98" i="82"/>
  <c r="C97" i="80"/>
  <c r="D97" i="80"/>
  <c r="G98" i="80"/>
  <c r="B98" i="80"/>
  <c r="F98" i="80"/>
  <c r="A99" i="80"/>
  <c r="E98" i="80"/>
  <c r="C97" i="83" l="1"/>
  <c r="D97" i="83"/>
  <c r="E98" i="83"/>
  <c r="G98" i="83"/>
  <c r="B98" i="83"/>
  <c r="F98" i="83"/>
  <c r="A99" i="83"/>
  <c r="F94" i="87"/>
  <c r="G94" i="87"/>
  <c r="A95" i="87"/>
  <c r="E94" i="87"/>
  <c r="B94" i="87"/>
  <c r="G99" i="79"/>
  <c r="E99" i="79"/>
  <c r="F99" i="79"/>
  <c r="A100" i="79"/>
  <c r="B99" i="79"/>
  <c r="C93" i="87"/>
  <c r="D93" i="87"/>
  <c r="D98" i="81"/>
  <c r="C98" i="81"/>
  <c r="F98" i="78"/>
  <c r="E98" i="78"/>
  <c r="A99" i="78"/>
  <c r="B98" i="78"/>
  <c r="G98" i="78"/>
  <c r="D97" i="78"/>
  <c r="C97" i="78"/>
  <c r="G99" i="81"/>
  <c r="E99" i="81"/>
  <c r="B99" i="81"/>
  <c r="F99" i="81"/>
  <c r="A100" i="81"/>
  <c r="D98" i="82"/>
  <c r="C98" i="82"/>
  <c r="C93" i="88"/>
  <c r="D93" i="88"/>
  <c r="C98" i="79"/>
  <c r="D98" i="79"/>
  <c r="F99" i="82"/>
  <c r="B99" i="82"/>
  <c r="G99" i="82"/>
  <c r="A100" i="82"/>
  <c r="E99" i="82"/>
  <c r="F94" i="88"/>
  <c r="B94" i="88"/>
  <c r="E94" i="88"/>
  <c r="G94" i="88"/>
  <c r="A95" i="88"/>
  <c r="C97" i="84"/>
  <c r="D97" i="84"/>
  <c r="D95" i="85"/>
  <c r="C95" i="85"/>
  <c r="F98" i="84"/>
  <c r="B98" i="84"/>
  <c r="E98" i="84"/>
  <c r="A99" i="84"/>
  <c r="G98" i="84"/>
  <c r="G96" i="85"/>
  <c r="A97" i="85"/>
  <c r="E96" i="85"/>
  <c r="B96" i="85"/>
  <c r="F96" i="85"/>
  <c r="D95" i="86"/>
  <c r="C95" i="86"/>
  <c r="F96" i="86"/>
  <c r="A97" i="86"/>
  <c r="B96" i="86"/>
  <c r="G96" i="86"/>
  <c r="E96" i="86"/>
  <c r="B99" i="80"/>
  <c r="F99" i="80"/>
  <c r="E99" i="80"/>
  <c r="A100" i="80"/>
  <c r="G99" i="80"/>
  <c r="D98" i="80"/>
  <c r="C98" i="80"/>
  <c r="A100" i="83" l="1"/>
  <c r="E99" i="83"/>
  <c r="B99" i="83"/>
  <c r="F99" i="83"/>
  <c r="G99" i="83"/>
  <c r="D98" i="83"/>
  <c r="C98" i="83"/>
  <c r="C99" i="81"/>
  <c r="D99" i="81"/>
  <c r="A98" i="85"/>
  <c r="G97" i="85"/>
  <c r="F97" i="85"/>
  <c r="E97" i="85"/>
  <c r="B97" i="85"/>
  <c r="C99" i="82"/>
  <c r="D99" i="82"/>
  <c r="D98" i="78"/>
  <c r="C98" i="78"/>
  <c r="A100" i="78"/>
  <c r="G99" i="78"/>
  <c r="F99" i="78"/>
  <c r="E99" i="78"/>
  <c r="B99" i="78"/>
  <c r="C98" i="84"/>
  <c r="D98" i="84"/>
  <c r="D94" i="87"/>
  <c r="C94" i="87"/>
  <c r="D96" i="86"/>
  <c r="C96" i="86"/>
  <c r="G97" i="86"/>
  <c r="B97" i="86"/>
  <c r="A98" i="86"/>
  <c r="F97" i="86"/>
  <c r="E97" i="86"/>
  <c r="E95" i="88"/>
  <c r="F95" i="88"/>
  <c r="B95" i="88"/>
  <c r="G95" i="88"/>
  <c r="A96" i="88"/>
  <c r="G100" i="81"/>
  <c r="F100" i="81"/>
  <c r="B100" i="81"/>
  <c r="A101" i="81"/>
  <c r="E100" i="81"/>
  <c r="C99" i="79"/>
  <c r="D99" i="79"/>
  <c r="A101" i="79"/>
  <c r="F100" i="79"/>
  <c r="G100" i="79"/>
  <c r="B100" i="79"/>
  <c r="E100" i="79"/>
  <c r="B100" i="82"/>
  <c r="G100" i="82"/>
  <c r="A101" i="82"/>
  <c r="E100" i="82"/>
  <c r="F100" i="82"/>
  <c r="D94" i="88"/>
  <c r="C94" i="88"/>
  <c r="G95" i="87"/>
  <c r="A96" i="87"/>
  <c r="F95" i="87"/>
  <c r="B95" i="87"/>
  <c r="E95" i="87"/>
  <c r="D96" i="85"/>
  <c r="C96" i="85"/>
  <c r="E99" i="84"/>
  <c r="A100" i="84"/>
  <c r="G99" i="84"/>
  <c r="F99" i="84"/>
  <c r="B99" i="84"/>
  <c r="D99" i="80"/>
  <c r="C99" i="80"/>
  <c r="B100" i="80"/>
  <c r="F100" i="80"/>
  <c r="G100" i="80"/>
  <c r="A101" i="80"/>
  <c r="E100" i="80"/>
  <c r="C99" i="83" l="1"/>
  <c r="D99" i="83"/>
  <c r="B100" i="83"/>
  <c r="G100" i="83"/>
  <c r="E100" i="83"/>
  <c r="F100" i="83"/>
  <c r="A101" i="83"/>
  <c r="D99" i="78"/>
  <c r="C99" i="78"/>
  <c r="A102" i="82"/>
  <c r="B101" i="82"/>
  <c r="E101" i="82"/>
  <c r="F101" i="82"/>
  <c r="G101" i="82"/>
  <c r="D100" i="82"/>
  <c r="C100" i="82"/>
  <c r="F100" i="84"/>
  <c r="G100" i="84"/>
  <c r="E100" i="84"/>
  <c r="B100" i="84"/>
  <c r="A101" i="84"/>
  <c r="F100" i="78"/>
  <c r="G100" i="78"/>
  <c r="B100" i="78"/>
  <c r="E100" i="78"/>
  <c r="A101" i="78"/>
  <c r="A102" i="79"/>
  <c r="E101" i="79"/>
  <c r="G101" i="79"/>
  <c r="B101" i="79"/>
  <c r="F101" i="79"/>
  <c r="C95" i="87"/>
  <c r="D95" i="87"/>
  <c r="C97" i="85"/>
  <c r="D97" i="85"/>
  <c r="G96" i="88"/>
  <c r="B96" i="88"/>
  <c r="E96" i="88"/>
  <c r="F96" i="88"/>
  <c r="A97" i="88"/>
  <c r="C99" i="84"/>
  <c r="D99" i="84"/>
  <c r="D95" i="88"/>
  <c r="C95" i="88"/>
  <c r="D100" i="79"/>
  <c r="C100" i="79"/>
  <c r="A99" i="86"/>
  <c r="G98" i="86"/>
  <c r="B98" i="86"/>
  <c r="E98" i="86"/>
  <c r="F98" i="86"/>
  <c r="C97" i="86"/>
  <c r="D97" i="86"/>
  <c r="A97" i="87"/>
  <c r="G96" i="87"/>
  <c r="F96" i="87"/>
  <c r="B96" i="87"/>
  <c r="E96" i="87"/>
  <c r="A102" i="81"/>
  <c r="G101" i="81"/>
  <c r="B101" i="81"/>
  <c r="E101" i="81"/>
  <c r="F101" i="81"/>
  <c r="C100" i="81"/>
  <c r="D100" i="81"/>
  <c r="A99" i="85"/>
  <c r="G98" i="85"/>
  <c r="E98" i="85"/>
  <c r="B98" i="85"/>
  <c r="F98" i="85"/>
  <c r="G101" i="80"/>
  <c r="B101" i="80"/>
  <c r="A102" i="80"/>
  <c r="E101" i="80"/>
  <c r="F101" i="80"/>
  <c r="D100" i="80"/>
  <c r="C100" i="80"/>
  <c r="C100" i="83" l="1"/>
  <c r="D100" i="83"/>
  <c r="B101" i="83"/>
  <c r="E101" i="83"/>
  <c r="G101" i="83"/>
  <c r="F101" i="83"/>
  <c r="A102" i="83"/>
  <c r="D96" i="87"/>
  <c r="C96" i="87"/>
  <c r="G97" i="88"/>
  <c r="E97" i="88"/>
  <c r="B97" i="88"/>
  <c r="F97" i="88"/>
  <c r="A98" i="88"/>
  <c r="D100" i="78"/>
  <c r="C100" i="78"/>
  <c r="B97" i="87"/>
  <c r="A98" i="87"/>
  <c r="F97" i="87"/>
  <c r="G97" i="87"/>
  <c r="E97" i="87"/>
  <c r="E102" i="81"/>
  <c r="F102" i="81"/>
  <c r="A103" i="81"/>
  <c r="G102" i="81"/>
  <c r="B102" i="81"/>
  <c r="C101" i="81"/>
  <c r="D101" i="81"/>
  <c r="A103" i="79"/>
  <c r="G102" i="79"/>
  <c r="E102" i="79"/>
  <c r="B102" i="79"/>
  <c r="F102" i="79"/>
  <c r="F102" i="82"/>
  <c r="G102" i="82"/>
  <c r="A103" i="82"/>
  <c r="B102" i="82"/>
  <c r="E102" i="82"/>
  <c r="D98" i="85"/>
  <c r="C98" i="85"/>
  <c r="D96" i="88"/>
  <c r="C96" i="88"/>
  <c r="E101" i="84"/>
  <c r="G101" i="84"/>
  <c r="A102" i="84"/>
  <c r="F101" i="84"/>
  <c r="B101" i="84"/>
  <c r="D100" i="84"/>
  <c r="C100" i="84"/>
  <c r="F99" i="85"/>
  <c r="A100" i="85"/>
  <c r="G99" i="85"/>
  <c r="E99" i="85"/>
  <c r="B99" i="85"/>
  <c r="C98" i="86"/>
  <c r="D98" i="86"/>
  <c r="G99" i="86"/>
  <c r="A100" i="86"/>
  <c r="B99" i="86"/>
  <c r="E99" i="86"/>
  <c r="F99" i="86"/>
  <c r="D101" i="79"/>
  <c r="C101" i="79"/>
  <c r="D101" i="82"/>
  <c r="C101" i="82"/>
  <c r="E101" i="78"/>
  <c r="F101" i="78"/>
  <c r="B101" i="78"/>
  <c r="G101" i="78"/>
  <c r="A102" i="78"/>
  <c r="A103" i="80"/>
  <c r="B102" i="80"/>
  <c r="G102" i="80"/>
  <c r="F102" i="80"/>
  <c r="E102" i="80"/>
  <c r="C101" i="80"/>
  <c r="D101" i="80"/>
  <c r="D101" i="83" l="1"/>
  <c r="C101" i="83"/>
  <c r="G102" i="83"/>
  <c r="A103" i="83"/>
  <c r="B102" i="83"/>
  <c r="E102" i="83"/>
  <c r="F102" i="83"/>
  <c r="F102" i="78"/>
  <c r="A103" i="78"/>
  <c r="E102" i="78"/>
  <c r="G102" i="78"/>
  <c r="B102" i="78"/>
  <c r="D102" i="82"/>
  <c r="C102" i="82"/>
  <c r="A99" i="87"/>
  <c r="B98" i="87"/>
  <c r="E98" i="87"/>
  <c r="G98" i="87"/>
  <c r="F98" i="87"/>
  <c r="D97" i="87"/>
  <c r="C97" i="87"/>
  <c r="D101" i="78"/>
  <c r="C101" i="78"/>
  <c r="B103" i="82"/>
  <c r="G103" i="82"/>
  <c r="E103" i="82"/>
  <c r="A104" i="82"/>
  <c r="F103" i="82"/>
  <c r="C102" i="79"/>
  <c r="D102" i="79"/>
  <c r="D101" i="84"/>
  <c r="C101" i="84"/>
  <c r="A99" i="88"/>
  <c r="B98" i="88"/>
  <c r="G98" i="88"/>
  <c r="E98" i="88"/>
  <c r="F98" i="88"/>
  <c r="G102" i="84"/>
  <c r="F102" i="84"/>
  <c r="B102" i="84"/>
  <c r="A103" i="84"/>
  <c r="E102" i="84"/>
  <c r="B103" i="79"/>
  <c r="E103" i="79"/>
  <c r="G103" i="79"/>
  <c r="F103" i="79"/>
  <c r="A104" i="79"/>
  <c r="D99" i="85"/>
  <c r="C99" i="85"/>
  <c r="D97" i="88"/>
  <c r="C97" i="88"/>
  <c r="C99" i="86"/>
  <c r="D99" i="86"/>
  <c r="A101" i="85"/>
  <c r="B100" i="85"/>
  <c r="F100" i="85"/>
  <c r="G100" i="85"/>
  <c r="E100" i="85"/>
  <c r="A101" i="86"/>
  <c r="E100" i="86"/>
  <c r="G100" i="86"/>
  <c r="F100" i="86"/>
  <c r="B100" i="86"/>
  <c r="D102" i="81"/>
  <c r="C102" i="81"/>
  <c r="B103" i="81"/>
  <c r="E103" i="81"/>
  <c r="G103" i="81"/>
  <c r="F103" i="81"/>
  <c r="A104" i="81"/>
  <c r="D102" i="80"/>
  <c r="C102" i="80"/>
  <c r="G103" i="80"/>
  <c r="E103" i="80"/>
  <c r="A104" i="80"/>
  <c r="F103" i="80"/>
  <c r="B103" i="80"/>
  <c r="B103" i="83" l="1"/>
  <c r="F103" i="83"/>
  <c r="G103" i="83"/>
  <c r="A104" i="83"/>
  <c r="E103" i="83"/>
  <c r="D102" i="83"/>
  <c r="C102" i="83"/>
  <c r="E104" i="81"/>
  <c r="F104" i="81"/>
  <c r="G104" i="81"/>
  <c r="B104" i="81"/>
  <c r="D98" i="88"/>
  <c r="C98" i="88"/>
  <c r="D100" i="86"/>
  <c r="C100" i="86"/>
  <c r="G99" i="87"/>
  <c r="A100" i="87"/>
  <c r="F99" i="87"/>
  <c r="B99" i="87"/>
  <c r="E99" i="87"/>
  <c r="F104" i="79"/>
  <c r="E104" i="79"/>
  <c r="B104" i="79"/>
  <c r="G104" i="79"/>
  <c r="A100" i="88"/>
  <c r="E99" i="88"/>
  <c r="F99" i="88"/>
  <c r="G99" i="88"/>
  <c r="B99" i="88"/>
  <c r="D102" i="78"/>
  <c r="C102" i="78"/>
  <c r="D100" i="85"/>
  <c r="C100" i="85"/>
  <c r="E101" i="85"/>
  <c r="B101" i="85"/>
  <c r="A102" i="85"/>
  <c r="F101" i="85"/>
  <c r="G101" i="85"/>
  <c r="A102" i="86"/>
  <c r="F101" i="86"/>
  <c r="B101" i="86"/>
  <c r="E101" i="86"/>
  <c r="G101" i="86"/>
  <c r="C103" i="79"/>
  <c r="D103" i="79"/>
  <c r="F104" i="82"/>
  <c r="G104" i="82"/>
  <c r="E104" i="82"/>
  <c r="B104" i="82"/>
  <c r="D98" i="87"/>
  <c r="C98" i="87"/>
  <c r="A104" i="78"/>
  <c r="F103" i="78"/>
  <c r="B103" i="78"/>
  <c r="E103" i="78"/>
  <c r="G103" i="78"/>
  <c r="D103" i="81"/>
  <c r="C103" i="81"/>
  <c r="B103" i="84"/>
  <c r="F103" i="84"/>
  <c r="A104" i="84"/>
  <c r="G103" i="84"/>
  <c r="E103" i="84"/>
  <c r="D102" i="84"/>
  <c r="C102" i="84"/>
  <c r="C103" i="82"/>
  <c r="D103" i="82"/>
  <c r="D103" i="80"/>
  <c r="C103" i="80"/>
  <c r="B104" i="80"/>
  <c r="E104" i="80"/>
  <c r="G104" i="80"/>
  <c r="F104" i="80"/>
  <c r="B104" i="83" l="1"/>
  <c r="E104" i="83"/>
  <c r="G104" i="83"/>
  <c r="F104" i="83"/>
  <c r="D103" i="83"/>
  <c r="C103" i="83"/>
  <c r="D103" i="78"/>
  <c r="C103" i="78"/>
  <c r="D104" i="79"/>
  <c r="C104" i="79"/>
  <c r="F104" i="78"/>
  <c r="B104" i="78"/>
  <c r="G104" i="78"/>
  <c r="E104" i="78"/>
  <c r="F102" i="85"/>
  <c r="B102" i="85"/>
  <c r="E102" i="85"/>
  <c r="A103" i="85"/>
  <c r="G102" i="85"/>
  <c r="D101" i="85"/>
  <c r="C101" i="85"/>
  <c r="C99" i="87"/>
  <c r="D99" i="87"/>
  <c r="G102" i="86"/>
  <c r="A103" i="86"/>
  <c r="F102" i="86"/>
  <c r="E102" i="86"/>
  <c r="B102" i="86"/>
  <c r="D104" i="82"/>
  <c r="C104" i="82"/>
  <c r="B100" i="87"/>
  <c r="E100" i="87"/>
  <c r="F100" i="87"/>
  <c r="A101" i="87"/>
  <c r="G100" i="87"/>
  <c r="D99" i="88"/>
  <c r="C99" i="88"/>
  <c r="F104" i="84"/>
  <c r="E104" i="84"/>
  <c r="G104" i="84"/>
  <c r="B104" i="84"/>
  <c r="C103" i="84"/>
  <c r="D103" i="84"/>
  <c r="D104" i="81"/>
  <c r="C104" i="81"/>
  <c r="C101" i="86"/>
  <c r="D101" i="86"/>
  <c r="A101" i="88"/>
  <c r="E100" i="88"/>
  <c r="B100" i="88"/>
  <c r="F100" i="88"/>
  <c r="G100" i="88"/>
  <c r="C104" i="80"/>
  <c r="D104" i="80"/>
  <c r="D104" i="83" l="1"/>
  <c r="C104" i="83"/>
  <c r="D100" i="88"/>
  <c r="C100" i="88"/>
  <c r="E101" i="87"/>
  <c r="G101" i="87"/>
  <c r="A102" i="87"/>
  <c r="B101" i="87"/>
  <c r="F101" i="87"/>
  <c r="A104" i="85"/>
  <c r="F103" i="85"/>
  <c r="E103" i="85"/>
  <c r="B103" i="85"/>
  <c r="G103" i="85"/>
  <c r="F101" i="88"/>
  <c r="G101" i="88"/>
  <c r="A102" i="88"/>
  <c r="B101" i="88"/>
  <c r="E101" i="88"/>
  <c r="D102" i="85"/>
  <c r="C102" i="85"/>
  <c r="C100" i="87"/>
  <c r="D100" i="87"/>
  <c r="C102" i="86"/>
  <c r="D102" i="86"/>
  <c r="C104" i="78"/>
  <c r="D104" i="78"/>
  <c r="D104" i="84"/>
  <c r="C104" i="84"/>
  <c r="A104" i="86"/>
  <c r="F103" i="86"/>
  <c r="G103" i="86"/>
  <c r="B103" i="86"/>
  <c r="E103" i="86"/>
  <c r="D101" i="88" l="1"/>
  <c r="C101" i="88"/>
  <c r="F104" i="86"/>
  <c r="E104" i="86"/>
  <c r="G104" i="86"/>
  <c r="B104" i="86"/>
  <c r="C103" i="85"/>
  <c r="D103" i="85"/>
  <c r="E104" i="85"/>
  <c r="G104" i="85"/>
  <c r="B104" i="85"/>
  <c r="F104" i="85"/>
  <c r="D101" i="87"/>
  <c r="C101" i="87"/>
  <c r="E102" i="87"/>
  <c r="A103" i="87"/>
  <c r="G102" i="87"/>
  <c r="B102" i="87"/>
  <c r="F102" i="87"/>
  <c r="C103" i="86"/>
  <c r="D103" i="86"/>
  <c r="F102" i="88"/>
  <c r="E102" i="88"/>
  <c r="A103" i="88"/>
  <c r="B102" i="88"/>
  <c r="G102" i="88"/>
  <c r="C104" i="85" l="1"/>
  <c r="D104" i="85"/>
  <c r="A104" i="87"/>
  <c r="B103" i="87"/>
  <c r="F103" i="87"/>
  <c r="E103" i="87"/>
  <c r="G103" i="87"/>
  <c r="C104" i="86"/>
  <c r="D104" i="86"/>
  <c r="F103" i="88"/>
  <c r="G103" i="88"/>
  <c r="A104" i="88"/>
  <c r="B103" i="88"/>
  <c r="E103" i="88"/>
  <c r="C102" i="88"/>
  <c r="D102" i="88"/>
  <c r="D102" i="87"/>
  <c r="C102" i="87"/>
  <c r="F104" i="88" l="1"/>
  <c r="B104" i="88"/>
  <c r="G104" i="88"/>
  <c r="E104" i="88"/>
  <c r="D103" i="87"/>
  <c r="C103" i="87"/>
  <c r="D103" i="88"/>
  <c r="C103" i="88"/>
  <c r="B104" i="87"/>
  <c r="E104" i="87"/>
  <c r="G104" i="87"/>
  <c r="F104" i="87"/>
  <c r="D104" i="87" l="1"/>
  <c r="C104" i="87"/>
  <c r="D104" i="88"/>
  <c r="C104" i="8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Heide</author>
  </authors>
  <commentList>
    <comment ref="C12" authorId="0" shapeId="0" xr:uid="{00000000-0006-0000-2D00-000001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Weber</t>
        </r>
      </text>
    </comment>
    <comment ref="C40" authorId="0" shapeId="0" xr:uid="{00000000-0006-0000-2D00-000002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Triebel</t>
        </r>
      </text>
    </comment>
    <comment ref="C154" authorId="0" shapeId="0" xr:uid="{00000000-0006-0000-2D00-000003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 der Heirat Stoye</t>
        </r>
      </text>
    </comment>
    <comment ref="C271" authorId="0" shapeId="0" xr:uid="{00000000-0006-0000-2D00-000004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Ott</t>
        </r>
      </text>
    </comment>
    <comment ref="B321" authorId="0" shapeId="0" xr:uid="{00000000-0006-0000-2D00-000005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Passnummer aus Schleswick-Holstein, gelber Pass</t>
        </r>
      </text>
    </comment>
    <comment ref="C357" authorId="0" shapeId="0" xr:uid="{00000000-0006-0000-2D00-000006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Schulze</t>
        </r>
      </text>
    </comment>
    <comment ref="C442" authorId="0" shapeId="0" xr:uid="{00000000-0006-0000-2D00-000007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Mattern</t>
        </r>
      </text>
    </comment>
    <comment ref="C545" authorId="0" shapeId="0" xr:uid="{00000000-0006-0000-2D00-000008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Dornheim, geändert am 5.10.22</t>
        </r>
      </text>
    </comment>
    <comment ref="C756" authorId="0" shapeId="0" xr:uid="{00000000-0006-0000-2D00-000009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Daffner</t>
        </r>
      </text>
    </comment>
  </commentList>
</comments>
</file>

<file path=xl/sharedStrings.xml><?xml version="1.0" encoding="utf-8"?>
<sst xmlns="http://schemas.openxmlformats.org/spreadsheetml/2006/main" count="22116" uniqueCount="2573">
  <si>
    <t>Spieler 1</t>
  </si>
  <si>
    <t>Spieler</t>
  </si>
  <si>
    <t>Spieler 2</t>
  </si>
  <si>
    <t>Spieler 3</t>
  </si>
  <si>
    <t>Sp 1</t>
  </si>
  <si>
    <t>Sp 2</t>
  </si>
  <si>
    <t>Sp 3</t>
  </si>
  <si>
    <t>Sp 4</t>
  </si>
  <si>
    <t>Sp 5</t>
  </si>
  <si>
    <t>Gegner</t>
  </si>
  <si>
    <t>Bahn</t>
  </si>
  <si>
    <t>Spieler 4</t>
  </si>
  <si>
    <t>BAY</t>
  </si>
  <si>
    <t>WÜR</t>
  </si>
  <si>
    <t>TV 1861 Ingolstadt</t>
  </si>
  <si>
    <t>BSV Großlangheim</t>
  </si>
  <si>
    <t>BSV Kitzingen</t>
  </si>
  <si>
    <t>BV Würzburg</t>
  </si>
  <si>
    <t>BSC Lauf</t>
  </si>
  <si>
    <t>DJK Rimpar</t>
  </si>
  <si>
    <t>BSV Augsburg</t>
  </si>
  <si>
    <t>RIM</t>
  </si>
  <si>
    <t>LAU</t>
  </si>
  <si>
    <t>AUG</t>
  </si>
  <si>
    <t>GEL</t>
  </si>
  <si>
    <t>ROT</t>
  </si>
  <si>
    <t>GLH</t>
  </si>
  <si>
    <t>MKV</t>
  </si>
  <si>
    <t>ING</t>
  </si>
  <si>
    <t>VEI</t>
  </si>
  <si>
    <t>EDV-Nr.</t>
  </si>
  <si>
    <t>Pass-Nr.</t>
  </si>
  <si>
    <t>Nachname</t>
  </si>
  <si>
    <t>Vorname</t>
  </si>
  <si>
    <t>Zusatz</t>
  </si>
  <si>
    <t>Geschl.</t>
  </si>
  <si>
    <t>Alertskl.</t>
  </si>
  <si>
    <t>Rangl.</t>
  </si>
  <si>
    <t>Club</t>
  </si>
  <si>
    <t>Verein</t>
  </si>
  <si>
    <t>D 131530</t>
  </si>
  <si>
    <t>Bäßler</t>
  </si>
  <si>
    <t>Lars</t>
  </si>
  <si>
    <t>M</t>
  </si>
  <si>
    <t>Männer</t>
  </si>
  <si>
    <t>D</t>
  </si>
  <si>
    <t>BC Friedrichshafen</t>
  </si>
  <si>
    <t>1. BBV Friedrichshafen</t>
  </si>
  <si>
    <t>FRI</t>
  </si>
  <si>
    <t>W</t>
  </si>
  <si>
    <t>Seniorinnen B</t>
  </si>
  <si>
    <t>E</t>
  </si>
  <si>
    <t>Senioren B</t>
  </si>
  <si>
    <t>Marcel</t>
  </si>
  <si>
    <t>D 115595</t>
  </si>
  <si>
    <t>König</t>
  </si>
  <si>
    <t>Gabi</t>
  </si>
  <si>
    <t>Manfred</t>
  </si>
  <si>
    <t>Senioren C</t>
  </si>
  <si>
    <t>Steffen</t>
  </si>
  <si>
    <t>Maier</t>
  </si>
  <si>
    <t>Stefan</t>
  </si>
  <si>
    <t>D 060040</t>
  </si>
  <si>
    <t>Morgen</t>
  </si>
  <si>
    <t>Markus</t>
  </si>
  <si>
    <t>Uwe</t>
  </si>
  <si>
    <t>C</t>
  </si>
  <si>
    <t>Senioren A</t>
  </si>
  <si>
    <t>D 115597</t>
  </si>
  <si>
    <t>Seiler</t>
  </si>
  <si>
    <t>Franz</t>
  </si>
  <si>
    <t>D 115593</t>
  </si>
  <si>
    <t>Unternährer</t>
  </si>
  <si>
    <t>Peter</t>
  </si>
  <si>
    <t>Vogel</t>
  </si>
  <si>
    <t>Jens</t>
  </si>
  <si>
    <t>D 125151</t>
  </si>
  <si>
    <t>Ursula</t>
  </si>
  <si>
    <t>Sarah</t>
  </si>
  <si>
    <t>Frauen</t>
  </si>
  <si>
    <t>Gerhard</t>
  </si>
  <si>
    <t>Beer</t>
  </si>
  <si>
    <t>Sebastian</t>
  </si>
  <si>
    <t>Absolut-Sports.com</t>
  </si>
  <si>
    <t>1. BC Bad Tölz 78 e.V.</t>
  </si>
  <si>
    <t>TÖL</t>
  </si>
  <si>
    <t>Eichhorn</t>
  </si>
  <si>
    <t>Christian</t>
  </si>
  <si>
    <t>Julian</t>
  </si>
  <si>
    <t>Jugend B m</t>
  </si>
  <si>
    <t>Sven</t>
  </si>
  <si>
    <t>D 117987</t>
  </si>
  <si>
    <t>Hanauer</t>
  </si>
  <si>
    <t>Florian</t>
  </si>
  <si>
    <t>Junioren</t>
  </si>
  <si>
    <t>D 116725</t>
  </si>
  <si>
    <t>Hannemann</t>
  </si>
  <si>
    <t>Roland</t>
  </si>
  <si>
    <t>John</t>
  </si>
  <si>
    <t>Andreas</t>
  </si>
  <si>
    <t>D 116734</t>
  </si>
  <si>
    <t>Schrempf</t>
  </si>
  <si>
    <t>D 129876</t>
  </si>
  <si>
    <t>Stockmann</t>
  </si>
  <si>
    <t>F</t>
  </si>
  <si>
    <t>D 067316</t>
  </si>
  <si>
    <t>Tomic</t>
  </si>
  <si>
    <t>Robert</t>
  </si>
  <si>
    <t>D 128823</t>
  </si>
  <si>
    <t>Wächter</t>
  </si>
  <si>
    <t>D 107446</t>
  </si>
  <si>
    <t>Zentara</t>
  </si>
  <si>
    <t>Helmut</t>
  </si>
  <si>
    <t>D 128827</t>
  </si>
  <si>
    <t>Erlacher</t>
  </si>
  <si>
    <t>Herold</t>
  </si>
  <si>
    <t>Hans</t>
  </si>
  <si>
    <t>Jürgen</t>
  </si>
  <si>
    <t>D 139427</t>
  </si>
  <si>
    <t>Kretschmer</t>
  </si>
  <si>
    <t>Wolfgang</t>
  </si>
  <si>
    <t>D 129639</t>
  </si>
  <si>
    <t>Martin</t>
  </si>
  <si>
    <t>D 136757</t>
  </si>
  <si>
    <t>Bückreiß</t>
  </si>
  <si>
    <t>Alexander</t>
  </si>
  <si>
    <t>Bowling Club Coburg</t>
  </si>
  <si>
    <t>1. BC Coburg</t>
  </si>
  <si>
    <t>COB</t>
  </si>
  <si>
    <t>Nicolas</t>
  </si>
  <si>
    <t>D 145503</t>
  </si>
  <si>
    <t>Fischer</t>
  </si>
  <si>
    <t>Tobias</t>
  </si>
  <si>
    <t>D 054392</t>
  </si>
  <si>
    <t>Görbert</t>
  </si>
  <si>
    <t>Renè</t>
  </si>
  <si>
    <t>Frank</t>
  </si>
  <si>
    <t>Keller</t>
  </si>
  <si>
    <t>Anja</t>
  </si>
  <si>
    <t>Seniorinnen A</t>
  </si>
  <si>
    <t>Köhler</t>
  </si>
  <si>
    <t>D 140372</t>
  </si>
  <si>
    <t>Lachmann</t>
  </si>
  <si>
    <t>Thomas</t>
  </si>
  <si>
    <t>D 136841</t>
  </si>
  <si>
    <t>Noack</t>
  </si>
  <si>
    <t>D 115723</t>
  </si>
  <si>
    <t>Schelhorn</t>
  </si>
  <si>
    <t>Heidemarie</t>
  </si>
  <si>
    <t>D 129776</t>
  </si>
  <si>
    <t>Nico</t>
  </si>
  <si>
    <t>D 145502</t>
  </si>
  <si>
    <t>Stephanie</t>
  </si>
  <si>
    <t>Arndt</t>
  </si>
  <si>
    <t>BC Herzogenaurach</t>
  </si>
  <si>
    <t>1. BC Erlangen</t>
  </si>
  <si>
    <t>ERL</t>
  </si>
  <si>
    <t>D 056364</t>
  </si>
  <si>
    <t>Arnold</t>
  </si>
  <si>
    <t>Nadine</t>
  </si>
  <si>
    <t>D 142889</t>
  </si>
  <si>
    <t>Bär</t>
  </si>
  <si>
    <t>Beck</t>
  </si>
  <si>
    <t>D 114229</t>
  </si>
  <si>
    <t>Friedrich</t>
  </si>
  <si>
    <t>Bernd</t>
  </si>
  <si>
    <t>Hertel</t>
  </si>
  <si>
    <t>Christine</t>
  </si>
  <si>
    <t>Inkermann</t>
  </si>
  <si>
    <t>Matthias</t>
  </si>
  <si>
    <t>D 114226</t>
  </si>
  <si>
    <t>Meier</t>
  </si>
  <si>
    <t>D 114227</t>
  </si>
  <si>
    <t>Pichl</t>
  </si>
  <si>
    <t>D 114228</t>
  </si>
  <si>
    <t>Voss</t>
  </si>
  <si>
    <t>Horst</t>
  </si>
  <si>
    <t>Flying Pins Erlangen</t>
  </si>
  <si>
    <t>Brucksch</t>
  </si>
  <si>
    <t>Michael</t>
  </si>
  <si>
    <t>B</t>
  </si>
  <si>
    <t>D 129216</t>
  </si>
  <si>
    <t>Herzog</t>
  </si>
  <si>
    <t>Ludwig</t>
  </si>
  <si>
    <t>Klaus</t>
  </si>
  <si>
    <t>D 034133</t>
  </si>
  <si>
    <t>D 148837</t>
  </si>
  <si>
    <t>Juri</t>
  </si>
  <si>
    <t>Neidhardt</t>
  </si>
  <si>
    <t>D 059997</t>
  </si>
  <si>
    <t>Olde Damink</t>
  </si>
  <si>
    <t>Tim</t>
  </si>
  <si>
    <t>Schott</t>
  </si>
  <si>
    <t>D 113019</t>
  </si>
  <si>
    <t>Stief</t>
  </si>
  <si>
    <t>Patrick</t>
  </si>
  <si>
    <t>D 016444</t>
  </si>
  <si>
    <t>Transchel</t>
  </si>
  <si>
    <t>D 114234</t>
  </si>
  <si>
    <t>Wagner</t>
  </si>
  <si>
    <t>Rudolf</t>
  </si>
  <si>
    <t>D 120953</t>
  </si>
  <si>
    <t>Beier</t>
  </si>
  <si>
    <t>BC Adler Nürnberg</t>
  </si>
  <si>
    <t>1. BC Nürnberg</t>
  </si>
  <si>
    <t>BCN</t>
  </si>
  <si>
    <t>Dieter</t>
  </si>
  <si>
    <t>D 120955</t>
  </si>
  <si>
    <t>Doßler</t>
  </si>
  <si>
    <t>Kohl</t>
  </si>
  <si>
    <t>Oswald</t>
  </si>
  <si>
    <t>D 111812</t>
  </si>
  <si>
    <t>Schmelzl</t>
  </si>
  <si>
    <t>Werner</t>
  </si>
  <si>
    <t>D 148827</t>
  </si>
  <si>
    <t>Schmitt</t>
  </si>
  <si>
    <t>D 120954</t>
  </si>
  <si>
    <t>Deinlein</t>
  </si>
  <si>
    <t>BC Frankenpower</t>
  </si>
  <si>
    <t>D 146939</t>
  </si>
  <si>
    <t>Dietrich</t>
  </si>
  <si>
    <t>D 146940</t>
  </si>
  <si>
    <t>Krämer</t>
  </si>
  <si>
    <t>Gisela</t>
  </si>
  <si>
    <t>D 120964</t>
  </si>
  <si>
    <t>Legl</t>
  </si>
  <si>
    <t>Renate</t>
  </si>
  <si>
    <t>Remmel</t>
  </si>
  <si>
    <t>Seniorinnen C</t>
  </si>
  <si>
    <t>Rückel</t>
  </si>
  <si>
    <t>Petra</t>
  </si>
  <si>
    <t>Luca</t>
  </si>
  <si>
    <t>Comet</t>
  </si>
  <si>
    <t>D 120956</t>
  </si>
  <si>
    <t>Fiochetta</t>
  </si>
  <si>
    <t>Anthony</t>
  </si>
  <si>
    <t>D 120957</t>
  </si>
  <si>
    <t>Glatzer</t>
  </si>
  <si>
    <t>Daniel</t>
  </si>
  <si>
    <t>A</t>
  </si>
  <si>
    <t>Hamfler</t>
  </si>
  <si>
    <t>D 120962</t>
  </si>
  <si>
    <t>D 120963</t>
  </si>
  <si>
    <t>Körber</t>
  </si>
  <si>
    <t>Paul</t>
  </si>
  <si>
    <t>D 019448</t>
  </si>
  <si>
    <t>Mittelmaier</t>
  </si>
  <si>
    <t>D 115807</t>
  </si>
  <si>
    <t>Schlick</t>
  </si>
  <si>
    <t>D 153859</t>
  </si>
  <si>
    <t>Schlundt</t>
  </si>
  <si>
    <t>D 054214</t>
  </si>
  <si>
    <t>Woyscheszik</t>
  </si>
  <si>
    <t>Jörg</t>
  </si>
  <si>
    <t>Claudia</t>
  </si>
  <si>
    <t>Einzelmitglied</t>
  </si>
  <si>
    <t>D 131822</t>
  </si>
  <si>
    <t>Friedhelm</t>
  </si>
  <si>
    <t>1. BC Veitshöchheim</t>
  </si>
  <si>
    <t>1. BC Veitshöchheim e.V.</t>
  </si>
  <si>
    <t>Christiane</t>
  </si>
  <si>
    <t>D 146907</t>
  </si>
  <si>
    <t>Dambach</t>
  </si>
  <si>
    <t>Georg</t>
  </si>
  <si>
    <t>Ebert</t>
  </si>
  <si>
    <t>Pfaff</t>
  </si>
  <si>
    <t>Ralf</t>
  </si>
  <si>
    <t>D 112600</t>
  </si>
  <si>
    <t>D 146909</t>
  </si>
  <si>
    <t>Steigerwald</t>
  </si>
  <si>
    <t>André</t>
  </si>
  <si>
    <t>D 120994</t>
  </si>
  <si>
    <t>Völlmerk</t>
  </si>
  <si>
    <t>Julia</t>
  </si>
  <si>
    <t>Böhm</t>
  </si>
  <si>
    <t>BC Schwarz-Weiß Mainfranken</t>
  </si>
  <si>
    <t>1. BSV Bamberg</t>
  </si>
  <si>
    <t>BAM</t>
  </si>
  <si>
    <t>D 129092</t>
  </si>
  <si>
    <t>Brendel</t>
  </si>
  <si>
    <t>D 129093</t>
  </si>
  <si>
    <t>D 111913</t>
  </si>
  <si>
    <t>Davis</t>
  </si>
  <si>
    <t>Kwan</t>
  </si>
  <si>
    <t>Benjamin</t>
  </si>
  <si>
    <t>D 135136</t>
  </si>
  <si>
    <t>Erich</t>
  </si>
  <si>
    <t>Finn</t>
  </si>
  <si>
    <t>D 135248</t>
  </si>
  <si>
    <t>Gehring</t>
  </si>
  <si>
    <t>Philipp</t>
  </si>
  <si>
    <t>D 148838</t>
  </si>
  <si>
    <t>Riedel</t>
  </si>
  <si>
    <t>Rüdiger</t>
  </si>
  <si>
    <t>D 131521</t>
  </si>
  <si>
    <t>Seidlein</t>
  </si>
  <si>
    <t>Nadja</t>
  </si>
  <si>
    <t>Winkler</t>
  </si>
  <si>
    <t>D 131520</t>
  </si>
  <si>
    <t>Zeh</t>
  </si>
  <si>
    <t>D 125153</t>
  </si>
  <si>
    <t>Bürkler</t>
  </si>
  <si>
    <t>Reinhard</t>
  </si>
  <si>
    <t>BC Albrecht Dürer 71 Stein</t>
  </si>
  <si>
    <t>1. BSV Stein</t>
  </si>
  <si>
    <t>STE</t>
  </si>
  <si>
    <t>D 116570</t>
  </si>
  <si>
    <t>Holger</t>
  </si>
  <si>
    <t>D 116569</t>
  </si>
  <si>
    <t>Fillbach</t>
  </si>
  <si>
    <t>Karin</t>
  </si>
  <si>
    <t>D 111851</t>
  </si>
  <si>
    <t>Kammermeier</t>
  </si>
  <si>
    <t>D 029296</t>
  </si>
  <si>
    <t>D 111849</t>
  </si>
  <si>
    <t>Niedner</t>
  </si>
  <si>
    <t>Heidrun</t>
  </si>
  <si>
    <t>Alfred</t>
  </si>
  <si>
    <t>D 153856</t>
  </si>
  <si>
    <t>Beinlich</t>
  </si>
  <si>
    <t>Gabriele</t>
  </si>
  <si>
    <t>BC Kleeblatt Fürth</t>
  </si>
  <si>
    <t>D 144559</t>
  </si>
  <si>
    <t>Hackel</t>
  </si>
  <si>
    <t>Monika</t>
  </si>
  <si>
    <t>D 116568</t>
  </si>
  <si>
    <t>Herderich</t>
  </si>
  <si>
    <t>D 116567</t>
  </si>
  <si>
    <t>D 116564</t>
  </si>
  <si>
    <t>Hofmann</t>
  </si>
  <si>
    <t>Hildegard</t>
  </si>
  <si>
    <t>D 046518</t>
  </si>
  <si>
    <t>Jarschel</t>
  </si>
  <si>
    <t>Marcus</t>
  </si>
  <si>
    <t>D 116566</t>
  </si>
  <si>
    <t>Herbert</t>
  </si>
  <si>
    <t>D 128198</t>
  </si>
  <si>
    <t>Kristof</t>
  </si>
  <si>
    <t>Anika</t>
  </si>
  <si>
    <t>D 050172</t>
  </si>
  <si>
    <t>Mang</t>
  </si>
  <si>
    <t>Katharina</t>
  </si>
  <si>
    <t>Juniorinnen</t>
  </si>
  <si>
    <t>D 091425</t>
  </si>
  <si>
    <t>Betz</t>
  </si>
  <si>
    <t>BF Rot-Weiß Lichtenhof 69</t>
  </si>
  <si>
    <t>D 146865</t>
  </si>
  <si>
    <t>Birkner</t>
  </si>
  <si>
    <t>Jochen</t>
  </si>
  <si>
    <t>D 145519</t>
  </si>
  <si>
    <t>Boch</t>
  </si>
  <si>
    <t>D 091422</t>
  </si>
  <si>
    <t>Boch-Jackson</t>
  </si>
  <si>
    <t>Heike</t>
  </si>
  <si>
    <t>D 135363</t>
  </si>
  <si>
    <t>Bösl</t>
  </si>
  <si>
    <t>Reimund</t>
  </si>
  <si>
    <t>D 131622</t>
  </si>
  <si>
    <t>Chestnut</t>
  </si>
  <si>
    <t>James</t>
  </si>
  <si>
    <t>Dietz</t>
  </si>
  <si>
    <t>Enrico</t>
  </si>
  <si>
    <t>Jugend A m</t>
  </si>
  <si>
    <t>D 142805</t>
  </si>
  <si>
    <t>Hans Jürgen</t>
  </si>
  <si>
    <t>D 141743</t>
  </si>
  <si>
    <t>Kevin</t>
  </si>
  <si>
    <t>D 116555</t>
  </si>
  <si>
    <t>Echtermeyer</t>
  </si>
  <si>
    <t>Ralph</t>
  </si>
  <si>
    <t>Facius</t>
  </si>
  <si>
    <t>Monic</t>
  </si>
  <si>
    <t>D 148841</t>
  </si>
  <si>
    <t>Große</t>
  </si>
  <si>
    <t>Hödl</t>
  </si>
  <si>
    <t>Bruno</t>
  </si>
  <si>
    <t>D 109596</t>
  </si>
  <si>
    <t>Hufnagel</t>
  </si>
  <si>
    <t>Edgar</t>
  </si>
  <si>
    <t>D 145545</t>
  </si>
  <si>
    <t>Jurischka</t>
  </si>
  <si>
    <t>Leon</t>
  </si>
  <si>
    <t>D 146905</t>
  </si>
  <si>
    <t>René</t>
  </si>
  <si>
    <t>D 091421</t>
  </si>
  <si>
    <t>Mareiser</t>
  </si>
  <si>
    <t>Alexandra</t>
  </si>
  <si>
    <t>D 146935</t>
  </si>
  <si>
    <t>Martisko</t>
  </si>
  <si>
    <t>Lubomir</t>
  </si>
  <si>
    <t>D 091424</t>
  </si>
  <si>
    <t>D 135362</t>
  </si>
  <si>
    <t>Mc Collum</t>
  </si>
  <si>
    <t>Cindy</t>
  </si>
  <si>
    <t>D 135361</t>
  </si>
  <si>
    <t>Michael Shane</t>
  </si>
  <si>
    <t>D 116557</t>
  </si>
  <si>
    <t>Mesch</t>
  </si>
  <si>
    <t>D 139172</t>
  </si>
  <si>
    <t>Meyer</t>
  </si>
  <si>
    <t>D 132706</t>
  </si>
  <si>
    <t>Namieta</t>
  </si>
  <si>
    <t>Jacqueline</t>
  </si>
  <si>
    <t>D 048025</t>
  </si>
  <si>
    <t>Netscheporenko</t>
  </si>
  <si>
    <t>Marco</t>
  </si>
  <si>
    <t>D 139173</t>
  </si>
  <si>
    <t>Nöldner</t>
  </si>
  <si>
    <t>D 060018</t>
  </si>
  <si>
    <t>D 023209</t>
  </si>
  <si>
    <t>Odorfer</t>
  </si>
  <si>
    <t>D 113667</t>
  </si>
  <si>
    <t>Panek</t>
  </si>
  <si>
    <t>Sandra</t>
  </si>
  <si>
    <t>D 091423</t>
  </si>
  <si>
    <t>Rauch</t>
  </si>
  <si>
    <t>Rupertinger</t>
  </si>
  <si>
    <t>D 116554</t>
  </si>
  <si>
    <t>Saffer</t>
  </si>
  <si>
    <t>D 111810</t>
  </si>
  <si>
    <t>Ingeborg</t>
  </si>
  <si>
    <t>D 116556</t>
  </si>
  <si>
    <t>D 054238</t>
  </si>
  <si>
    <t>Schulz-Burkert</t>
  </si>
  <si>
    <t>Roswitha</t>
  </si>
  <si>
    <t>D 127797</t>
  </si>
  <si>
    <t>Smith</t>
  </si>
  <si>
    <t>Suzanne</t>
  </si>
  <si>
    <t>D 148826</t>
  </si>
  <si>
    <t>Stöhr</t>
  </si>
  <si>
    <t>D 148820</t>
  </si>
  <si>
    <t>D 144573</t>
  </si>
  <si>
    <t>Thöne</t>
  </si>
  <si>
    <t>Melanie</t>
  </si>
  <si>
    <t>D 070545</t>
  </si>
  <si>
    <t>Wahl</t>
  </si>
  <si>
    <t>D 065752</t>
  </si>
  <si>
    <t>Norbert</t>
  </si>
  <si>
    <t>D 125194</t>
  </si>
  <si>
    <t>Baur</t>
  </si>
  <si>
    <t>Anita</t>
  </si>
  <si>
    <t>BC Murmels Neu-Ulm</t>
  </si>
  <si>
    <t>1. BSV Ulm/Neu-Ulm</t>
  </si>
  <si>
    <t>N-U</t>
  </si>
  <si>
    <t>D 065775</t>
  </si>
  <si>
    <t>Bolender</t>
  </si>
  <si>
    <t>Eduard</t>
  </si>
  <si>
    <t>D 129550</t>
  </si>
  <si>
    <t>Brandt</t>
  </si>
  <si>
    <t>D 066175</t>
  </si>
  <si>
    <t>Brem</t>
  </si>
  <si>
    <t>Ivan</t>
  </si>
  <si>
    <t>D 066176</t>
  </si>
  <si>
    <t>Bremova</t>
  </si>
  <si>
    <t>Alena</t>
  </si>
  <si>
    <t>Ulrike</t>
  </si>
  <si>
    <t>D 029342</t>
  </si>
  <si>
    <t>Franke</t>
  </si>
  <si>
    <t>D 148813</t>
  </si>
  <si>
    <t>Fronius</t>
  </si>
  <si>
    <t>Merete</t>
  </si>
  <si>
    <t>D 148812</t>
  </si>
  <si>
    <t>D 040622</t>
  </si>
  <si>
    <t>Günther</t>
  </si>
  <si>
    <t>D 125200</t>
  </si>
  <si>
    <t>Käser</t>
  </si>
  <si>
    <t>D 148810</t>
  </si>
  <si>
    <t>D 125201</t>
  </si>
  <si>
    <t>Nierlich</t>
  </si>
  <si>
    <t>D 125187</t>
  </si>
  <si>
    <t>Niesner</t>
  </si>
  <si>
    <t>D 153854</t>
  </si>
  <si>
    <t>Pauler</t>
  </si>
  <si>
    <t>D 125203</t>
  </si>
  <si>
    <t>Plassmann</t>
  </si>
  <si>
    <t>Doris</t>
  </si>
  <si>
    <t>D 153863</t>
  </si>
  <si>
    <t>Scheffler</t>
  </si>
  <si>
    <t>Tanja</t>
  </si>
  <si>
    <t>Dirk</t>
  </si>
  <si>
    <t>D 146875</t>
  </si>
  <si>
    <t>Schöllhorn</t>
  </si>
  <si>
    <t>D 125205</t>
  </si>
  <si>
    <t>Rainer</t>
  </si>
  <si>
    <t>D 153868</t>
  </si>
  <si>
    <t>Sonnenmoser</t>
  </si>
  <si>
    <t>D 148840</t>
  </si>
  <si>
    <t>Baumann</t>
  </si>
  <si>
    <t>BC Neu-Ulmer Falken</t>
  </si>
  <si>
    <t>D 125183</t>
  </si>
  <si>
    <t>Timo</t>
  </si>
  <si>
    <t>D 125208</t>
  </si>
  <si>
    <t>Gehweiler</t>
  </si>
  <si>
    <t>Manuel</t>
  </si>
  <si>
    <t>D 120982</t>
  </si>
  <si>
    <t>Höllger</t>
  </si>
  <si>
    <t>Dennis</t>
  </si>
  <si>
    <t>D 125210</t>
  </si>
  <si>
    <t>Köse</t>
  </si>
  <si>
    <t>Sahin</t>
  </si>
  <si>
    <t>Strahl</t>
  </si>
  <si>
    <t>Felix</t>
  </si>
  <si>
    <t>Müller</t>
  </si>
  <si>
    <t>Vogt</t>
  </si>
  <si>
    <t>D 125222</t>
  </si>
  <si>
    <t>Erber</t>
  </si>
  <si>
    <t>Hans-Peter</t>
  </si>
  <si>
    <t>D 153861</t>
  </si>
  <si>
    <t>Amort</t>
  </si>
  <si>
    <t>Nicole</t>
  </si>
  <si>
    <t>BSC Pfaffenhofen</t>
  </si>
  <si>
    <t>1. BV 84 Pfaffenhofen</t>
  </si>
  <si>
    <t>PFA</t>
  </si>
  <si>
    <t>D 042130</t>
  </si>
  <si>
    <t>Bick</t>
  </si>
  <si>
    <t>D 054217</t>
  </si>
  <si>
    <t>Bohnen</t>
  </si>
  <si>
    <t>D 116717</t>
  </si>
  <si>
    <t>Burghard</t>
  </si>
  <si>
    <t>D 116718</t>
  </si>
  <si>
    <t>Diebel</t>
  </si>
  <si>
    <t>D 142936</t>
  </si>
  <si>
    <t>Faltermeier</t>
  </si>
  <si>
    <t>D 116723</t>
  </si>
  <si>
    <t>Ingo</t>
  </si>
  <si>
    <t>D 116724</t>
  </si>
  <si>
    <t>Luitgard</t>
  </si>
  <si>
    <t>D 116727</t>
  </si>
  <si>
    <t>Huber</t>
  </si>
  <si>
    <t>Johann</t>
  </si>
  <si>
    <t>Jencz</t>
  </si>
  <si>
    <t>Mario</t>
  </si>
  <si>
    <t>D 146857</t>
  </si>
  <si>
    <t>Stefanie</t>
  </si>
  <si>
    <t>D 091381</t>
  </si>
  <si>
    <t>Knöferle</t>
  </si>
  <si>
    <t>Dana</t>
  </si>
  <si>
    <t>D 116729</t>
  </si>
  <si>
    <t>Krebs</t>
  </si>
  <si>
    <t>Olaf</t>
  </si>
  <si>
    <t>D 054221</t>
  </si>
  <si>
    <t>Krois</t>
  </si>
  <si>
    <t>Jakob</t>
  </si>
  <si>
    <t>D 115900</t>
  </si>
  <si>
    <t>Linke</t>
  </si>
  <si>
    <t>D 139372</t>
  </si>
  <si>
    <t>Mandl</t>
  </si>
  <si>
    <t>Yvonne</t>
  </si>
  <si>
    <t>D 153862</t>
  </si>
  <si>
    <t>Moosmeier</t>
  </si>
  <si>
    <t>D 029473</t>
  </si>
  <si>
    <t>Mutz</t>
  </si>
  <si>
    <t>Anton</t>
  </si>
  <si>
    <t>D 116735</t>
  </si>
  <si>
    <t>Stolze</t>
  </si>
  <si>
    <t>D 116736</t>
  </si>
  <si>
    <t>D 111176</t>
  </si>
  <si>
    <t>Wittmann</t>
  </si>
  <si>
    <t>Fritz</t>
  </si>
  <si>
    <t>D 116738</t>
  </si>
  <si>
    <t>Zorn</t>
  </si>
  <si>
    <t>D 016442</t>
  </si>
  <si>
    <t>Admiral</t>
  </si>
  <si>
    <t>Strikers Geldersheim 1983</t>
  </si>
  <si>
    <t>1. FC 45 Geldersheim</t>
  </si>
  <si>
    <t>D 112598</t>
  </si>
  <si>
    <t>Barthelmes</t>
  </si>
  <si>
    <t>D 135176</t>
  </si>
  <si>
    <t>Eck</t>
  </si>
  <si>
    <t>D 111985</t>
  </si>
  <si>
    <t>Erhard</t>
  </si>
  <si>
    <t>Richard</t>
  </si>
  <si>
    <t>Willi</t>
  </si>
  <si>
    <t>D 112202</t>
  </si>
  <si>
    <t>Förster</t>
  </si>
  <si>
    <t>Geis</t>
  </si>
  <si>
    <t>D 136285</t>
  </si>
  <si>
    <t>Halfpap</t>
  </si>
  <si>
    <t>D 112204</t>
  </si>
  <si>
    <t>Hartmann</t>
  </si>
  <si>
    <t>Hiltrud</t>
  </si>
  <si>
    <t>D 111987</t>
  </si>
  <si>
    <t>Joachim</t>
  </si>
  <si>
    <t>D 139178</t>
  </si>
  <si>
    <t>Kurt</t>
  </si>
  <si>
    <t>D 046430</t>
  </si>
  <si>
    <t>Limpius</t>
  </si>
  <si>
    <t>Thilo</t>
  </si>
  <si>
    <t>D 145712</t>
  </si>
  <si>
    <t>Mikkelsen</t>
  </si>
  <si>
    <t>David</t>
  </si>
  <si>
    <t>D 111988</t>
  </si>
  <si>
    <t>Naujoks</t>
  </si>
  <si>
    <t>D 111989</t>
  </si>
  <si>
    <t>Nöth</t>
  </si>
  <si>
    <t>D 139177</t>
  </si>
  <si>
    <t>Pult</t>
  </si>
  <si>
    <t>Detlef</t>
  </si>
  <si>
    <t>D 038195</t>
  </si>
  <si>
    <t>Rößler</t>
  </si>
  <si>
    <t>Maik</t>
  </si>
  <si>
    <t>D 111991</t>
  </si>
  <si>
    <t>Schmidt</t>
  </si>
  <si>
    <t>D 111992</t>
  </si>
  <si>
    <t>Schwank</t>
  </si>
  <si>
    <t>D 142786</t>
  </si>
  <si>
    <t>Chris</t>
  </si>
  <si>
    <t>D 115799</t>
  </si>
  <si>
    <t>Altenfeld</t>
  </si>
  <si>
    <t>D 128901</t>
  </si>
  <si>
    <t>Badum</t>
  </si>
  <si>
    <t>D 135573</t>
  </si>
  <si>
    <t>Derbfuss</t>
  </si>
  <si>
    <t>D 135247</t>
  </si>
  <si>
    <t>Herbst</t>
  </si>
  <si>
    <t>Holzinger</t>
  </si>
  <si>
    <t>Barbara</t>
  </si>
  <si>
    <t>D 115808</t>
  </si>
  <si>
    <t>Jackwerth</t>
  </si>
  <si>
    <t>Enno</t>
  </si>
  <si>
    <t>D 132065</t>
  </si>
  <si>
    <t>Kulzer</t>
  </si>
  <si>
    <t>D 042223</t>
  </si>
  <si>
    <t>Maschkiwitz</t>
  </si>
  <si>
    <t>Harald</t>
  </si>
  <si>
    <t>D 112941</t>
  </si>
  <si>
    <t>Plaschka</t>
  </si>
  <si>
    <t>Renner</t>
  </si>
  <si>
    <t>Röhlig</t>
  </si>
  <si>
    <t>D 115810</t>
  </si>
  <si>
    <t>Schick</t>
  </si>
  <si>
    <t>D 135360</t>
  </si>
  <si>
    <t>Stemmler</t>
  </si>
  <si>
    <t>D 148834</t>
  </si>
  <si>
    <t>Oliver</t>
  </si>
  <si>
    <t>BC Bamberger Bowlinghaus</t>
  </si>
  <si>
    <t>Bamberger Bowlinghaus e.V.</t>
  </si>
  <si>
    <t>BBH</t>
  </si>
  <si>
    <t>D 111907</t>
  </si>
  <si>
    <t>Hubert</t>
  </si>
  <si>
    <t>D 111904</t>
  </si>
  <si>
    <t>Karl</t>
  </si>
  <si>
    <t>D 111903</t>
  </si>
  <si>
    <t>William</t>
  </si>
  <si>
    <t>D 019475</t>
  </si>
  <si>
    <t>Lorenz</t>
  </si>
  <si>
    <t>Bernhard</t>
  </si>
  <si>
    <t>D 111906</t>
  </si>
  <si>
    <t>Montag</t>
  </si>
  <si>
    <t>D 148845</t>
  </si>
  <si>
    <t>Schäfer</t>
  </si>
  <si>
    <t>Schiewer</t>
  </si>
  <si>
    <t>Achim</t>
  </si>
  <si>
    <t>D 111905</t>
  </si>
  <si>
    <t>Stegner</t>
  </si>
  <si>
    <t>Ottmar</t>
  </si>
  <si>
    <t>D 036002</t>
  </si>
  <si>
    <t>Striefler</t>
  </si>
  <si>
    <t>Edmund</t>
  </si>
  <si>
    <t>Sonja</t>
  </si>
  <si>
    <t>D 114503</t>
  </si>
  <si>
    <t>Bock</t>
  </si>
  <si>
    <t>BC Germania Bayreuth</t>
  </si>
  <si>
    <t>Bayreuther Bowling Verein</t>
  </si>
  <si>
    <t>Fröde</t>
  </si>
  <si>
    <t>D 114509</t>
  </si>
  <si>
    <t>Kresse</t>
  </si>
  <si>
    <t>D 063142</t>
  </si>
  <si>
    <t>Lerner</t>
  </si>
  <si>
    <t>Maximilian</t>
  </si>
  <si>
    <t>Schneider</t>
  </si>
  <si>
    <t>D 132064</t>
  </si>
  <si>
    <t>Wichmann</t>
  </si>
  <si>
    <t>D 145546</t>
  </si>
  <si>
    <t>Bowling Jugend Bayern</t>
  </si>
  <si>
    <t>Bowling Jugend Bayern e.V.</t>
  </si>
  <si>
    <t>BJB</t>
  </si>
  <si>
    <t>Bräutigam</t>
  </si>
  <si>
    <t>Marion</t>
  </si>
  <si>
    <t>Bowlingverein Bayreuth-Land e.V.</t>
  </si>
  <si>
    <t>BAL</t>
  </si>
  <si>
    <t>Burghardt</t>
  </si>
  <si>
    <t>BC Mainauen-Bowler Bayreuth</t>
  </si>
  <si>
    <t>D 135393</t>
  </si>
  <si>
    <t>Ehemann</t>
  </si>
  <si>
    <t>Gruosso</t>
  </si>
  <si>
    <t>Antonio</t>
  </si>
  <si>
    <t>D 145516</t>
  </si>
  <si>
    <t>Hegele</t>
  </si>
  <si>
    <t>Dominik</t>
  </si>
  <si>
    <t>Gerda</t>
  </si>
  <si>
    <t>Anna</t>
  </si>
  <si>
    <t>Semmling</t>
  </si>
  <si>
    <t>D 114536</t>
  </si>
  <si>
    <t>Söldner</t>
  </si>
  <si>
    <t>Elke</t>
  </si>
  <si>
    <t>Theisen</t>
  </si>
  <si>
    <t>D 135392</t>
  </si>
  <si>
    <t>Weiske</t>
  </si>
  <si>
    <t>D 114530</t>
  </si>
  <si>
    <t>Marina</t>
  </si>
  <si>
    <t>D 114515</t>
  </si>
  <si>
    <t>Niklas</t>
  </si>
  <si>
    <t>Kings Club Bayreuth</t>
  </si>
  <si>
    <t>Bujdoso</t>
  </si>
  <si>
    <t>Max</t>
  </si>
  <si>
    <t>D 111435</t>
  </si>
  <si>
    <t>Eichner</t>
  </si>
  <si>
    <t>D 114541</t>
  </si>
  <si>
    <t>Guido</t>
  </si>
  <si>
    <t>D 136273</t>
  </si>
  <si>
    <t>D 136838</t>
  </si>
  <si>
    <t>Hätscher</t>
  </si>
  <si>
    <t>Lucas</t>
  </si>
  <si>
    <t>D 091149</t>
  </si>
  <si>
    <t>Heinlein</t>
  </si>
  <si>
    <t>D 129927</t>
  </si>
  <si>
    <t>Hirsch</t>
  </si>
  <si>
    <t>D 033968</t>
  </si>
  <si>
    <t>Hübner</t>
  </si>
  <si>
    <t>D 032930</t>
  </si>
  <si>
    <t>Jung</t>
  </si>
  <si>
    <t>Jennifer</t>
  </si>
  <si>
    <t>D 148806</t>
  </si>
  <si>
    <t>Katholing</t>
  </si>
  <si>
    <t>D 144595</t>
  </si>
  <si>
    <t>Piehl</t>
  </si>
  <si>
    <t>Fred</t>
  </si>
  <si>
    <t>D 114543</t>
  </si>
  <si>
    <t>Reichert</t>
  </si>
  <si>
    <t>D 114545</t>
  </si>
  <si>
    <t>Rühr</t>
  </si>
  <si>
    <t>Wilfried</t>
  </si>
  <si>
    <t>D 114544</t>
  </si>
  <si>
    <t>Wallner</t>
  </si>
  <si>
    <t>D 144596</t>
  </si>
  <si>
    <t>Zahiri</t>
  </si>
  <si>
    <t>Ali</t>
  </si>
  <si>
    <t>D 146882</t>
  </si>
  <si>
    <t>Arapow</t>
  </si>
  <si>
    <t>Gregor</t>
  </si>
  <si>
    <t>BSC Highroller Rosenheim</t>
  </si>
  <si>
    <t>BSC Highroller Rosenheim e.V.</t>
  </si>
  <si>
    <t>HRR</t>
  </si>
  <si>
    <t>D 048020</t>
  </si>
  <si>
    <t>Auer</t>
  </si>
  <si>
    <t>Cornelia</t>
  </si>
  <si>
    <t>D 019395</t>
  </si>
  <si>
    <t>von</t>
  </si>
  <si>
    <t>Ernst</t>
  </si>
  <si>
    <t>D 048269</t>
  </si>
  <si>
    <t>Demmel</t>
  </si>
  <si>
    <t>Michaela</t>
  </si>
  <si>
    <t>D 023703</t>
  </si>
  <si>
    <t>Goldbrich</t>
  </si>
  <si>
    <t>Korbinian</t>
  </si>
  <si>
    <t>D 079812</t>
  </si>
  <si>
    <t>Jilski</t>
  </si>
  <si>
    <t>Akata</t>
  </si>
  <si>
    <t>D 116618</t>
  </si>
  <si>
    <t>Kabel</t>
  </si>
  <si>
    <t>D 128367</t>
  </si>
  <si>
    <t>Kalkschmied</t>
  </si>
  <si>
    <t>D 052747</t>
  </si>
  <si>
    <t>Kasenbacher</t>
  </si>
  <si>
    <t>D 136777</t>
  </si>
  <si>
    <t>Kostic</t>
  </si>
  <si>
    <t>Sascha</t>
  </si>
  <si>
    <t>Lehmann</t>
  </si>
  <si>
    <t>Torsten</t>
  </si>
  <si>
    <t>D 048019</t>
  </si>
  <si>
    <t>Lengen</t>
  </si>
  <si>
    <t>van</t>
  </si>
  <si>
    <t>D 118550</t>
  </si>
  <si>
    <t>Silke</t>
  </si>
  <si>
    <t>Jugend B w</t>
  </si>
  <si>
    <t>D 142749</t>
  </si>
  <si>
    <t>Lindner</t>
  </si>
  <si>
    <t>Theresa</t>
  </si>
  <si>
    <t>D 029385</t>
  </si>
  <si>
    <t>Mächler</t>
  </si>
  <si>
    <t>D 120997</t>
  </si>
  <si>
    <t>D 146881</t>
  </si>
  <si>
    <t>Neumann</t>
  </si>
  <si>
    <t>Alex</t>
  </si>
  <si>
    <t>D 141730</t>
  </si>
  <si>
    <t>Ramic</t>
  </si>
  <si>
    <t>Almir</t>
  </si>
  <si>
    <t>D 145745</t>
  </si>
  <si>
    <t>Sabina</t>
  </si>
  <si>
    <t>D 116620</t>
  </si>
  <si>
    <t>Reisenbichler</t>
  </si>
  <si>
    <t>D 116621</t>
  </si>
  <si>
    <t>Sanderlin</t>
  </si>
  <si>
    <t>D 116622</t>
  </si>
  <si>
    <t>Schanze</t>
  </si>
  <si>
    <t>D 035952</t>
  </si>
  <si>
    <t>Schwarz</t>
  </si>
  <si>
    <t>D 115850</t>
  </si>
  <si>
    <t>Tos</t>
  </si>
  <si>
    <t>D 119972</t>
  </si>
  <si>
    <t>Wimmer</t>
  </si>
  <si>
    <t>D 087303</t>
  </si>
  <si>
    <t>Barwig-Luu</t>
  </si>
  <si>
    <t>Phuoc</t>
  </si>
  <si>
    <t>BC Eintracht Lauf</t>
  </si>
  <si>
    <t>D 111842</t>
  </si>
  <si>
    <t>Chambless</t>
  </si>
  <si>
    <t>Fourkiotis</t>
  </si>
  <si>
    <t>Asterios</t>
  </si>
  <si>
    <t>Jonas</t>
  </si>
  <si>
    <t>D 036146</t>
  </si>
  <si>
    <t>Hirschl</t>
  </si>
  <si>
    <t>Hoffmann</t>
  </si>
  <si>
    <t>D 036143</t>
  </si>
  <si>
    <t>Hoyer</t>
  </si>
  <si>
    <t>Köhn</t>
  </si>
  <si>
    <t>Körner</t>
  </si>
  <si>
    <t>Kraut</t>
  </si>
  <si>
    <t>D 111846</t>
  </si>
  <si>
    <t>Lehmeier</t>
  </si>
  <si>
    <t>D 153874</t>
  </si>
  <si>
    <t>Lucic</t>
  </si>
  <si>
    <t>Mirko</t>
  </si>
  <si>
    <t>D 111847</t>
  </si>
  <si>
    <t>Matejat</t>
  </si>
  <si>
    <t>D 111848</t>
  </si>
  <si>
    <t>D 148819</t>
  </si>
  <si>
    <t>Niebisch</t>
  </si>
  <si>
    <t>D 148809</t>
  </si>
  <si>
    <t>Rumi</t>
  </si>
  <si>
    <t>Christoph</t>
  </si>
  <si>
    <t>D 146896</t>
  </si>
  <si>
    <t>Stoll</t>
  </si>
  <si>
    <t>Stephan</t>
  </si>
  <si>
    <t>D 139274</t>
  </si>
  <si>
    <t>Tontsch</t>
  </si>
  <si>
    <t>Heiko</t>
  </si>
  <si>
    <t>D 111808</t>
  </si>
  <si>
    <t>Wickles</t>
  </si>
  <si>
    <t>Pascal</t>
  </si>
  <si>
    <t>D 148776</t>
  </si>
  <si>
    <t>Zankel</t>
  </si>
  <si>
    <t>D 148775</t>
  </si>
  <si>
    <t>Zink</t>
  </si>
  <si>
    <t>Fabian</t>
  </si>
  <si>
    <t>D 148774</t>
  </si>
  <si>
    <t>Zyder</t>
  </si>
  <si>
    <t>D 145594</t>
  </si>
  <si>
    <t>Augsdörfer</t>
  </si>
  <si>
    <t>BC Phönix 03 Lauf</t>
  </si>
  <si>
    <t>Birgit</t>
  </si>
  <si>
    <t>D 063005</t>
  </si>
  <si>
    <t>Brunner</t>
  </si>
  <si>
    <t>D 135195</t>
  </si>
  <si>
    <t>Hilmar</t>
  </si>
  <si>
    <t>D 128197</t>
  </si>
  <si>
    <t>Engelhardt</t>
  </si>
  <si>
    <t>D 139272</t>
  </si>
  <si>
    <t>Marika</t>
  </si>
  <si>
    <t>D 019446</t>
  </si>
  <si>
    <t>Grom-Ruffershöfer</t>
  </si>
  <si>
    <t>Ilse</t>
  </si>
  <si>
    <t>D 146893</t>
  </si>
  <si>
    <t>Iosbaker</t>
  </si>
  <si>
    <t>Douglas</t>
  </si>
  <si>
    <t>D 136797</t>
  </si>
  <si>
    <t>Keck</t>
  </si>
  <si>
    <t>D 111815</t>
  </si>
  <si>
    <t>Kleim</t>
  </si>
  <si>
    <t>Helga</t>
  </si>
  <si>
    <t>D 111816</t>
  </si>
  <si>
    <t>D 146920</t>
  </si>
  <si>
    <t>Kopp</t>
  </si>
  <si>
    <t>D 146923</t>
  </si>
  <si>
    <t>D 062983</t>
  </si>
  <si>
    <t>Pukowski</t>
  </si>
  <si>
    <t>D 111814</t>
  </si>
  <si>
    <t>Reichel</t>
  </si>
  <si>
    <t>Christina</t>
  </si>
  <si>
    <t>D 111818</t>
  </si>
  <si>
    <t>D 019447</t>
  </si>
  <si>
    <t>Ruffershöfer</t>
  </si>
  <si>
    <t>D 148777</t>
  </si>
  <si>
    <t>Rupprecht</t>
  </si>
  <si>
    <t>D 145636</t>
  </si>
  <si>
    <t>Schlegl</t>
  </si>
  <si>
    <t>Schuster</t>
  </si>
  <si>
    <t>D 111811</t>
  </si>
  <si>
    <t>Else</t>
  </si>
  <si>
    <t>D 136756</t>
  </si>
  <si>
    <t>Völker</t>
  </si>
  <si>
    <t>D 136298</t>
  </si>
  <si>
    <t>Vollmer</t>
  </si>
  <si>
    <t>D 139235</t>
  </si>
  <si>
    <t>Zehendner</t>
  </si>
  <si>
    <t>Simon</t>
  </si>
  <si>
    <t>BC Räumkommando Lauf</t>
  </si>
  <si>
    <t>Kowalenko</t>
  </si>
  <si>
    <t>Marziniak</t>
  </si>
  <si>
    <t>Roy</t>
  </si>
  <si>
    <t>D 131748</t>
  </si>
  <si>
    <t>Pirrotti</t>
  </si>
  <si>
    <t>Franco Daniele</t>
  </si>
  <si>
    <t>D 118016</t>
  </si>
  <si>
    <t>Schünemann</t>
  </si>
  <si>
    <t>Carsten</t>
  </si>
  <si>
    <t>D 070546</t>
  </si>
  <si>
    <t>Hueber</t>
  </si>
  <si>
    <t>D 145748</t>
  </si>
  <si>
    <t>Reng</t>
  </si>
  <si>
    <t>Verena</t>
  </si>
  <si>
    <t>Albert</t>
  </si>
  <si>
    <t>Gärtner</t>
  </si>
  <si>
    <t>Lechbowler Augsburg</t>
  </si>
  <si>
    <t>D 120975</t>
  </si>
  <si>
    <t>D 016463</t>
  </si>
  <si>
    <t>Danzer</t>
  </si>
  <si>
    <t>Andrea</t>
  </si>
  <si>
    <t>D 016464</t>
  </si>
  <si>
    <t>D 046330</t>
  </si>
  <si>
    <t>Eggl</t>
  </si>
  <si>
    <t>D 063186</t>
  </si>
  <si>
    <t>D 111953</t>
  </si>
  <si>
    <t>Hedewig</t>
  </si>
  <si>
    <t>D 120980</t>
  </si>
  <si>
    <t>D 148788</t>
  </si>
  <si>
    <t>Hess</t>
  </si>
  <si>
    <t>D 120981</t>
  </si>
  <si>
    <t>Simone</t>
  </si>
  <si>
    <t>D 105496</t>
  </si>
  <si>
    <t>Kicker-Mihatsch</t>
  </si>
  <si>
    <t>Elvira</t>
  </si>
  <si>
    <t>D 148787</t>
  </si>
  <si>
    <t>Brandon Alexander</t>
  </si>
  <si>
    <t>D 120984</t>
  </si>
  <si>
    <t>Mihatsch</t>
  </si>
  <si>
    <t>D 146916</t>
  </si>
  <si>
    <t>Angelika</t>
  </si>
  <si>
    <t>D 120986</t>
  </si>
  <si>
    <t>Owens</t>
  </si>
  <si>
    <t>Fredric</t>
  </si>
  <si>
    <t>D 120987</t>
  </si>
  <si>
    <t>Purschke</t>
  </si>
  <si>
    <t>D 120988</t>
  </si>
  <si>
    <t>Röhrle</t>
  </si>
  <si>
    <t>D 029344</t>
  </si>
  <si>
    <t>Ewald</t>
  </si>
  <si>
    <t>D 120991</t>
  </si>
  <si>
    <t>Sfamurri</t>
  </si>
  <si>
    <t>Peppino</t>
  </si>
  <si>
    <t>D 146941</t>
  </si>
  <si>
    <t>Ulber</t>
  </si>
  <si>
    <t>D 146931</t>
  </si>
  <si>
    <t>Johannes</t>
  </si>
  <si>
    <t>D 116737</t>
  </si>
  <si>
    <t>Walz</t>
  </si>
  <si>
    <t>Benedikt</t>
  </si>
  <si>
    <t>D 120978</t>
  </si>
  <si>
    <t>Faßold</t>
  </si>
  <si>
    <t>Ruth</t>
  </si>
  <si>
    <t>D 129522</t>
  </si>
  <si>
    <t>Lilge</t>
  </si>
  <si>
    <t>D 120985</t>
  </si>
  <si>
    <t>Obeth</t>
  </si>
  <si>
    <t>Gudrun</t>
  </si>
  <si>
    <t>D 145559</t>
  </si>
  <si>
    <t>Sittner</t>
  </si>
  <si>
    <t>D 136420</t>
  </si>
  <si>
    <t>Bauhofer</t>
  </si>
  <si>
    <t>BC Berchtesgaden</t>
  </si>
  <si>
    <t>BSV Berchtesgaden</t>
  </si>
  <si>
    <t>BGD</t>
  </si>
  <si>
    <t>D 145518</t>
  </si>
  <si>
    <t>Egger</t>
  </si>
  <si>
    <t>D 153876</t>
  </si>
  <si>
    <t>Forstner</t>
  </si>
  <si>
    <t>D 139102</t>
  </si>
  <si>
    <t>Gruber</t>
  </si>
  <si>
    <t>Gschossmann</t>
  </si>
  <si>
    <t>D 136414</t>
  </si>
  <si>
    <t>Hedrich</t>
  </si>
  <si>
    <t>D 136381</t>
  </si>
  <si>
    <t>Hölzl</t>
  </si>
  <si>
    <t>D 136416</t>
  </si>
  <si>
    <t>Kortenacker</t>
  </si>
  <si>
    <t>Hans-Jürgen</t>
  </si>
  <si>
    <t>D 136689</t>
  </si>
  <si>
    <t>Philipp Wolfgang</t>
  </si>
  <si>
    <t>D 136415</t>
  </si>
  <si>
    <t>Lämmermeyer</t>
  </si>
  <si>
    <t>Walter</t>
  </si>
  <si>
    <t>D 129354</t>
  </si>
  <si>
    <t>Millonig</t>
  </si>
  <si>
    <t>Lukas</t>
  </si>
  <si>
    <t>D 146868</t>
  </si>
  <si>
    <t>Puritscher</t>
  </si>
  <si>
    <t>D 136694</t>
  </si>
  <si>
    <t>Weidensee</t>
  </si>
  <si>
    <t>Moritz</t>
  </si>
  <si>
    <t>D 112107</t>
  </si>
  <si>
    <t>BC Großlangheim</t>
  </si>
  <si>
    <t>D 136489</t>
  </si>
  <si>
    <t>D 112102</t>
  </si>
  <si>
    <t>Erbar</t>
  </si>
  <si>
    <t>D 112103</t>
  </si>
  <si>
    <t>Hinnerkopf</t>
  </si>
  <si>
    <t>D 112108</t>
  </si>
  <si>
    <t>Knorz</t>
  </si>
  <si>
    <t>Erwin</t>
  </si>
  <si>
    <t>D 148831</t>
  </si>
  <si>
    <t>Puchert</t>
  </si>
  <si>
    <t>D 112104</t>
  </si>
  <si>
    <t>Reißmann</t>
  </si>
  <si>
    <t>D 112113</t>
  </si>
  <si>
    <t>D 112110</t>
  </si>
  <si>
    <t>Reinhold</t>
  </si>
  <si>
    <t>D 112105</t>
  </si>
  <si>
    <t>Uebelacker</t>
  </si>
  <si>
    <t>D 112609</t>
  </si>
  <si>
    <t>Baier</t>
  </si>
  <si>
    <t>BC Franken Kitzingen</t>
  </si>
  <si>
    <t>KIZ</t>
  </si>
  <si>
    <t>Fink</t>
  </si>
  <si>
    <t>Hermann</t>
  </si>
  <si>
    <t>D 079758</t>
  </si>
  <si>
    <t>Wilhelm</t>
  </si>
  <si>
    <t>Hering</t>
  </si>
  <si>
    <t>Hille</t>
  </si>
  <si>
    <t>Berthold</t>
  </si>
  <si>
    <t>Pelicione</t>
  </si>
  <si>
    <t>D 144602</t>
  </si>
  <si>
    <t>Rothenhöfer</t>
  </si>
  <si>
    <t>Scheller</t>
  </si>
  <si>
    <t>D 112613</t>
  </si>
  <si>
    <t>Schütz</t>
  </si>
  <si>
    <t>D 145458</t>
  </si>
  <si>
    <t>Wigand</t>
  </si>
  <si>
    <t>Will</t>
  </si>
  <si>
    <t>D 040784</t>
  </si>
  <si>
    <t>Aumeier</t>
  </si>
  <si>
    <t>BC Castra Regina Regensburg</t>
  </si>
  <si>
    <t>BV 68 Regensburg</t>
  </si>
  <si>
    <t>REG</t>
  </si>
  <si>
    <t>Bess</t>
  </si>
  <si>
    <t>D 136885</t>
  </si>
  <si>
    <t>D 112183</t>
  </si>
  <si>
    <t>Graml</t>
  </si>
  <si>
    <t>D 128196</t>
  </si>
  <si>
    <t>Humbs</t>
  </si>
  <si>
    <t>D 129349</t>
  </si>
  <si>
    <t>Jahre</t>
  </si>
  <si>
    <t>D 112185</t>
  </si>
  <si>
    <t>Kauscher</t>
  </si>
  <si>
    <t>D 112180</t>
  </si>
  <si>
    <t>Mühlbauer</t>
  </si>
  <si>
    <t>D 112182</t>
  </si>
  <si>
    <t>Schmid</t>
  </si>
  <si>
    <t>D 112179</t>
  </si>
  <si>
    <t>Schnaitter</t>
  </si>
  <si>
    <t>D 112942</t>
  </si>
  <si>
    <t>Schönhärl</t>
  </si>
  <si>
    <t>D 146878</t>
  </si>
  <si>
    <t>Steven</t>
  </si>
  <si>
    <t>D 112181</t>
  </si>
  <si>
    <t>Stibel</t>
  </si>
  <si>
    <t>Blasius</t>
  </si>
  <si>
    <t>D 129120</t>
  </si>
  <si>
    <t>Walzer</t>
  </si>
  <si>
    <t>D 135374</t>
  </si>
  <si>
    <t>D 125207</t>
  </si>
  <si>
    <t>Feller</t>
  </si>
  <si>
    <t>BC Donau - Bowler</t>
  </si>
  <si>
    <t>D 141666</t>
  </si>
  <si>
    <t>Gfesser</t>
  </si>
  <si>
    <t>Josef</t>
  </si>
  <si>
    <t>D 141667</t>
  </si>
  <si>
    <t>Hartfeil</t>
  </si>
  <si>
    <t>Volkmar</t>
  </si>
  <si>
    <t>D 099178</t>
  </si>
  <si>
    <t>D 046682</t>
  </si>
  <si>
    <t>Hürdler</t>
  </si>
  <si>
    <t>D 109468</t>
  </si>
  <si>
    <t>Luu</t>
  </si>
  <si>
    <t>Vinh Duc</t>
  </si>
  <si>
    <t>D 029158</t>
  </si>
  <si>
    <t>Moore</t>
  </si>
  <si>
    <t>D 139358</t>
  </si>
  <si>
    <t>Roth</t>
  </si>
  <si>
    <t>Ernest</t>
  </si>
  <si>
    <t>D 111779</t>
  </si>
  <si>
    <t>D 091245</t>
  </si>
  <si>
    <t>Steger</t>
  </si>
  <si>
    <t>Gerald</t>
  </si>
  <si>
    <t>D 105740</t>
  </si>
  <si>
    <t>Winecki</t>
  </si>
  <si>
    <t>D 135364</t>
  </si>
  <si>
    <t>BC Praetoria</t>
  </si>
  <si>
    <t>D 059949</t>
  </si>
  <si>
    <t>Sabrina</t>
  </si>
  <si>
    <t>D 111819</t>
  </si>
  <si>
    <t>Regina</t>
  </si>
  <si>
    <t>D 059869</t>
  </si>
  <si>
    <t>Wölki</t>
  </si>
  <si>
    <t>Elisabeth</t>
  </si>
  <si>
    <t>D 109445</t>
  </si>
  <si>
    <t>Zahner</t>
  </si>
  <si>
    <t>D 145709</t>
  </si>
  <si>
    <t>Hinterwimmer</t>
  </si>
  <si>
    <t>D 125939</t>
  </si>
  <si>
    <t>Czech</t>
  </si>
  <si>
    <t>Franziska</t>
  </si>
  <si>
    <t>Lucky Striker Regensburg</t>
  </si>
  <si>
    <t>D 059900</t>
  </si>
  <si>
    <t>Sabine</t>
  </si>
  <si>
    <t>D 132728</t>
  </si>
  <si>
    <t>Pia</t>
  </si>
  <si>
    <t>Saskia</t>
  </si>
  <si>
    <t>D 131722</t>
  </si>
  <si>
    <t>Laub</t>
  </si>
  <si>
    <t>D 057258</t>
  </si>
  <si>
    <t>Ogriseck</t>
  </si>
  <si>
    <t>Michèlle</t>
  </si>
  <si>
    <t>D 099230</t>
  </si>
  <si>
    <t>Theissen</t>
  </si>
  <si>
    <t>Jugend A w</t>
  </si>
  <si>
    <t>Ratisbona</t>
  </si>
  <si>
    <t>D 112186</t>
  </si>
  <si>
    <t>Baszler</t>
  </si>
  <si>
    <t>D 070552</t>
  </si>
  <si>
    <t>Bothe</t>
  </si>
  <si>
    <t>D 146877</t>
  </si>
  <si>
    <t>D 146915</t>
  </si>
  <si>
    <t>Freudl</t>
  </si>
  <si>
    <t>D 070544</t>
  </si>
  <si>
    <t>Siegfried</t>
  </si>
  <si>
    <t>D 132283</t>
  </si>
  <si>
    <t>D 011005</t>
  </si>
  <si>
    <t>Nietsch</t>
  </si>
  <si>
    <t>D 129059</t>
  </si>
  <si>
    <t>Radecker</t>
  </si>
  <si>
    <t>D 140498</t>
  </si>
  <si>
    <t>D 126469</t>
  </si>
  <si>
    <t>Jan</t>
  </si>
  <si>
    <t>Söllner</t>
  </si>
  <si>
    <t>D 112192</t>
  </si>
  <si>
    <t>D 111820</t>
  </si>
  <si>
    <t>D 087201</t>
  </si>
  <si>
    <t>Stangl</t>
  </si>
  <si>
    <t>D 140496</t>
  </si>
  <si>
    <t>D 046456</t>
  </si>
  <si>
    <t>D 112054</t>
  </si>
  <si>
    <t>Barthel</t>
  </si>
  <si>
    <t>Theo</t>
  </si>
  <si>
    <t>BSC Schweinfurt-Ettleben</t>
  </si>
  <si>
    <t>BV Schweinfurt 1974 e.V.</t>
  </si>
  <si>
    <t>SWE</t>
  </si>
  <si>
    <t>D 112055</t>
  </si>
  <si>
    <t>Brysch</t>
  </si>
  <si>
    <t>Bodo</t>
  </si>
  <si>
    <t>D 142928</t>
  </si>
  <si>
    <t>Enderes</t>
  </si>
  <si>
    <t>D 148817</t>
  </si>
  <si>
    <t>Kapustin</t>
  </si>
  <si>
    <t>Sergii</t>
  </si>
  <si>
    <t>D 142930</t>
  </si>
  <si>
    <t>Kunanz</t>
  </si>
  <si>
    <t>D 142932</t>
  </si>
  <si>
    <t>Neinhardt</t>
  </si>
  <si>
    <t>D 112058</t>
  </si>
  <si>
    <t>Preston</t>
  </si>
  <si>
    <t>Lee</t>
  </si>
  <si>
    <t>D 112059</t>
  </si>
  <si>
    <t>Riethmann</t>
  </si>
  <si>
    <t>Karlheinz</t>
  </si>
  <si>
    <t>D 112060</t>
  </si>
  <si>
    <t>D 146902</t>
  </si>
  <si>
    <t>Wolfschmidt</t>
  </si>
  <si>
    <t>BC Bavaria</t>
  </si>
  <si>
    <t>BV Unterföhring e.V.</t>
  </si>
  <si>
    <t>BVU</t>
  </si>
  <si>
    <t>D 066128</t>
  </si>
  <si>
    <t>D 033923</t>
  </si>
  <si>
    <t>D 016252</t>
  </si>
  <si>
    <t>Kai</t>
  </si>
  <si>
    <t>Gerzoskovitz</t>
  </si>
  <si>
    <t>D 034033</t>
  </si>
  <si>
    <t>Hantschel</t>
  </si>
  <si>
    <t>D 141792</t>
  </si>
  <si>
    <t>D 129566</t>
  </si>
  <si>
    <t>Hauck</t>
  </si>
  <si>
    <t>D 142881</t>
  </si>
  <si>
    <t>D 006289</t>
  </si>
  <si>
    <t>Knöbl</t>
  </si>
  <si>
    <t>Köpf</t>
  </si>
  <si>
    <t>D 047990</t>
  </si>
  <si>
    <t>Kraus</t>
  </si>
  <si>
    <t>D 116641</t>
  </si>
  <si>
    <t>Lederle</t>
  </si>
  <si>
    <t>D 119970</t>
  </si>
  <si>
    <t>Radtke</t>
  </si>
  <si>
    <t>D 035978</t>
  </si>
  <si>
    <t>Schindlböck</t>
  </si>
  <si>
    <t>Siener</t>
  </si>
  <si>
    <t>D 113514</t>
  </si>
  <si>
    <t>Städt</t>
  </si>
  <si>
    <t>D 115842</t>
  </si>
  <si>
    <t>Walch</t>
  </si>
  <si>
    <t>D 115846</t>
  </si>
  <si>
    <t>Ulrich</t>
  </si>
  <si>
    <t>BC EMAX</t>
  </si>
  <si>
    <t>D 070707</t>
  </si>
  <si>
    <t>Blasits</t>
  </si>
  <si>
    <t>D 109462</t>
  </si>
  <si>
    <t>Denz</t>
  </si>
  <si>
    <t>Günter</t>
  </si>
  <si>
    <t>D 139329</t>
  </si>
  <si>
    <t>Fliegner</t>
  </si>
  <si>
    <t>D 146945</t>
  </si>
  <si>
    <t>Groll</t>
  </si>
  <si>
    <t>D 145624</t>
  </si>
  <si>
    <t>Hergenröder</t>
  </si>
  <si>
    <t>D 145625</t>
  </si>
  <si>
    <t>Hofbauer</t>
  </si>
  <si>
    <t>D 148815</t>
  </si>
  <si>
    <t>Hübinger</t>
  </si>
  <si>
    <t>Jerome</t>
  </si>
  <si>
    <t>D 121527</t>
  </si>
  <si>
    <t>Kaut</t>
  </si>
  <si>
    <t>D 099227</t>
  </si>
  <si>
    <t>Koller</t>
  </si>
  <si>
    <t>D 033391</t>
  </si>
  <si>
    <t>Kroll</t>
  </si>
  <si>
    <t>Lüdicke</t>
  </si>
  <si>
    <t>Mrosek</t>
  </si>
  <si>
    <t>D 042454</t>
  </si>
  <si>
    <t>Musiol</t>
  </si>
  <si>
    <t>Naumann</t>
  </si>
  <si>
    <t>Probst</t>
  </si>
  <si>
    <t>D 114233</t>
  </si>
  <si>
    <t>Rohland</t>
  </si>
  <si>
    <t>D 136469</t>
  </si>
  <si>
    <t>Rusev</t>
  </si>
  <si>
    <t>Pavel</t>
  </si>
  <si>
    <t>D 139266</t>
  </si>
  <si>
    <t>Steen</t>
  </si>
  <si>
    <t>D 060591</t>
  </si>
  <si>
    <t>Ulsamer jun.</t>
  </si>
  <si>
    <t>Clemens</t>
  </si>
  <si>
    <t>D 112619</t>
  </si>
  <si>
    <t>Waigel</t>
  </si>
  <si>
    <t>D 050130</t>
  </si>
  <si>
    <t>Wegenast</t>
  </si>
  <si>
    <t>D 091298</t>
  </si>
  <si>
    <t>Wiedemann</t>
  </si>
  <si>
    <t>Bianca</t>
  </si>
  <si>
    <t>D 112621</t>
  </si>
  <si>
    <t>D 091077</t>
  </si>
  <si>
    <t>D 112622</t>
  </si>
  <si>
    <t>Wiedl</t>
  </si>
  <si>
    <t>Beate</t>
  </si>
  <si>
    <t>BF Weiß-Blau</t>
  </si>
  <si>
    <t>D 115598</t>
  </si>
  <si>
    <t>Dornacher</t>
  </si>
  <si>
    <t>Hannelore</t>
  </si>
  <si>
    <t>D 139270</t>
  </si>
  <si>
    <t>Fröhlich</t>
  </si>
  <si>
    <t>D 109429</t>
  </si>
  <si>
    <t>Hessling</t>
  </si>
  <si>
    <t>Heide</t>
  </si>
  <si>
    <t>D 114528</t>
  </si>
  <si>
    <t>Hübsch</t>
  </si>
  <si>
    <t>Steffi</t>
  </si>
  <si>
    <t>Lechner</t>
  </si>
  <si>
    <t>Manuela</t>
  </si>
  <si>
    <t>Mc Fadden</t>
  </si>
  <si>
    <t>Brigitte</t>
  </si>
  <si>
    <t>D 029221</t>
  </si>
  <si>
    <t>Reinhardt</t>
  </si>
  <si>
    <t>Ann-Katrin</t>
  </si>
  <si>
    <t>Heidi</t>
  </si>
  <si>
    <t>Weninger</t>
  </si>
  <si>
    <t>Diana</t>
  </si>
  <si>
    <t>Zehner</t>
  </si>
  <si>
    <t>D 079703</t>
  </si>
  <si>
    <t>Hanni</t>
  </si>
  <si>
    <t>Bauer</t>
  </si>
  <si>
    <t>SW 77 Würzburg</t>
  </si>
  <si>
    <t>D 112197</t>
  </si>
  <si>
    <t>Flika</t>
  </si>
  <si>
    <t>Gürz</t>
  </si>
  <si>
    <t>D 112198</t>
  </si>
  <si>
    <t>Haus</t>
  </si>
  <si>
    <t>D 128262</t>
  </si>
  <si>
    <t>Bulla</t>
  </si>
  <si>
    <t>Adriano</t>
  </si>
  <si>
    <t>BC Werdenfels</t>
  </si>
  <si>
    <t>Garmisch Partenkirchen</t>
  </si>
  <si>
    <t>GAP</t>
  </si>
  <si>
    <t>D 124808</t>
  </si>
  <si>
    <t>Dalibor</t>
  </si>
  <si>
    <t>D 131787</t>
  </si>
  <si>
    <t>Engelbach</t>
  </si>
  <si>
    <t>Patric</t>
  </si>
  <si>
    <t>D 129145</t>
  </si>
  <si>
    <t>Hartl</t>
  </si>
  <si>
    <t>Hellmich</t>
  </si>
  <si>
    <t>D 124805</t>
  </si>
  <si>
    <t>Kral</t>
  </si>
  <si>
    <t>D 144578</t>
  </si>
  <si>
    <t>Kilian</t>
  </si>
  <si>
    <t>D 107390</t>
  </si>
  <si>
    <t>Sylvia</t>
  </si>
  <si>
    <t>D 136486</t>
  </si>
  <si>
    <t>Mosig</t>
  </si>
  <si>
    <t>D 128259</t>
  </si>
  <si>
    <t>Nägele</t>
  </si>
  <si>
    <t>Prem</t>
  </si>
  <si>
    <t>Preu</t>
  </si>
  <si>
    <t>Rauchenzauner</t>
  </si>
  <si>
    <t>D 136654</t>
  </si>
  <si>
    <t>Ring</t>
  </si>
  <si>
    <t>D 153865</t>
  </si>
  <si>
    <t>Schmautz</t>
  </si>
  <si>
    <t>D 153864</t>
  </si>
  <si>
    <t>Schretter</t>
  </si>
  <si>
    <t>D 129144</t>
  </si>
  <si>
    <t>Steinberger</t>
  </si>
  <si>
    <t>Thier</t>
  </si>
  <si>
    <t>D 145491</t>
  </si>
  <si>
    <t>Uhl</t>
  </si>
  <si>
    <t>BC LA Bowling</t>
  </si>
  <si>
    <t>LA Bowling e.V.</t>
  </si>
  <si>
    <t>LAB</t>
  </si>
  <si>
    <t>D 145650</t>
  </si>
  <si>
    <t>D 111373</t>
  </si>
  <si>
    <t>Heiß</t>
  </si>
  <si>
    <t>Jakobi</t>
  </si>
  <si>
    <t>D 019248</t>
  </si>
  <si>
    <t>Kirschke</t>
  </si>
  <si>
    <t>D 136287</t>
  </si>
  <si>
    <t>D 146921</t>
  </si>
  <si>
    <t>Koch</t>
  </si>
  <si>
    <t>Kuchling</t>
  </si>
  <si>
    <t>D 116730</t>
  </si>
  <si>
    <t>D 124812</t>
  </si>
  <si>
    <t>D 148808</t>
  </si>
  <si>
    <t>Loch</t>
  </si>
  <si>
    <t>Kim</t>
  </si>
  <si>
    <t>D 099314</t>
  </si>
  <si>
    <t>Mielke</t>
  </si>
  <si>
    <t>D 115843</t>
  </si>
  <si>
    <t>D 138288</t>
  </si>
  <si>
    <t>Thellmann</t>
  </si>
  <si>
    <t>Bettina</t>
  </si>
  <si>
    <t>D 148778</t>
  </si>
  <si>
    <t>Wunder</t>
  </si>
  <si>
    <t>D 148807</t>
  </si>
  <si>
    <t>Zettler</t>
  </si>
  <si>
    <t>Edda</t>
  </si>
  <si>
    <t>D 116624</t>
  </si>
  <si>
    <t>Albrecht</t>
  </si>
  <si>
    <t>1. BSC Active Bowler Brunnthal</t>
  </si>
  <si>
    <t>Münchner Kegler-Verein e.V.</t>
  </si>
  <si>
    <t>D 146900</t>
  </si>
  <si>
    <t>D 111433</t>
  </si>
  <si>
    <t>Axmann</t>
  </si>
  <si>
    <t>D 139233</t>
  </si>
  <si>
    <t>Dietrich-Spankau</t>
  </si>
  <si>
    <t>Grünes</t>
  </si>
  <si>
    <t>D 111954</t>
  </si>
  <si>
    <t>Heidler</t>
  </si>
  <si>
    <t>D 117986</t>
  </si>
  <si>
    <t>Hockenjos</t>
  </si>
  <si>
    <t>Antje</t>
  </si>
  <si>
    <t>D 117985</t>
  </si>
  <si>
    <t>D 146924</t>
  </si>
  <si>
    <t>Jentsch</t>
  </si>
  <si>
    <t>Judith</t>
  </si>
  <si>
    <t>D 145613</t>
  </si>
  <si>
    <t>Marc</t>
  </si>
  <si>
    <t>D 139373</t>
  </si>
  <si>
    <t>Pflüger</t>
  </si>
  <si>
    <t>Karl-Heinz</t>
  </si>
  <si>
    <t>Reißner</t>
  </si>
  <si>
    <t>D 144645</t>
  </si>
  <si>
    <t>Reß</t>
  </si>
  <si>
    <t>D 116642</t>
  </si>
  <si>
    <t>Schachtner</t>
  </si>
  <si>
    <t>D 116643</t>
  </si>
  <si>
    <t>D 118664</t>
  </si>
  <si>
    <t>D 139234</t>
  </si>
  <si>
    <t>Spies</t>
  </si>
  <si>
    <t>D 146897</t>
  </si>
  <si>
    <t>Steub</t>
  </si>
  <si>
    <t>D 145415</t>
  </si>
  <si>
    <t>Thurner</t>
  </si>
  <si>
    <t>Beyer</t>
  </si>
  <si>
    <t>D 146889</t>
  </si>
  <si>
    <t>Heymann</t>
  </si>
  <si>
    <t>Sylvana</t>
  </si>
  <si>
    <t>D 146886</t>
  </si>
  <si>
    <t>D 148792</t>
  </si>
  <si>
    <t>Luft</t>
  </si>
  <si>
    <t>Carlo</t>
  </si>
  <si>
    <t>D 146887</t>
  </si>
  <si>
    <t>Mattutat</t>
  </si>
  <si>
    <t>D 146929</t>
  </si>
  <si>
    <t>D 148771</t>
  </si>
  <si>
    <t>Rutzmoser</t>
  </si>
  <si>
    <t>Angela</t>
  </si>
  <si>
    <t>Schulz</t>
  </si>
  <si>
    <t>Linus</t>
  </si>
  <si>
    <t>D 052752</t>
  </si>
  <si>
    <t>Balog</t>
  </si>
  <si>
    <t>BC Bajuwaren 1976 München</t>
  </si>
  <si>
    <t>D 118651</t>
  </si>
  <si>
    <t>Dieckow</t>
  </si>
  <si>
    <t>D 033917</t>
  </si>
  <si>
    <t>Gille</t>
  </si>
  <si>
    <t>D 029383</t>
  </si>
  <si>
    <t>Glasl</t>
  </si>
  <si>
    <t>Glasl jun.</t>
  </si>
  <si>
    <t>D 118652</t>
  </si>
  <si>
    <t>Glasl sen.</t>
  </si>
  <si>
    <t>D 109342</t>
  </si>
  <si>
    <t>Natalie</t>
  </si>
  <si>
    <t>D 099128</t>
  </si>
  <si>
    <t>Kühn</t>
  </si>
  <si>
    <t>D 111436</t>
  </si>
  <si>
    <t>Lüthje</t>
  </si>
  <si>
    <t>D 118656</t>
  </si>
  <si>
    <t>Volker</t>
  </si>
  <si>
    <t>D 118657</t>
  </si>
  <si>
    <t>Mundhenk</t>
  </si>
  <si>
    <t>D 118658</t>
  </si>
  <si>
    <t>Thi Kim Phuong</t>
  </si>
  <si>
    <t>D 118661</t>
  </si>
  <si>
    <t>D 132386</t>
  </si>
  <si>
    <t>Schröder</t>
  </si>
  <si>
    <t>D 128350</t>
  </si>
  <si>
    <t>D 118666</t>
  </si>
  <si>
    <t>Weverberg</t>
  </si>
  <si>
    <t>Johan</t>
  </si>
  <si>
    <t>D 132238</t>
  </si>
  <si>
    <t>Susanne</t>
  </si>
  <si>
    <t>Young</t>
  </si>
  <si>
    <t>D 132189</t>
  </si>
  <si>
    <t>Blättermann</t>
  </si>
  <si>
    <t>BC Cat-Bowl</t>
  </si>
  <si>
    <t>Galuska</t>
  </si>
  <si>
    <t>D 107412</t>
  </si>
  <si>
    <t>D 153872</t>
  </si>
  <si>
    <t>Koutny</t>
  </si>
  <si>
    <t>Robin</t>
  </si>
  <si>
    <t>Küchler</t>
  </si>
  <si>
    <t>D 139200</t>
  </si>
  <si>
    <t>Meiszies</t>
  </si>
  <si>
    <t>Schnurrer</t>
  </si>
  <si>
    <t>D 136820</t>
  </si>
  <si>
    <t>Schrepel-Böhme</t>
  </si>
  <si>
    <t>D 145579</t>
  </si>
  <si>
    <t>Thomsen</t>
  </si>
  <si>
    <t>Kei</t>
  </si>
  <si>
    <t>Weidlich</t>
  </si>
  <si>
    <t>D 117034</t>
  </si>
  <si>
    <t>Bäuml</t>
  </si>
  <si>
    <t>BC E.P.A. München</t>
  </si>
  <si>
    <t>D 042361</t>
  </si>
  <si>
    <t>Vanessa</t>
  </si>
  <si>
    <t>D 117035</t>
  </si>
  <si>
    <t>Bruns</t>
  </si>
  <si>
    <t>D 129146</t>
  </si>
  <si>
    <t>Tom</t>
  </si>
  <si>
    <t>D 016336</t>
  </si>
  <si>
    <t>Geist</t>
  </si>
  <si>
    <t>D 117036</t>
  </si>
  <si>
    <t>Giorgini</t>
  </si>
  <si>
    <t>Giuseppe</t>
  </si>
  <si>
    <t>D 118653</t>
  </si>
  <si>
    <t>Görn</t>
  </si>
  <si>
    <t>Hähnlein</t>
  </si>
  <si>
    <t>D 132135</t>
  </si>
  <si>
    <t>D 129143</t>
  </si>
  <si>
    <t>Michelle</t>
  </si>
  <si>
    <t>Daniela</t>
  </si>
  <si>
    <t>D 128396</t>
  </si>
  <si>
    <t>Hernitschek</t>
  </si>
  <si>
    <t>D 146928</t>
  </si>
  <si>
    <t>D 117037</t>
  </si>
  <si>
    <t>Jäger</t>
  </si>
  <si>
    <t>D 148814</t>
  </si>
  <si>
    <t>D 136173</t>
  </si>
  <si>
    <t>Lieb</t>
  </si>
  <si>
    <t>Oberhauser</t>
  </si>
  <si>
    <t>D 129565</t>
  </si>
  <si>
    <t>Salazar</t>
  </si>
  <si>
    <t>Alberto</t>
  </si>
  <si>
    <t>Schaschl</t>
  </si>
  <si>
    <t>Margit</t>
  </si>
  <si>
    <t>D 124815</t>
  </si>
  <si>
    <t>Carolin</t>
  </si>
  <si>
    <t>D 139232</t>
  </si>
  <si>
    <t>D 129771</t>
  </si>
  <si>
    <t>Steinberg</t>
  </si>
  <si>
    <t>D 146861</t>
  </si>
  <si>
    <t>Treffke</t>
  </si>
  <si>
    <t>D 125221</t>
  </si>
  <si>
    <t>Edeltraud</t>
  </si>
  <si>
    <t>D 146944</t>
  </si>
  <si>
    <t>D 116625</t>
  </si>
  <si>
    <t>Beutner</t>
  </si>
  <si>
    <t>BC Isar München</t>
  </si>
  <si>
    <t>D 118912</t>
  </si>
  <si>
    <t>Hoke</t>
  </si>
  <si>
    <t>Jehmüller</t>
  </si>
  <si>
    <t>D 116626</t>
  </si>
  <si>
    <t>Kathan</t>
  </si>
  <si>
    <t>D 116627</t>
  </si>
  <si>
    <t>Maul</t>
  </si>
  <si>
    <t>D 146859</t>
  </si>
  <si>
    <t>D 116628</t>
  </si>
  <si>
    <t>Pazurek</t>
  </si>
  <si>
    <t>D 131706</t>
  </si>
  <si>
    <t>Schiller</t>
  </si>
  <si>
    <t>Konrad</t>
  </si>
  <si>
    <t>Tilger</t>
  </si>
  <si>
    <t>Ubl</t>
  </si>
  <si>
    <t>D 046705</t>
  </si>
  <si>
    <t>BC Munich Mavericks</t>
  </si>
  <si>
    <t>D 116630</t>
  </si>
  <si>
    <t>Bilan</t>
  </si>
  <si>
    <t>D 124255</t>
  </si>
  <si>
    <t>Jessica</t>
  </si>
  <si>
    <t>D 116631</t>
  </si>
  <si>
    <t>D 116632</t>
  </si>
  <si>
    <t>Böhme</t>
  </si>
  <si>
    <t>Duda</t>
  </si>
  <si>
    <t>D 140291</t>
  </si>
  <si>
    <t>Emmerich</t>
  </si>
  <si>
    <t>D 139204</t>
  </si>
  <si>
    <t>Heumos</t>
  </si>
  <si>
    <t>D 148802</t>
  </si>
  <si>
    <t>Kiening</t>
  </si>
  <si>
    <t>Kornelia</t>
  </si>
  <si>
    <t>D 040401</t>
  </si>
  <si>
    <t>D 136818</t>
  </si>
  <si>
    <t>Klingenmaier</t>
  </si>
  <si>
    <t>D 118038</t>
  </si>
  <si>
    <t>Liepsch</t>
  </si>
  <si>
    <t>D 136720</t>
  </si>
  <si>
    <t>Netter</t>
  </si>
  <si>
    <t>Carlos</t>
  </si>
  <si>
    <t>D 019336</t>
  </si>
  <si>
    <t>Lina</t>
  </si>
  <si>
    <t>D 035977</t>
  </si>
  <si>
    <t>Niedermeier</t>
  </si>
  <si>
    <t>D 118659</t>
  </si>
  <si>
    <t>D 111167</t>
  </si>
  <si>
    <t>Scharl</t>
  </si>
  <si>
    <t>Schramm</t>
  </si>
  <si>
    <t>D 148803</t>
  </si>
  <si>
    <t>Schwabe</t>
  </si>
  <si>
    <t>D 116483</t>
  </si>
  <si>
    <t>Seydel</t>
  </si>
  <si>
    <t>D 117042</t>
  </si>
  <si>
    <t>Tiefenböck</t>
  </si>
  <si>
    <t>Adolf</t>
  </si>
  <si>
    <t>D 117043</t>
  </si>
  <si>
    <t>Martha</t>
  </si>
  <si>
    <t>D 148796</t>
  </si>
  <si>
    <t>Wirtz</t>
  </si>
  <si>
    <t>D 148797</t>
  </si>
  <si>
    <t>Ute</t>
  </si>
  <si>
    <t>D 142757</t>
  </si>
  <si>
    <t>BC Olching '07</t>
  </si>
  <si>
    <t>D 146918</t>
  </si>
  <si>
    <t>Herber</t>
  </si>
  <si>
    <t>D 148790</t>
  </si>
  <si>
    <t>Karner</t>
  </si>
  <si>
    <t>D 070255</t>
  </si>
  <si>
    <t>Kohler</t>
  </si>
  <si>
    <t>D 066190</t>
  </si>
  <si>
    <t>D 132228</t>
  </si>
  <si>
    <t>D 142859</t>
  </si>
  <si>
    <t>Roskowetz</t>
  </si>
  <si>
    <t>D 142860</t>
  </si>
  <si>
    <t>D 048138</t>
  </si>
  <si>
    <t>Scheigenpflug</t>
  </si>
  <si>
    <t>Schießl</t>
  </si>
  <si>
    <t>D 142861</t>
  </si>
  <si>
    <t>D 040403</t>
  </si>
  <si>
    <t>Winklhofer</t>
  </si>
  <si>
    <t>D 117988</t>
  </si>
  <si>
    <t>Winklmeier</t>
  </si>
  <si>
    <t>D 117954</t>
  </si>
  <si>
    <t>Börding</t>
  </si>
  <si>
    <t>BK München</t>
  </si>
  <si>
    <t>D 119964</t>
  </si>
  <si>
    <t>D 148762</t>
  </si>
  <si>
    <t>D 131956</t>
  </si>
  <si>
    <t>Burger</t>
  </si>
  <si>
    <t>D 131502</t>
  </si>
  <si>
    <t>Clemenz</t>
  </si>
  <si>
    <t>D 153867</t>
  </si>
  <si>
    <t>Dozauer</t>
  </si>
  <si>
    <t>D 119965</t>
  </si>
  <si>
    <t>Eisenmann</t>
  </si>
  <si>
    <t>D 145549</t>
  </si>
  <si>
    <t>Frötsch</t>
  </si>
  <si>
    <t>Bastian</t>
  </si>
  <si>
    <t>D 140490</t>
  </si>
  <si>
    <t>Hassforth</t>
  </si>
  <si>
    <t>Lea</t>
  </si>
  <si>
    <t>D 019508</t>
  </si>
  <si>
    <t>Hellmessen</t>
  </si>
  <si>
    <t>D 132253</t>
  </si>
  <si>
    <t>Helmbrecht</t>
  </si>
  <si>
    <t>D 099123</t>
  </si>
  <si>
    <t>Horbas</t>
  </si>
  <si>
    <t>D 136614</t>
  </si>
  <si>
    <t>D 145634</t>
  </si>
  <si>
    <t>D  046367</t>
  </si>
  <si>
    <t>Kloos</t>
  </si>
  <si>
    <t>D 146943</t>
  </si>
  <si>
    <t>D 111325</t>
  </si>
  <si>
    <t>D 136649</t>
  </si>
  <si>
    <t>Lauchner</t>
  </si>
  <si>
    <t>D 119968</t>
  </si>
  <si>
    <t>D 099134</t>
  </si>
  <si>
    <t>Eva</t>
  </si>
  <si>
    <t>D 136721</t>
  </si>
  <si>
    <t>Loheyde</t>
  </si>
  <si>
    <t>Marlon</t>
  </si>
  <si>
    <t>D 146863</t>
  </si>
  <si>
    <t>D 029154</t>
  </si>
  <si>
    <t>Michow</t>
  </si>
  <si>
    <t>D 070473</t>
  </si>
  <si>
    <t>Möller</t>
  </si>
  <si>
    <t>D 024962</t>
  </si>
  <si>
    <t>D 119969</t>
  </si>
  <si>
    <t>D 034023</t>
  </si>
  <si>
    <t>Rechenberg</t>
  </si>
  <si>
    <t>D 148832</t>
  </si>
  <si>
    <t>D 124816</t>
  </si>
  <si>
    <t>D 136722</t>
  </si>
  <si>
    <t>Seeger</t>
  </si>
  <si>
    <t>D 148816</t>
  </si>
  <si>
    <t>Singer</t>
  </si>
  <si>
    <t>D 013682</t>
  </si>
  <si>
    <t>Pakwipa</t>
  </si>
  <si>
    <t>D 148751</t>
  </si>
  <si>
    <t>Unsinn</t>
  </si>
  <si>
    <t>Luis</t>
  </si>
  <si>
    <t>D 145500</t>
  </si>
  <si>
    <t>D 148799</t>
  </si>
  <si>
    <t>Wheeldon</t>
  </si>
  <si>
    <t>Vincent</t>
  </si>
  <si>
    <t>D 042506</t>
  </si>
  <si>
    <t>Wiemken</t>
  </si>
  <si>
    <t>D 042507</t>
  </si>
  <si>
    <t>D 042551</t>
  </si>
  <si>
    <t>D 079706</t>
  </si>
  <si>
    <t>D 119971</t>
  </si>
  <si>
    <t>Zimmermann</t>
  </si>
  <si>
    <t>D 148821</t>
  </si>
  <si>
    <t>Anzinger</t>
  </si>
  <si>
    <t>D 148822</t>
  </si>
  <si>
    <t>Selim</t>
  </si>
  <si>
    <t>D 059926</t>
  </si>
  <si>
    <t>Heinel</t>
  </si>
  <si>
    <t>D 148823</t>
  </si>
  <si>
    <t>Mäurer</t>
  </si>
  <si>
    <t>Odin</t>
  </si>
  <si>
    <t>D 148804</t>
  </si>
  <si>
    <t>Nahodyl</t>
  </si>
  <si>
    <t>D 148805</t>
  </si>
  <si>
    <t>Valentin</t>
  </si>
  <si>
    <t>Rietz</t>
  </si>
  <si>
    <t>Eberhard</t>
  </si>
  <si>
    <t>D 148825</t>
  </si>
  <si>
    <t>Roggermeier</t>
  </si>
  <si>
    <t>D 148760</t>
  </si>
  <si>
    <t>Wolf</t>
  </si>
  <si>
    <t>Team ProfiShop München</t>
  </si>
  <si>
    <t>D 145647</t>
  </si>
  <si>
    <t>Brodowsky</t>
  </si>
  <si>
    <t>Erben</t>
  </si>
  <si>
    <t>D 040533</t>
  </si>
  <si>
    <t>Ghanbar</t>
  </si>
  <si>
    <t>D 148835</t>
  </si>
  <si>
    <t>Kiefer</t>
  </si>
  <si>
    <t>Fabien</t>
  </si>
  <si>
    <t>Knoch</t>
  </si>
  <si>
    <t>D 063269</t>
  </si>
  <si>
    <t>D 112285</t>
  </si>
  <si>
    <t>D 046699</t>
  </si>
  <si>
    <t>Maurer</t>
  </si>
  <si>
    <t>Meissl</t>
  </si>
  <si>
    <t>D 148798</t>
  </si>
  <si>
    <t>Pirzer</t>
  </si>
  <si>
    <t>D 136704</t>
  </si>
  <si>
    <t>Schmidbauer</t>
  </si>
  <si>
    <t>D 142846</t>
  </si>
  <si>
    <t>Schmidle</t>
  </si>
  <si>
    <t>Schreiner</t>
  </si>
  <si>
    <t>D 146932</t>
  </si>
  <si>
    <t>Schreuer</t>
  </si>
  <si>
    <t>D 131847</t>
  </si>
  <si>
    <t>Herward</t>
  </si>
  <si>
    <t>SG Rottendorf</t>
  </si>
  <si>
    <t>Rottendorfer BV 1984</t>
  </si>
  <si>
    <t>D 016486</t>
  </si>
  <si>
    <t>Rudi</t>
  </si>
  <si>
    <t>D 016489</t>
  </si>
  <si>
    <t>D 148780</t>
  </si>
  <si>
    <t>Bayer</t>
  </si>
  <si>
    <t>D 016393</t>
  </si>
  <si>
    <t>Büttner</t>
  </si>
  <si>
    <t>D 115710</t>
  </si>
  <si>
    <t>Markert</t>
  </si>
  <si>
    <t>Nolan</t>
  </si>
  <si>
    <t>Jonathan</t>
  </si>
  <si>
    <t>D 016589</t>
  </si>
  <si>
    <t>Reichardt</t>
  </si>
  <si>
    <t>D 146947</t>
  </si>
  <si>
    <t>Joshua</t>
  </si>
  <si>
    <t>D 148779</t>
  </si>
  <si>
    <t>D 139243</t>
  </si>
  <si>
    <t>D 142714</t>
  </si>
  <si>
    <t>Schäffer</t>
  </si>
  <si>
    <t>D 146884</t>
  </si>
  <si>
    <t>Scholz</t>
  </si>
  <si>
    <t>Schön</t>
  </si>
  <si>
    <t>D 118015</t>
  </si>
  <si>
    <t>Schwertfeger</t>
  </si>
  <si>
    <t>Arthur</t>
  </si>
  <si>
    <t>D 128760</t>
  </si>
  <si>
    <t>Trapphardt</t>
  </si>
  <si>
    <t>D 016395</t>
  </si>
  <si>
    <t>Wendel</t>
  </si>
  <si>
    <t>D 115712</t>
  </si>
  <si>
    <t>Witt</t>
  </si>
  <si>
    <t>Wörrlein</t>
  </si>
  <si>
    <t>D 042489</t>
  </si>
  <si>
    <t>D 148843</t>
  </si>
  <si>
    <t>SG DJK Rimpar</t>
  </si>
  <si>
    <t>D 141705</t>
  </si>
  <si>
    <t>Boé</t>
  </si>
  <si>
    <t>D 116662</t>
  </si>
  <si>
    <t>Glaser</t>
  </si>
  <si>
    <t>D 148844</t>
  </si>
  <si>
    <t>Gräfe</t>
  </si>
  <si>
    <t>Hornung</t>
  </si>
  <si>
    <t>D 116663</t>
  </si>
  <si>
    <t>D 148785</t>
  </si>
  <si>
    <t>Kreß</t>
  </si>
  <si>
    <t>D 116671</t>
  </si>
  <si>
    <t>Weis</t>
  </si>
  <si>
    <t>Björn</t>
  </si>
  <si>
    <t>D 116672</t>
  </si>
  <si>
    <t>D 111996</t>
  </si>
  <si>
    <t>Werder</t>
  </si>
  <si>
    <t>Jan-Uwe</t>
  </si>
  <si>
    <t>D 116674</t>
  </si>
  <si>
    <t>D 111795</t>
  </si>
  <si>
    <t>Wunderlich</t>
  </si>
  <si>
    <t>Henning</t>
  </si>
  <si>
    <t>BC Schanzer Strikers</t>
  </si>
  <si>
    <t>D 115824</t>
  </si>
  <si>
    <t>Ferber</t>
  </si>
  <si>
    <t>D 139319</t>
  </si>
  <si>
    <t>D 115831</t>
  </si>
  <si>
    <t>Haunschild</t>
  </si>
  <si>
    <t>D 139142</t>
  </si>
  <si>
    <t>Hutter</t>
  </si>
  <si>
    <t>D 115826</t>
  </si>
  <si>
    <t>Kirschenbauer</t>
  </si>
  <si>
    <t>D 034088</t>
  </si>
  <si>
    <t>Klapper</t>
  </si>
  <si>
    <t>D 139141</t>
  </si>
  <si>
    <t>Schmied</t>
  </si>
  <si>
    <t>D 145618</t>
  </si>
  <si>
    <t>Schütze</t>
  </si>
  <si>
    <t>D 111181</t>
  </si>
  <si>
    <t>Spielvogel</t>
  </si>
  <si>
    <t>Marius</t>
  </si>
  <si>
    <t>Sp 6</t>
  </si>
  <si>
    <t>Sp 7</t>
  </si>
  <si>
    <t>Sp 8</t>
  </si>
  <si>
    <t>Sp 9</t>
  </si>
  <si>
    <t>Spieltag:</t>
  </si>
  <si>
    <t>Liga:</t>
  </si>
  <si>
    <t>Ort:</t>
  </si>
  <si>
    <t>Datum:</t>
  </si>
  <si>
    <t>Spieltag</t>
  </si>
  <si>
    <t>Startbahn:</t>
  </si>
  <si>
    <t>Gegner-Nr.:</t>
  </si>
  <si>
    <t>&gt;&gt;&gt;&gt;</t>
  </si>
  <si>
    <t>Gesamt</t>
  </si>
  <si>
    <t>Spiel 1</t>
  </si>
  <si>
    <t>Spiel 2</t>
  </si>
  <si>
    <t>Spiel 3</t>
  </si>
  <si>
    <t>Spiel 4</t>
  </si>
  <si>
    <t>Spiel 5</t>
  </si>
  <si>
    <t>Spiel 6</t>
  </si>
  <si>
    <t>Spiel 7</t>
  </si>
  <si>
    <t>Spiel 8</t>
  </si>
  <si>
    <t>Spiel 9</t>
  </si>
  <si>
    <t>Name</t>
  </si>
  <si>
    <t>RL-Nr.</t>
  </si>
  <si>
    <t>Pins</t>
  </si>
  <si>
    <t>Pkt.</t>
  </si>
  <si>
    <t>Team-Nr.</t>
  </si>
  <si>
    <t>Gesamt - Punkte</t>
  </si>
  <si>
    <t>nur hier eingeben &gt;&gt;&gt;</t>
  </si>
  <si>
    <t>Pl.</t>
  </si>
  <si>
    <t>Mannschaften</t>
  </si>
  <si>
    <t>Schnitt</t>
  </si>
  <si>
    <t xml:space="preserve">Pins </t>
  </si>
  <si>
    <t>Spieltag 1</t>
  </si>
  <si>
    <t>Spieltag 2</t>
  </si>
  <si>
    <t>Spieltag 3</t>
  </si>
  <si>
    <t>Spieltag 4</t>
  </si>
  <si>
    <t>Spieltag 5</t>
  </si>
  <si>
    <t>Spieltag 6</t>
  </si>
  <si>
    <t>Spiel</t>
  </si>
  <si>
    <t>Beste Spieler/in des Tages</t>
  </si>
  <si>
    <t>Serie / Schnitt</t>
  </si>
  <si>
    <t>Tagesschnitt</t>
  </si>
  <si>
    <t>Platz</t>
  </si>
  <si>
    <t>EDV</t>
  </si>
  <si>
    <t>Team</t>
  </si>
  <si>
    <t>Spiele</t>
  </si>
  <si>
    <t>Rang</t>
  </si>
  <si>
    <t>Gesamtschnitt</t>
  </si>
  <si>
    <t>Startbahn</t>
  </si>
  <si>
    <t>Schiedsrichterbericht</t>
  </si>
  <si>
    <t>Datum</t>
  </si>
  <si>
    <t>Anlage</t>
  </si>
  <si>
    <t>Liga</t>
  </si>
  <si>
    <t>Beurteilung der Anlage</t>
  </si>
  <si>
    <t>Hallenöffnung um</t>
  </si>
  <si>
    <t>Uhr</t>
  </si>
  <si>
    <t>Ölbild ausgehängt</t>
  </si>
  <si>
    <t>Ja</t>
  </si>
  <si>
    <t>Nein</t>
  </si>
  <si>
    <t>Bahnenölung i.O.</t>
  </si>
  <si>
    <t>wenn nein, Grund</t>
  </si>
  <si>
    <t>Foullinien i.O.</t>
  </si>
  <si>
    <t>und eingeschaltet</t>
  </si>
  <si>
    <t>Bahnenpflege in</t>
  </si>
  <si>
    <t>Mittagspause von</t>
  </si>
  <si>
    <t>bis</t>
  </si>
  <si>
    <t>Bahnenstopps:</t>
  </si>
  <si>
    <t>wenn ja, Anzahl</t>
  </si>
  <si>
    <t>Grund</t>
  </si>
  <si>
    <t>Pinverwerfungen:</t>
  </si>
  <si>
    <t>0 - 10</t>
  </si>
  <si>
    <t>11 - 20</t>
  </si>
  <si>
    <t>über 20</t>
  </si>
  <si>
    <t xml:space="preserve">evtl. Bahnnr.: </t>
  </si>
  <si>
    <t>Besondere Vorkommnisse:</t>
  </si>
  <si>
    <t>Spielkontrolle</t>
  </si>
  <si>
    <r>
      <t>Mündliche Verwarnung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</si>
  <si>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Weiße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</si>
  <si>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Gelbe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</si>
  <si>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Gelbe+Rote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</si>
  <si>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Rote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</si>
  <si>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Verletzungen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</si>
  <si>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t>Zusatzbemerkungen</t>
  </si>
  <si>
    <t>Ligasprecher:</t>
  </si>
  <si>
    <t>(Name, Club)</t>
  </si>
  <si>
    <t>(Unterschrift)</t>
  </si>
  <si>
    <t>Schiedsrichter:</t>
  </si>
  <si>
    <t>Spiele RL</t>
  </si>
  <si>
    <t>Sortiert nach Verein, Club, Nachname</t>
  </si>
  <si>
    <t>D 155251</t>
  </si>
  <si>
    <t>Famà</t>
  </si>
  <si>
    <t>Tindaro</t>
  </si>
  <si>
    <t>D 155286</t>
  </si>
  <si>
    <t>Gastinger</t>
  </si>
  <si>
    <t>Sandro</t>
  </si>
  <si>
    <t>D 153900</t>
  </si>
  <si>
    <t>Waldinger</t>
  </si>
  <si>
    <t>D 153890</t>
  </si>
  <si>
    <t>D 155252</t>
  </si>
  <si>
    <t>Santoro</t>
  </si>
  <si>
    <t>Antonio Michele</t>
  </si>
  <si>
    <t>D 155261</t>
  </si>
  <si>
    <t>D 155262</t>
  </si>
  <si>
    <t>Breitenstein</t>
  </si>
  <si>
    <t>Alexander Kurt</t>
  </si>
  <si>
    <t>D 155263</t>
  </si>
  <si>
    <t>Jeremy</t>
  </si>
  <si>
    <t>D 155264</t>
  </si>
  <si>
    <t>Lim</t>
  </si>
  <si>
    <t>Chet Mui</t>
  </si>
  <si>
    <t>D 155255</t>
  </si>
  <si>
    <t>D 155254</t>
  </si>
  <si>
    <t>Justin</t>
  </si>
  <si>
    <t>D 036001</t>
  </si>
  <si>
    <t>D 046692</t>
  </si>
  <si>
    <t>D 153866</t>
  </si>
  <si>
    <t>Eric-Pascal</t>
  </si>
  <si>
    <t>D 153869</t>
  </si>
  <si>
    <t>Gründl</t>
  </si>
  <si>
    <t>D 155297</t>
  </si>
  <si>
    <t>Meurer</t>
  </si>
  <si>
    <t>Leopold</t>
  </si>
  <si>
    <t>D 148958</t>
  </si>
  <si>
    <t>Jürgens</t>
  </si>
  <si>
    <t>D 155285</t>
  </si>
  <si>
    <t>Achhammer</t>
  </si>
  <si>
    <t>Klara</t>
  </si>
  <si>
    <t>D 153895</t>
  </si>
  <si>
    <t>Eyermann</t>
  </si>
  <si>
    <t>D 080054</t>
  </si>
  <si>
    <t>D 153897</t>
  </si>
  <si>
    <t>Kins</t>
  </si>
  <si>
    <t>Reinhard Marko</t>
  </si>
  <si>
    <t>D 153885</t>
  </si>
  <si>
    <t>D 153884</t>
  </si>
  <si>
    <t>D 155283</t>
  </si>
  <si>
    <t>Rauscher</t>
  </si>
  <si>
    <t>D 155282</t>
  </si>
  <si>
    <t>Bianka</t>
  </si>
  <si>
    <t>D 153894</t>
  </si>
  <si>
    <t>Siebler</t>
  </si>
  <si>
    <t>D 116623</t>
  </si>
  <si>
    <t>Sommer</t>
  </si>
  <si>
    <t>Ramona</t>
  </si>
  <si>
    <t>D 155284</t>
  </si>
  <si>
    <t>Stölzel</t>
  </si>
  <si>
    <t>Celia</t>
  </si>
  <si>
    <t>D 036144</t>
  </si>
  <si>
    <t>D 155268</t>
  </si>
  <si>
    <t>Klam</t>
  </si>
  <si>
    <t>Jenke</t>
  </si>
  <si>
    <t>D 111145</t>
  </si>
  <si>
    <t>D 155270</t>
  </si>
  <si>
    <t>Benndorf</t>
  </si>
  <si>
    <t>D 153882</t>
  </si>
  <si>
    <t>D 155253</t>
  </si>
  <si>
    <t>Quecke</t>
  </si>
  <si>
    <t>D 155269</t>
  </si>
  <si>
    <t>Rühl</t>
  </si>
  <si>
    <t>D 155271</t>
  </si>
  <si>
    <t>Schweinzer</t>
  </si>
  <si>
    <t>D 153879</t>
  </si>
  <si>
    <t>Wieser</t>
  </si>
  <si>
    <t>D 155292</t>
  </si>
  <si>
    <t>D 091078</t>
  </si>
  <si>
    <t>D 155289</t>
  </si>
  <si>
    <t>D 155290</t>
  </si>
  <si>
    <t>D 155293</t>
  </si>
  <si>
    <t>D 029207</t>
  </si>
  <si>
    <t>D 112187</t>
  </si>
  <si>
    <t>D 112196</t>
  </si>
  <si>
    <t>Elze</t>
  </si>
  <si>
    <t>D 155288</t>
  </si>
  <si>
    <t>Holten</t>
  </si>
  <si>
    <t>D 112194</t>
  </si>
  <si>
    <t>D 114985</t>
  </si>
  <si>
    <t>Beverdam</t>
  </si>
  <si>
    <t>Mathijs</t>
  </si>
  <si>
    <t>BV Munich Mavericks e.V.</t>
  </si>
  <si>
    <t>MAV</t>
  </si>
  <si>
    <t>D 153893</t>
  </si>
  <si>
    <t>Billerbeck</t>
  </si>
  <si>
    <t>Pipo</t>
  </si>
  <si>
    <t>D 111598</t>
  </si>
  <si>
    <t>D 155273</t>
  </si>
  <si>
    <t>Suttles</t>
  </si>
  <si>
    <t>D 155265</t>
  </si>
  <si>
    <t>Lohse</t>
  </si>
  <si>
    <t>D 070333</t>
  </si>
  <si>
    <t>D 132197</t>
  </si>
  <si>
    <t>Eva-Maria</t>
  </si>
  <si>
    <t>D 063206</t>
  </si>
  <si>
    <t>D 079890</t>
  </si>
  <si>
    <t>D 153878</t>
  </si>
  <si>
    <t>Kecic</t>
  </si>
  <si>
    <t>Adin</t>
  </si>
  <si>
    <t>D 153898</t>
  </si>
  <si>
    <t>D 153877</t>
  </si>
  <si>
    <t>Renata</t>
  </si>
  <si>
    <t>D 155259</t>
  </si>
  <si>
    <t>Doll</t>
  </si>
  <si>
    <t>D 155258</t>
  </si>
  <si>
    <t>D 155274</t>
  </si>
  <si>
    <t>Butzenlechner</t>
  </si>
  <si>
    <t>D 155275</t>
  </si>
  <si>
    <t>Denk</t>
  </si>
  <si>
    <t>D 155276</t>
  </si>
  <si>
    <t>D 155277</t>
  </si>
  <si>
    <t>Marimuthu</t>
  </si>
  <si>
    <t>Mohan Prasath</t>
  </si>
  <si>
    <t>D 155298</t>
  </si>
  <si>
    <t>D 155272</t>
  </si>
  <si>
    <t>Diachenko</t>
  </si>
  <si>
    <t>Alla</t>
  </si>
  <si>
    <t>D 147305</t>
  </si>
  <si>
    <t>Winternheimer</t>
  </si>
  <si>
    <t>D 153899</t>
  </si>
  <si>
    <t>de la Torre Altena</t>
  </si>
  <si>
    <t>D 153892</t>
  </si>
  <si>
    <t>D 153887</t>
  </si>
  <si>
    <t>D 062947</t>
  </si>
  <si>
    <t>D 153891</t>
  </si>
  <si>
    <t>Weissenseel</t>
  </si>
  <si>
    <t>D 158002</t>
  </si>
  <si>
    <t>Aschenbrenner</t>
  </si>
  <si>
    <t>Domenic</t>
  </si>
  <si>
    <t>D 158003</t>
  </si>
  <si>
    <t>Sturm</t>
  </si>
  <si>
    <t>D 155300</t>
  </si>
  <si>
    <t>Mitev</t>
  </si>
  <si>
    <t>letzte Korrektur MS 23.01.2023</t>
  </si>
  <si>
    <t>Tabelle</t>
  </si>
  <si>
    <t>Saison:</t>
  </si>
  <si>
    <t>Ligaauswertung für</t>
  </si>
  <si>
    <t>Spieltage</t>
  </si>
  <si>
    <t>Spiele / Tag</t>
  </si>
  <si>
    <t>Stellvertreter:</t>
  </si>
  <si>
    <t>Ahndungen bis Spieltag</t>
  </si>
  <si>
    <t>Legende</t>
  </si>
  <si>
    <t>1. ST</t>
  </si>
  <si>
    <t>2. ST</t>
  </si>
  <si>
    <t>3. ST</t>
  </si>
  <si>
    <t>4. ST</t>
  </si>
  <si>
    <t>5. ST</t>
  </si>
  <si>
    <t>6. ST</t>
  </si>
  <si>
    <t>Bemerkungen</t>
  </si>
  <si>
    <t>V</t>
  </si>
  <si>
    <t>Verwarnung</t>
  </si>
  <si>
    <t>G</t>
  </si>
  <si>
    <t>S</t>
  </si>
  <si>
    <t>Gelbe Karte</t>
  </si>
  <si>
    <t>R</t>
  </si>
  <si>
    <t>Rote Karte</t>
  </si>
  <si>
    <t>Spielerdokumente nicht vollständig</t>
  </si>
  <si>
    <t>Spieler ist gesperrt</t>
  </si>
  <si>
    <t>D 158012</t>
  </si>
  <si>
    <t>Reichenauer</t>
  </si>
  <si>
    <t>D 087131</t>
  </si>
  <si>
    <t>D 158004</t>
  </si>
  <si>
    <t>Weiss</t>
  </si>
  <si>
    <t>Luisa Samira</t>
  </si>
  <si>
    <t>D 158005</t>
  </si>
  <si>
    <t>Bassler</t>
  </si>
  <si>
    <t>D 063265</t>
  </si>
  <si>
    <t>D 063266</t>
  </si>
  <si>
    <t>D 158006</t>
  </si>
  <si>
    <t>Kunze</t>
  </si>
  <si>
    <t>Felicitas</t>
  </si>
  <si>
    <t>D158011</t>
  </si>
  <si>
    <t>Mekjinda</t>
  </si>
  <si>
    <t>Sabaithip</t>
  </si>
  <si>
    <t>D 158007</t>
  </si>
  <si>
    <t>Ulsamer</t>
  </si>
  <si>
    <t>Jugend C m</t>
  </si>
  <si>
    <t>D 158008</t>
  </si>
  <si>
    <t>Darius</t>
  </si>
  <si>
    <t>Punkte</t>
  </si>
  <si>
    <t>Sp1</t>
  </si>
  <si>
    <t>Sp2</t>
  </si>
  <si>
    <t>Sp3</t>
  </si>
  <si>
    <t>Sp4</t>
  </si>
  <si>
    <t>Sp5</t>
  </si>
  <si>
    <t>Tagestabelle Wert</t>
  </si>
  <si>
    <t>Einzelspiel</t>
  </si>
  <si>
    <t>Bestes</t>
  </si>
  <si>
    <t>Serie</t>
  </si>
  <si>
    <t>Komplett</t>
  </si>
  <si>
    <t>Bester Schnitt</t>
  </si>
  <si>
    <t>Sp6</t>
  </si>
  <si>
    <t>Sp7</t>
  </si>
  <si>
    <t>Sp8</t>
  </si>
  <si>
    <t>Sp9</t>
  </si>
  <si>
    <t>Für Gesamtabelle</t>
  </si>
  <si>
    <t>Wert</t>
  </si>
  <si>
    <t>Gesamttabelle</t>
  </si>
  <si>
    <t>D 111679</t>
  </si>
  <si>
    <t>Fiedler</t>
  </si>
  <si>
    <t>D 159631</t>
  </si>
  <si>
    <t>Kugler</t>
  </si>
  <si>
    <t>Laurin</t>
  </si>
  <si>
    <t>D 159629</t>
  </si>
  <si>
    <t>Lintner</t>
  </si>
  <si>
    <t>Lena</t>
  </si>
  <si>
    <t>D 159630</t>
  </si>
  <si>
    <t>Mathe</t>
  </si>
  <si>
    <t>D 158021</t>
  </si>
  <si>
    <t>Kühlmann</t>
  </si>
  <si>
    <t>D 158022</t>
  </si>
  <si>
    <t>Masurreck</t>
  </si>
  <si>
    <t>D 159602</t>
  </si>
  <si>
    <t>Röde</t>
  </si>
  <si>
    <t>Sigrid</t>
  </si>
  <si>
    <t>D 159601</t>
  </si>
  <si>
    <t>Mitchell</t>
  </si>
  <si>
    <t>D 159612</t>
  </si>
  <si>
    <t>Frisch</t>
  </si>
  <si>
    <t>Jan Lucas</t>
  </si>
  <si>
    <t>D 159628</t>
  </si>
  <si>
    <t>Mücke</t>
  </si>
  <si>
    <t>D 159614</t>
  </si>
  <si>
    <t>Oesterwinter</t>
  </si>
  <si>
    <t>Malte</t>
  </si>
  <si>
    <t>D159613</t>
  </si>
  <si>
    <t>Stahl</t>
  </si>
  <si>
    <t>D 159624</t>
  </si>
  <si>
    <t>Lauer</t>
  </si>
  <si>
    <t>D 158023</t>
  </si>
  <si>
    <t>Tittmar</t>
  </si>
  <si>
    <t>D 146867</t>
  </si>
  <si>
    <t>D 158028</t>
  </si>
  <si>
    <t>Catalano</t>
  </si>
  <si>
    <t>Leandro</t>
  </si>
  <si>
    <t>D 114532</t>
  </si>
  <si>
    <t>D 159622</t>
  </si>
  <si>
    <t>Walberer</t>
  </si>
  <si>
    <t>Nick</t>
  </si>
  <si>
    <t>D159610</t>
  </si>
  <si>
    <t>Sommerer</t>
  </si>
  <si>
    <t>D 158044</t>
  </si>
  <si>
    <t>D 158047</t>
  </si>
  <si>
    <t>Hager</t>
  </si>
  <si>
    <t>D 158046</t>
  </si>
  <si>
    <t>D 159619</t>
  </si>
  <si>
    <t>Ludstock</t>
  </si>
  <si>
    <t>D 158049</t>
  </si>
  <si>
    <t>Carl</t>
  </si>
  <si>
    <t>D 158048</t>
  </si>
  <si>
    <t>Meys</t>
  </si>
  <si>
    <t>D 159618</t>
  </si>
  <si>
    <t>Nikolic</t>
  </si>
  <si>
    <t>D 158043</t>
  </si>
  <si>
    <t>D 159617</t>
  </si>
  <si>
    <t>Thiele</t>
  </si>
  <si>
    <t>Isabelle</t>
  </si>
  <si>
    <t>D 158045</t>
  </si>
  <si>
    <t>Vokshi</t>
  </si>
  <si>
    <t>D 158033</t>
  </si>
  <si>
    <t>Kornell</t>
  </si>
  <si>
    <t>Sina</t>
  </si>
  <si>
    <t>D 159611</t>
  </si>
  <si>
    <t>Pschörer</t>
  </si>
  <si>
    <t>D 158031</t>
  </si>
  <si>
    <t>Tsioras</t>
  </si>
  <si>
    <t>Ioannis</t>
  </si>
  <si>
    <t>D 158032</t>
  </si>
  <si>
    <t>Cipriano</t>
  </si>
  <si>
    <t>Martina</t>
  </si>
  <si>
    <t>D 158034</t>
  </si>
  <si>
    <t>Mahn</t>
  </si>
  <si>
    <t>D 159609</t>
  </si>
  <si>
    <t>Zacharias Immanuel</t>
  </si>
  <si>
    <t>D 159608</t>
  </si>
  <si>
    <t>Rasmus</t>
  </si>
  <si>
    <t>D 159603</t>
  </si>
  <si>
    <t>Draht</t>
  </si>
  <si>
    <t>D 158015</t>
  </si>
  <si>
    <t>D 158016</t>
  </si>
  <si>
    <t>D 159605</t>
  </si>
  <si>
    <t>Eismann</t>
  </si>
  <si>
    <t>D 159604</t>
  </si>
  <si>
    <t>Berenike</t>
  </si>
  <si>
    <t>D 159607</t>
  </si>
  <si>
    <t>D 159606</t>
  </si>
  <si>
    <t>Pittner</t>
  </si>
  <si>
    <t>D 158024</t>
  </si>
  <si>
    <t>Nowak</t>
  </si>
  <si>
    <t>D 158039</t>
  </si>
  <si>
    <t>Payne</t>
  </si>
  <si>
    <t>Graser</t>
  </si>
  <si>
    <t>D 016237</t>
  </si>
  <si>
    <t>Hardt</t>
  </si>
  <si>
    <t>D 158042</t>
  </si>
  <si>
    <t>Schürrer</t>
  </si>
  <si>
    <t>D 111342</t>
  </si>
  <si>
    <t>Gilch</t>
  </si>
  <si>
    <t>D 158038</t>
  </si>
  <si>
    <t>Zorzi</t>
  </si>
  <si>
    <t>Eduard Richard</t>
  </si>
  <si>
    <t>Gierszewski</t>
  </si>
  <si>
    <t>D 130370</t>
  </si>
  <si>
    <t>Piros</t>
  </si>
  <si>
    <t>Laura</t>
  </si>
  <si>
    <t>D 153282</t>
  </si>
  <si>
    <t>D 146059</t>
  </si>
  <si>
    <t>Konieczny</t>
  </si>
  <si>
    <t>D 159616</t>
  </si>
  <si>
    <t>Krüger</t>
  </si>
  <si>
    <t>Arne-Tobias</t>
  </si>
  <si>
    <t>D 121183</t>
  </si>
  <si>
    <t>Pfeiffer</t>
  </si>
  <si>
    <t>D 158017</t>
  </si>
  <si>
    <t>Laura Maria</t>
  </si>
  <si>
    <t>D 159615</t>
  </si>
  <si>
    <t>Osman</t>
  </si>
  <si>
    <t>D 147680</t>
  </si>
  <si>
    <t>Pescher</t>
  </si>
  <si>
    <t>D 159632</t>
  </si>
  <si>
    <t>Tucker</t>
  </si>
  <si>
    <t>Gahr</t>
  </si>
  <si>
    <t>D 159623</t>
  </si>
  <si>
    <t>Bakogianni</t>
  </si>
  <si>
    <t>Argyro</t>
  </si>
  <si>
    <t>D 099322</t>
  </si>
  <si>
    <t>Baldauf</t>
  </si>
  <si>
    <t>D 146899</t>
  </si>
  <si>
    <t>Jörissen</t>
  </si>
  <si>
    <t>D 148828</t>
  </si>
  <si>
    <t>Bonnaire</t>
  </si>
  <si>
    <t>Liane</t>
  </si>
  <si>
    <t>D 158037</t>
  </si>
  <si>
    <t>D 062970</t>
  </si>
  <si>
    <t>D 091138</t>
  </si>
  <si>
    <t>D 111428</t>
  </si>
  <si>
    <t>D 087125</t>
  </si>
  <si>
    <t>D 158026</t>
  </si>
  <si>
    <t>Sigl</t>
  </si>
  <si>
    <t>D 158041</t>
  </si>
  <si>
    <t>D 146946</t>
  </si>
  <si>
    <t>Nagel</t>
  </si>
  <si>
    <t>D 159621</t>
  </si>
  <si>
    <t>Ben</t>
  </si>
  <si>
    <t>D 158035</t>
  </si>
  <si>
    <t>Pronnet</t>
  </si>
  <si>
    <t>D 159633</t>
  </si>
  <si>
    <t>D 097947</t>
  </si>
  <si>
    <t>Angelov</t>
  </si>
  <si>
    <t>Ivaylo</t>
  </si>
  <si>
    <t>D 128761</t>
  </si>
  <si>
    <t>Finsterer</t>
  </si>
  <si>
    <t>D 070493</t>
  </si>
  <si>
    <t>D 159626</t>
  </si>
  <si>
    <t>Gökbel</t>
  </si>
  <si>
    <t>Oktay</t>
  </si>
  <si>
    <t>D 159627</t>
  </si>
  <si>
    <t>Jeremias</t>
  </si>
  <si>
    <t>Vorjahr</t>
  </si>
  <si>
    <t>2024/2025</t>
  </si>
  <si>
    <t>D 159648</t>
  </si>
  <si>
    <t>Simeaner</t>
  </si>
  <si>
    <t>D 159644</t>
  </si>
  <si>
    <t>Graf</t>
  </si>
  <si>
    <t>D 112597</t>
  </si>
  <si>
    <t>Anderson</t>
  </si>
  <si>
    <t>Eddie</t>
  </si>
  <si>
    <t>D 135133</t>
  </si>
  <si>
    <t>Gerd</t>
  </si>
  <si>
    <t>D 112599</t>
  </si>
  <si>
    <t>Marianne</t>
  </si>
  <si>
    <t>D 112596</t>
  </si>
  <si>
    <t>D 112595</t>
  </si>
  <si>
    <t>D 091375</t>
  </si>
  <si>
    <t>Vierheilig</t>
  </si>
  <si>
    <t>D 111702</t>
  </si>
  <si>
    <t>Brehm</t>
  </si>
  <si>
    <t>D 131764</t>
  </si>
  <si>
    <t>Forche</t>
  </si>
  <si>
    <t>D 131606</t>
  </si>
  <si>
    <t>D 159634</t>
  </si>
  <si>
    <t>D 159635</t>
  </si>
  <si>
    <t>D 159638</t>
  </si>
  <si>
    <t>Färber</t>
  </si>
  <si>
    <t>D 159637</t>
  </si>
  <si>
    <t>Marker</t>
  </si>
  <si>
    <t>D 159636</t>
  </si>
  <si>
    <t>D 159639</t>
  </si>
  <si>
    <t>Weidinger</t>
  </si>
  <si>
    <t>D 159643</t>
  </si>
  <si>
    <t>Shafarman</t>
  </si>
  <si>
    <t>Eric</t>
  </si>
  <si>
    <t>D 162004</t>
  </si>
  <si>
    <t>D 162003</t>
  </si>
  <si>
    <t>Koppenleitner</t>
  </si>
  <si>
    <t>D 162005</t>
  </si>
  <si>
    <t>Labs</t>
  </si>
  <si>
    <t>D 105704</t>
  </si>
  <si>
    <t>D 159640</t>
  </si>
  <si>
    <t>D 146937</t>
  </si>
  <si>
    <t>Sophia</t>
  </si>
  <si>
    <t>D 107411</t>
  </si>
  <si>
    <t>D 107441</t>
  </si>
  <si>
    <t>D 107445</t>
  </si>
  <si>
    <t>D 162001</t>
  </si>
  <si>
    <t>Paternoster</t>
  </si>
  <si>
    <t>Scherabon</t>
  </si>
  <si>
    <t>Dominique</t>
  </si>
  <si>
    <t>D 159645</t>
  </si>
  <si>
    <t>D 159650</t>
  </si>
  <si>
    <t>Dichtl</t>
  </si>
  <si>
    <t>D 162009</t>
  </si>
  <si>
    <t>D 162017</t>
  </si>
  <si>
    <t>Sendner</t>
  </si>
  <si>
    <t>D 162019</t>
  </si>
  <si>
    <t>D 162015</t>
  </si>
  <si>
    <t>Zach</t>
  </si>
  <si>
    <t>Christopher</t>
  </si>
  <si>
    <t>D 162012</t>
  </si>
  <si>
    <t>D 162011</t>
  </si>
  <si>
    <t>D 162016</t>
  </si>
  <si>
    <t>Kreutzer</t>
  </si>
  <si>
    <t>D 162010</t>
  </si>
  <si>
    <t>D 162014</t>
  </si>
  <si>
    <t>D 162007</t>
  </si>
  <si>
    <t>Eder</t>
  </si>
  <si>
    <t>Kai-Jürgen</t>
  </si>
  <si>
    <t>D 144847</t>
  </si>
  <si>
    <t>Strobl</t>
  </si>
  <si>
    <t>Melissa Sophia</t>
  </si>
  <si>
    <t>D 162020</t>
  </si>
  <si>
    <t>Leinemann</t>
  </si>
  <si>
    <t>D 162021</t>
  </si>
  <si>
    <t>Sewald</t>
  </si>
  <si>
    <t>nicht vorgesehen</t>
  </si>
  <si>
    <t>D 146903</t>
  </si>
  <si>
    <t>D 146906</t>
  </si>
  <si>
    <t>Wohlschlag</t>
  </si>
  <si>
    <t>D 162035</t>
  </si>
  <si>
    <t>D 162034</t>
  </si>
  <si>
    <t>Kramer</t>
  </si>
  <si>
    <t>D 162026</t>
  </si>
  <si>
    <t>Stiaccini</t>
  </si>
  <si>
    <t>D 162025</t>
  </si>
  <si>
    <t>Fabio</t>
  </si>
  <si>
    <t>D 162023</t>
  </si>
  <si>
    <t>D 162024</t>
  </si>
  <si>
    <t>D 162029</t>
  </si>
  <si>
    <t>D 162033</t>
  </si>
  <si>
    <t>Mally</t>
  </si>
  <si>
    <t>D 162032</t>
  </si>
  <si>
    <t>Keraitis</t>
  </si>
  <si>
    <t>Aurimas</t>
  </si>
  <si>
    <t>D 136428</t>
  </si>
  <si>
    <t>Brunnhuber</t>
  </si>
  <si>
    <t>D 162039</t>
  </si>
  <si>
    <t>D 162028</t>
  </si>
  <si>
    <t>Pal</t>
  </si>
  <si>
    <t>Abin</t>
  </si>
  <si>
    <t>D 162027</t>
  </si>
  <si>
    <t>Seltmann</t>
  </si>
  <si>
    <t>D 162036</t>
  </si>
  <si>
    <t>D 162040</t>
  </si>
  <si>
    <t>Hofer</t>
  </si>
  <si>
    <t>D 162037</t>
  </si>
  <si>
    <t>Ruppert</t>
  </si>
  <si>
    <t>D 148761</t>
  </si>
  <si>
    <t>Schnase</t>
  </si>
  <si>
    <t>D 105318</t>
  </si>
  <si>
    <t>D 139203</t>
  </si>
  <si>
    <t>Wodl</t>
  </si>
  <si>
    <t>D 105589</t>
  </si>
  <si>
    <t>D 162030</t>
  </si>
  <si>
    <t>D 145466</t>
  </si>
  <si>
    <t>Voigtländer</t>
  </si>
  <si>
    <t>Laszlo</t>
  </si>
  <si>
    <t>D 162031</t>
  </si>
  <si>
    <t>Wallace</t>
  </si>
  <si>
    <t>funktioniert nicht</t>
  </si>
  <si>
    <t>keine Pins aufgestellt</t>
  </si>
  <si>
    <t>verschiedene</t>
  </si>
  <si>
    <t>Fouliniensystem defekt</t>
  </si>
  <si>
    <t>Kurzbez.
Verein</t>
  </si>
  <si>
    <t/>
  </si>
  <si>
    <t>D 162959</t>
  </si>
  <si>
    <t>D 162965</t>
  </si>
  <si>
    <t>Mattes</t>
  </si>
  <si>
    <t>D 162049</t>
  </si>
  <si>
    <t>Rothemund</t>
  </si>
  <si>
    <t>Louis</t>
  </si>
  <si>
    <t>D 162046</t>
  </si>
  <si>
    <t>D 029362</t>
  </si>
  <si>
    <t>D 162961</t>
  </si>
  <si>
    <t>Hanf</t>
  </si>
  <si>
    <t>D 162962</t>
  </si>
  <si>
    <t>Krille</t>
  </si>
  <si>
    <t>Annelie</t>
  </si>
  <si>
    <t>D 162045</t>
  </si>
  <si>
    <t>Herrmann</t>
  </si>
  <si>
    <t>D 162951</t>
  </si>
  <si>
    <t>Nikoleit</t>
  </si>
  <si>
    <t>D 162952</t>
  </si>
  <si>
    <t>Prieß</t>
  </si>
  <si>
    <t>D 162963</t>
  </si>
  <si>
    <t>Kroh</t>
  </si>
  <si>
    <t>D 162964</t>
  </si>
  <si>
    <t>D 162953</t>
  </si>
  <si>
    <t>D 162957</t>
  </si>
  <si>
    <t>Schildhauer</t>
  </si>
  <si>
    <t>D 162044</t>
  </si>
  <si>
    <t>D 162043</t>
  </si>
  <si>
    <t>D 162050</t>
  </si>
  <si>
    <t>D 107447</t>
  </si>
  <si>
    <t>D 105590</t>
  </si>
  <si>
    <t>D 162958</t>
  </si>
  <si>
    <t>D 162042</t>
  </si>
  <si>
    <t>Hummel</t>
  </si>
  <si>
    <t>D 162002</t>
  </si>
  <si>
    <t>D 162956</t>
  </si>
  <si>
    <t>Dudela</t>
  </si>
  <si>
    <t>D 162955</t>
  </si>
  <si>
    <t>D 162048</t>
  </si>
  <si>
    <t>Bamberg Bowlinghaus</t>
  </si>
  <si>
    <t>Bayreuth Blu Bowl</t>
  </si>
  <si>
    <t>Brunnthal Max Munich</t>
  </si>
  <si>
    <t>Dettelbach Extreme Bowlingarena</t>
  </si>
  <si>
    <t>Friedrichshafen Seaside</t>
  </si>
  <si>
    <t>Garmisch Zugspitzbowling</t>
  </si>
  <si>
    <t>Ingolstadt Cosmos Bowling Arena</t>
  </si>
  <si>
    <t>Kempten Big Bowl</t>
  </si>
  <si>
    <t>Landshut LA-Bowling</t>
  </si>
  <si>
    <t>Lauterach Strike-Center</t>
  </si>
  <si>
    <t>München Hollywood Super Bowling</t>
  </si>
  <si>
    <t>München Isar Bowling</t>
  </si>
  <si>
    <t>Nürnberg West Bowling</t>
  </si>
  <si>
    <t>Olching 5005 Bowling</t>
  </si>
  <si>
    <t>Pfaffenhofen Hollywood Super Bowling</t>
  </si>
  <si>
    <t>Regensburg Super Bowl</t>
  </si>
  <si>
    <t>Rottendorf Bowling-Center</t>
  </si>
  <si>
    <t>Salzburg Sport-Oase</t>
  </si>
  <si>
    <t>Schweinfurt Extreme Bowlingarena</t>
  </si>
  <si>
    <t>Unterföhring Dreambowl Palace</t>
  </si>
  <si>
    <t>Würzburg Midnight Bowling</t>
  </si>
  <si>
    <t>12.10./13.10.</t>
  </si>
  <si>
    <t>02.11./03.11.</t>
  </si>
  <si>
    <t>01.02./02.02.</t>
  </si>
  <si>
    <t>15.02./16.02.</t>
  </si>
  <si>
    <t>15.03./16.03.</t>
  </si>
  <si>
    <t>05.04./06.04.</t>
  </si>
  <si>
    <t>BK München 3</t>
  </si>
  <si>
    <t>Liste der aktiven Mitglieder in der Saison 2024/25</t>
  </si>
  <si>
    <t>Stand vom 13.08.2024</t>
  </si>
  <si>
    <t>D 162972</t>
  </si>
  <si>
    <t>Hug</t>
  </si>
  <si>
    <t>D 162998</t>
  </si>
  <si>
    <t>Wahsner</t>
  </si>
  <si>
    <t>D 129048</t>
  </si>
  <si>
    <t>Gertrud</t>
  </si>
  <si>
    <t>D 162983</t>
  </si>
  <si>
    <t>Fischbach</t>
  </si>
  <si>
    <t>D 162970</t>
  </si>
  <si>
    <t>Cribaro</t>
  </si>
  <si>
    <t>D 162999</t>
  </si>
  <si>
    <t>Helene</t>
  </si>
  <si>
    <t>D 162975</t>
  </si>
  <si>
    <t>D 146872</t>
  </si>
  <si>
    <t>Düren</t>
  </si>
  <si>
    <t>D 162994</t>
  </si>
  <si>
    <t>D 148766</t>
  </si>
  <si>
    <t>Geißler</t>
  </si>
  <si>
    <t>D 162973</t>
  </si>
  <si>
    <t>Moser</t>
  </si>
  <si>
    <t>D 162978</t>
  </si>
  <si>
    <t>Schreiber</t>
  </si>
  <si>
    <t>D 162974</t>
  </si>
  <si>
    <t>D 146885</t>
  </si>
  <si>
    <t>Engel</t>
  </si>
  <si>
    <t>D 111651</t>
  </si>
  <si>
    <t>D 111995</t>
  </si>
  <si>
    <t>Watkins</t>
  </si>
  <si>
    <t>D 162995</t>
  </si>
  <si>
    <t>D 162982</t>
  </si>
  <si>
    <t>Raj</t>
  </si>
  <si>
    <t>Milan</t>
  </si>
  <si>
    <t>D 155256</t>
  </si>
  <si>
    <t>Lisa</t>
  </si>
  <si>
    <t>D 162979</t>
  </si>
  <si>
    <t>Raiko</t>
  </si>
  <si>
    <t>D 162993</t>
  </si>
  <si>
    <t>Legler</t>
  </si>
  <si>
    <t>D 162992</t>
  </si>
  <si>
    <t>Elias</t>
  </si>
  <si>
    <t>D 162990</t>
  </si>
  <si>
    <t>Schimanski</t>
  </si>
  <si>
    <t>Theodor</t>
  </si>
  <si>
    <t>D 162989</t>
  </si>
  <si>
    <t>Johanna</t>
  </si>
  <si>
    <t>Jugend C w</t>
  </si>
  <si>
    <t>D 162988</t>
  </si>
  <si>
    <t>Schwarzfischer</t>
  </si>
  <si>
    <t>D 162013</t>
  </si>
  <si>
    <t>D 162991</t>
  </si>
  <si>
    <t>Weinrich</t>
  </si>
  <si>
    <t>D 162022</t>
  </si>
  <si>
    <t>BC guteLAUNE</t>
  </si>
  <si>
    <t>D 162980</t>
  </si>
  <si>
    <t>Schimpf</t>
  </si>
  <si>
    <t xml:space="preserve"> </t>
  </si>
  <si>
    <t>D 162981</t>
  </si>
  <si>
    <t>D 162969</t>
  </si>
  <si>
    <t>Laubach</t>
  </si>
  <si>
    <t>Nina</t>
  </si>
  <si>
    <t>D 162985</t>
  </si>
  <si>
    <t>D 135977</t>
  </si>
  <si>
    <t>Merkel</t>
  </si>
  <si>
    <t>Gina Maria</t>
  </si>
  <si>
    <t>D 001776</t>
  </si>
  <si>
    <t>D 140497</t>
  </si>
  <si>
    <t>Gröger</t>
  </si>
  <si>
    <t>D 162984</t>
  </si>
  <si>
    <t>Mike</t>
  </si>
  <si>
    <t>D 162986</t>
  </si>
  <si>
    <t>Heiming</t>
  </si>
  <si>
    <t>D 162977</t>
  </si>
  <si>
    <t>Thalea</t>
  </si>
  <si>
    <t>D 162971</t>
  </si>
  <si>
    <t>D 151477</t>
  </si>
  <si>
    <t>Richter</t>
  </si>
  <si>
    <t>D 162968</t>
  </si>
  <si>
    <t>Leonard</t>
  </si>
  <si>
    <t>D 158019</t>
  </si>
  <si>
    <t>Wünsch</t>
  </si>
  <si>
    <t>D 109427</t>
  </si>
  <si>
    <t>D 109424</t>
  </si>
  <si>
    <t>D 110902</t>
  </si>
  <si>
    <t>D 109426</t>
  </si>
  <si>
    <t>D 162967</t>
  </si>
  <si>
    <t>Sollmann</t>
  </si>
  <si>
    <t>D 107475</t>
  </si>
  <si>
    <t>D 162966</t>
  </si>
  <si>
    <t>D 098815</t>
  </si>
  <si>
    <t>D 098818</t>
  </si>
  <si>
    <t>D 155267</t>
  </si>
  <si>
    <t>Janina</t>
  </si>
  <si>
    <t>D 112614</t>
  </si>
  <si>
    <t>Feuerlein</t>
  </si>
  <si>
    <t>D 124817</t>
  </si>
  <si>
    <t>Heider</t>
  </si>
  <si>
    <t>D 162997</t>
  </si>
  <si>
    <t>D 162996</t>
  </si>
  <si>
    <t>D 111163</t>
  </si>
  <si>
    <t>D 158025</t>
  </si>
  <si>
    <t>D 162987</t>
  </si>
  <si>
    <t>Bayernliga Frauen</t>
  </si>
  <si>
    <t>Praetoria Regensburg</t>
  </si>
  <si>
    <t>BK München 2</t>
  </si>
  <si>
    <t>Highroller Rosenheim</t>
  </si>
  <si>
    <t xml:space="preserve">Weiß Blau Unterföhring </t>
  </si>
  <si>
    <t>Phönix 03 Lauf</t>
  </si>
  <si>
    <t>Frankenpower Nürnberg</t>
  </si>
  <si>
    <t>RW Lichtenhof 69 Stein 2</t>
  </si>
  <si>
    <t>BK München 4</t>
  </si>
  <si>
    <t>Schlundt Sabrina, Pratoria Regensburg</t>
  </si>
  <si>
    <t>Schott Monika, BK München 3</t>
  </si>
  <si>
    <t>x</t>
  </si>
  <si>
    <t>Kann leider ein Leihe nicht kontrolieren</t>
  </si>
  <si>
    <t>3. 10 Minuten Pause nach dem 2 Spiel um die Tabelle zu aktualisieren und neu zu sortieren ( Meldelisten sind am Sonntag da )</t>
  </si>
  <si>
    <t>1. Verzögerung duch Stau auf dem Zubringer der Eschnrieder Spannde 10 minuten später gestartet. 2. EPA München 2 heißt EPA München 2 . Zwei wird durch 1 ersetzt.</t>
  </si>
  <si>
    <t>Sven Hassforth,  BK München</t>
  </si>
  <si>
    <t>EPA München 1</t>
  </si>
  <si>
    <t>X</t>
  </si>
  <si>
    <t>Defekt</t>
  </si>
  <si>
    <t>Jürgen Winecki, Donaubowler Regensburg</t>
  </si>
  <si>
    <t>Software beschädigt . Ligaschlüssel .Spielzettel und Erfassung passen nicht zusammen . Bei der erfassung erscheinen Bahn 1+2 , die nicht bespielt wurden.</t>
  </si>
  <si>
    <t>Schlundt Sabrina , Praetoria Regensburg</t>
  </si>
  <si>
    <t>Gastspieler für BK München EV.Nr. 38289 Sandra Kirsche . 8.Spiel 7. Haus verletzung EPA München 1Diana Weninger 25397 verletzt . Cornelia Schulz 25714 spielt zuende .</t>
  </si>
  <si>
    <t>Diana Weninger 25397  EPA München 1</t>
  </si>
  <si>
    <t>5x  Pin 5 Aufstellen</t>
  </si>
  <si>
    <t>Erfassung 2</t>
  </si>
  <si>
    <t>Bahnverteilung AC4:AT4 in Zeile 34, 64 usw. kopiert</t>
  </si>
  <si>
    <t>38289 Sandra Kirschke verletzt an Wirbelsäule</t>
  </si>
  <si>
    <t>Schlundt Sabrina , Pratoria Regensburg</t>
  </si>
  <si>
    <t>Jäger Karin, BC EPA München</t>
  </si>
  <si>
    <t>09:00/08:30</t>
  </si>
  <si>
    <t>Samstag: 7574 Clemenz, Brigitte, Schwindel</t>
  </si>
  <si>
    <t>Oswald Kohl, BC Adler</t>
  </si>
  <si>
    <t>Sabrina Schlundt, Prätoria Regensburg</t>
  </si>
  <si>
    <t xml:space="preserve">38607 Sandra Jenke in der Spielerliste nachgetragen.
Einwechselfehler bei RWL 69 Stein 2, 7972 Renate Hödl spielt ab Spiel 5 (Sonntag) auf Position 4 statt auf Position 2 (Spiel 4 am Samstag). Ich dachte der Sonntag zählt als neuer Spieltag.
Spielende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</si>
</sst>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0\ 000"/>
    <numFmt numFmtId="166" formatCode="0.0"/>
    <numFmt numFmtId="167" formatCode="00000"/>
    <numFmt numFmtId="168" formatCode="000000"/>
    <numFmt numFmtId="169" formatCode="#,##0.0"/>
    <numFmt numFmtId="170" formatCode="#,##0_ ;\-#,##0\ "/>
    <numFmt numFmtId="171" formatCode="##0;\(##0\)"/>
  </numFmts>
  <fonts count="4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4"/>
      <name val="Arial"/>
      <family val="2"/>
    </font>
    <font>
      <b/>
      <sz val="8"/>
      <name val="Arial"/>
      <family val="2"/>
    </font>
    <font>
      <sz val="12"/>
      <color indexed="10"/>
      <name val="Arial"/>
      <family val="2"/>
    </font>
    <font>
      <sz val="14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u/>
      <sz val="11"/>
      <name val="Arial"/>
      <family val="2"/>
    </font>
    <font>
      <i/>
      <sz val="8"/>
      <name val="Arial"/>
      <family val="2"/>
    </font>
    <font>
      <sz val="9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0"/>
      <name val="Arial"/>
      <family val="2"/>
    </font>
    <font>
      <sz val="9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5" fillId="0" borderId="0"/>
    <xf numFmtId="0" fontId="31" fillId="0" borderId="0"/>
    <xf numFmtId="0" fontId="32" fillId="0" borderId="0"/>
    <xf numFmtId="0" fontId="33" fillId="0" borderId="0"/>
    <xf numFmtId="0" fontId="15" fillId="0" borderId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1" fillId="0" borderId="0"/>
  </cellStyleXfs>
  <cellXfs count="39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/>
    <xf numFmtId="0" fontId="5" fillId="0" borderId="0" xfId="0" applyFont="1" applyAlignment="1">
      <alignment horizontal="center"/>
    </xf>
    <xf numFmtId="0" fontId="5" fillId="0" borderId="0" xfId="0" applyFont="1"/>
    <xf numFmtId="14" fontId="5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4" fillId="0" borderId="1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34" fillId="0" borderId="2" xfId="0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vertical="center"/>
    </xf>
    <xf numFmtId="0" fontId="35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165" fontId="13" fillId="0" borderId="0" xfId="0" applyNumberFormat="1" applyFont="1" applyAlignment="1">
      <alignment vertical="center"/>
    </xf>
    <xf numFmtId="14" fontId="7" fillId="0" borderId="5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165" fontId="13" fillId="0" borderId="5" xfId="0" applyNumberFormat="1" applyFont="1" applyBorder="1" applyAlignment="1">
      <alignment vertical="center"/>
    </xf>
    <xf numFmtId="14" fontId="7" fillId="0" borderId="10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3" fontId="13" fillId="0" borderId="11" xfId="0" applyNumberFormat="1" applyFont="1" applyBorder="1" applyAlignment="1">
      <alignment horizontal="center" vertical="center"/>
    </xf>
    <xf numFmtId="169" fontId="13" fillId="0" borderId="12" xfId="0" applyNumberFormat="1" applyFont="1" applyBorder="1" applyAlignment="1">
      <alignment horizontal="center" vertical="center"/>
    </xf>
    <xf numFmtId="166" fontId="13" fillId="0" borderId="13" xfId="0" applyNumberFormat="1" applyFont="1" applyBorder="1" applyAlignment="1">
      <alignment horizontal="center" vertical="center"/>
    </xf>
    <xf numFmtId="169" fontId="13" fillId="0" borderId="14" xfId="0" applyNumberFormat="1" applyFont="1" applyBorder="1" applyAlignment="1">
      <alignment horizontal="center" vertical="center"/>
    </xf>
    <xf numFmtId="170" fontId="13" fillId="0" borderId="14" xfId="2" applyNumberFormat="1" applyFont="1" applyBorder="1" applyAlignment="1">
      <alignment horizontal="center" vertical="center"/>
    </xf>
    <xf numFmtId="166" fontId="7" fillId="0" borderId="12" xfId="0" applyNumberFormat="1" applyFont="1" applyBorder="1" applyAlignment="1">
      <alignment horizontal="center" vertical="center"/>
    </xf>
    <xf numFmtId="170" fontId="13" fillId="0" borderId="12" xfId="2" applyNumberFormat="1" applyFont="1" applyBorder="1" applyAlignment="1">
      <alignment horizontal="center" vertical="center"/>
    </xf>
    <xf numFmtId="166" fontId="13" fillId="0" borderId="12" xfId="0" applyNumberFormat="1" applyFont="1" applyBorder="1" applyAlignment="1">
      <alignment horizontal="center" vertical="center"/>
    </xf>
    <xf numFmtId="169" fontId="13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/>
    <xf numFmtId="165" fontId="13" fillId="0" borderId="0" xfId="0" applyNumberFormat="1" applyFont="1"/>
    <xf numFmtId="0" fontId="9" fillId="0" borderId="0" xfId="0" applyFont="1"/>
    <xf numFmtId="0" fontId="7" fillId="0" borderId="0" xfId="0" applyFont="1"/>
    <xf numFmtId="0" fontId="13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36" fillId="0" borderId="0" xfId="0" applyFont="1" applyAlignment="1">
      <alignment horizontal="center"/>
    </xf>
    <xf numFmtId="0" fontId="12" fillId="0" borderId="0" xfId="0" applyFont="1"/>
    <xf numFmtId="0" fontId="4" fillId="0" borderId="0" xfId="0" applyFont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20" xfId="0" applyBorder="1"/>
    <xf numFmtId="0" fontId="0" fillId="0" borderId="10" xfId="0" applyBorder="1"/>
    <xf numFmtId="165" fontId="0" fillId="0" borderId="0" xfId="0" applyNumberFormat="1"/>
    <xf numFmtId="0" fontId="2" fillId="0" borderId="16" xfId="0" applyFont="1" applyBorder="1"/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7" fillId="0" borderId="22" xfId="0" applyFont="1" applyBorder="1" applyAlignment="1">
      <alignment vertical="center"/>
    </xf>
    <xf numFmtId="165" fontId="7" fillId="0" borderId="23" xfId="0" applyNumberFormat="1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165" fontId="3" fillId="0" borderId="24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165" fontId="5" fillId="0" borderId="26" xfId="0" applyNumberFormat="1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165" fontId="5" fillId="0" borderId="28" xfId="0" applyNumberFormat="1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165" fontId="5" fillId="0" borderId="9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65" fontId="2" fillId="0" borderId="12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166" fontId="2" fillId="0" borderId="13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top"/>
      <protection locked="0"/>
    </xf>
    <xf numFmtId="165" fontId="5" fillId="0" borderId="30" xfId="0" applyNumberFormat="1" applyFont="1" applyBorder="1" applyAlignment="1" applyProtection="1">
      <alignment vertical="center"/>
      <protection locked="0"/>
    </xf>
    <xf numFmtId="165" fontId="5" fillId="0" borderId="23" xfId="0" applyNumberFormat="1" applyFont="1" applyBorder="1" applyAlignment="1" applyProtection="1">
      <alignment vertical="center"/>
      <protection locked="0"/>
    </xf>
    <xf numFmtId="165" fontId="5" fillId="0" borderId="31" xfId="0" applyNumberFormat="1" applyFont="1" applyBorder="1" applyAlignment="1" applyProtection="1">
      <alignment vertical="center"/>
      <protection locked="0"/>
    </xf>
    <xf numFmtId="166" fontId="0" fillId="0" borderId="0" xfId="0" applyNumberFormat="1"/>
    <xf numFmtId="3" fontId="0" fillId="0" borderId="0" xfId="0" applyNumberFormat="1"/>
    <xf numFmtId="0" fontId="4" fillId="0" borderId="0" xfId="0" applyFont="1"/>
    <xf numFmtId="0" fontId="2" fillId="0" borderId="3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166" fontId="0" fillId="0" borderId="35" xfId="0" applyNumberFormat="1" applyBorder="1" applyAlignment="1">
      <alignment horizontal="center" vertical="center"/>
    </xf>
    <xf numFmtId="3" fontId="0" fillId="0" borderId="36" xfId="0" applyNumberFormat="1" applyBorder="1" applyAlignment="1">
      <alignment vertical="center"/>
    </xf>
    <xf numFmtId="166" fontId="0" fillId="0" borderId="37" xfId="0" applyNumberFormat="1" applyBorder="1" applyAlignment="1">
      <alignment vertical="center"/>
    </xf>
    <xf numFmtId="166" fontId="0" fillId="0" borderId="38" xfId="0" applyNumberFormat="1" applyBorder="1" applyAlignment="1">
      <alignment horizontal="center" vertical="center"/>
    </xf>
    <xf numFmtId="3" fontId="0" fillId="0" borderId="27" xfId="0" applyNumberFormat="1" applyBorder="1" applyAlignment="1">
      <alignment vertical="center"/>
    </xf>
    <xf numFmtId="166" fontId="0" fillId="0" borderId="39" xfId="0" applyNumberFormat="1" applyBorder="1" applyAlignment="1">
      <alignment vertical="center"/>
    </xf>
    <xf numFmtId="0" fontId="5" fillId="0" borderId="40" xfId="0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5" fillId="0" borderId="42" xfId="0" applyFont="1" applyBorder="1" applyAlignment="1">
      <alignment vertical="center"/>
    </xf>
    <xf numFmtId="166" fontId="0" fillId="0" borderId="43" xfId="0" applyNumberFormat="1" applyBorder="1" applyAlignment="1">
      <alignment horizontal="center" vertical="center"/>
    </xf>
    <xf numFmtId="165" fontId="2" fillId="0" borderId="44" xfId="0" applyNumberFormat="1" applyFont="1" applyBorder="1" applyAlignment="1">
      <alignment vertical="center"/>
    </xf>
    <xf numFmtId="166" fontId="0" fillId="0" borderId="44" xfId="0" applyNumberFormat="1" applyBorder="1" applyAlignment="1">
      <alignment horizontal="center" vertical="center"/>
    </xf>
    <xf numFmtId="3" fontId="0" fillId="0" borderId="11" xfId="0" applyNumberFormat="1" applyBorder="1" applyAlignment="1">
      <alignment vertical="center"/>
    </xf>
    <xf numFmtId="166" fontId="0" fillId="0" borderId="12" xfId="0" applyNumberFormat="1" applyBorder="1" applyAlignment="1">
      <alignment vertical="center"/>
    </xf>
    <xf numFmtId="166" fontId="2" fillId="0" borderId="21" xfId="0" applyNumberFormat="1" applyFont="1" applyBorder="1" applyAlignment="1">
      <alignment horizontal="center" vertical="center"/>
    </xf>
    <xf numFmtId="166" fontId="2" fillId="0" borderId="2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1" fontId="13" fillId="0" borderId="11" xfId="0" applyNumberFormat="1" applyFont="1" applyBorder="1" applyAlignment="1">
      <alignment horizontal="center" vertical="center"/>
    </xf>
    <xf numFmtId="166" fontId="13" fillId="0" borderId="14" xfId="0" applyNumberFormat="1" applyFont="1" applyBorder="1" applyAlignment="1">
      <alignment horizontal="center" vertical="center"/>
    </xf>
    <xf numFmtId="3" fontId="22" fillId="0" borderId="11" xfId="0" applyNumberFormat="1" applyFont="1" applyBorder="1" applyAlignment="1">
      <alignment horizontal="center" vertical="center"/>
    </xf>
    <xf numFmtId="166" fontId="22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7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3" fontId="9" fillId="0" borderId="0" xfId="0" applyNumberFormat="1" applyFont="1"/>
    <xf numFmtId="4" fontId="0" fillId="0" borderId="0" xfId="0" applyNumberFormat="1"/>
    <xf numFmtId="0" fontId="13" fillId="0" borderId="0" xfId="0" applyFont="1" applyAlignment="1">
      <alignment horizontal="left" vertical="center"/>
    </xf>
    <xf numFmtId="3" fontId="8" fillId="0" borderId="0" xfId="0" applyNumberFormat="1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170" fontId="13" fillId="0" borderId="13" xfId="2" applyNumberFormat="1" applyFont="1" applyBorder="1" applyAlignment="1" applyProtection="1">
      <alignment horizontal="center" vertical="center"/>
    </xf>
    <xf numFmtId="166" fontId="7" fillId="0" borderId="13" xfId="0" applyNumberFormat="1" applyFont="1" applyBorder="1" applyAlignment="1">
      <alignment horizontal="center" vertical="center"/>
    </xf>
    <xf numFmtId="167" fontId="38" fillId="0" borderId="0" xfId="0" applyNumberFormat="1" applyFont="1" applyAlignment="1" applyProtection="1">
      <alignment horizontal="left"/>
      <protection locked="0"/>
    </xf>
    <xf numFmtId="0" fontId="10" fillId="0" borderId="0" xfId="8" applyFont="1" applyProtection="1">
      <protection locked="0"/>
    </xf>
    <xf numFmtId="165" fontId="10" fillId="0" borderId="0" xfId="8" applyNumberFormat="1" applyFont="1" applyProtection="1"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20" fontId="16" fillId="0" borderId="46" xfId="0" applyNumberFormat="1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20" fontId="16" fillId="0" borderId="46" xfId="0" applyNumberFormat="1" applyFont="1" applyBorder="1" applyProtection="1">
      <protection locked="0"/>
    </xf>
    <xf numFmtId="0" fontId="2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12" fillId="0" borderId="0" xfId="0" applyFont="1" applyProtection="1">
      <protection locked="0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0" fillId="0" borderId="49" xfId="0" applyBorder="1"/>
    <xf numFmtId="0" fontId="0" fillId="0" borderId="18" xfId="0" applyBorder="1"/>
    <xf numFmtId="0" fontId="0" fillId="0" borderId="50" xfId="0" applyBorder="1"/>
    <xf numFmtId="0" fontId="0" fillId="0" borderId="7" xfId="0" applyBorder="1"/>
    <xf numFmtId="0" fontId="0" fillId="0" borderId="17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3" xfId="0" applyFont="1" applyBorder="1"/>
    <xf numFmtId="0" fontId="16" fillId="0" borderId="0" xfId="0" applyFont="1"/>
    <xf numFmtId="0" fontId="2" fillId="0" borderId="0" xfId="0" applyFont="1"/>
    <xf numFmtId="0" fontId="4" fillId="0" borderId="4" xfId="0" applyFont="1" applyBorder="1"/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47" xfId="0" applyFont="1" applyBorder="1" applyAlignment="1">
      <alignment horizontal="left" vertical="top" wrapText="1"/>
    </xf>
    <xf numFmtId="0" fontId="11" fillId="0" borderId="0" xfId="0" applyFont="1" applyAlignment="1">
      <alignment horizontal="right"/>
    </xf>
    <xf numFmtId="0" fontId="16" fillId="0" borderId="49" xfId="0" applyFont="1" applyBorder="1"/>
    <xf numFmtId="0" fontId="6" fillId="0" borderId="18" xfId="0" applyFont="1" applyBorder="1"/>
    <xf numFmtId="0" fontId="16" fillId="0" borderId="18" xfId="0" applyFont="1" applyBorder="1"/>
    <xf numFmtId="0" fontId="6" fillId="0" borderId="0" xfId="0" applyFont="1"/>
    <xf numFmtId="0" fontId="6" fillId="0" borderId="50" xfId="0" applyFont="1" applyBorder="1"/>
    <xf numFmtId="0" fontId="4" fillId="0" borderId="3" xfId="0" applyFont="1" applyBorder="1"/>
    <xf numFmtId="49" fontId="0" fillId="0" borderId="0" xfId="0" applyNumberFormat="1" applyAlignment="1">
      <alignment horizontal="left"/>
    </xf>
    <xf numFmtId="0" fontId="16" fillId="0" borderId="3" xfId="0" applyFont="1" applyBorder="1"/>
    <xf numFmtId="0" fontId="0" fillId="0" borderId="15" xfId="0" applyBorder="1"/>
    <xf numFmtId="0" fontId="12" fillId="0" borderId="3" xfId="0" applyFont="1" applyBorder="1"/>
    <xf numFmtId="0" fontId="12" fillId="0" borderId="0" xfId="0" applyFont="1" applyAlignment="1">
      <alignment horizontal="right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171" fontId="0" fillId="0" borderId="21" xfId="0" applyNumberFormat="1" applyBorder="1" applyAlignment="1" applyProtection="1">
      <alignment horizontal="center" vertical="center"/>
      <protection locked="0"/>
    </xf>
    <xf numFmtId="171" fontId="0" fillId="0" borderId="16" xfId="0" applyNumberFormat="1" applyBorder="1" applyAlignment="1" applyProtection="1">
      <alignment horizontal="center" vertical="center"/>
      <protection locked="0"/>
    </xf>
    <xf numFmtId="171" fontId="0" fillId="0" borderId="51" xfId="0" applyNumberFormat="1" applyBorder="1" applyAlignment="1" applyProtection="1">
      <alignment horizontal="center" vertical="center"/>
      <protection locked="0"/>
    </xf>
    <xf numFmtId="171" fontId="0" fillId="0" borderId="52" xfId="0" applyNumberFormat="1" applyBorder="1" applyAlignment="1" applyProtection="1">
      <alignment horizontal="center" vertical="center"/>
      <protection locked="0"/>
    </xf>
    <xf numFmtId="171" fontId="0" fillId="0" borderId="24" xfId="0" applyNumberFormat="1" applyBorder="1" applyAlignment="1" applyProtection="1">
      <alignment horizontal="center" vertical="center"/>
      <protection locked="0"/>
    </xf>
    <xf numFmtId="171" fontId="5" fillId="0" borderId="16" xfId="0" applyNumberFormat="1" applyFont="1" applyBorder="1" applyAlignment="1" applyProtection="1">
      <alignment horizontal="center" vertical="center"/>
      <protection locked="0"/>
    </xf>
    <xf numFmtId="167" fontId="23" fillId="0" borderId="0" xfId="0" applyNumberFormat="1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4" fontId="25" fillId="0" borderId="0" xfId="0" applyNumberFormat="1" applyFont="1" applyAlignment="1" applyProtection="1">
      <alignment horizontal="left" vertical="top" wrapText="1"/>
      <protection hidden="1"/>
    </xf>
    <xf numFmtId="0" fontId="25" fillId="0" borderId="0" xfId="0" applyFont="1" applyAlignment="1" applyProtection="1">
      <alignment horizontal="left" vertical="top" wrapText="1" indent="1"/>
      <protection hidden="1"/>
    </xf>
    <xf numFmtId="14" fontId="6" fillId="0" borderId="0" xfId="0" applyNumberFormat="1" applyFont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left" vertical="top" wrapText="1" indent="1"/>
      <protection hidden="1"/>
    </xf>
    <xf numFmtId="0" fontId="35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39" fillId="0" borderId="0" xfId="0" applyFont="1"/>
    <xf numFmtId="0" fontId="40" fillId="0" borderId="0" xfId="0" applyFont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left"/>
    </xf>
    <xf numFmtId="171" fontId="5" fillId="0" borderId="44" xfId="0" applyNumberFormat="1" applyFont="1" applyBorder="1" applyAlignment="1">
      <alignment horizontal="center" vertical="center"/>
    </xf>
    <xf numFmtId="166" fontId="26" fillId="0" borderId="48" xfId="0" applyNumberFormat="1" applyFont="1" applyBorder="1" applyAlignment="1">
      <alignment horizontal="center"/>
    </xf>
    <xf numFmtId="3" fontId="26" fillId="0" borderId="0" xfId="0" applyNumberFormat="1" applyFont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48" xfId="0" applyFont="1" applyBorder="1" applyAlignment="1">
      <alignment horizontal="center"/>
    </xf>
    <xf numFmtId="165" fontId="26" fillId="0" borderId="0" xfId="0" applyNumberFormat="1" applyFont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11" xfId="0" applyFont="1" applyBorder="1" applyAlignment="1">
      <alignment horizontal="center" vertical="center"/>
    </xf>
    <xf numFmtId="166" fontId="19" fillId="0" borderId="13" xfId="0" applyNumberFormat="1" applyFont="1" applyBorder="1" applyAlignment="1">
      <alignment horizontal="center" vertical="center"/>
    </xf>
    <xf numFmtId="1" fontId="26" fillId="0" borderId="0" xfId="0" applyNumberFormat="1" applyFont="1" applyAlignment="1">
      <alignment horizontal="center"/>
    </xf>
    <xf numFmtId="166" fontId="26" fillId="0" borderId="0" xfId="0" applyNumberFormat="1" applyFont="1" applyAlignment="1">
      <alignment horizontal="center"/>
    </xf>
    <xf numFmtId="0" fontId="5" fillId="0" borderId="0" xfId="4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" textRotation="90"/>
    </xf>
    <xf numFmtId="167" fontId="24" fillId="0" borderId="0" xfId="0" applyNumberFormat="1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left"/>
      <protection locked="0"/>
    </xf>
    <xf numFmtId="49" fontId="23" fillId="0" borderId="0" xfId="0" applyNumberFormat="1" applyFont="1" applyAlignment="1" applyProtection="1">
      <alignment horizontal="left"/>
      <protection locked="0"/>
    </xf>
    <xf numFmtId="49" fontId="23" fillId="0" borderId="0" xfId="0" applyNumberFormat="1" applyFont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167" fontId="23" fillId="0" borderId="0" xfId="0" applyNumberFormat="1" applyFont="1" applyAlignment="1" applyProtection="1">
      <alignment horizontal="left"/>
      <protection locked="0"/>
    </xf>
    <xf numFmtId="168" fontId="24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center" textRotation="90"/>
    </xf>
    <xf numFmtId="0" fontId="24" fillId="0" borderId="0" xfId="0" applyFont="1" applyAlignment="1" applyProtection="1">
      <alignment horizontal="center" wrapText="1"/>
      <protection locked="0"/>
    </xf>
    <xf numFmtId="167" fontId="38" fillId="0" borderId="0" xfId="0" applyNumberFormat="1" applyFont="1" applyAlignment="1">
      <alignment horizontal="left"/>
    </xf>
    <xf numFmtId="0" fontId="38" fillId="0" borderId="0" xfId="0" applyFont="1" applyAlignment="1">
      <alignment horizontal="left"/>
    </xf>
    <xf numFmtId="0" fontId="38" fillId="0" borderId="0" xfId="0" applyFont="1"/>
    <xf numFmtId="0" fontId="38" fillId="0" borderId="0" xfId="0" applyFont="1" applyAlignment="1">
      <alignment horizontal="center"/>
    </xf>
    <xf numFmtId="0" fontId="38" fillId="0" borderId="0" xfId="5" applyFont="1"/>
    <xf numFmtId="0" fontId="38" fillId="0" borderId="0" xfId="5" applyFont="1" applyAlignment="1">
      <alignment horizontal="center"/>
    </xf>
    <xf numFmtId="0" fontId="38" fillId="0" borderId="0" xfId="0" applyFont="1" applyAlignment="1" applyProtection="1">
      <alignment horizontal="center"/>
      <protection locked="0"/>
    </xf>
    <xf numFmtId="0" fontId="38" fillId="0" borderId="0" xfId="0" applyFont="1" applyAlignment="1">
      <alignment horizontal="center" textRotation="90"/>
    </xf>
    <xf numFmtId="49" fontId="38" fillId="0" borderId="0" xfId="0" applyNumberFormat="1" applyFont="1"/>
    <xf numFmtId="0" fontId="38" fillId="0" borderId="0" xfId="6" applyFont="1"/>
    <xf numFmtId="0" fontId="38" fillId="0" borderId="0" xfId="6" applyFont="1" applyAlignment="1">
      <alignment horizontal="center"/>
    </xf>
    <xf numFmtId="0" fontId="38" fillId="0" borderId="0" xfId="7" applyFont="1"/>
    <xf numFmtId="0" fontId="38" fillId="0" borderId="0" xfId="7" applyFont="1" applyAlignment="1">
      <alignment horizontal="center"/>
    </xf>
    <xf numFmtId="0" fontId="38" fillId="0" borderId="0" xfId="4" applyFont="1"/>
    <xf numFmtId="0" fontId="38" fillId="0" borderId="0" xfId="4" applyFont="1" applyAlignment="1">
      <alignment horizontal="center"/>
    </xf>
    <xf numFmtId="49" fontId="38" fillId="0" borderId="0" xfId="0" applyNumberFormat="1" applyFont="1" applyAlignment="1">
      <alignment horizontal="left"/>
    </xf>
    <xf numFmtId="167" fontId="38" fillId="0" borderId="0" xfId="6" applyNumberFormat="1" applyFont="1" applyAlignment="1">
      <alignment horizontal="left"/>
    </xf>
    <xf numFmtId="0" fontId="38" fillId="0" borderId="0" xfId="6" applyFont="1" applyAlignment="1">
      <alignment horizontal="left"/>
    </xf>
    <xf numFmtId="49" fontId="38" fillId="0" borderId="0" xfId="0" applyNumberFormat="1" applyFont="1" applyAlignment="1">
      <alignment horizontal="center"/>
    </xf>
    <xf numFmtId="0" fontId="38" fillId="0" borderId="0" xfId="0" applyFont="1" applyAlignment="1" applyProtection="1">
      <alignment horizontal="center" vertical="center"/>
      <protection locked="0"/>
    </xf>
    <xf numFmtId="0" fontId="23" fillId="0" borderId="0" xfId="6" applyFont="1"/>
    <xf numFmtId="0" fontId="23" fillId="0" borderId="0" xfId="6" applyFont="1" applyAlignment="1">
      <alignment horizontal="center"/>
    </xf>
    <xf numFmtId="49" fontId="23" fillId="0" borderId="0" xfId="0" applyNumberFormat="1" applyFont="1"/>
    <xf numFmtId="0" fontId="23" fillId="0" borderId="0" xfId="4" applyFont="1"/>
    <xf numFmtId="0" fontId="23" fillId="0" borderId="0" xfId="4" applyFont="1" applyAlignment="1">
      <alignment horizontal="center"/>
    </xf>
    <xf numFmtId="49" fontId="23" fillId="0" borderId="0" xfId="0" applyNumberFormat="1" applyFont="1" applyAlignment="1" applyProtection="1">
      <alignment horizontal="center"/>
      <protection locked="0"/>
    </xf>
    <xf numFmtId="0" fontId="5" fillId="0" borderId="47" xfId="0" applyFont="1" applyBorder="1" applyAlignment="1">
      <alignment horizontal="center" vertical="center"/>
    </xf>
    <xf numFmtId="0" fontId="28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30" fillId="0" borderId="0" xfId="0" applyFont="1" applyAlignment="1" applyProtection="1">
      <alignment horizontal="left" wrapText="1"/>
      <protection locked="0"/>
    </xf>
    <xf numFmtId="168" fontId="30" fillId="0" borderId="0" xfId="0" applyNumberFormat="1" applyFont="1" applyAlignment="1" applyProtection="1">
      <alignment horizontal="right"/>
      <protection locked="0"/>
    </xf>
    <xf numFmtId="0" fontId="27" fillId="0" borderId="0" xfId="0" applyFont="1" applyAlignment="1" applyProtection="1">
      <alignment horizontal="center"/>
      <protection locked="0"/>
    </xf>
    <xf numFmtId="0" fontId="27" fillId="0" borderId="0" xfId="0" applyFont="1" applyProtection="1">
      <protection locked="0"/>
    </xf>
    <xf numFmtId="0" fontId="27" fillId="0" borderId="0" xfId="0" applyFont="1" applyAlignment="1" applyProtection="1">
      <alignment horizontal="right"/>
      <protection locked="0"/>
    </xf>
    <xf numFmtId="0" fontId="27" fillId="0" borderId="0" xfId="11" applyFont="1"/>
    <xf numFmtId="0" fontId="27" fillId="0" borderId="0" xfId="11" applyFont="1" applyAlignment="1">
      <alignment horizontal="center"/>
    </xf>
    <xf numFmtId="2" fontId="30" fillId="0" borderId="0" xfId="0" applyNumberFormat="1" applyFont="1" applyProtection="1">
      <protection locked="0"/>
    </xf>
    <xf numFmtId="0" fontId="29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right"/>
      <protection locked="0"/>
    </xf>
    <xf numFmtId="0" fontId="29" fillId="0" borderId="0" xfId="0" applyFont="1" applyAlignment="1" applyProtection="1">
      <alignment vertical="center"/>
      <protection locked="0"/>
    </xf>
    <xf numFmtId="167" fontId="42" fillId="0" borderId="0" xfId="0" applyNumberFormat="1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0" xfId="0" applyFont="1"/>
    <xf numFmtId="0" fontId="42" fillId="0" borderId="0" xfId="0" applyFont="1" applyAlignment="1">
      <alignment horizontal="center"/>
    </xf>
    <xf numFmtId="0" fontId="42" fillId="0" borderId="0" xfId="6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14" fontId="5" fillId="0" borderId="48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54" xfId="0" applyNumberFormat="1" applyFont="1" applyBorder="1" applyAlignment="1">
      <alignment horizontal="center" vertical="center"/>
    </xf>
    <xf numFmtId="14" fontId="5" fillId="0" borderId="18" xfId="0" applyNumberFormat="1" applyFont="1" applyBorder="1" applyAlignment="1">
      <alignment horizontal="center" vertical="center"/>
    </xf>
    <xf numFmtId="14" fontId="5" fillId="0" borderId="5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4" fontId="0" fillId="0" borderId="29" xfId="0" applyNumberFormat="1" applyBorder="1" applyAlignment="1">
      <alignment horizontal="left"/>
    </xf>
    <xf numFmtId="14" fontId="0" fillId="0" borderId="32" xfId="0" applyNumberFormat="1" applyBorder="1" applyAlignment="1">
      <alignment horizontal="left"/>
    </xf>
    <xf numFmtId="14" fontId="0" fillId="0" borderId="30" xfId="0" applyNumberFormat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0" xfId="0" applyBorder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16" fillId="0" borderId="18" xfId="0" applyFont="1" applyBorder="1" applyAlignment="1">
      <alignment horizontal="right"/>
    </xf>
    <xf numFmtId="0" fontId="10" fillId="0" borderId="29" xfId="0" applyFont="1" applyBorder="1" applyAlignment="1" applyProtection="1">
      <alignment horizontal="left" vertical="top" wrapText="1"/>
      <protection locked="0"/>
    </xf>
    <xf numFmtId="0" fontId="10" fillId="0" borderId="32" xfId="0" applyFont="1" applyBorder="1" applyAlignment="1" applyProtection="1">
      <alignment horizontal="left" vertical="top" wrapText="1"/>
      <protection locked="0"/>
    </xf>
    <xf numFmtId="0" fontId="12" fillId="0" borderId="32" xfId="0" applyFont="1" applyBorder="1" applyAlignment="1" applyProtection="1">
      <alignment horizontal="left" vertical="top" wrapText="1"/>
      <protection locked="0"/>
    </xf>
    <xf numFmtId="0" fontId="12" fillId="0" borderId="30" xfId="0" applyFont="1" applyBorder="1" applyAlignment="1" applyProtection="1">
      <alignment horizontal="left" vertical="top" wrapText="1"/>
      <protection locked="0"/>
    </xf>
    <xf numFmtId="0" fontId="10" fillId="0" borderId="30" xfId="0" applyFont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44" fontId="10" fillId="0" borderId="29" xfId="9" applyFont="1" applyBorder="1" applyAlignment="1" applyProtection="1">
      <alignment horizontal="left" vertical="top" wrapText="1"/>
      <protection locked="0"/>
    </xf>
    <xf numFmtId="44" fontId="10" fillId="0" borderId="32" xfId="9" applyFont="1" applyBorder="1" applyAlignment="1" applyProtection="1">
      <alignment horizontal="left" vertical="top" wrapText="1"/>
      <protection locked="0"/>
    </xf>
    <xf numFmtId="44" fontId="10" fillId="0" borderId="30" xfId="9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0" fillId="0" borderId="37" xfId="0" applyNumberFormat="1" applyBorder="1" applyAlignment="1">
      <alignment horizontal="center" vertical="center"/>
    </xf>
    <xf numFmtId="166" fontId="0" fillId="0" borderId="39" xfId="0" applyNumberFormat="1" applyBorder="1" applyAlignment="1">
      <alignment horizontal="center" vertical="center"/>
    </xf>
    <xf numFmtId="166" fontId="0" fillId="0" borderId="4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 textRotation="90"/>
    </xf>
    <xf numFmtId="0" fontId="0" fillId="0" borderId="56" xfId="0" applyBorder="1" applyAlignment="1">
      <alignment horizontal="center" vertical="center" textRotation="90"/>
    </xf>
    <xf numFmtId="0" fontId="0" fillId="0" borderId="57" xfId="0" applyBorder="1" applyAlignment="1">
      <alignment horizontal="center" vertical="center" textRotation="90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4" fontId="7" fillId="0" borderId="29" xfId="0" applyNumberFormat="1" applyFont="1" applyBorder="1" applyAlignment="1">
      <alignment horizontal="center" vertical="center"/>
    </xf>
    <xf numFmtId="14" fontId="7" fillId="0" borderId="32" xfId="0" applyNumberFormat="1" applyFont="1" applyBorder="1" applyAlignment="1">
      <alignment horizontal="center" vertical="center"/>
    </xf>
    <xf numFmtId="14" fontId="7" fillId="0" borderId="30" xfId="0" applyNumberFormat="1" applyFont="1" applyBorder="1" applyAlignment="1">
      <alignment horizontal="center" vertical="center"/>
    </xf>
    <xf numFmtId="0" fontId="21" fillId="0" borderId="48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90"/>
    </xf>
    <xf numFmtId="0" fontId="5" fillId="0" borderId="56" xfId="0" applyFont="1" applyBorder="1" applyAlignment="1">
      <alignment horizontal="center" vertical="center" textRotation="90"/>
    </xf>
    <xf numFmtId="0" fontId="5" fillId="0" borderId="57" xfId="0" applyFont="1" applyBorder="1" applyAlignment="1">
      <alignment horizontal="center" vertical="center" textRotation="90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1" fontId="5" fillId="0" borderId="30" xfId="0" applyNumberFormat="1" applyFon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0" borderId="29" xfId="9" applyNumberFormat="1" applyFont="1" applyBorder="1" applyAlignment="1" applyProtection="1">
      <alignment horizontal="left" vertical="top" wrapText="1"/>
      <protection locked="0"/>
    </xf>
    <xf numFmtId="0" fontId="10" fillId="0" borderId="32" xfId="9" applyNumberFormat="1" applyFont="1" applyBorder="1" applyAlignment="1" applyProtection="1">
      <alignment horizontal="left" vertical="top" wrapText="1"/>
      <protection locked="0"/>
    </xf>
    <xf numFmtId="0" fontId="10" fillId="0" borderId="30" xfId="9" applyNumberFormat="1" applyFont="1" applyBorder="1" applyAlignment="1" applyProtection="1">
      <alignment horizontal="left" vertical="top" wrapText="1"/>
      <protection locked="0"/>
    </xf>
    <xf numFmtId="14" fontId="7" fillId="0" borderId="5" xfId="0" applyNumberFormat="1" applyFont="1" applyBorder="1" applyAlignment="1">
      <alignment horizontal="center" vertical="center"/>
    </xf>
    <xf numFmtId="166" fontId="0" fillId="0" borderId="35" xfId="0" applyNumberFormat="1" applyBorder="1" applyAlignment="1">
      <alignment horizontal="right" vertical="center"/>
    </xf>
  </cellXfs>
  <cellStyles count="12">
    <cellStyle name="Euro" xfId="1" xr:uid="{00000000-0005-0000-0000-000000000000}"/>
    <cellStyle name="Komma" xfId="2" builtinId="3"/>
    <cellStyle name="Komma 2" xfId="3" xr:uid="{00000000-0005-0000-0000-000002000000}"/>
    <cellStyle name="Standard" xfId="0" builtinId="0"/>
    <cellStyle name="Standard 2" xfId="4" xr:uid="{00000000-0005-0000-0000-000004000000}"/>
    <cellStyle name="Standard 2 3" xfId="5" xr:uid="{00000000-0005-0000-0000-000005000000}"/>
    <cellStyle name="Standard 5" xfId="6" xr:uid="{00000000-0005-0000-0000-000006000000}"/>
    <cellStyle name="Standard 7" xfId="7" xr:uid="{00000000-0005-0000-0000-000007000000}"/>
    <cellStyle name="Standard 8" xfId="11" xr:uid="{00000000-0005-0000-0000-000008000000}"/>
    <cellStyle name="Standard_BM Jugend Do 2008" xfId="8" xr:uid="{00000000-0005-0000-0000-000009000000}"/>
    <cellStyle name="Währung 2" xfId="9" xr:uid="{00000000-0005-0000-0000-00000A000000}"/>
    <cellStyle name="Währung 2 2" xfId="10" xr:uid="{00000000-0005-0000-0000-00000B000000}"/>
  </cellStyles>
  <dxfs count="22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RTHWADER\ServerVolume_E\Bowlingserver\Bowling\BSKV\Programme\Ligaprogramm%20Hessen\V5.4.2\Ligaprogramm_Bayern_LL-AKLV5.4.2_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log"/>
      <sheetName val="Eingabe"/>
      <sheetName val="Mannschaften"/>
      <sheetName val="RL"/>
      <sheetName val="GSL"/>
      <sheetName val="TSL"/>
      <sheetName val="Tabelle"/>
      <sheetName val="Tagesschnittliste"/>
      <sheetName val="Gesamtschnittliste"/>
      <sheetName val="0.Start"/>
      <sheetName val="Verwarnungen"/>
      <sheetName val="1.Start"/>
      <sheetName val="SRBericht1"/>
      <sheetName val="2.Start"/>
      <sheetName val="SRBericht2"/>
      <sheetName val="3.Start"/>
      <sheetName val="SRBericht3"/>
      <sheetName val="4.Start"/>
      <sheetName val="SRBericht4"/>
      <sheetName val="5.Start"/>
      <sheetName val="SRBericht5"/>
      <sheetName val="6.Start"/>
      <sheetName val="SRBericht6"/>
      <sheetName val="7.Start"/>
      <sheetName val="SRBericht7"/>
      <sheetName val="8.Start"/>
      <sheetName val="SRBericht8"/>
      <sheetName val="9.Start"/>
      <sheetName val="SRBericht9"/>
      <sheetName val="SRBericht10"/>
      <sheetName val="10.Start"/>
      <sheetName val="Codeselect"/>
    </sheetNames>
    <sheetDataSet>
      <sheetData sheetId="0"/>
      <sheetData sheetId="1">
        <row r="1">
          <cell r="J1">
            <v>10</v>
          </cell>
          <cell r="AE1">
            <v>13</v>
          </cell>
          <cell r="AI1">
            <v>20</v>
          </cell>
        </row>
        <row r="2">
          <cell r="J2">
            <v>6</v>
          </cell>
          <cell r="AE2" t="str">
            <v>$G$7</v>
          </cell>
          <cell r="AI2" t="str">
            <v>$G$2</v>
          </cell>
          <cell r="AJ2">
            <v>2</v>
          </cell>
          <cell r="AK2">
            <v>5</v>
          </cell>
          <cell r="AL2">
            <v>13</v>
          </cell>
          <cell r="AM2">
            <v>21</v>
          </cell>
          <cell r="AN2">
            <v>11</v>
          </cell>
        </row>
        <row r="3">
          <cell r="J3">
            <v>9</v>
          </cell>
          <cell r="AE3" t="str">
            <v>$X$19</v>
          </cell>
          <cell r="AJ3">
            <v>4</v>
          </cell>
          <cell r="AK3">
            <v>8</v>
          </cell>
          <cell r="AL3">
            <v>16</v>
          </cell>
          <cell r="AM3">
            <v>24</v>
          </cell>
          <cell r="AN3">
            <v>19</v>
          </cell>
        </row>
        <row r="4">
          <cell r="AE4" t="str">
            <v>$X$6</v>
          </cell>
          <cell r="AI4">
            <v>8</v>
          </cell>
          <cell r="AJ4">
            <v>10</v>
          </cell>
          <cell r="AK4">
            <v>9</v>
          </cell>
          <cell r="AL4">
            <v>17</v>
          </cell>
          <cell r="AM4">
            <v>25</v>
          </cell>
          <cell r="AN4">
            <v>27</v>
          </cell>
          <cell r="AQ4" t="str">
            <v>$O$9</v>
          </cell>
        </row>
        <row r="5">
          <cell r="AE5" t="str">
            <v>$X$5</v>
          </cell>
          <cell r="AI5">
            <v>14</v>
          </cell>
          <cell r="AJ5">
            <v>28</v>
          </cell>
          <cell r="AK5">
            <v>10</v>
          </cell>
          <cell r="AL5">
            <v>18</v>
          </cell>
          <cell r="AQ5" t="str">
            <v>$AP$9</v>
          </cell>
        </row>
        <row r="6">
          <cell r="AK6">
            <v>12</v>
          </cell>
          <cell r="AL6">
            <v>20</v>
          </cell>
          <cell r="AM6">
            <v>28</v>
          </cell>
        </row>
        <row r="8">
          <cell r="P8">
            <v>8</v>
          </cell>
        </row>
      </sheetData>
      <sheetData sheetId="2"/>
      <sheetData sheetId="3">
        <row r="11">
          <cell r="A11">
            <v>4</v>
          </cell>
        </row>
        <row r="12">
          <cell r="A12">
            <v>5</v>
          </cell>
        </row>
        <row r="13">
          <cell r="A13">
            <v>15</v>
          </cell>
        </row>
        <row r="15">
          <cell r="A15">
            <v>20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3"/>
  <sheetViews>
    <sheetView showGridLines="0" zoomScaleNormal="100" zoomScaleSheetLayoutView="100" workbookViewId="0">
      <selection activeCell="A2" sqref="A2:XFD3"/>
    </sheetView>
  </sheetViews>
  <sheetFormatPr baseColWidth="10" defaultRowHeight="13.5" x14ac:dyDescent="0.35"/>
  <cols>
    <col min="1" max="1" width="11.265625" style="197" bestFit="1" customWidth="1"/>
    <col min="2" max="2" width="17.06640625" style="198" customWidth="1"/>
    <col min="3" max="3" width="62.796875" style="198" customWidth="1"/>
  </cols>
  <sheetData>
    <row r="1" spans="1:3" ht="13.9" x14ac:dyDescent="0.35">
      <c r="A1" s="195" t="s">
        <v>1838</v>
      </c>
      <c r="B1" s="196" t="s">
        <v>2019</v>
      </c>
      <c r="C1" s="196" t="str">
        <f>"Prüfung / Änderung "&amp;TEXT(MAX(A:A),"TT.MM.JJJJ")</f>
        <v>Prüfung / Änderung 05.11.2024</v>
      </c>
    </row>
    <row r="2" spans="1:3" hidden="1" x14ac:dyDescent="0.35">
      <c r="A2" s="197">
        <v>45498</v>
      </c>
      <c r="C2" s="198" t="s">
        <v>2243</v>
      </c>
    </row>
    <row r="3" spans="1:3" hidden="1" x14ac:dyDescent="0.35">
      <c r="A3" s="197">
        <v>45601</v>
      </c>
      <c r="B3" s="198" t="s">
        <v>2563</v>
      </c>
      <c r="C3" s="198" t="s">
        <v>2564</v>
      </c>
    </row>
  </sheetData>
  <sheetProtection password="D714" sheet="1" objects="1" scenarios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E622"/>
  <sheetViews>
    <sheetView workbookViewId="0">
      <selection activeCell="C6" sqref="C6"/>
    </sheetView>
  </sheetViews>
  <sheetFormatPr baseColWidth="10" defaultRowHeight="12.75" x14ac:dyDescent="0.35"/>
  <cols>
    <col min="1" max="1" width="4.73046875" style="2" customWidth="1"/>
    <col min="2" max="2" width="15" style="2" customWidth="1"/>
    <col min="3" max="3" width="28.59765625" customWidth="1"/>
  </cols>
  <sheetData>
    <row r="1" spans="1:5" x14ac:dyDescent="0.35">
      <c r="A1" s="2">
        <v>1</v>
      </c>
      <c r="B1" s="6" t="s">
        <v>2428</v>
      </c>
      <c r="C1" s="5" t="s">
        <v>2426</v>
      </c>
      <c r="E1" t="s">
        <v>2407</v>
      </c>
    </row>
    <row r="2" spans="1:5" x14ac:dyDescent="0.35">
      <c r="A2" s="2">
        <v>2</v>
      </c>
      <c r="B2" s="6" t="s">
        <v>2429</v>
      </c>
      <c r="C2" s="5" t="s">
        <v>2422</v>
      </c>
      <c r="E2" t="s">
        <v>2408</v>
      </c>
    </row>
    <row r="3" spans="1:5" x14ac:dyDescent="0.35">
      <c r="A3" s="2">
        <v>3</v>
      </c>
      <c r="B3" s="6" t="s">
        <v>2430</v>
      </c>
      <c r="C3" s="5" t="s">
        <v>2426</v>
      </c>
      <c r="E3" t="s">
        <v>2409</v>
      </c>
    </row>
    <row r="4" spans="1:5" x14ac:dyDescent="0.35">
      <c r="A4" s="2">
        <v>4</v>
      </c>
      <c r="B4" s="6" t="s">
        <v>2431</v>
      </c>
      <c r="C4" s="5" t="s">
        <v>2419</v>
      </c>
      <c r="E4" t="s">
        <v>2410</v>
      </c>
    </row>
    <row r="5" spans="1:5" x14ac:dyDescent="0.35">
      <c r="A5" s="2">
        <v>5</v>
      </c>
      <c r="B5" s="6" t="s">
        <v>2432</v>
      </c>
      <c r="C5" s="5" t="s">
        <v>2409</v>
      </c>
      <c r="E5" t="s">
        <v>2411</v>
      </c>
    </row>
    <row r="6" spans="1:5" x14ac:dyDescent="0.35">
      <c r="A6" s="2">
        <v>6</v>
      </c>
      <c r="B6" s="4" t="s">
        <v>2433</v>
      </c>
      <c r="C6" s="5" t="s">
        <v>2425</v>
      </c>
      <c r="E6" t="s">
        <v>2412</v>
      </c>
    </row>
    <row r="7" spans="1:5" x14ac:dyDescent="0.35">
      <c r="E7" t="s">
        <v>2413</v>
      </c>
    </row>
    <row r="8" spans="1:5" x14ac:dyDescent="0.35">
      <c r="E8" t="s">
        <v>2414</v>
      </c>
    </row>
    <row r="9" spans="1:5" x14ac:dyDescent="0.35">
      <c r="E9" t="s">
        <v>2415</v>
      </c>
    </row>
    <row r="10" spans="1:5" x14ac:dyDescent="0.35">
      <c r="E10" t="s">
        <v>2416</v>
      </c>
    </row>
    <row r="11" spans="1:5" x14ac:dyDescent="0.35">
      <c r="E11" t="s">
        <v>2417</v>
      </c>
    </row>
    <row r="12" spans="1:5" x14ac:dyDescent="0.35">
      <c r="E12" t="s">
        <v>2418</v>
      </c>
    </row>
    <row r="13" spans="1:5" x14ac:dyDescent="0.35">
      <c r="E13" t="s">
        <v>2419</v>
      </c>
    </row>
    <row r="14" spans="1:5" x14ac:dyDescent="0.35">
      <c r="E14" t="s">
        <v>2420</v>
      </c>
    </row>
    <row r="15" spans="1:5" x14ac:dyDescent="0.35">
      <c r="E15" t="s">
        <v>2421</v>
      </c>
    </row>
    <row r="16" spans="1:5" x14ac:dyDescent="0.35">
      <c r="E16" t="s">
        <v>2422</v>
      </c>
    </row>
    <row r="17" spans="1:5" x14ac:dyDescent="0.35">
      <c r="E17" t="s">
        <v>2423</v>
      </c>
    </row>
    <row r="18" spans="1:5" ht="13.15" x14ac:dyDescent="0.4">
      <c r="A18" s="288" t="s">
        <v>2020</v>
      </c>
      <c r="B18" s="288"/>
      <c r="C18" s="199" t="s">
        <v>2244</v>
      </c>
      <c r="E18" t="s">
        <v>2424</v>
      </c>
    </row>
    <row r="19" spans="1:5" x14ac:dyDescent="0.35">
      <c r="E19" t="s">
        <v>2425</v>
      </c>
    </row>
    <row r="20" spans="1:5" ht="13.15" x14ac:dyDescent="0.4">
      <c r="A20" s="289" t="s">
        <v>2021</v>
      </c>
      <c r="B20" s="289"/>
      <c r="E20" t="s">
        <v>2426</v>
      </c>
    </row>
    <row r="21" spans="1:5" ht="13.15" x14ac:dyDescent="0.4">
      <c r="A21" s="200">
        <v>10</v>
      </c>
      <c r="B21" s="199" t="s">
        <v>1817</v>
      </c>
      <c r="E21" t="s">
        <v>2427</v>
      </c>
    </row>
    <row r="22" spans="1:5" ht="13.15" x14ac:dyDescent="0.4">
      <c r="A22" s="200">
        <v>6</v>
      </c>
      <c r="B22" s="201" t="s">
        <v>2022</v>
      </c>
    </row>
    <row r="23" spans="1:5" ht="13.15" x14ac:dyDescent="0.4">
      <c r="A23" s="200">
        <v>9</v>
      </c>
      <c r="B23" s="201" t="s">
        <v>2023</v>
      </c>
    </row>
    <row r="622" spans="1:3" x14ac:dyDescent="0.35">
      <c r="A622" s="287" t="s">
        <v>2018</v>
      </c>
      <c r="B622" s="287"/>
      <c r="C622" s="287"/>
    </row>
  </sheetData>
  <sheetProtection formatCells="0" formatColumns="0" formatRows="0"/>
  <mergeCells count="3">
    <mergeCell ref="A622:C622"/>
    <mergeCell ref="A18:B18"/>
    <mergeCell ref="A20:B20"/>
  </mergeCells>
  <dataValidations count="1">
    <dataValidation type="list" allowBlank="1" showInputMessage="1" showErrorMessage="1" sqref="C1:C6" xr:uid="{00000000-0002-0000-0100-000000000000}">
      <formula1>$E:$E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8"/>
  <dimension ref="A1:DR26"/>
  <sheetViews>
    <sheetView zoomScaleNormal="100" workbookViewId="0">
      <pane xSplit="2" ySplit="4" topLeftCell="C5" activePane="bottomRight" state="frozen"/>
      <selection activeCell="C10" sqref="C10"/>
      <selection pane="topRight" activeCell="C10" sqref="C10"/>
      <selection pane="bottomLeft" activeCell="C10" sqref="C10"/>
      <selection pane="bottomRight" activeCell="V30" sqref="V30"/>
    </sheetView>
  </sheetViews>
  <sheetFormatPr baseColWidth="10" defaultRowHeight="12.75" x14ac:dyDescent="0.35"/>
  <cols>
    <col min="1" max="1" width="3.796875" customWidth="1"/>
    <col min="2" max="2" width="25" style="2" customWidth="1"/>
    <col min="3" max="11" width="3.73046875" customWidth="1"/>
    <col min="12" max="12" width="3.73046875" style="3" customWidth="1"/>
    <col min="13" max="21" width="3.73046875" customWidth="1"/>
    <col min="22" max="22" width="5.73046875" customWidth="1"/>
    <col min="23" max="31" width="3.73046875" customWidth="1"/>
    <col min="32" max="32" width="3.73046875" style="3" customWidth="1"/>
    <col min="33" max="41" width="3.73046875" customWidth="1"/>
    <col min="42" max="42" width="5.73046875" customWidth="1"/>
    <col min="43" max="51" width="3.73046875" customWidth="1"/>
    <col min="52" max="52" width="3.73046875" style="3" customWidth="1"/>
    <col min="53" max="61" width="3.73046875" customWidth="1"/>
    <col min="62" max="62" width="5.73046875" customWidth="1"/>
    <col min="63" max="71" width="3.73046875" customWidth="1"/>
    <col min="72" max="72" width="3.73046875" style="3" customWidth="1"/>
    <col min="73" max="81" width="3.73046875" customWidth="1"/>
    <col min="82" max="82" width="5.73046875" customWidth="1"/>
    <col min="83" max="91" width="3.73046875" customWidth="1"/>
    <col min="92" max="92" width="3.73046875" style="3" customWidth="1"/>
    <col min="93" max="101" width="3.73046875" customWidth="1"/>
    <col min="102" max="102" width="5.73046875" customWidth="1"/>
    <col min="103" max="111" width="3.73046875" customWidth="1"/>
    <col min="112" max="112" width="3.73046875" style="3" customWidth="1"/>
    <col min="113" max="121" width="3.73046875" customWidth="1"/>
    <col min="122" max="122" width="5.73046875" customWidth="1"/>
  </cols>
  <sheetData>
    <row r="1" spans="1:122" ht="24" customHeight="1" x14ac:dyDescent="0.35">
      <c r="C1" s="308" t="s">
        <v>2538</v>
      </c>
      <c r="D1" s="296"/>
      <c r="E1" s="296"/>
      <c r="F1" s="296"/>
      <c r="G1" s="296"/>
      <c r="H1" s="296"/>
      <c r="I1" s="296"/>
      <c r="J1" s="296"/>
      <c r="K1" s="296"/>
      <c r="L1" s="297"/>
      <c r="M1" s="303" t="str">
        <f>VLOOKUP($S$2,Spielorte!$A$1:$C$6,2)</f>
        <v>12.10./13.10.</v>
      </c>
      <c r="N1" s="304"/>
      <c r="O1" s="304"/>
      <c r="P1" s="304"/>
      <c r="Q1" s="304"/>
      <c r="R1" s="304"/>
      <c r="S1" s="304"/>
      <c r="T1" s="304"/>
      <c r="U1" s="304"/>
      <c r="V1" s="305"/>
      <c r="W1" s="295" t="str">
        <f>+C1</f>
        <v>Bayernliga Frauen</v>
      </c>
      <c r="X1" s="296"/>
      <c r="Y1" s="296"/>
      <c r="Z1" s="296"/>
      <c r="AA1" s="296"/>
      <c r="AB1" s="296"/>
      <c r="AC1" s="296"/>
      <c r="AD1" s="296"/>
      <c r="AE1" s="296"/>
      <c r="AF1" s="297"/>
      <c r="AG1" s="303" t="str">
        <f>VLOOKUP($AM$2,Spielorte!$A$1:$C$6,2)</f>
        <v>02.11./03.11.</v>
      </c>
      <c r="AH1" s="304"/>
      <c r="AI1" s="304"/>
      <c r="AJ1" s="304"/>
      <c r="AK1" s="304"/>
      <c r="AL1" s="304"/>
      <c r="AM1" s="304"/>
      <c r="AN1" s="304"/>
      <c r="AO1" s="304"/>
      <c r="AP1" s="305"/>
      <c r="AQ1" s="295" t="str">
        <f>+W1</f>
        <v>Bayernliga Frauen</v>
      </c>
      <c r="AR1" s="296"/>
      <c r="AS1" s="296"/>
      <c r="AT1" s="296"/>
      <c r="AU1" s="296"/>
      <c r="AV1" s="296"/>
      <c r="AW1" s="296"/>
      <c r="AX1" s="296"/>
      <c r="AY1" s="296"/>
      <c r="AZ1" s="297"/>
      <c r="BA1" s="298" t="str">
        <f>VLOOKUP($BG$2,Spielorte!$A$1:$C$6,2)</f>
        <v>01.02./02.02.</v>
      </c>
      <c r="BB1" s="299"/>
      <c r="BC1" s="299"/>
      <c r="BD1" s="299"/>
      <c r="BE1" s="299"/>
      <c r="BF1" s="299"/>
      <c r="BG1" s="299"/>
      <c r="BH1" s="299"/>
      <c r="BI1" s="299"/>
      <c r="BJ1" s="300"/>
      <c r="BK1" s="295" t="str">
        <f>+AQ1</f>
        <v>Bayernliga Frauen</v>
      </c>
      <c r="BL1" s="296"/>
      <c r="BM1" s="296"/>
      <c r="BN1" s="296"/>
      <c r="BO1" s="296"/>
      <c r="BP1" s="296"/>
      <c r="BQ1" s="296"/>
      <c r="BR1" s="296"/>
      <c r="BS1" s="296"/>
      <c r="BT1" s="297"/>
      <c r="BU1" s="298" t="str">
        <f>VLOOKUP($CA$2,Spielorte!$A$1:$C$6,2)</f>
        <v>15.02./16.02.</v>
      </c>
      <c r="BV1" s="299"/>
      <c r="BW1" s="299"/>
      <c r="BX1" s="299"/>
      <c r="BY1" s="299"/>
      <c r="BZ1" s="299"/>
      <c r="CA1" s="299"/>
      <c r="CB1" s="299"/>
      <c r="CC1" s="299"/>
      <c r="CD1" s="300"/>
      <c r="CE1" s="295" t="str">
        <f>+BK1</f>
        <v>Bayernliga Frauen</v>
      </c>
      <c r="CF1" s="296"/>
      <c r="CG1" s="296"/>
      <c r="CH1" s="296"/>
      <c r="CI1" s="296"/>
      <c r="CJ1" s="296"/>
      <c r="CK1" s="296"/>
      <c r="CL1" s="296"/>
      <c r="CM1" s="296"/>
      <c r="CN1" s="297"/>
      <c r="CO1" s="298" t="str">
        <f>VLOOKUP($CU$2,Spielorte!$A$1:$C$6,2)</f>
        <v>15.03./16.03.</v>
      </c>
      <c r="CP1" s="299"/>
      <c r="CQ1" s="299"/>
      <c r="CR1" s="299"/>
      <c r="CS1" s="299"/>
      <c r="CT1" s="299"/>
      <c r="CU1" s="299"/>
      <c r="CV1" s="299"/>
      <c r="CW1" s="299"/>
      <c r="CX1" s="300"/>
      <c r="CY1" s="295" t="str">
        <f>+CE1</f>
        <v>Bayernliga Frauen</v>
      </c>
      <c r="CZ1" s="296"/>
      <c r="DA1" s="296"/>
      <c r="DB1" s="296"/>
      <c r="DC1" s="296"/>
      <c r="DD1" s="296"/>
      <c r="DE1" s="296"/>
      <c r="DF1" s="296"/>
      <c r="DG1" s="296"/>
      <c r="DH1" s="297"/>
      <c r="DI1" s="298" t="str">
        <f>VLOOKUP($DO$2,Spielorte!$A$1:$C$6,2)</f>
        <v>05.04./06.04.</v>
      </c>
      <c r="DJ1" s="299"/>
      <c r="DK1" s="299"/>
      <c r="DL1" s="299"/>
      <c r="DM1" s="299"/>
      <c r="DN1" s="299"/>
      <c r="DO1" s="299"/>
      <c r="DP1" s="299"/>
      <c r="DQ1" s="299"/>
      <c r="DR1" s="300"/>
    </row>
    <row r="2" spans="1:122" ht="24" customHeight="1" x14ac:dyDescent="0.35">
      <c r="C2" s="306" t="str">
        <f>VLOOKUP($S$2,Spielorte!$A$1:$C$6,3)</f>
        <v>Unterföhring Dreambowl Palace</v>
      </c>
      <c r="D2" s="301"/>
      <c r="E2" s="301"/>
      <c r="F2" s="301"/>
      <c r="G2" s="301"/>
      <c r="H2" s="301"/>
      <c r="I2" s="301"/>
      <c r="J2" s="301"/>
      <c r="K2" s="301"/>
      <c r="L2" s="302"/>
      <c r="M2" s="293" t="s">
        <v>1795</v>
      </c>
      <c r="N2" s="294"/>
      <c r="O2" s="294"/>
      <c r="P2" s="294"/>
      <c r="Q2" s="294"/>
      <c r="R2" s="294"/>
      <c r="S2" s="11">
        <v>1</v>
      </c>
      <c r="T2" s="1"/>
      <c r="U2" s="1"/>
      <c r="V2" s="12"/>
      <c r="W2" s="306" t="str">
        <f>VLOOKUP($AM$2,Spielorte!$A$1:$C$6,3)</f>
        <v>Regensburg Super Bowl</v>
      </c>
      <c r="X2" s="301"/>
      <c r="Y2" s="301"/>
      <c r="Z2" s="301"/>
      <c r="AA2" s="301"/>
      <c r="AB2" s="301"/>
      <c r="AC2" s="301"/>
      <c r="AD2" s="301"/>
      <c r="AE2" s="301"/>
      <c r="AF2" s="302"/>
      <c r="AG2" s="293" t="s">
        <v>1795</v>
      </c>
      <c r="AH2" s="294"/>
      <c r="AI2" s="294"/>
      <c r="AJ2" s="294"/>
      <c r="AK2" s="294"/>
      <c r="AL2" s="294"/>
      <c r="AM2" s="11">
        <v>2</v>
      </c>
      <c r="AN2" s="1"/>
      <c r="AO2" s="1"/>
      <c r="AP2" s="12"/>
      <c r="AQ2" s="301" t="str">
        <f>VLOOKUP($BG$2,Spielorte!$A$1:$C$6,3)</f>
        <v>Unterföhring Dreambowl Palace</v>
      </c>
      <c r="AR2" s="301"/>
      <c r="AS2" s="301"/>
      <c r="AT2" s="301"/>
      <c r="AU2" s="301"/>
      <c r="AV2" s="301"/>
      <c r="AW2" s="301"/>
      <c r="AX2" s="301"/>
      <c r="AY2" s="301"/>
      <c r="AZ2" s="302"/>
      <c r="BA2" s="293" t="s">
        <v>1795</v>
      </c>
      <c r="BB2" s="294"/>
      <c r="BC2" s="294"/>
      <c r="BD2" s="294"/>
      <c r="BE2" s="294"/>
      <c r="BF2" s="294"/>
      <c r="BG2" s="11">
        <v>3</v>
      </c>
      <c r="BH2" s="1"/>
      <c r="BI2" s="1"/>
      <c r="BJ2" s="9"/>
      <c r="BK2" s="301" t="str">
        <f>VLOOKUP($CA$2,Spielorte!$A$1:$C$6,3)</f>
        <v>Nürnberg West Bowling</v>
      </c>
      <c r="BL2" s="301"/>
      <c r="BM2" s="301"/>
      <c r="BN2" s="301"/>
      <c r="BO2" s="301"/>
      <c r="BP2" s="301"/>
      <c r="BQ2" s="301"/>
      <c r="BR2" s="301"/>
      <c r="BS2" s="301"/>
      <c r="BT2" s="302"/>
      <c r="BU2" s="293" t="s">
        <v>1795</v>
      </c>
      <c r="BV2" s="294"/>
      <c r="BW2" s="294"/>
      <c r="BX2" s="294"/>
      <c r="BY2" s="294"/>
      <c r="BZ2" s="294"/>
      <c r="CA2" s="11">
        <v>4</v>
      </c>
      <c r="CB2" s="1"/>
      <c r="CC2" s="1"/>
      <c r="CD2" s="9"/>
      <c r="CE2" s="301" t="str">
        <f>VLOOKUP($CU$2,Spielorte!$A$1:$C$6,3)</f>
        <v>Brunnthal Max Munich</v>
      </c>
      <c r="CF2" s="301"/>
      <c r="CG2" s="301"/>
      <c r="CH2" s="301"/>
      <c r="CI2" s="301"/>
      <c r="CJ2" s="301"/>
      <c r="CK2" s="301"/>
      <c r="CL2" s="301"/>
      <c r="CM2" s="301"/>
      <c r="CN2" s="302"/>
      <c r="CO2" s="293" t="s">
        <v>1795</v>
      </c>
      <c r="CP2" s="294"/>
      <c r="CQ2" s="294"/>
      <c r="CR2" s="294"/>
      <c r="CS2" s="294"/>
      <c r="CT2" s="294"/>
      <c r="CU2" s="11">
        <v>5</v>
      </c>
      <c r="CV2" s="1"/>
      <c r="CW2" s="1"/>
      <c r="CX2" s="9"/>
      <c r="CY2" s="301" t="str">
        <f>VLOOKUP($DO$2,Spielorte!$A$1:$C$6,3)</f>
        <v>Schweinfurt Extreme Bowlingarena</v>
      </c>
      <c r="CZ2" s="301"/>
      <c r="DA2" s="301"/>
      <c r="DB2" s="301"/>
      <c r="DC2" s="301"/>
      <c r="DD2" s="301"/>
      <c r="DE2" s="301"/>
      <c r="DF2" s="301"/>
      <c r="DG2" s="301"/>
      <c r="DH2" s="302"/>
      <c r="DI2" s="293" t="s">
        <v>1795</v>
      </c>
      <c r="DJ2" s="294"/>
      <c r="DK2" s="294"/>
      <c r="DL2" s="294"/>
      <c r="DM2" s="294"/>
      <c r="DN2" s="294"/>
      <c r="DO2" s="11">
        <v>6</v>
      </c>
      <c r="DP2" s="1"/>
      <c r="DQ2" s="1"/>
      <c r="DR2" s="9"/>
    </row>
    <row r="3" spans="1:122" ht="12.75" customHeight="1" x14ac:dyDescent="0.35">
      <c r="C3" s="307" t="s">
        <v>9</v>
      </c>
      <c r="D3" s="290"/>
      <c r="E3" s="290"/>
      <c r="F3" s="290"/>
      <c r="G3" s="290"/>
      <c r="H3" s="290"/>
      <c r="I3" s="290"/>
      <c r="J3" s="290"/>
      <c r="K3" s="290"/>
      <c r="L3" s="291"/>
      <c r="M3" s="292" t="s">
        <v>10</v>
      </c>
      <c r="N3" s="290"/>
      <c r="O3" s="290"/>
      <c r="P3" s="290"/>
      <c r="Q3" s="290"/>
      <c r="R3" s="290"/>
      <c r="S3" s="290"/>
      <c r="T3" s="290"/>
      <c r="V3" s="13" t="s">
        <v>1796</v>
      </c>
      <c r="W3" s="307" t="s">
        <v>9</v>
      </c>
      <c r="X3" s="290"/>
      <c r="Y3" s="290"/>
      <c r="Z3" s="290"/>
      <c r="AA3" s="290"/>
      <c r="AB3" s="290"/>
      <c r="AC3" s="290"/>
      <c r="AD3" s="290"/>
      <c r="AE3" s="290"/>
      <c r="AF3" s="291"/>
      <c r="AG3" s="292" t="s">
        <v>10</v>
      </c>
      <c r="AH3" s="290"/>
      <c r="AI3" s="290"/>
      <c r="AJ3" s="290"/>
      <c r="AK3" s="290"/>
      <c r="AL3" s="290"/>
      <c r="AM3" s="290"/>
      <c r="AN3" s="290"/>
      <c r="AP3" s="13" t="s">
        <v>1796</v>
      </c>
      <c r="AQ3" s="290" t="s">
        <v>9</v>
      </c>
      <c r="AR3" s="290"/>
      <c r="AS3" s="290"/>
      <c r="AT3" s="290"/>
      <c r="AU3" s="290"/>
      <c r="AV3" s="290"/>
      <c r="AW3" s="290"/>
      <c r="AX3" s="290"/>
      <c r="AY3" s="290"/>
      <c r="AZ3" s="291"/>
      <c r="BA3" s="292" t="s">
        <v>10</v>
      </c>
      <c r="BB3" s="290"/>
      <c r="BC3" s="290"/>
      <c r="BD3" s="290"/>
      <c r="BE3" s="290"/>
      <c r="BF3" s="290"/>
      <c r="BG3" s="290"/>
      <c r="BH3" s="290"/>
      <c r="BJ3" s="10" t="s">
        <v>1796</v>
      </c>
      <c r="BK3" s="290" t="s">
        <v>9</v>
      </c>
      <c r="BL3" s="290"/>
      <c r="BM3" s="290"/>
      <c r="BN3" s="290"/>
      <c r="BO3" s="290"/>
      <c r="BP3" s="290"/>
      <c r="BQ3" s="290"/>
      <c r="BR3" s="290"/>
      <c r="BS3" s="290"/>
      <c r="BT3" s="291"/>
      <c r="BU3" s="292" t="s">
        <v>10</v>
      </c>
      <c r="BV3" s="290"/>
      <c r="BW3" s="290"/>
      <c r="BX3" s="290"/>
      <c r="BY3" s="290"/>
      <c r="BZ3" s="290"/>
      <c r="CA3" s="290"/>
      <c r="CB3" s="290"/>
      <c r="CD3" s="10" t="s">
        <v>1796</v>
      </c>
      <c r="CE3" s="290" t="s">
        <v>9</v>
      </c>
      <c r="CF3" s="290"/>
      <c r="CG3" s="290"/>
      <c r="CH3" s="290"/>
      <c r="CI3" s="290"/>
      <c r="CJ3" s="290"/>
      <c r="CK3" s="290"/>
      <c r="CL3" s="290"/>
      <c r="CM3" s="290"/>
      <c r="CN3" s="291"/>
      <c r="CO3" s="292" t="s">
        <v>10</v>
      </c>
      <c r="CP3" s="290"/>
      <c r="CQ3" s="290"/>
      <c r="CR3" s="290"/>
      <c r="CS3" s="290"/>
      <c r="CT3" s="290"/>
      <c r="CU3" s="290"/>
      <c r="CV3" s="290"/>
      <c r="CX3" s="10" t="s">
        <v>1796</v>
      </c>
      <c r="CY3" s="290" t="s">
        <v>9</v>
      </c>
      <c r="CZ3" s="290"/>
      <c r="DA3" s="290"/>
      <c r="DB3" s="290"/>
      <c r="DC3" s="290"/>
      <c r="DD3" s="290"/>
      <c r="DE3" s="290"/>
      <c r="DF3" s="290"/>
      <c r="DG3" s="290"/>
      <c r="DH3" s="291"/>
      <c r="DI3" s="292" t="s">
        <v>10</v>
      </c>
      <c r="DJ3" s="290"/>
      <c r="DK3" s="290"/>
      <c r="DL3" s="290"/>
      <c r="DM3" s="290"/>
      <c r="DN3" s="290"/>
      <c r="DO3" s="290"/>
      <c r="DP3" s="290"/>
      <c r="DR3" s="10" t="s">
        <v>1796</v>
      </c>
    </row>
    <row r="4" spans="1:122" ht="12.75" customHeight="1" x14ac:dyDescent="0.4">
      <c r="B4" s="11"/>
      <c r="C4" s="14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1787</v>
      </c>
      <c r="I4" s="7" t="s">
        <v>1788</v>
      </c>
      <c r="J4" s="7" t="s">
        <v>1789</v>
      </c>
      <c r="K4" s="7" t="s">
        <v>1790</v>
      </c>
      <c r="M4" s="7" t="s">
        <v>4</v>
      </c>
      <c r="N4" s="7" t="s">
        <v>5</v>
      </c>
      <c r="O4" s="7" t="s">
        <v>6</v>
      </c>
      <c r="P4" s="7" t="s">
        <v>7</v>
      </c>
      <c r="Q4" s="7" t="s">
        <v>8</v>
      </c>
      <c r="R4" s="7" t="s">
        <v>1787</v>
      </c>
      <c r="S4" s="7" t="s">
        <v>1788</v>
      </c>
      <c r="T4" s="7" t="s">
        <v>1789</v>
      </c>
      <c r="U4" s="7" t="s">
        <v>1790</v>
      </c>
      <c r="V4" s="26">
        <f>+Spielzettel1!$AC$2</f>
        <v>1</v>
      </c>
      <c r="W4" s="14" t="s">
        <v>4</v>
      </c>
      <c r="X4" s="7" t="s">
        <v>5</v>
      </c>
      <c r="Y4" s="7" t="s">
        <v>6</v>
      </c>
      <c r="Z4" s="7" t="s">
        <v>7</v>
      </c>
      <c r="AA4" s="7" t="s">
        <v>8</v>
      </c>
      <c r="AB4" s="7" t="s">
        <v>1787</v>
      </c>
      <c r="AC4" s="7" t="s">
        <v>1788</v>
      </c>
      <c r="AD4" s="7" t="s">
        <v>1789</v>
      </c>
      <c r="AE4" s="7" t="s">
        <v>1790</v>
      </c>
      <c r="AG4" s="7" t="s">
        <v>4</v>
      </c>
      <c r="AH4" s="7" t="s">
        <v>5</v>
      </c>
      <c r="AI4" s="7" t="s">
        <v>6</v>
      </c>
      <c r="AJ4" s="7" t="s">
        <v>7</v>
      </c>
      <c r="AK4" s="7" t="s">
        <v>8</v>
      </c>
      <c r="AL4" s="7" t="s">
        <v>1787</v>
      </c>
      <c r="AM4" s="7" t="s">
        <v>1788</v>
      </c>
      <c r="AN4" s="7" t="s">
        <v>1789</v>
      </c>
      <c r="AO4" s="7" t="s">
        <v>1790</v>
      </c>
      <c r="AP4" s="26">
        <f>+Spielzettel2!$AC$2</f>
        <v>3</v>
      </c>
      <c r="AQ4" s="7" t="s">
        <v>4</v>
      </c>
      <c r="AR4" s="7" t="s">
        <v>5</v>
      </c>
      <c r="AS4" s="7" t="s">
        <v>6</v>
      </c>
      <c r="AT4" s="7" t="s">
        <v>7</v>
      </c>
      <c r="AU4" s="7" t="s">
        <v>8</v>
      </c>
      <c r="AV4" s="7" t="s">
        <v>1787</v>
      </c>
      <c r="AW4" s="7" t="s">
        <v>1788</v>
      </c>
      <c r="AX4" s="7" t="s">
        <v>1789</v>
      </c>
      <c r="AY4" s="7" t="s">
        <v>1790</v>
      </c>
      <c r="BA4" s="7" t="s">
        <v>4</v>
      </c>
      <c r="BB4" s="7" t="s">
        <v>5</v>
      </c>
      <c r="BC4" s="7" t="s">
        <v>6</v>
      </c>
      <c r="BD4" s="7" t="s">
        <v>7</v>
      </c>
      <c r="BE4" s="7" t="s">
        <v>8</v>
      </c>
      <c r="BF4" s="7" t="s">
        <v>1787</v>
      </c>
      <c r="BG4" s="7" t="s">
        <v>1788</v>
      </c>
      <c r="BH4" s="7" t="s">
        <v>1789</v>
      </c>
      <c r="BI4" s="7" t="s">
        <v>1790</v>
      </c>
      <c r="BJ4" s="26">
        <f>+Spielzettel3!$AC$2</f>
        <v>1</v>
      </c>
      <c r="BK4" s="7" t="s">
        <v>4</v>
      </c>
      <c r="BL4" s="7" t="s">
        <v>5</v>
      </c>
      <c r="BM4" s="7" t="s">
        <v>6</v>
      </c>
      <c r="BN4" s="7" t="s">
        <v>7</v>
      </c>
      <c r="BO4" s="7" t="s">
        <v>8</v>
      </c>
      <c r="BP4" s="7" t="s">
        <v>1787</v>
      </c>
      <c r="BQ4" s="7" t="s">
        <v>1788</v>
      </c>
      <c r="BR4" s="7" t="s">
        <v>1789</v>
      </c>
      <c r="BS4" s="7" t="s">
        <v>1790</v>
      </c>
      <c r="BU4" s="7" t="s">
        <v>4</v>
      </c>
      <c r="BV4" s="7" t="s">
        <v>5</v>
      </c>
      <c r="BW4" s="7" t="s">
        <v>6</v>
      </c>
      <c r="BX4" s="7" t="s">
        <v>7</v>
      </c>
      <c r="BY4" s="7" t="s">
        <v>8</v>
      </c>
      <c r="BZ4" s="7" t="s">
        <v>1787</v>
      </c>
      <c r="CA4" s="7" t="s">
        <v>1788</v>
      </c>
      <c r="CB4" s="7" t="s">
        <v>1789</v>
      </c>
      <c r="CC4" s="7" t="s">
        <v>1790</v>
      </c>
      <c r="CD4" s="26">
        <f>+Spielzettel4!$AC$2</f>
        <v>11</v>
      </c>
      <c r="CE4" s="7" t="s">
        <v>4</v>
      </c>
      <c r="CF4" s="7" t="s">
        <v>5</v>
      </c>
      <c r="CG4" s="7" t="s">
        <v>6</v>
      </c>
      <c r="CH4" s="7" t="s">
        <v>7</v>
      </c>
      <c r="CI4" s="7" t="s">
        <v>8</v>
      </c>
      <c r="CJ4" s="7" t="s">
        <v>1787</v>
      </c>
      <c r="CK4" s="7" t="s">
        <v>1788</v>
      </c>
      <c r="CL4" s="7" t="s">
        <v>1789</v>
      </c>
      <c r="CM4" s="7" t="s">
        <v>1790</v>
      </c>
      <c r="CO4" s="7" t="s">
        <v>4</v>
      </c>
      <c r="CP4" s="7" t="s">
        <v>5</v>
      </c>
      <c r="CQ4" s="7" t="s">
        <v>6</v>
      </c>
      <c r="CR4" s="7" t="s">
        <v>7</v>
      </c>
      <c r="CS4" s="7" t="s">
        <v>8</v>
      </c>
      <c r="CT4" s="7" t="s">
        <v>1787</v>
      </c>
      <c r="CU4" s="7" t="s">
        <v>1788</v>
      </c>
      <c r="CV4" s="7" t="s">
        <v>1789</v>
      </c>
      <c r="CW4" s="7" t="s">
        <v>1790</v>
      </c>
      <c r="CX4" s="26">
        <f>+Spielzettel5!$AC$2</f>
        <v>1</v>
      </c>
      <c r="CY4" s="7" t="s">
        <v>4</v>
      </c>
      <c r="CZ4" s="7" t="s">
        <v>5</v>
      </c>
      <c r="DA4" s="7" t="s">
        <v>6</v>
      </c>
      <c r="DB4" s="7" t="s">
        <v>7</v>
      </c>
      <c r="DC4" s="7" t="s">
        <v>8</v>
      </c>
      <c r="DD4" s="7" t="s">
        <v>1787</v>
      </c>
      <c r="DE4" s="7" t="s">
        <v>1788</v>
      </c>
      <c r="DF4" s="7" t="s">
        <v>1789</v>
      </c>
      <c r="DG4" s="7" t="s">
        <v>1790</v>
      </c>
      <c r="DI4" s="7" t="s">
        <v>4</v>
      </c>
      <c r="DJ4" s="7" t="s">
        <v>5</v>
      </c>
      <c r="DK4" s="7" t="s">
        <v>6</v>
      </c>
      <c r="DL4" s="7" t="s">
        <v>7</v>
      </c>
      <c r="DM4" s="7" t="s">
        <v>8</v>
      </c>
      <c r="DN4" s="7" t="s">
        <v>1787</v>
      </c>
      <c r="DO4" s="7" t="s">
        <v>1788</v>
      </c>
      <c r="DP4" s="7" t="s">
        <v>1789</v>
      </c>
      <c r="DQ4" s="7" t="s">
        <v>1790</v>
      </c>
      <c r="DR4" s="26">
        <f>+Spielzettel6!$AC$2</f>
        <v>1</v>
      </c>
    </row>
    <row r="5" spans="1:122" x14ac:dyDescent="0.35">
      <c r="A5">
        <v>1</v>
      </c>
      <c r="B5" s="286" t="s">
        <v>2539</v>
      </c>
      <c r="C5" s="15">
        <v>3</v>
      </c>
      <c r="D5" s="2">
        <v>9</v>
      </c>
      <c r="E5" s="2">
        <v>6</v>
      </c>
      <c r="F5" s="2">
        <v>5</v>
      </c>
      <c r="G5" s="2">
        <v>10</v>
      </c>
      <c r="H5" s="2">
        <v>7</v>
      </c>
      <c r="I5" s="2">
        <v>4</v>
      </c>
      <c r="J5" s="2">
        <v>2</v>
      </c>
      <c r="K5" s="2">
        <v>8</v>
      </c>
      <c r="L5" s="8">
        <f t="shared" ref="L5:L14" si="0">SUM(C5:K5)</f>
        <v>54</v>
      </c>
      <c r="M5">
        <f t="shared" ref="M5:U5" si="1">M16+$V$4-1</f>
        <v>5</v>
      </c>
      <c r="N5">
        <f t="shared" si="1"/>
        <v>4</v>
      </c>
      <c r="O5">
        <f t="shared" si="1"/>
        <v>7</v>
      </c>
      <c r="P5">
        <f t="shared" si="1"/>
        <v>9</v>
      </c>
      <c r="Q5">
        <f t="shared" si="1"/>
        <v>1</v>
      </c>
      <c r="R5">
        <f t="shared" si="1"/>
        <v>3</v>
      </c>
      <c r="S5">
        <f t="shared" si="1"/>
        <v>10</v>
      </c>
      <c r="T5">
        <f t="shared" si="1"/>
        <v>8</v>
      </c>
      <c r="U5">
        <f t="shared" si="1"/>
        <v>2</v>
      </c>
      <c r="V5" s="16">
        <f>SUM(M5:U5)</f>
        <v>49</v>
      </c>
      <c r="W5" s="15">
        <v>8</v>
      </c>
      <c r="X5" s="2">
        <v>2</v>
      </c>
      <c r="Y5" s="2">
        <v>4</v>
      </c>
      <c r="Z5" s="2">
        <v>7</v>
      </c>
      <c r="AA5" s="2">
        <v>10</v>
      </c>
      <c r="AB5" s="2">
        <v>5</v>
      </c>
      <c r="AC5" s="2">
        <v>6</v>
      </c>
      <c r="AD5" s="2">
        <v>9</v>
      </c>
      <c r="AE5" s="2">
        <v>3</v>
      </c>
      <c r="AF5" s="8">
        <f t="shared" ref="AF5:AF14" si="2">SUM(W5:AE5)</f>
        <v>54</v>
      </c>
      <c r="AG5">
        <f>AG16+$AP$4-1</f>
        <v>5</v>
      </c>
      <c r="AH5">
        <f t="shared" ref="AH5:AO5" si="3">AH16+$AP$4-1</f>
        <v>11</v>
      </c>
      <c r="AI5">
        <f t="shared" si="3"/>
        <v>7</v>
      </c>
      <c r="AJ5">
        <f t="shared" si="3"/>
        <v>10</v>
      </c>
      <c r="AK5">
        <f t="shared" si="3"/>
        <v>6</v>
      </c>
      <c r="AL5">
        <f t="shared" si="3"/>
        <v>8</v>
      </c>
      <c r="AM5">
        <f t="shared" si="3"/>
        <v>12</v>
      </c>
      <c r="AN5">
        <f t="shared" si="3"/>
        <v>9</v>
      </c>
      <c r="AO5">
        <f t="shared" si="3"/>
        <v>4</v>
      </c>
      <c r="AP5" s="16">
        <f>SUM(AG5:AO5)</f>
        <v>72</v>
      </c>
      <c r="AQ5" s="2">
        <v>5</v>
      </c>
      <c r="AR5" s="2">
        <v>3</v>
      </c>
      <c r="AS5" s="2">
        <v>8</v>
      </c>
      <c r="AT5" s="2">
        <v>2</v>
      </c>
      <c r="AU5" s="2">
        <v>6</v>
      </c>
      <c r="AV5" s="2">
        <v>4</v>
      </c>
      <c r="AW5" s="2">
        <v>7</v>
      </c>
      <c r="AX5" s="2">
        <v>9</v>
      </c>
      <c r="AY5" s="2">
        <v>10</v>
      </c>
      <c r="AZ5" s="8">
        <f t="shared" ref="AZ5:AZ14" si="4">SUM(AQ5:AY5)</f>
        <v>54</v>
      </c>
      <c r="BA5">
        <f>BA16+$BJ$4-1</f>
        <v>2</v>
      </c>
      <c r="BB5">
        <f t="shared" ref="BB5:BI5" si="5">BB16+$BJ$4-1</f>
        <v>9</v>
      </c>
      <c r="BC5">
        <f t="shared" si="5"/>
        <v>5</v>
      </c>
      <c r="BD5">
        <f t="shared" si="5"/>
        <v>1</v>
      </c>
      <c r="BE5">
        <f t="shared" si="5"/>
        <v>4</v>
      </c>
      <c r="BF5">
        <f t="shared" si="5"/>
        <v>7</v>
      </c>
      <c r="BG5">
        <f t="shared" si="5"/>
        <v>10</v>
      </c>
      <c r="BH5">
        <f t="shared" si="5"/>
        <v>6</v>
      </c>
      <c r="BI5">
        <f t="shared" si="5"/>
        <v>8</v>
      </c>
      <c r="BJ5" s="8">
        <f>SUM(BA5:BI5)</f>
        <v>52</v>
      </c>
      <c r="BK5" s="2">
        <v>10</v>
      </c>
      <c r="BL5" s="2">
        <v>9</v>
      </c>
      <c r="BM5" s="2">
        <v>7</v>
      </c>
      <c r="BN5" s="2">
        <v>4</v>
      </c>
      <c r="BO5" s="2">
        <v>6</v>
      </c>
      <c r="BP5" s="2">
        <v>2</v>
      </c>
      <c r="BQ5" s="2">
        <v>8</v>
      </c>
      <c r="BR5" s="2">
        <v>3</v>
      </c>
      <c r="BS5" s="2">
        <v>5</v>
      </c>
      <c r="BT5" s="8">
        <f t="shared" ref="BT5:BT14" si="6">SUM(BK5:BS5)</f>
        <v>54</v>
      </c>
      <c r="BU5">
        <f>BU16+$CD$4-1</f>
        <v>19</v>
      </c>
      <c r="BV5">
        <f t="shared" ref="BV5:CC5" si="7">BV16+$CD$4-1</f>
        <v>11</v>
      </c>
      <c r="BW5">
        <f t="shared" si="7"/>
        <v>15</v>
      </c>
      <c r="BX5">
        <f t="shared" si="7"/>
        <v>20</v>
      </c>
      <c r="BY5">
        <f t="shared" si="7"/>
        <v>17</v>
      </c>
      <c r="BZ5">
        <f t="shared" si="7"/>
        <v>14</v>
      </c>
      <c r="CA5">
        <f t="shared" si="7"/>
        <v>12</v>
      </c>
      <c r="CB5">
        <f t="shared" si="7"/>
        <v>16</v>
      </c>
      <c r="CC5">
        <f t="shared" si="7"/>
        <v>13</v>
      </c>
      <c r="CD5" s="8">
        <f>SUM(BU5:CC5)</f>
        <v>137</v>
      </c>
      <c r="CE5" s="2">
        <v>2</v>
      </c>
      <c r="CF5" s="2">
        <v>6</v>
      </c>
      <c r="CG5" s="2">
        <v>10</v>
      </c>
      <c r="CH5" s="2">
        <v>9</v>
      </c>
      <c r="CI5" s="2">
        <v>4</v>
      </c>
      <c r="CJ5" s="2">
        <v>3</v>
      </c>
      <c r="CK5" s="2">
        <v>5</v>
      </c>
      <c r="CL5" s="2">
        <v>8</v>
      </c>
      <c r="CM5" s="2">
        <v>7</v>
      </c>
      <c r="CN5" s="8">
        <f t="shared" ref="CN5:CN14" si="8">SUM(CE5:CM5)</f>
        <v>54</v>
      </c>
      <c r="CO5">
        <f>CO16+$CX$4-1</f>
        <v>9</v>
      </c>
      <c r="CP5">
        <f t="shared" ref="CP5:CW7" si="9">CP16+$CX$4-1</f>
        <v>6</v>
      </c>
      <c r="CQ5">
        <f t="shared" si="9"/>
        <v>8</v>
      </c>
      <c r="CR5">
        <f t="shared" si="9"/>
        <v>10</v>
      </c>
      <c r="CS5">
        <f t="shared" si="9"/>
        <v>2</v>
      </c>
      <c r="CT5">
        <f t="shared" si="9"/>
        <v>4</v>
      </c>
      <c r="CU5">
        <f t="shared" si="9"/>
        <v>7</v>
      </c>
      <c r="CV5">
        <f t="shared" si="9"/>
        <v>5</v>
      </c>
      <c r="CW5">
        <f t="shared" si="9"/>
        <v>1</v>
      </c>
      <c r="CX5" s="8">
        <f>SUM(CO5:CW5)</f>
        <v>52</v>
      </c>
      <c r="CY5" s="2">
        <v>7</v>
      </c>
      <c r="CZ5" s="2">
        <v>8</v>
      </c>
      <c r="DA5" s="2">
        <v>5</v>
      </c>
      <c r="DB5" s="2">
        <v>3</v>
      </c>
      <c r="DC5" s="2">
        <v>4</v>
      </c>
      <c r="DD5" s="2">
        <v>9</v>
      </c>
      <c r="DE5" s="2">
        <v>10</v>
      </c>
      <c r="DF5" s="2">
        <v>6</v>
      </c>
      <c r="DG5" s="2">
        <v>2</v>
      </c>
      <c r="DH5" s="8">
        <f t="shared" ref="DH5:DH14" si="10">SUM(CY5:DG5)</f>
        <v>54</v>
      </c>
      <c r="DI5">
        <f>DI16+$DR$4-1</f>
        <v>4</v>
      </c>
      <c r="DJ5">
        <f t="shared" ref="DJ5:DQ7" si="11">DJ16+$DR$4-1</f>
        <v>10</v>
      </c>
      <c r="DK5">
        <f t="shared" si="11"/>
        <v>6</v>
      </c>
      <c r="DL5">
        <f t="shared" si="11"/>
        <v>7</v>
      </c>
      <c r="DM5">
        <f t="shared" si="11"/>
        <v>3</v>
      </c>
      <c r="DN5">
        <f t="shared" si="11"/>
        <v>1</v>
      </c>
      <c r="DO5">
        <f t="shared" si="11"/>
        <v>5</v>
      </c>
      <c r="DP5">
        <f t="shared" si="11"/>
        <v>9</v>
      </c>
      <c r="DQ5">
        <f t="shared" si="11"/>
        <v>2</v>
      </c>
      <c r="DR5" s="8">
        <f>SUM(DI5:DQ5)</f>
        <v>47</v>
      </c>
    </row>
    <row r="6" spans="1:122" x14ac:dyDescent="0.35">
      <c r="A6">
        <v>2</v>
      </c>
      <c r="B6" s="286" t="s">
        <v>2540</v>
      </c>
      <c r="C6" s="15">
        <v>6</v>
      </c>
      <c r="D6" s="2">
        <v>4</v>
      </c>
      <c r="E6" s="2">
        <v>8</v>
      </c>
      <c r="F6" s="2">
        <v>7</v>
      </c>
      <c r="G6" s="2">
        <v>3</v>
      </c>
      <c r="H6" s="2">
        <v>5</v>
      </c>
      <c r="I6" s="2">
        <v>10</v>
      </c>
      <c r="J6" s="2">
        <v>1</v>
      </c>
      <c r="K6" s="2">
        <v>9</v>
      </c>
      <c r="L6" s="8">
        <f t="shared" si="0"/>
        <v>53</v>
      </c>
      <c r="M6">
        <f t="shared" ref="M6:U6" si="12">M17+$V$4-1</f>
        <v>1</v>
      </c>
      <c r="N6">
        <f t="shared" si="12"/>
        <v>9</v>
      </c>
      <c r="O6">
        <f t="shared" si="12"/>
        <v>6</v>
      </c>
      <c r="P6">
        <f t="shared" si="12"/>
        <v>4</v>
      </c>
      <c r="Q6">
        <f t="shared" si="12"/>
        <v>8</v>
      </c>
      <c r="R6">
        <f t="shared" si="12"/>
        <v>2</v>
      </c>
      <c r="S6">
        <f t="shared" si="12"/>
        <v>5</v>
      </c>
      <c r="T6">
        <f t="shared" si="12"/>
        <v>7</v>
      </c>
      <c r="U6">
        <f t="shared" si="12"/>
        <v>3</v>
      </c>
      <c r="V6" s="16">
        <f>SUM(M6:U6)</f>
        <v>45</v>
      </c>
      <c r="W6" s="15">
        <v>9</v>
      </c>
      <c r="X6" s="2">
        <v>1</v>
      </c>
      <c r="Y6" s="2">
        <v>10</v>
      </c>
      <c r="Z6" s="2">
        <v>5</v>
      </c>
      <c r="AA6" s="2">
        <v>3</v>
      </c>
      <c r="AB6" s="2">
        <v>7</v>
      </c>
      <c r="AC6" s="2">
        <v>8</v>
      </c>
      <c r="AD6" s="2">
        <v>4</v>
      </c>
      <c r="AE6" s="2">
        <v>6</v>
      </c>
      <c r="AF6" s="8">
        <f t="shared" si="2"/>
        <v>53</v>
      </c>
      <c r="AG6">
        <f t="shared" ref="AG6:AO6" si="13">AG17+$AP$4-1</f>
        <v>10</v>
      </c>
      <c r="AH6">
        <f t="shared" si="13"/>
        <v>12</v>
      </c>
      <c r="AI6">
        <f t="shared" si="13"/>
        <v>4</v>
      </c>
      <c r="AJ6">
        <f t="shared" si="13"/>
        <v>5</v>
      </c>
      <c r="AK6">
        <f t="shared" si="13"/>
        <v>11</v>
      </c>
      <c r="AL6">
        <f t="shared" si="13"/>
        <v>9</v>
      </c>
      <c r="AM6">
        <f t="shared" si="13"/>
        <v>3</v>
      </c>
      <c r="AN6">
        <f t="shared" si="13"/>
        <v>8</v>
      </c>
      <c r="AO6">
        <f t="shared" si="13"/>
        <v>6</v>
      </c>
      <c r="AP6" s="16">
        <f>SUM(AG6:AO6)</f>
        <v>68</v>
      </c>
      <c r="AQ6" s="2">
        <v>8</v>
      </c>
      <c r="AR6" s="2">
        <v>10</v>
      </c>
      <c r="AS6" s="2">
        <v>3</v>
      </c>
      <c r="AT6" s="2">
        <v>1</v>
      </c>
      <c r="AU6" s="2">
        <v>7</v>
      </c>
      <c r="AV6" s="2">
        <v>6</v>
      </c>
      <c r="AW6" s="2">
        <v>9</v>
      </c>
      <c r="AX6" s="2">
        <v>5</v>
      </c>
      <c r="AY6" s="2">
        <v>4</v>
      </c>
      <c r="AZ6" s="8">
        <f t="shared" si="4"/>
        <v>53</v>
      </c>
      <c r="BA6">
        <f t="shared" ref="BA6:BI6" si="14">BA17+$BJ$4-1</f>
        <v>10</v>
      </c>
      <c r="BB6">
        <f t="shared" si="14"/>
        <v>5</v>
      </c>
      <c r="BC6">
        <f t="shared" si="14"/>
        <v>4</v>
      </c>
      <c r="BD6">
        <f t="shared" si="14"/>
        <v>2</v>
      </c>
      <c r="BE6">
        <f t="shared" si="14"/>
        <v>6</v>
      </c>
      <c r="BF6">
        <f t="shared" si="14"/>
        <v>9</v>
      </c>
      <c r="BG6">
        <f t="shared" si="14"/>
        <v>1</v>
      </c>
      <c r="BH6">
        <f t="shared" si="14"/>
        <v>7</v>
      </c>
      <c r="BI6">
        <f t="shared" si="14"/>
        <v>3</v>
      </c>
      <c r="BJ6" s="8">
        <f>SUM(BA6:BI6)</f>
        <v>47</v>
      </c>
      <c r="BK6" s="2">
        <v>4</v>
      </c>
      <c r="BL6" s="2">
        <v>5</v>
      </c>
      <c r="BM6" s="2">
        <v>9</v>
      </c>
      <c r="BN6" s="2">
        <v>6</v>
      </c>
      <c r="BO6" s="2">
        <v>7</v>
      </c>
      <c r="BP6" s="2">
        <v>1</v>
      </c>
      <c r="BQ6" s="2">
        <v>3</v>
      </c>
      <c r="BR6" s="2">
        <v>10</v>
      </c>
      <c r="BS6" s="2">
        <v>8</v>
      </c>
      <c r="BT6" s="8">
        <f t="shared" si="6"/>
        <v>53</v>
      </c>
      <c r="BU6">
        <f t="shared" ref="BU6:CC6" si="15">BU17+$CD$4-1</f>
        <v>18</v>
      </c>
      <c r="BV6">
        <f t="shared" si="15"/>
        <v>20</v>
      </c>
      <c r="BW6">
        <f t="shared" si="15"/>
        <v>14</v>
      </c>
      <c r="BX6">
        <f t="shared" si="15"/>
        <v>16</v>
      </c>
      <c r="BY6">
        <f t="shared" si="15"/>
        <v>11</v>
      </c>
      <c r="BZ6">
        <f t="shared" si="15"/>
        <v>13</v>
      </c>
      <c r="CA6">
        <f t="shared" si="15"/>
        <v>17</v>
      </c>
      <c r="CB6">
        <f t="shared" si="15"/>
        <v>12</v>
      </c>
      <c r="CC6">
        <f t="shared" si="15"/>
        <v>15</v>
      </c>
      <c r="CD6" s="8">
        <f>SUM(BU6:CC6)</f>
        <v>136</v>
      </c>
      <c r="CE6" s="2">
        <v>1</v>
      </c>
      <c r="CF6" s="2">
        <v>9</v>
      </c>
      <c r="CG6" s="2">
        <v>3</v>
      </c>
      <c r="CH6" s="2">
        <v>10</v>
      </c>
      <c r="CI6" s="2">
        <v>6</v>
      </c>
      <c r="CJ6" s="2">
        <v>7</v>
      </c>
      <c r="CK6" s="2">
        <v>8</v>
      </c>
      <c r="CL6" s="2">
        <v>4</v>
      </c>
      <c r="CM6" s="2">
        <v>5</v>
      </c>
      <c r="CN6" s="8">
        <f t="shared" si="8"/>
        <v>53</v>
      </c>
      <c r="CO6">
        <f>CO17+$CX$4-1</f>
        <v>10</v>
      </c>
      <c r="CP6">
        <f t="shared" si="9"/>
        <v>7</v>
      </c>
      <c r="CQ6">
        <f t="shared" si="9"/>
        <v>2</v>
      </c>
      <c r="CR6">
        <f t="shared" si="9"/>
        <v>3</v>
      </c>
      <c r="CS6">
        <f t="shared" si="9"/>
        <v>5</v>
      </c>
      <c r="CT6">
        <f t="shared" si="9"/>
        <v>8</v>
      </c>
      <c r="CU6">
        <f t="shared" si="9"/>
        <v>4</v>
      </c>
      <c r="CV6">
        <f t="shared" si="9"/>
        <v>1</v>
      </c>
      <c r="CW6">
        <f t="shared" si="9"/>
        <v>6</v>
      </c>
      <c r="CX6" s="8">
        <f>SUM(CO6:CW6)</f>
        <v>46</v>
      </c>
      <c r="CY6" s="2">
        <v>5</v>
      </c>
      <c r="CZ6" s="2">
        <v>4</v>
      </c>
      <c r="DA6" s="2">
        <v>8</v>
      </c>
      <c r="DB6" s="2">
        <v>7</v>
      </c>
      <c r="DC6" s="2">
        <v>6</v>
      </c>
      <c r="DD6" s="2">
        <v>10</v>
      </c>
      <c r="DE6" s="2">
        <v>3</v>
      </c>
      <c r="DF6" s="2">
        <v>9</v>
      </c>
      <c r="DG6" s="2">
        <v>1</v>
      </c>
      <c r="DH6" s="8">
        <f t="shared" si="10"/>
        <v>53</v>
      </c>
      <c r="DI6">
        <f>DI17+$DR$4-1</f>
        <v>9</v>
      </c>
      <c r="DJ6">
        <f t="shared" si="11"/>
        <v>4</v>
      </c>
      <c r="DK6">
        <f t="shared" si="11"/>
        <v>7</v>
      </c>
      <c r="DL6">
        <f t="shared" si="11"/>
        <v>5</v>
      </c>
      <c r="DM6">
        <f t="shared" si="11"/>
        <v>10</v>
      </c>
      <c r="DN6">
        <f t="shared" si="11"/>
        <v>8</v>
      </c>
      <c r="DO6">
        <f t="shared" si="11"/>
        <v>3</v>
      </c>
      <c r="DP6">
        <f t="shared" si="11"/>
        <v>6</v>
      </c>
      <c r="DQ6">
        <f t="shared" si="11"/>
        <v>1</v>
      </c>
      <c r="DR6" s="8">
        <f>SUM(DI6:DQ6)</f>
        <v>53</v>
      </c>
    </row>
    <row r="7" spans="1:122" x14ac:dyDescent="0.35">
      <c r="A7">
        <v>3</v>
      </c>
      <c r="B7" s="286" t="s">
        <v>2541</v>
      </c>
      <c r="C7" s="15">
        <v>1</v>
      </c>
      <c r="D7" s="2">
        <v>10</v>
      </c>
      <c r="E7" s="2">
        <v>5</v>
      </c>
      <c r="F7" s="2">
        <v>9</v>
      </c>
      <c r="G7" s="2">
        <v>2</v>
      </c>
      <c r="H7" s="2">
        <v>6</v>
      </c>
      <c r="I7" s="2">
        <v>8</v>
      </c>
      <c r="J7" s="2">
        <v>4</v>
      </c>
      <c r="K7" s="2">
        <v>7</v>
      </c>
      <c r="L7" s="8">
        <f t="shared" si="0"/>
        <v>52</v>
      </c>
      <c r="M7">
        <f t="shared" ref="M7:U7" si="16">M18+$V$4-1</f>
        <v>6</v>
      </c>
      <c r="N7">
        <f t="shared" si="16"/>
        <v>2</v>
      </c>
      <c r="O7">
        <f t="shared" si="16"/>
        <v>4</v>
      </c>
      <c r="P7">
        <f t="shared" si="16"/>
        <v>5</v>
      </c>
      <c r="Q7">
        <f t="shared" si="16"/>
        <v>7</v>
      </c>
      <c r="R7">
        <f t="shared" si="16"/>
        <v>10</v>
      </c>
      <c r="S7">
        <f t="shared" si="16"/>
        <v>3</v>
      </c>
      <c r="T7">
        <f t="shared" si="16"/>
        <v>1</v>
      </c>
      <c r="U7">
        <f t="shared" si="16"/>
        <v>8</v>
      </c>
      <c r="V7" s="16">
        <f>SUM(M7:U7)</f>
        <v>46</v>
      </c>
      <c r="W7" s="15">
        <v>7</v>
      </c>
      <c r="X7" s="2">
        <v>4</v>
      </c>
      <c r="Y7" s="2">
        <v>8</v>
      </c>
      <c r="Z7" s="2">
        <v>6</v>
      </c>
      <c r="AA7" s="2">
        <v>2</v>
      </c>
      <c r="AB7" s="2">
        <v>9</v>
      </c>
      <c r="AC7" s="2">
        <v>5</v>
      </c>
      <c r="AD7" s="2">
        <v>10</v>
      </c>
      <c r="AE7" s="2">
        <v>1</v>
      </c>
      <c r="AF7" s="8">
        <f t="shared" si="2"/>
        <v>52</v>
      </c>
      <c r="AG7">
        <f t="shared" ref="AG7:AO7" si="17">AG18+$AP$4-1</f>
        <v>11</v>
      </c>
      <c r="AH7">
        <f t="shared" si="17"/>
        <v>6</v>
      </c>
      <c r="AI7">
        <f t="shared" si="17"/>
        <v>10</v>
      </c>
      <c r="AJ7">
        <f t="shared" si="17"/>
        <v>7</v>
      </c>
      <c r="AK7">
        <f t="shared" si="17"/>
        <v>12</v>
      </c>
      <c r="AL7">
        <f t="shared" si="17"/>
        <v>4</v>
      </c>
      <c r="AM7">
        <f t="shared" si="17"/>
        <v>9</v>
      </c>
      <c r="AN7">
        <f t="shared" si="17"/>
        <v>5</v>
      </c>
      <c r="AO7">
        <f t="shared" si="17"/>
        <v>3</v>
      </c>
      <c r="AP7" s="16">
        <f>SUM(AG7:AO7)</f>
        <v>67</v>
      </c>
      <c r="AQ7" s="2">
        <v>10</v>
      </c>
      <c r="AR7" s="2">
        <v>1</v>
      </c>
      <c r="AS7" s="2">
        <v>2</v>
      </c>
      <c r="AT7" s="2">
        <v>6</v>
      </c>
      <c r="AU7" s="2">
        <v>9</v>
      </c>
      <c r="AV7" s="2">
        <v>7</v>
      </c>
      <c r="AW7" s="2">
        <v>5</v>
      </c>
      <c r="AX7" s="2">
        <v>4</v>
      </c>
      <c r="AY7" s="2">
        <v>8</v>
      </c>
      <c r="AZ7" s="8">
        <f t="shared" si="4"/>
        <v>52</v>
      </c>
      <c r="BA7">
        <f t="shared" ref="BA7:BI7" si="18">BA18+$BJ$4-1</f>
        <v>7</v>
      </c>
      <c r="BB7">
        <f t="shared" si="18"/>
        <v>10</v>
      </c>
      <c r="BC7">
        <f t="shared" si="18"/>
        <v>3</v>
      </c>
      <c r="BD7">
        <f t="shared" si="18"/>
        <v>6</v>
      </c>
      <c r="BE7">
        <f t="shared" si="18"/>
        <v>8</v>
      </c>
      <c r="BF7">
        <f t="shared" si="18"/>
        <v>1</v>
      </c>
      <c r="BG7">
        <f t="shared" si="18"/>
        <v>4</v>
      </c>
      <c r="BH7">
        <f t="shared" si="18"/>
        <v>9</v>
      </c>
      <c r="BI7">
        <f t="shared" si="18"/>
        <v>2</v>
      </c>
      <c r="BJ7" s="8">
        <f>SUM(BA7:BI7)</f>
        <v>50</v>
      </c>
      <c r="BK7" s="2">
        <v>8</v>
      </c>
      <c r="BL7" s="2">
        <v>4</v>
      </c>
      <c r="BM7" s="2">
        <v>5</v>
      </c>
      <c r="BN7" s="2">
        <v>7</v>
      </c>
      <c r="BO7" s="2">
        <v>9</v>
      </c>
      <c r="BP7" s="2">
        <v>6</v>
      </c>
      <c r="BQ7" s="2">
        <v>2</v>
      </c>
      <c r="BR7" s="2">
        <v>1</v>
      </c>
      <c r="BS7" s="2">
        <v>10</v>
      </c>
      <c r="BT7" s="8">
        <f t="shared" si="6"/>
        <v>52</v>
      </c>
      <c r="BU7">
        <f t="shared" ref="BU7:CC7" si="19">BU18+$CD$4-1</f>
        <v>13</v>
      </c>
      <c r="BV7">
        <f t="shared" si="19"/>
        <v>16</v>
      </c>
      <c r="BW7">
        <f t="shared" si="19"/>
        <v>17</v>
      </c>
      <c r="BX7">
        <f t="shared" si="19"/>
        <v>14</v>
      </c>
      <c r="BY7">
        <f t="shared" si="19"/>
        <v>19</v>
      </c>
      <c r="BZ7">
        <f t="shared" si="19"/>
        <v>11</v>
      </c>
      <c r="CA7">
        <f t="shared" si="19"/>
        <v>18</v>
      </c>
      <c r="CB7">
        <f t="shared" si="19"/>
        <v>15</v>
      </c>
      <c r="CC7">
        <f t="shared" si="19"/>
        <v>20</v>
      </c>
      <c r="CD7" s="8">
        <f>SUM(BU7:CC7)</f>
        <v>143</v>
      </c>
      <c r="CE7" s="2">
        <v>4</v>
      </c>
      <c r="CF7" s="2">
        <v>7</v>
      </c>
      <c r="CG7" s="2">
        <v>2</v>
      </c>
      <c r="CH7" s="2">
        <v>5</v>
      </c>
      <c r="CI7" s="2">
        <v>8</v>
      </c>
      <c r="CJ7" s="2">
        <v>1</v>
      </c>
      <c r="CK7" s="2">
        <v>10</v>
      </c>
      <c r="CL7" s="2">
        <v>9</v>
      </c>
      <c r="CM7" s="2">
        <v>6</v>
      </c>
      <c r="CN7" s="8">
        <f t="shared" si="8"/>
        <v>52</v>
      </c>
      <c r="CO7">
        <f>CO18+$CX$4-1</f>
        <v>6</v>
      </c>
      <c r="CP7">
        <f t="shared" si="9"/>
        <v>10</v>
      </c>
      <c r="CQ7">
        <f t="shared" si="9"/>
        <v>1</v>
      </c>
      <c r="CR7">
        <f t="shared" si="9"/>
        <v>5</v>
      </c>
      <c r="CS7">
        <f t="shared" si="9"/>
        <v>7</v>
      </c>
      <c r="CT7">
        <f t="shared" si="9"/>
        <v>3</v>
      </c>
      <c r="CU7">
        <f t="shared" si="9"/>
        <v>2</v>
      </c>
      <c r="CV7">
        <f t="shared" si="9"/>
        <v>9</v>
      </c>
      <c r="CW7">
        <f t="shared" si="9"/>
        <v>4</v>
      </c>
      <c r="CX7" s="8">
        <f>SUM(CO7:CW7)</f>
        <v>47</v>
      </c>
      <c r="CY7" s="2">
        <v>6</v>
      </c>
      <c r="CZ7" s="2">
        <v>9</v>
      </c>
      <c r="DA7" s="2">
        <v>10</v>
      </c>
      <c r="DB7" s="2">
        <v>1</v>
      </c>
      <c r="DC7" s="2">
        <v>8</v>
      </c>
      <c r="DD7" s="2">
        <v>5</v>
      </c>
      <c r="DE7" s="2">
        <v>2</v>
      </c>
      <c r="DF7" s="2">
        <v>7</v>
      </c>
      <c r="DG7" s="2">
        <v>4</v>
      </c>
      <c r="DH7" s="8">
        <f t="shared" si="10"/>
        <v>52</v>
      </c>
      <c r="DI7">
        <f>DI18+$DR$4-1</f>
        <v>7</v>
      </c>
      <c r="DJ7">
        <f t="shared" si="11"/>
        <v>2</v>
      </c>
      <c r="DK7">
        <f t="shared" si="11"/>
        <v>3</v>
      </c>
      <c r="DL7">
        <f t="shared" si="11"/>
        <v>8</v>
      </c>
      <c r="DM7">
        <f t="shared" si="11"/>
        <v>6</v>
      </c>
      <c r="DN7">
        <f t="shared" si="11"/>
        <v>10</v>
      </c>
      <c r="DO7">
        <f t="shared" si="11"/>
        <v>4</v>
      </c>
      <c r="DP7">
        <f t="shared" si="11"/>
        <v>1</v>
      </c>
      <c r="DQ7">
        <f t="shared" si="11"/>
        <v>9</v>
      </c>
      <c r="DR7" s="8">
        <f>SUM(DI7:DQ7)</f>
        <v>50</v>
      </c>
    </row>
    <row r="8" spans="1:122" x14ac:dyDescent="0.35">
      <c r="A8">
        <v>4</v>
      </c>
      <c r="B8" s="286" t="s">
        <v>2434</v>
      </c>
      <c r="C8" s="15">
        <v>7</v>
      </c>
      <c r="D8" s="2">
        <v>2</v>
      </c>
      <c r="E8" s="2">
        <v>9</v>
      </c>
      <c r="F8" s="2">
        <v>10</v>
      </c>
      <c r="G8" s="2">
        <v>6</v>
      </c>
      <c r="H8" s="2">
        <v>8</v>
      </c>
      <c r="I8" s="2">
        <v>1</v>
      </c>
      <c r="J8" s="2">
        <v>3</v>
      </c>
      <c r="K8" s="2">
        <v>5</v>
      </c>
      <c r="L8" s="8">
        <f t="shared" si="0"/>
        <v>51</v>
      </c>
      <c r="M8">
        <f t="shared" ref="M8:U8" si="20">M19+$V$4-1</f>
        <v>7</v>
      </c>
      <c r="N8">
        <f t="shared" si="20"/>
        <v>10</v>
      </c>
      <c r="O8">
        <f t="shared" si="20"/>
        <v>1</v>
      </c>
      <c r="P8">
        <f t="shared" si="20"/>
        <v>8</v>
      </c>
      <c r="Q8">
        <f t="shared" si="20"/>
        <v>3</v>
      </c>
      <c r="R8">
        <f t="shared" si="20"/>
        <v>5</v>
      </c>
      <c r="S8">
        <f t="shared" si="20"/>
        <v>9</v>
      </c>
      <c r="T8">
        <f t="shared" si="20"/>
        <v>2</v>
      </c>
      <c r="U8">
        <f t="shared" si="20"/>
        <v>6</v>
      </c>
      <c r="V8" s="16">
        <f t="shared" ref="V8:V14" si="21">SUM(M8:U8)</f>
        <v>51</v>
      </c>
      <c r="W8" s="15">
        <v>5</v>
      </c>
      <c r="X8" s="2">
        <v>3</v>
      </c>
      <c r="Y8" s="2">
        <v>1</v>
      </c>
      <c r="Z8" s="2">
        <v>8</v>
      </c>
      <c r="AA8" s="2">
        <v>6</v>
      </c>
      <c r="AB8" s="2">
        <v>10</v>
      </c>
      <c r="AC8" s="2">
        <v>9</v>
      </c>
      <c r="AD8" s="2">
        <v>2</v>
      </c>
      <c r="AE8" s="2">
        <v>7</v>
      </c>
      <c r="AF8" s="8">
        <f t="shared" si="2"/>
        <v>51</v>
      </c>
      <c r="AG8">
        <f t="shared" ref="AG8:AO8" si="22">AG19+$AP$4-1</f>
        <v>3</v>
      </c>
      <c r="AH8">
        <f t="shared" si="22"/>
        <v>5</v>
      </c>
      <c r="AI8">
        <f t="shared" si="22"/>
        <v>8</v>
      </c>
      <c r="AJ8">
        <f t="shared" si="22"/>
        <v>4</v>
      </c>
      <c r="AK8">
        <f t="shared" si="22"/>
        <v>10</v>
      </c>
      <c r="AL8">
        <f t="shared" si="22"/>
        <v>11</v>
      </c>
      <c r="AM8">
        <f t="shared" si="22"/>
        <v>6</v>
      </c>
      <c r="AN8">
        <f t="shared" si="22"/>
        <v>7</v>
      </c>
      <c r="AO8">
        <f t="shared" si="22"/>
        <v>12</v>
      </c>
      <c r="AP8" s="16">
        <f t="shared" ref="AP8:AP14" si="23">SUM(AG8:AO8)</f>
        <v>66</v>
      </c>
      <c r="AQ8" s="2">
        <v>6</v>
      </c>
      <c r="AR8" s="2">
        <v>5</v>
      </c>
      <c r="AS8" s="2">
        <v>9</v>
      </c>
      <c r="AT8" s="2">
        <v>7</v>
      </c>
      <c r="AU8" s="2">
        <v>8</v>
      </c>
      <c r="AV8" s="2">
        <v>1</v>
      </c>
      <c r="AW8" s="2">
        <v>10</v>
      </c>
      <c r="AX8" s="2">
        <v>3</v>
      </c>
      <c r="AY8" s="2">
        <v>2</v>
      </c>
      <c r="AZ8" s="8">
        <f t="shared" si="4"/>
        <v>51</v>
      </c>
      <c r="BA8">
        <f t="shared" ref="BA8:BI8" si="24">BA19+$BJ$4-1</f>
        <v>5</v>
      </c>
      <c r="BB8">
        <f t="shared" si="24"/>
        <v>3</v>
      </c>
      <c r="BC8">
        <f t="shared" si="24"/>
        <v>2</v>
      </c>
      <c r="BD8">
        <f t="shared" si="24"/>
        <v>7</v>
      </c>
      <c r="BE8">
        <f t="shared" si="24"/>
        <v>9</v>
      </c>
      <c r="BF8">
        <f t="shared" si="24"/>
        <v>8</v>
      </c>
      <c r="BG8">
        <f t="shared" si="24"/>
        <v>6</v>
      </c>
      <c r="BH8">
        <f t="shared" si="24"/>
        <v>10</v>
      </c>
      <c r="BI8">
        <f t="shared" si="24"/>
        <v>4</v>
      </c>
      <c r="BJ8" s="8">
        <f t="shared" ref="BJ8:BJ14" si="25">SUM(BA8:BI8)</f>
        <v>54</v>
      </c>
      <c r="BK8" s="2">
        <v>2</v>
      </c>
      <c r="BL8" s="2">
        <v>3</v>
      </c>
      <c r="BM8" s="2">
        <v>10</v>
      </c>
      <c r="BN8" s="2">
        <v>1</v>
      </c>
      <c r="BO8" s="2">
        <v>8</v>
      </c>
      <c r="BP8" s="2">
        <v>7</v>
      </c>
      <c r="BQ8" s="2">
        <v>9</v>
      </c>
      <c r="BR8" s="2">
        <v>5</v>
      </c>
      <c r="BS8" s="2">
        <v>6</v>
      </c>
      <c r="BT8" s="8">
        <f t="shared" si="6"/>
        <v>51</v>
      </c>
      <c r="BU8">
        <f t="shared" ref="BU8:CC8" si="26">BU19+$CD$4-1</f>
        <v>17</v>
      </c>
      <c r="BV8">
        <f t="shared" si="26"/>
        <v>15</v>
      </c>
      <c r="BW8">
        <f t="shared" si="26"/>
        <v>11</v>
      </c>
      <c r="BX8">
        <f t="shared" si="26"/>
        <v>19</v>
      </c>
      <c r="BY8">
        <f t="shared" si="26"/>
        <v>16</v>
      </c>
      <c r="BZ8">
        <f t="shared" si="26"/>
        <v>20</v>
      </c>
      <c r="CA8">
        <f t="shared" si="26"/>
        <v>13</v>
      </c>
      <c r="CB8">
        <f t="shared" si="26"/>
        <v>18</v>
      </c>
      <c r="CC8">
        <f t="shared" si="26"/>
        <v>12</v>
      </c>
      <c r="CD8" s="8">
        <f t="shared" ref="CD8:CD14" si="27">SUM(BU8:CC8)</f>
        <v>141</v>
      </c>
      <c r="CE8" s="2">
        <v>3</v>
      </c>
      <c r="CF8" s="2">
        <v>8</v>
      </c>
      <c r="CG8" s="2">
        <v>5</v>
      </c>
      <c r="CH8" s="2">
        <v>7</v>
      </c>
      <c r="CI8" s="2">
        <v>1</v>
      </c>
      <c r="CJ8" s="2">
        <v>10</v>
      </c>
      <c r="CK8" s="2">
        <v>6</v>
      </c>
      <c r="CL8" s="2">
        <v>2</v>
      </c>
      <c r="CM8" s="2">
        <v>9</v>
      </c>
      <c r="CN8" s="8">
        <f t="shared" si="8"/>
        <v>51</v>
      </c>
      <c r="CO8">
        <f t="shared" ref="CO8:CW8" si="28">CO19+$CX$4-1</f>
        <v>5</v>
      </c>
      <c r="CP8">
        <f t="shared" si="28"/>
        <v>3</v>
      </c>
      <c r="CQ8">
        <f t="shared" si="28"/>
        <v>9</v>
      </c>
      <c r="CR8">
        <f t="shared" si="28"/>
        <v>7</v>
      </c>
      <c r="CS8">
        <f t="shared" si="28"/>
        <v>1</v>
      </c>
      <c r="CT8">
        <f t="shared" si="28"/>
        <v>6</v>
      </c>
      <c r="CU8">
        <f t="shared" si="28"/>
        <v>10</v>
      </c>
      <c r="CV8">
        <f t="shared" si="28"/>
        <v>2</v>
      </c>
      <c r="CW8">
        <f t="shared" si="28"/>
        <v>8</v>
      </c>
      <c r="CX8" s="8">
        <f t="shared" ref="CX8:CX14" si="29">SUM(CO8:CW8)</f>
        <v>51</v>
      </c>
      <c r="CY8" s="2">
        <v>9</v>
      </c>
      <c r="CZ8" s="2">
        <v>2</v>
      </c>
      <c r="DA8" s="2">
        <v>6</v>
      </c>
      <c r="DB8" s="2">
        <v>10</v>
      </c>
      <c r="DC8" s="2">
        <v>1</v>
      </c>
      <c r="DD8" s="2">
        <v>7</v>
      </c>
      <c r="DE8" s="2">
        <v>5</v>
      </c>
      <c r="DF8" s="2">
        <v>8</v>
      </c>
      <c r="DG8" s="2">
        <v>3</v>
      </c>
      <c r="DH8" s="8">
        <f t="shared" si="10"/>
        <v>51</v>
      </c>
      <c r="DI8">
        <f t="shared" ref="DI8:DQ8" si="30">DI19+$DR$4-1</f>
        <v>5</v>
      </c>
      <c r="DJ8">
        <f t="shared" si="30"/>
        <v>3</v>
      </c>
      <c r="DK8">
        <f t="shared" si="30"/>
        <v>1</v>
      </c>
      <c r="DL8">
        <f t="shared" si="30"/>
        <v>9</v>
      </c>
      <c r="DM8">
        <f t="shared" si="30"/>
        <v>4</v>
      </c>
      <c r="DN8">
        <f t="shared" si="30"/>
        <v>6</v>
      </c>
      <c r="DO8">
        <f t="shared" si="30"/>
        <v>2</v>
      </c>
      <c r="DP8">
        <f t="shared" si="30"/>
        <v>8</v>
      </c>
      <c r="DQ8">
        <f t="shared" si="30"/>
        <v>10</v>
      </c>
      <c r="DR8" s="8">
        <f t="shared" ref="DR8:DR14" si="31">SUM(DI8:DQ8)</f>
        <v>48</v>
      </c>
    </row>
    <row r="9" spans="1:122" x14ac:dyDescent="0.35">
      <c r="A9">
        <v>5</v>
      </c>
      <c r="B9" s="286" t="s">
        <v>2542</v>
      </c>
      <c r="C9" s="15">
        <v>9</v>
      </c>
      <c r="D9" s="2">
        <v>8</v>
      </c>
      <c r="E9" s="2">
        <v>3</v>
      </c>
      <c r="F9" s="2">
        <v>1</v>
      </c>
      <c r="G9" s="2">
        <v>7</v>
      </c>
      <c r="H9" s="2">
        <v>2</v>
      </c>
      <c r="I9" s="2">
        <v>6</v>
      </c>
      <c r="J9" s="2">
        <v>10</v>
      </c>
      <c r="K9" s="2">
        <v>4</v>
      </c>
      <c r="L9" s="8">
        <f t="shared" si="0"/>
        <v>50</v>
      </c>
      <c r="M9">
        <f t="shared" ref="M9:U9" si="32">M20+$V$4-1</f>
        <v>9</v>
      </c>
      <c r="N9">
        <f t="shared" si="32"/>
        <v>7</v>
      </c>
      <c r="O9">
        <f t="shared" si="32"/>
        <v>3</v>
      </c>
      <c r="P9">
        <f t="shared" si="32"/>
        <v>10</v>
      </c>
      <c r="Q9">
        <f t="shared" si="32"/>
        <v>6</v>
      </c>
      <c r="R9">
        <f t="shared" si="32"/>
        <v>1</v>
      </c>
      <c r="S9">
        <f t="shared" si="32"/>
        <v>8</v>
      </c>
      <c r="T9">
        <f t="shared" si="32"/>
        <v>4</v>
      </c>
      <c r="U9">
        <f t="shared" si="32"/>
        <v>5</v>
      </c>
      <c r="V9" s="16">
        <f t="shared" si="21"/>
        <v>53</v>
      </c>
      <c r="W9" s="15">
        <v>4</v>
      </c>
      <c r="X9" s="2">
        <v>10</v>
      </c>
      <c r="Y9" s="2">
        <v>6</v>
      </c>
      <c r="Z9" s="2">
        <v>2</v>
      </c>
      <c r="AA9" s="2">
        <v>7</v>
      </c>
      <c r="AB9" s="2">
        <v>1</v>
      </c>
      <c r="AC9" s="2">
        <v>3</v>
      </c>
      <c r="AD9" s="2">
        <v>8</v>
      </c>
      <c r="AE9" s="2">
        <v>9</v>
      </c>
      <c r="AF9" s="8">
        <f t="shared" si="2"/>
        <v>50</v>
      </c>
      <c r="AG9">
        <f t="shared" ref="AG9:AO9" si="33">AG20+$AP$4-1</f>
        <v>4</v>
      </c>
      <c r="AH9">
        <f t="shared" si="33"/>
        <v>9</v>
      </c>
      <c r="AI9">
        <f t="shared" si="33"/>
        <v>11</v>
      </c>
      <c r="AJ9">
        <f t="shared" si="33"/>
        <v>6</v>
      </c>
      <c r="AK9">
        <f t="shared" si="33"/>
        <v>3</v>
      </c>
      <c r="AL9">
        <f t="shared" si="33"/>
        <v>7</v>
      </c>
      <c r="AM9">
        <f t="shared" si="33"/>
        <v>10</v>
      </c>
      <c r="AN9">
        <f t="shared" si="33"/>
        <v>12</v>
      </c>
      <c r="AO9">
        <f t="shared" si="33"/>
        <v>8</v>
      </c>
      <c r="AP9" s="16">
        <f t="shared" si="23"/>
        <v>70</v>
      </c>
      <c r="AQ9" s="2">
        <v>1</v>
      </c>
      <c r="AR9" s="2">
        <v>4</v>
      </c>
      <c r="AS9" s="2">
        <v>6</v>
      </c>
      <c r="AT9" s="2">
        <v>9</v>
      </c>
      <c r="AU9" s="2">
        <v>10</v>
      </c>
      <c r="AV9" s="2">
        <v>8</v>
      </c>
      <c r="AW9" s="2">
        <v>3</v>
      </c>
      <c r="AX9" s="2">
        <v>2</v>
      </c>
      <c r="AY9" s="2">
        <v>7</v>
      </c>
      <c r="AZ9" s="8">
        <f t="shared" si="4"/>
        <v>50</v>
      </c>
      <c r="BA9">
        <f t="shared" ref="BA9:BI9" si="34">BA20+$BJ$4-1</f>
        <v>1</v>
      </c>
      <c r="BB9">
        <f t="shared" si="34"/>
        <v>4</v>
      </c>
      <c r="BC9">
        <f t="shared" si="34"/>
        <v>7</v>
      </c>
      <c r="BD9">
        <f t="shared" si="34"/>
        <v>10</v>
      </c>
      <c r="BE9">
        <f t="shared" si="34"/>
        <v>2</v>
      </c>
      <c r="BF9">
        <f t="shared" si="34"/>
        <v>6</v>
      </c>
      <c r="BG9">
        <f t="shared" si="34"/>
        <v>3</v>
      </c>
      <c r="BH9">
        <f t="shared" si="34"/>
        <v>8</v>
      </c>
      <c r="BI9">
        <f t="shared" si="34"/>
        <v>5</v>
      </c>
      <c r="BJ9" s="8">
        <f t="shared" si="25"/>
        <v>46</v>
      </c>
      <c r="BK9" s="2">
        <v>7</v>
      </c>
      <c r="BL9" s="2">
        <v>2</v>
      </c>
      <c r="BM9" s="2">
        <v>3</v>
      </c>
      <c r="BN9" s="2">
        <v>8</v>
      </c>
      <c r="BO9" s="2">
        <v>10</v>
      </c>
      <c r="BP9" s="2">
        <v>9</v>
      </c>
      <c r="BQ9" s="2">
        <v>6</v>
      </c>
      <c r="BR9" s="2">
        <v>4</v>
      </c>
      <c r="BS9" s="2">
        <v>1</v>
      </c>
      <c r="BT9" s="8">
        <f t="shared" si="6"/>
        <v>50</v>
      </c>
      <c r="BU9">
        <f t="shared" ref="BU9:CC9" si="35">BU20+$CD$4-1</f>
        <v>12</v>
      </c>
      <c r="BV9">
        <f t="shared" si="35"/>
        <v>19</v>
      </c>
      <c r="BW9">
        <f t="shared" si="35"/>
        <v>18</v>
      </c>
      <c r="BX9">
        <f t="shared" si="35"/>
        <v>11</v>
      </c>
      <c r="BY9">
        <f t="shared" si="35"/>
        <v>13</v>
      </c>
      <c r="BZ9">
        <f t="shared" si="35"/>
        <v>15</v>
      </c>
      <c r="CA9">
        <f t="shared" si="35"/>
        <v>20</v>
      </c>
      <c r="CB9">
        <f t="shared" si="35"/>
        <v>17</v>
      </c>
      <c r="CC9">
        <f t="shared" si="35"/>
        <v>14</v>
      </c>
      <c r="CD9" s="8">
        <f t="shared" si="27"/>
        <v>139</v>
      </c>
      <c r="CE9" s="2">
        <v>6</v>
      </c>
      <c r="CF9" s="2">
        <v>10</v>
      </c>
      <c r="CG9" s="2">
        <v>4</v>
      </c>
      <c r="CH9" s="2">
        <v>3</v>
      </c>
      <c r="CI9" s="2">
        <v>9</v>
      </c>
      <c r="CJ9" s="2">
        <v>8</v>
      </c>
      <c r="CK9" s="2">
        <v>1</v>
      </c>
      <c r="CL9" s="2">
        <v>7</v>
      </c>
      <c r="CM9" s="2">
        <v>2</v>
      </c>
      <c r="CN9" s="8">
        <f t="shared" si="8"/>
        <v>50</v>
      </c>
      <c r="CO9">
        <f t="shared" ref="CO9:CW9" si="36">CO20+$CX$4-1</f>
        <v>7</v>
      </c>
      <c r="CP9">
        <f t="shared" si="36"/>
        <v>1</v>
      </c>
      <c r="CQ9">
        <f t="shared" si="36"/>
        <v>10</v>
      </c>
      <c r="CR9">
        <f t="shared" si="36"/>
        <v>6</v>
      </c>
      <c r="CS9">
        <f t="shared" si="36"/>
        <v>4</v>
      </c>
      <c r="CT9">
        <f t="shared" si="36"/>
        <v>9</v>
      </c>
      <c r="CU9">
        <f t="shared" si="36"/>
        <v>8</v>
      </c>
      <c r="CV9">
        <f t="shared" si="36"/>
        <v>3</v>
      </c>
      <c r="CW9">
        <f t="shared" si="36"/>
        <v>5</v>
      </c>
      <c r="CX9" s="8">
        <f t="shared" si="29"/>
        <v>53</v>
      </c>
      <c r="CY9" s="2">
        <v>2</v>
      </c>
      <c r="CZ9" s="2">
        <v>7</v>
      </c>
      <c r="DA9" s="2">
        <v>1</v>
      </c>
      <c r="DB9" s="2">
        <v>8</v>
      </c>
      <c r="DC9" s="2">
        <v>9</v>
      </c>
      <c r="DD9" s="2">
        <v>3</v>
      </c>
      <c r="DE9" s="2">
        <v>4</v>
      </c>
      <c r="DF9" s="2">
        <v>10</v>
      </c>
      <c r="DG9" s="2">
        <v>6</v>
      </c>
      <c r="DH9" s="8">
        <f t="shared" si="10"/>
        <v>50</v>
      </c>
      <c r="DI9">
        <f t="shared" ref="DI9:DQ9" si="37">DI20+$DR$4-1</f>
        <v>10</v>
      </c>
      <c r="DJ9">
        <f t="shared" si="37"/>
        <v>8</v>
      </c>
      <c r="DK9">
        <f t="shared" si="37"/>
        <v>5</v>
      </c>
      <c r="DL9">
        <f t="shared" si="37"/>
        <v>2</v>
      </c>
      <c r="DM9">
        <f t="shared" si="37"/>
        <v>7</v>
      </c>
      <c r="DN9">
        <f t="shared" si="37"/>
        <v>9</v>
      </c>
      <c r="DO9">
        <f t="shared" si="37"/>
        <v>1</v>
      </c>
      <c r="DP9">
        <f t="shared" si="37"/>
        <v>4</v>
      </c>
      <c r="DQ9">
        <f t="shared" si="37"/>
        <v>6</v>
      </c>
      <c r="DR9" s="8">
        <f t="shared" si="31"/>
        <v>52</v>
      </c>
    </row>
    <row r="10" spans="1:122" x14ac:dyDescent="0.35">
      <c r="A10">
        <v>6</v>
      </c>
      <c r="B10" s="286" t="s">
        <v>2543</v>
      </c>
      <c r="C10" s="15">
        <v>2</v>
      </c>
      <c r="D10" s="2">
        <v>7</v>
      </c>
      <c r="E10" s="2">
        <v>1</v>
      </c>
      <c r="F10" s="2">
        <v>8</v>
      </c>
      <c r="G10" s="2">
        <v>4</v>
      </c>
      <c r="H10" s="2">
        <v>3</v>
      </c>
      <c r="I10" s="2">
        <v>5</v>
      </c>
      <c r="J10" s="2">
        <v>9</v>
      </c>
      <c r="K10" s="2">
        <v>10</v>
      </c>
      <c r="L10" s="8">
        <f t="shared" si="0"/>
        <v>49</v>
      </c>
      <c r="M10">
        <f t="shared" ref="M10:U10" si="38">M21+$V$4-1</f>
        <v>2</v>
      </c>
      <c r="N10">
        <f t="shared" si="38"/>
        <v>5</v>
      </c>
      <c r="O10">
        <f t="shared" si="38"/>
        <v>8</v>
      </c>
      <c r="P10">
        <f t="shared" si="38"/>
        <v>1</v>
      </c>
      <c r="Q10">
        <f t="shared" si="38"/>
        <v>4</v>
      </c>
      <c r="R10">
        <f t="shared" si="38"/>
        <v>9</v>
      </c>
      <c r="S10">
        <f t="shared" si="38"/>
        <v>7</v>
      </c>
      <c r="T10">
        <f t="shared" si="38"/>
        <v>6</v>
      </c>
      <c r="U10">
        <f t="shared" si="38"/>
        <v>10</v>
      </c>
      <c r="V10" s="16">
        <f t="shared" si="21"/>
        <v>52</v>
      </c>
      <c r="W10" s="15">
        <v>10</v>
      </c>
      <c r="X10" s="2">
        <v>9</v>
      </c>
      <c r="Y10" s="2">
        <v>5</v>
      </c>
      <c r="Z10" s="2">
        <v>3</v>
      </c>
      <c r="AA10" s="2">
        <v>4</v>
      </c>
      <c r="AB10" s="2">
        <v>8</v>
      </c>
      <c r="AC10" s="2">
        <v>1</v>
      </c>
      <c r="AD10" s="2">
        <v>7</v>
      </c>
      <c r="AE10" s="2">
        <v>2</v>
      </c>
      <c r="AF10" s="8">
        <f t="shared" si="2"/>
        <v>49</v>
      </c>
      <c r="AG10">
        <f t="shared" ref="AG10:AO10" si="39">AG21+$AP$4-1</f>
        <v>7</v>
      </c>
      <c r="AH10">
        <f t="shared" si="39"/>
        <v>3</v>
      </c>
      <c r="AI10">
        <f t="shared" si="39"/>
        <v>12</v>
      </c>
      <c r="AJ10">
        <f t="shared" si="39"/>
        <v>8</v>
      </c>
      <c r="AK10">
        <f t="shared" si="39"/>
        <v>9</v>
      </c>
      <c r="AL10">
        <f t="shared" si="39"/>
        <v>6</v>
      </c>
      <c r="AM10">
        <f t="shared" si="39"/>
        <v>11</v>
      </c>
      <c r="AN10">
        <f t="shared" si="39"/>
        <v>4</v>
      </c>
      <c r="AO10">
        <f t="shared" si="39"/>
        <v>5</v>
      </c>
      <c r="AP10" s="16">
        <f t="shared" si="23"/>
        <v>65</v>
      </c>
      <c r="AQ10" s="2">
        <v>4</v>
      </c>
      <c r="AR10" s="2">
        <v>7</v>
      </c>
      <c r="AS10" s="2">
        <v>5</v>
      </c>
      <c r="AT10" s="2">
        <v>3</v>
      </c>
      <c r="AU10" s="2">
        <v>1</v>
      </c>
      <c r="AV10" s="2">
        <v>2</v>
      </c>
      <c r="AW10" s="2">
        <v>8</v>
      </c>
      <c r="AX10" s="2">
        <v>10</v>
      </c>
      <c r="AY10" s="2">
        <v>9</v>
      </c>
      <c r="AZ10" s="8">
        <f t="shared" si="4"/>
        <v>49</v>
      </c>
      <c r="BA10">
        <f t="shared" ref="BA10:BI10" si="40">BA21+$BJ$4-1</f>
        <v>6</v>
      </c>
      <c r="BB10">
        <f t="shared" si="40"/>
        <v>2</v>
      </c>
      <c r="BC10">
        <f t="shared" si="40"/>
        <v>8</v>
      </c>
      <c r="BD10">
        <f t="shared" si="40"/>
        <v>5</v>
      </c>
      <c r="BE10">
        <f t="shared" si="40"/>
        <v>3</v>
      </c>
      <c r="BF10">
        <f t="shared" si="40"/>
        <v>10</v>
      </c>
      <c r="BG10">
        <f t="shared" si="40"/>
        <v>7</v>
      </c>
      <c r="BH10">
        <f t="shared" si="40"/>
        <v>1</v>
      </c>
      <c r="BI10">
        <f t="shared" si="40"/>
        <v>9</v>
      </c>
      <c r="BJ10" s="8">
        <f t="shared" si="25"/>
        <v>51</v>
      </c>
      <c r="BK10" s="2">
        <v>9</v>
      </c>
      <c r="BL10" s="2">
        <v>10</v>
      </c>
      <c r="BM10" s="2">
        <v>8</v>
      </c>
      <c r="BN10" s="2">
        <v>2</v>
      </c>
      <c r="BO10" s="2">
        <v>1</v>
      </c>
      <c r="BP10" s="2">
        <v>3</v>
      </c>
      <c r="BQ10" s="2">
        <v>5</v>
      </c>
      <c r="BR10" s="2">
        <v>7</v>
      </c>
      <c r="BS10" s="2">
        <v>4</v>
      </c>
      <c r="BT10" s="8">
        <f t="shared" si="6"/>
        <v>49</v>
      </c>
      <c r="BU10">
        <f t="shared" ref="BU10:CC10" si="41">BU21+$CD$4-1</f>
        <v>16</v>
      </c>
      <c r="BV10">
        <f t="shared" si="41"/>
        <v>14</v>
      </c>
      <c r="BW10">
        <f t="shared" si="41"/>
        <v>20</v>
      </c>
      <c r="BX10">
        <f t="shared" si="41"/>
        <v>15</v>
      </c>
      <c r="BY10">
        <f t="shared" si="41"/>
        <v>18</v>
      </c>
      <c r="BZ10">
        <f t="shared" si="41"/>
        <v>12</v>
      </c>
      <c r="CA10">
        <f t="shared" si="41"/>
        <v>19</v>
      </c>
      <c r="CB10">
        <f t="shared" si="41"/>
        <v>13</v>
      </c>
      <c r="CC10">
        <f t="shared" si="41"/>
        <v>11</v>
      </c>
      <c r="CD10" s="8">
        <f t="shared" si="27"/>
        <v>138</v>
      </c>
      <c r="CE10" s="2">
        <v>5</v>
      </c>
      <c r="CF10" s="2">
        <v>1</v>
      </c>
      <c r="CG10" s="2">
        <v>7</v>
      </c>
      <c r="CH10" s="2">
        <v>8</v>
      </c>
      <c r="CI10" s="2">
        <v>2</v>
      </c>
      <c r="CJ10" s="2">
        <v>9</v>
      </c>
      <c r="CK10" s="2">
        <v>4</v>
      </c>
      <c r="CL10" s="2">
        <v>10</v>
      </c>
      <c r="CM10" s="2">
        <v>3</v>
      </c>
      <c r="CN10" s="8">
        <f t="shared" si="8"/>
        <v>49</v>
      </c>
      <c r="CO10">
        <f t="shared" ref="CO10:CW10" si="42">CO21+$CX$4-1</f>
        <v>8</v>
      </c>
      <c r="CP10">
        <f t="shared" si="42"/>
        <v>5</v>
      </c>
      <c r="CQ10">
        <f t="shared" si="42"/>
        <v>4</v>
      </c>
      <c r="CR10">
        <f t="shared" si="42"/>
        <v>2</v>
      </c>
      <c r="CS10">
        <f t="shared" si="42"/>
        <v>6</v>
      </c>
      <c r="CT10">
        <f t="shared" si="42"/>
        <v>1</v>
      </c>
      <c r="CU10">
        <f t="shared" si="42"/>
        <v>9</v>
      </c>
      <c r="CV10">
        <f t="shared" si="42"/>
        <v>7</v>
      </c>
      <c r="CW10">
        <f t="shared" si="42"/>
        <v>3</v>
      </c>
      <c r="CX10" s="8">
        <f t="shared" si="29"/>
        <v>45</v>
      </c>
      <c r="CY10" s="2">
        <v>3</v>
      </c>
      <c r="CZ10" s="2">
        <v>10</v>
      </c>
      <c r="DA10" s="2">
        <v>4</v>
      </c>
      <c r="DB10" s="2">
        <v>9</v>
      </c>
      <c r="DC10" s="2">
        <v>2</v>
      </c>
      <c r="DD10" s="2">
        <v>8</v>
      </c>
      <c r="DE10" s="2">
        <v>7</v>
      </c>
      <c r="DF10" s="2">
        <v>1</v>
      </c>
      <c r="DG10" s="2">
        <v>5</v>
      </c>
      <c r="DH10" s="8">
        <f t="shared" si="10"/>
        <v>49</v>
      </c>
      <c r="DI10">
        <f t="shared" ref="DI10:DQ10" si="43">DI21+$DR$4-1</f>
        <v>8</v>
      </c>
      <c r="DJ10">
        <f t="shared" si="43"/>
        <v>6</v>
      </c>
      <c r="DK10">
        <f t="shared" si="43"/>
        <v>2</v>
      </c>
      <c r="DL10">
        <f t="shared" si="43"/>
        <v>4</v>
      </c>
      <c r="DM10">
        <f t="shared" si="43"/>
        <v>9</v>
      </c>
      <c r="DN10">
        <f t="shared" si="43"/>
        <v>3</v>
      </c>
      <c r="DO10">
        <f t="shared" si="43"/>
        <v>7</v>
      </c>
      <c r="DP10">
        <f t="shared" si="43"/>
        <v>10</v>
      </c>
      <c r="DQ10">
        <f t="shared" si="43"/>
        <v>5</v>
      </c>
      <c r="DR10" s="8">
        <f t="shared" si="31"/>
        <v>54</v>
      </c>
    </row>
    <row r="11" spans="1:122" x14ac:dyDescent="0.35">
      <c r="A11">
        <v>7</v>
      </c>
      <c r="B11" s="286" t="s">
        <v>2544</v>
      </c>
      <c r="C11" s="15">
        <v>4</v>
      </c>
      <c r="D11" s="2">
        <v>6</v>
      </c>
      <c r="E11" s="2">
        <v>10</v>
      </c>
      <c r="F11" s="2">
        <v>2</v>
      </c>
      <c r="G11" s="2">
        <v>5</v>
      </c>
      <c r="H11" s="2">
        <v>1</v>
      </c>
      <c r="I11" s="2">
        <v>9</v>
      </c>
      <c r="J11" s="2">
        <v>8</v>
      </c>
      <c r="K11" s="2">
        <v>3</v>
      </c>
      <c r="L11" s="8">
        <f t="shared" si="0"/>
        <v>48</v>
      </c>
      <c r="M11">
        <f t="shared" ref="M11:U11" si="44">M22+$V$4-1</f>
        <v>8</v>
      </c>
      <c r="N11">
        <f t="shared" si="44"/>
        <v>6</v>
      </c>
      <c r="O11">
        <f t="shared" si="44"/>
        <v>9</v>
      </c>
      <c r="P11">
        <f t="shared" si="44"/>
        <v>3</v>
      </c>
      <c r="Q11">
        <f t="shared" si="44"/>
        <v>5</v>
      </c>
      <c r="R11">
        <f t="shared" si="44"/>
        <v>4</v>
      </c>
      <c r="S11">
        <f t="shared" si="44"/>
        <v>2</v>
      </c>
      <c r="T11">
        <f t="shared" si="44"/>
        <v>10</v>
      </c>
      <c r="U11">
        <f t="shared" si="44"/>
        <v>7</v>
      </c>
      <c r="V11" s="16">
        <f t="shared" si="21"/>
        <v>54</v>
      </c>
      <c r="W11" s="15">
        <v>3</v>
      </c>
      <c r="X11" s="2">
        <v>8</v>
      </c>
      <c r="Y11" s="2">
        <v>9</v>
      </c>
      <c r="Z11" s="2">
        <v>1</v>
      </c>
      <c r="AA11" s="2">
        <v>5</v>
      </c>
      <c r="AB11" s="2">
        <v>2</v>
      </c>
      <c r="AC11" s="2">
        <v>10</v>
      </c>
      <c r="AD11" s="2">
        <v>6</v>
      </c>
      <c r="AE11" s="2">
        <v>4</v>
      </c>
      <c r="AF11" s="8">
        <f t="shared" si="2"/>
        <v>48</v>
      </c>
      <c r="AG11">
        <f t="shared" ref="AG11:AO11" si="45">AG22+$AP$4-1</f>
        <v>12</v>
      </c>
      <c r="AH11">
        <f t="shared" si="45"/>
        <v>7</v>
      </c>
      <c r="AI11">
        <f t="shared" si="45"/>
        <v>5</v>
      </c>
      <c r="AJ11">
        <f t="shared" si="45"/>
        <v>9</v>
      </c>
      <c r="AK11">
        <f t="shared" si="45"/>
        <v>4</v>
      </c>
      <c r="AL11">
        <f t="shared" si="45"/>
        <v>10</v>
      </c>
      <c r="AM11">
        <f t="shared" si="45"/>
        <v>8</v>
      </c>
      <c r="AN11">
        <f t="shared" si="45"/>
        <v>3</v>
      </c>
      <c r="AO11">
        <f t="shared" si="45"/>
        <v>11</v>
      </c>
      <c r="AP11" s="16">
        <f t="shared" si="23"/>
        <v>69</v>
      </c>
      <c r="AQ11" s="2">
        <v>9</v>
      </c>
      <c r="AR11" s="2">
        <v>6</v>
      </c>
      <c r="AS11" s="2">
        <v>10</v>
      </c>
      <c r="AT11" s="2">
        <v>4</v>
      </c>
      <c r="AU11" s="2">
        <v>2</v>
      </c>
      <c r="AV11" s="2">
        <v>3</v>
      </c>
      <c r="AW11" s="2">
        <v>1</v>
      </c>
      <c r="AX11" s="2">
        <v>8</v>
      </c>
      <c r="AY11" s="2">
        <v>5</v>
      </c>
      <c r="AZ11" s="8">
        <f t="shared" si="4"/>
        <v>48</v>
      </c>
      <c r="BA11">
        <f t="shared" ref="BA11:BI11" si="46">BA22+$BJ$4-1</f>
        <v>3</v>
      </c>
      <c r="BB11">
        <f t="shared" si="46"/>
        <v>1</v>
      </c>
      <c r="BC11">
        <f t="shared" si="46"/>
        <v>10</v>
      </c>
      <c r="BD11">
        <f t="shared" si="46"/>
        <v>8</v>
      </c>
      <c r="BE11">
        <f t="shared" si="46"/>
        <v>5</v>
      </c>
      <c r="BF11">
        <f t="shared" si="46"/>
        <v>2</v>
      </c>
      <c r="BG11">
        <f t="shared" si="46"/>
        <v>9</v>
      </c>
      <c r="BH11">
        <f t="shared" si="46"/>
        <v>4</v>
      </c>
      <c r="BI11">
        <f t="shared" si="46"/>
        <v>6</v>
      </c>
      <c r="BJ11" s="8">
        <f t="shared" si="25"/>
        <v>48</v>
      </c>
      <c r="BK11" s="2">
        <v>5</v>
      </c>
      <c r="BL11" s="2">
        <v>8</v>
      </c>
      <c r="BM11" s="2">
        <v>1</v>
      </c>
      <c r="BN11" s="2">
        <v>3</v>
      </c>
      <c r="BO11" s="2">
        <v>2</v>
      </c>
      <c r="BP11" s="2">
        <v>4</v>
      </c>
      <c r="BQ11" s="2">
        <v>10</v>
      </c>
      <c r="BR11" s="2">
        <v>6</v>
      </c>
      <c r="BS11" s="2">
        <v>9</v>
      </c>
      <c r="BT11" s="8">
        <f t="shared" si="6"/>
        <v>48</v>
      </c>
      <c r="BU11">
        <f t="shared" ref="BU11:CC11" si="47">BU22+$CD$4-1</f>
        <v>11</v>
      </c>
      <c r="BV11">
        <f t="shared" si="47"/>
        <v>17</v>
      </c>
      <c r="BW11">
        <f t="shared" si="47"/>
        <v>16</v>
      </c>
      <c r="BX11">
        <f t="shared" si="47"/>
        <v>13</v>
      </c>
      <c r="BY11">
        <f t="shared" si="47"/>
        <v>12</v>
      </c>
      <c r="BZ11">
        <f t="shared" si="47"/>
        <v>19</v>
      </c>
      <c r="CA11">
        <f t="shared" si="47"/>
        <v>15</v>
      </c>
      <c r="CB11">
        <f t="shared" si="47"/>
        <v>14</v>
      </c>
      <c r="CC11">
        <f t="shared" si="47"/>
        <v>18</v>
      </c>
      <c r="CD11" s="8">
        <f t="shared" si="27"/>
        <v>135</v>
      </c>
      <c r="CE11" s="2">
        <v>8</v>
      </c>
      <c r="CF11" s="2">
        <v>3</v>
      </c>
      <c r="CG11" s="2">
        <v>6</v>
      </c>
      <c r="CH11" s="2">
        <v>4</v>
      </c>
      <c r="CI11" s="2">
        <v>10</v>
      </c>
      <c r="CJ11" s="2">
        <v>2</v>
      </c>
      <c r="CK11" s="2">
        <v>9</v>
      </c>
      <c r="CL11" s="2">
        <v>5</v>
      </c>
      <c r="CM11" s="2">
        <v>1</v>
      </c>
      <c r="CN11" s="8">
        <f t="shared" si="8"/>
        <v>48</v>
      </c>
      <c r="CO11">
        <f t="shared" ref="CO11:CW11" si="48">CO22+$CX$4-1</f>
        <v>1</v>
      </c>
      <c r="CP11">
        <f t="shared" si="48"/>
        <v>9</v>
      </c>
      <c r="CQ11">
        <f t="shared" si="48"/>
        <v>3</v>
      </c>
      <c r="CR11">
        <f t="shared" si="48"/>
        <v>8</v>
      </c>
      <c r="CS11">
        <f t="shared" si="48"/>
        <v>10</v>
      </c>
      <c r="CT11">
        <f t="shared" si="48"/>
        <v>7</v>
      </c>
      <c r="CU11">
        <f t="shared" si="48"/>
        <v>6</v>
      </c>
      <c r="CV11">
        <f t="shared" si="48"/>
        <v>4</v>
      </c>
      <c r="CW11">
        <f t="shared" si="48"/>
        <v>2</v>
      </c>
      <c r="CX11" s="8">
        <f t="shared" si="29"/>
        <v>50</v>
      </c>
      <c r="CY11" s="2">
        <v>1</v>
      </c>
      <c r="CZ11" s="2">
        <v>5</v>
      </c>
      <c r="DA11" s="2">
        <v>9</v>
      </c>
      <c r="DB11" s="2">
        <v>2</v>
      </c>
      <c r="DC11" s="2">
        <v>10</v>
      </c>
      <c r="DD11" s="2">
        <v>4</v>
      </c>
      <c r="DE11" s="2">
        <v>6</v>
      </c>
      <c r="DF11" s="2">
        <v>3</v>
      </c>
      <c r="DG11" s="2">
        <v>8</v>
      </c>
      <c r="DH11" s="8">
        <f t="shared" si="10"/>
        <v>48</v>
      </c>
      <c r="DI11">
        <f t="shared" ref="DI11:DQ11" si="49">DI22+$DR$4-1</f>
        <v>3</v>
      </c>
      <c r="DJ11">
        <f t="shared" si="49"/>
        <v>7</v>
      </c>
      <c r="DK11">
        <f t="shared" si="49"/>
        <v>9</v>
      </c>
      <c r="DL11">
        <f t="shared" si="49"/>
        <v>6</v>
      </c>
      <c r="DM11">
        <f t="shared" si="49"/>
        <v>1</v>
      </c>
      <c r="DN11">
        <f t="shared" si="49"/>
        <v>5</v>
      </c>
      <c r="DO11">
        <f t="shared" si="49"/>
        <v>8</v>
      </c>
      <c r="DP11">
        <f t="shared" si="49"/>
        <v>2</v>
      </c>
      <c r="DQ11">
        <f t="shared" si="49"/>
        <v>4</v>
      </c>
      <c r="DR11" s="8">
        <f t="shared" si="31"/>
        <v>45</v>
      </c>
    </row>
    <row r="12" spans="1:122" x14ac:dyDescent="0.35">
      <c r="A12">
        <v>8</v>
      </c>
      <c r="B12" s="286" t="s">
        <v>2554</v>
      </c>
      <c r="C12" s="15">
        <v>10</v>
      </c>
      <c r="D12" s="2">
        <v>5</v>
      </c>
      <c r="E12" s="2">
        <v>2</v>
      </c>
      <c r="F12" s="2">
        <v>6</v>
      </c>
      <c r="G12" s="2">
        <v>9</v>
      </c>
      <c r="H12" s="2">
        <v>4</v>
      </c>
      <c r="I12" s="2">
        <v>3</v>
      </c>
      <c r="J12" s="2">
        <v>7</v>
      </c>
      <c r="K12" s="2">
        <v>1</v>
      </c>
      <c r="L12" s="8">
        <f t="shared" si="0"/>
        <v>47</v>
      </c>
      <c r="M12">
        <f t="shared" ref="M12:U12" si="50">M23+$V$4-1</f>
        <v>3</v>
      </c>
      <c r="N12">
        <f t="shared" si="50"/>
        <v>8</v>
      </c>
      <c r="O12">
        <f t="shared" si="50"/>
        <v>5</v>
      </c>
      <c r="P12">
        <f t="shared" si="50"/>
        <v>2</v>
      </c>
      <c r="Q12">
        <f t="shared" si="50"/>
        <v>10</v>
      </c>
      <c r="R12">
        <f t="shared" si="50"/>
        <v>6</v>
      </c>
      <c r="S12">
        <f t="shared" si="50"/>
        <v>4</v>
      </c>
      <c r="T12">
        <f t="shared" si="50"/>
        <v>9</v>
      </c>
      <c r="U12">
        <f t="shared" si="50"/>
        <v>1</v>
      </c>
      <c r="V12" s="16">
        <f t="shared" si="21"/>
        <v>48</v>
      </c>
      <c r="W12" s="15">
        <v>1</v>
      </c>
      <c r="X12" s="2">
        <v>7</v>
      </c>
      <c r="Y12" s="2">
        <v>3</v>
      </c>
      <c r="Z12" s="2">
        <v>4</v>
      </c>
      <c r="AA12" s="2">
        <v>9</v>
      </c>
      <c r="AB12" s="2">
        <v>6</v>
      </c>
      <c r="AC12" s="2">
        <v>2</v>
      </c>
      <c r="AD12" s="2">
        <v>5</v>
      </c>
      <c r="AE12" s="2">
        <v>10</v>
      </c>
      <c r="AF12" s="8">
        <f t="shared" si="2"/>
        <v>47</v>
      </c>
      <c r="AG12">
        <f t="shared" ref="AG12:AO12" si="51">AG23+$AP$4-1</f>
        <v>6</v>
      </c>
      <c r="AH12">
        <f t="shared" si="51"/>
        <v>8</v>
      </c>
      <c r="AI12">
        <f t="shared" si="51"/>
        <v>9</v>
      </c>
      <c r="AJ12">
        <f t="shared" si="51"/>
        <v>3</v>
      </c>
      <c r="AK12">
        <f t="shared" si="51"/>
        <v>7</v>
      </c>
      <c r="AL12">
        <f t="shared" si="51"/>
        <v>5</v>
      </c>
      <c r="AM12">
        <f t="shared" si="51"/>
        <v>4</v>
      </c>
      <c r="AN12">
        <f t="shared" si="51"/>
        <v>11</v>
      </c>
      <c r="AO12">
        <f t="shared" si="51"/>
        <v>10</v>
      </c>
      <c r="AP12" s="16">
        <f t="shared" si="23"/>
        <v>63</v>
      </c>
      <c r="AQ12" s="2">
        <v>2</v>
      </c>
      <c r="AR12" s="2">
        <v>9</v>
      </c>
      <c r="AS12" s="2">
        <v>1</v>
      </c>
      <c r="AT12" s="2">
        <v>10</v>
      </c>
      <c r="AU12" s="2">
        <v>4</v>
      </c>
      <c r="AV12" s="2">
        <v>5</v>
      </c>
      <c r="AW12" s="2">
        <v>6</v>
      </c>
      <c r="AX12" s="2">
        <v>7</v>
      </c>
      <c r="AY12" s="2">
        <v>3</v>
      </c>
      <c r="AZ12" s="8">
        <f t="shared" si="4"/>
        <v>47</v>
      </c>
      <c r="BA12">
        <f t="shared" ref="BA12:BI12" si="52">BA23+$BJ$4-1</f>
        <v>9</v>
      </c>
      <c r="BB12">
        <f t="shared" si="52"/>
        <v>7</v>
      </c>
      <c r="BC12">
        <f t="shared" si="52"/>
        <v>6</v>
      </c>
      <c r="BD12">
        <f t="shared" si="52"/>
        <v>4</v>
      </c>
      <c r="BE12">
        <f t="shared" si="52"/>
        <v>10</v>
      </c>
      <c r="BF12">
        <f t="shared" si="52"/>
        <v>5</v>
      </c>
      <c r="BG12">
        <f t="shared" si="52"/>
        <v>8</v>
      </c>
      <c r="BH12">
        <f t="shared" si="52"/>
        <v>3</v>
      </c>
      <c r="BI12">
        <f t="shared" si="52"/>
        <v>1</v>
      </c>
      <c r="BJ12" s="8">
        <f t="shared" si="25"/>
        <v>53</v>
      </c>
      <c r="BK12" s="2">
        <v>3</v>
      </c>
      <c r="BL12" s="2">
        <v>7</v>
      </c>
      <c r="BM12" s="2">
        <v>6</v>
      </c>
      <c r="BN12" s="2">
        <v>5</v>
      </c>
      <c r="BO12" s="2">
        <v>4</v>
      </c>
      <c r="BP12" s="2">
        <v>10</v>
      </c>
      <c r="BQ12" s="2">
        <v>1</v>
      </c>
      <c r="BR12" s="2">
        <v>9</v>
      </c>
      <c r="BS12" s="2">
        <v>2</v>
      </c>
      <c r="BT12" s="8">
        <f t="shared" si="6"/>
        <v>47</v>
      </c>
      <c r="BU12">
        <f t="shared" ref="BU12:CC12" si="53">BU23+$CD$4-1</f>
        <v>14</v>
      </c>
      <c r="BV12">
        <f t="shared" si="53"/>
        <v>18</v>
      </c>
      <c r="BW12">
        <f t="shared" si="53"/>
        <v>19</v>
      </c>
      <c r="BX12">
        <f t="shared" si="53"/>
        <v>12</v>
      </c>
      <c r="BY12">
        <f t="shared" si="53"/>
        <v>15</v>
      </c>
      <c r="BZ12">
        <f t="shared" si="53"/>
        <v>17</v>
      </c>
      <c r="CA12">
        <f t="shared" si="53"/>
        <v>11</v>
      </c>
      <c r="CB12">
        <f t="shared" si="53"/>
        <v>20</v>
      </c>
      <c r="CC12">
        <f t="shared" si="53"/>
        <v>16</v>
      </c>
      <c r="CD12" s="8">
        <f t="shared" si="27"/>
        <v>142</v>
      </c>
      <c r="CE12" s="2">
        <v>7</v>
      </c>
      <c r="CF12" s="2">
        <v>4</v>
      </c>
      <c r="CG12" s="2">
        <v>9</v>
      </c>
      <c r="CH12" s="2">
        <v>6</v>
      </c>
      <c r="CI12" s="2">
        <v>3</v>
      </c>
      <c r="CJ12" s="2">
        <v>5</v>
      </c>
      <c r="CK12" s="2">
        <v>2</v>
      </c>
      <c r="CL12" s="2">
        <v>1</v>
      </c>
      <c r="CM12" s="2">
        <v>10</v>
      </c>
      <c r="CN12" s="8">
        <f t="shared" si="8"/>
        <v>47</v>
      </c>
      <c r="CO12">
        <f t="shared" ref="CO12:CW12" si="54">CO23+$CX$4-1</f>
        <v>2</v>
      </c>
      <c r="CP12">
        <f t="shared" si="54"/>
        <v>4</v>
      </c>
      <c r="CQ12">
        <f t="shared" si="54"/>
        <v>5</v>
      </c>
      <c r="CR12">
        <f t="shared" si="54"/>
        <v>1</v>
      </c>
      <c r="CS12">
        <f t="shared" si="54"/>
        <v>8</v>
      </c>
      <c r="CT12">
        <f t="shared" si="54"/>
        <v>10</v>
      </c>
      <c r="CU12">
        <f t="shared" si="54"/>
        <v>3</v>
      </c>
      <c r="CV12">
        <f t="shared" si="54"/>
        <v>6</v>
      </c>
      <c r="CW12">
        <f t="shared" si="54"/>
        <v>9</v>
      </c>
      <c r="CX12" s="8">
        <f t="shared" si="29"/>
        <v>48</v>
      </c>
      <c r="CY12" s="2">
        <v>10</v>
      </c>
      <c r="CZ12" s="2">
        <v>1</v>
      </c>
      <c r="DA12" s="2">
        <v>2</v>
      </c>
      <c r="DB12" s="2">
        <v>5</v>
      </c>
      <c r="DC12" s="2">
        <v>3</v>
      </c>
      <c r="DD12" s="2">
        <v>6</v>
      </c>
      <c r="DE12" s="2">
        <v>9</v>
      </c>
      <c r="DF12" s="2">
        <v>4</v>
      </c>
      <c r="DG12" s="2">
        <v>7</v>
      </c>
      <c r="DH12" s="8">
        <f t="shared" si="10"/>
        <v>47</v>
      </c>
      <c r="DI12">
        <f t="shared" ref="DI12:DQ12" si="55">DI23+$DR$4-1</f>
        <v>2</v>
      </c>
      <c r="DJ12">
        <f t="shared" si="55"/>
        <v>9</v>
      </c>
      <c r="DK12">
        <f t="shared" si="55"/>
        <v>8</v>
      </c>
      <c r="DL12">
        <f t="shared" si="55"/>
        <v>1</v>
      </c>
      <c r="DM12">
        <f t="shared" si="55"/>
        <v>5</v>
      </c>
      <c r="DN12">
        <f t="shared" si="55"/>
        <v>4</v>
      </c>
      <c r="DO12">
        <f t="shared" si="55"/>
        <v>10</v>
      </c>
      <c r="DP12">
        <f t="shared" si="55"/>
        <v>7</v>
      </c>
      <c r="DQ12">
        <f t="shared" si="55"/>
        <v>3</v>
      </c>
      <c r="DR12" s="8">
        <f t="shared" si="31"/>
        <v>49</v>
      </c>
    </row>
    <row r="13" spans="1:122" x14ac:dyDescent="0.35">
      <c r="A13">
        <v>9</v>
      </c>
      <c r="B13" s="286" t="s">
        <v>2545</v>
      </c>
      <c r="C13" s="15">
        <v>5</v>
      </c>
      <c r="D13" s="2">
        <v>1</v>
      </c>
      <c r="E13" s="2">
        <v>4</v>
      </c>
      <c r="F13" s="2">
        <v>3</v>
      </c>
      <c r="G13" s="2">
        <v>8</v>
      </c>
      <c r="H13" s="2">
        <v>10</v>
      </c>
      <c r="I13" s="2">
        <v>7</v>
      </c>
      <c r="J13" s="2">
        <v>6</v>
      </c>
      <c r="K13" s="2">
        <v>2</v>
      </c>
      <c r="L13" s="8">
        <f t="shared" si="0"/>
        <v>46</v>
      </c>
      <c r="M13">
        <f t="shared" ref="M13:U13" si="56">M24+$V$4-1</f>
        <v>10</v>
      </c>
      <c r="N13">
        <f t="shared" si="56"/>
        <v>3</v>
      </c>
      <c r="O13">
        <f t="shared" si="56"/>
        <v>2</v>
      </c>
      <c r="P13">
        <f t="shared" si="56"/>
        <v>6</v>
      </c>
      <c r="Q13">
        <f t="shared" si="56"/>
        <v>9</v>
      </c>
      <c r="R13">
        <f t="shared" si="56"/>
        <v>7</v>
      </c>
      <c r="S13">
        <f t="shared" si="56"/>
        <v>1</v>
      </c>
      <c r="T13">
        <f t="shared" si="56"/>
        <v>5</v>
      </c>
      <c r="U13">
        <f t="shared" si="56"/>
        <v>4</v>
      </c>
      <c r="V13" s="16">
        <f t="shared" si="21"/>
        <v>47</v>
      </c>
      <c r="W13" s="15">
        <v>2</v>
      </c>
      <c r="X13" s="2">
        <v>6</v>
      </c>
      <c r="Y13" s="2">
        <v>7</v>
      </c>
      <c r="Z13" s="2">
        <v>10</v>
      </c>
      <c r="AA13" s="2">
        <v>8</v>
      </c>
      <c r="AB13" s="2">
        <v>3</v>
      </c>
      <c r="AC13" s="2">
        <v>4</v>
      </c>
      <c r="AD13" s="2">
        <v>1</v>
      </c>
      <c r="AE13" s="2">
        <v>5</v>
      </c>
      <c r="AF13" s="8">
        <f t="shared" si="2"/>
        <v>46</v>
      </c>
      <c r="AG13">
        <f t="shared" ref="AG13:AO13" si="57">AG24+$AP$4-1</f>
        <v>9</v>
      </c>
      <c r="AH13">
        <f t="shared" si="57"/>
        <v>4</v>
      </c>
      <c r="AI13">
        <f t="shared" si="57"/>
        <v>6</v>
      </c>
      <c r="AJ13">
        <f t="shared" si="57"/>
        <v>12</v>
      </c>
      <c r="AK13">
        <f t="shared" si="57"/>
        <v>8</v>
      </c>
      <c r="AL13">
        <f t="shared" si="57"/>
        <v>3</v>
      </c>
      <c r="AM13">
        <f t="shared" si="57"/>
        <v>5</v>
      </c>
      <c r="AN13">
        <f t="shared" si="57"/>
        <v>10</v>
      </c>
      <c r="AO13">
        <f t="shared" si="57"/>
        <v>7</v>
      </c>
      <c r="AP13" s="16">
        <f t="shared" si="23"/>
        <v>64</v>
      </c>
      <c r="AQ13" s="2">
        <v>7</v>
      </c>
      <c r="AR13" s="2">
        <v>8</v>
      </c>
      <c r="AS13" s="2">
        <v>4</v>
      </c>
      <c r="AT13" s="2">
        <v>5</v>
      </c>
      <c r="AU13" s="2">
        <v>3</v>
      </c>
      <c r="AV13" s="2">
        <v>10</v>
      </c>
      <c r="AW13" s="2">
        <v>2</v>
      </c>
      <c r="AX13" s="2">
        <v>1</v>
      </c>
      <c r="AY13" s="2">
        <v>6</v>
      </c>
      <c r="AZ13" s="8">
        <f t="shared" si="4"/>
        <v>46</v>
      </c>
      <c r="BA13">
        <f t="shared" ref="BA13:BI13" si="58">BA24+$BJ$4-1</f>
        <v>4</v>
      </c>
      <c r="BB13">
        <f t="shared" si="58"/>
        <v>8</v>
      </c>
      <c r="BC13">
        <f t="shared" si="58"/>
        <v>1</v>
      </c>
      <c r="BD13">
        <f t="shared" si="58"/>
        <v>9</v>
      </c>
      <c r="BE13">
        <f t="shared" si="58"/>
        <v>7</v>
      </c>
      <c r="BF13">
        <f t="shared" si="58"/>
        <v>3</v>
      </c>
      <c r="BG13">
        <f t="shared" si="58"/>
        <v>2</v>
      </c>
      <c r="BH13">
        <f t="shared" si="58"/>
        <v>5</v>
      </c>
      <c r="BI13">
        <f t="shared" si="58"/>
        <v>10</v>
      </c>
      <c r="BJ13" s="8">
        <f t="shared" si="25"/>
        <v>49</v>
      </c>
      <c r="BK13" s="2">
        <v>6</v>
      </c>
      <c r="BL13" s="2">
        <v>1</v>
      </c>
      <c r="BM13" s="2">
        <v>2</v>
      </c>
      <c r="BN13" s="2">
        <v>10</v>
      </c>
      <c r="BO13" s="2">
        <v>3</v>
      </c>
      <c r="BP13" s="2">
        <v>5</v>
      </c>
      <c r="BQ13" s="2">
        <v>4</v>
      </c>
      <c r="BR13" s="2">
        <v>8</v>
      </c>
      <c r="BS13" s="2">
        <v>7</v>
      </c>
      <c r="BT13" s="8">
        <f t="shared" si="6"/>
        <v>46</v>
      </c>
      <c r="BU13">
        <f t="shared" ref="BU13:CC13" si="59">BU24+$CD$4-1</f>
        <v>15</v>
      </c>
      <c r="BV13">
        <f t="shared" si="59"/>
        <v>12</v>
      </c>
      <c r="BW13">
        <f t="shared" si="59"/>
        <v>13</v>
      </c>
      <c r="BX13">
        <f t="shared" si="59"/>
        <v>18</v>
      </c>
      <c r="BY13">
        <f t="shared" si="59"/>
        <v>20</v>
      </c>
      <c r="BZ13">
        <f t="shared" si="59"/>
        <v>16</v>
      </c>
      <c r="CA13">
        <f t="shared" si="59"/>
        <v>14</v>
      </c>
      <c r="CB13">
        <f t="shared" si="59"/>
        <v>19</v>
      </c>
      <c r="CC13">
        <f t="shared" si="59"/>
        <v>17</v>
      </c>
      <c r="CD13" s="8">
        <f t="shared" si="27"/>
        <v>144</v>
      </c>
      <c r="CE13" s="2">
        <v>10</v>
      </c>
      <c r="CF13" s="2">
        <v>2</v>
      </c>
      <c r="CG13" s="2">
        <v>8</v>
      </c>
      <c r="CH13" s="2">
        <v>1</v>
      </c>
      <c r="CI13" s="2">
        <v>5</v>
      </c>
      <c r="CJ13" s="2">
        <v>6</v>
      </c>
      <c r="CK13" s="2">
        <v>7</v>
      </c>
      <c r="CL13" s="2">
        <v>3</v>
      </c>
      <c r="CM13" s="2">
        <v>4</v>
      </c>
      <c r="CN13" s="8">
        <f t="shared" si="8"/>
        <v>46</v>
      </c>
      <c r="CO13">
        <f t="shared" ref="CO13:CW13" si="60">CO24+$CX$4-1</f>
        <v>4</v>
      </c>
      <c r="CP13">
        <f t="shared" si="60"/>
        <v>8</v>
      </c>
      <c r="CQ13">
        <f t="shared" si="60"/>
        <v>6</v>
      </c>
      <c r="CR13">
        <f t="shared" si="60"/>
        <v>9</v>
      </c>
      <c r="CS13">
        <f t="shared" si="60"/>
        <v>3</v>
      </c>
      <c r="CT13">
        <f t="shared" si="60"/>
        <v>2</v>
      </c>
      <c r="CU13">
        <f t="shared" si="60"/>
        <v>5</v>
      </c>
      <c r="CV13">
        <f t="shared" si="60"/>
        <v>10</v>
      </c>
      <c r="CW13">
        <f t="shared" si="60"/>
        <v>7</v>
      </c>
      <c r="CX13" s="8">
        <f t="shared" si="29"/>
        <v>54</v>
      </c>
      <c r="CY13" s="2">
        <v>4</v>
      </c>
      <c r="CZ13" s="2">
        <v>3</v>
      </c>
      <c r="DA13" s="2">
        <v>7</v>
      </c>
      <c r="DB13" s="2">
        <v>6</v>
      </c>
      <c r="DC13" s="2">
        <v>5</v>
      </c>
      <c r="DD13" s="2">
        <v>1</v>
      </c>
      <c r="DE13" s="2">
        <v>8</v>
      </c>
      <c r="DF13" s="2">
        <v>2</v>
      </c>
      <c r="DG13" s="2">
        <v>10</v>
      </c>
      <c r="DH13" s="8">
        <f t="shared" si="10"/>
        <v>46</v>
      </c>
      <c r="DI13">
        <f t="shared" ref="DI13:DQ13" si="61">DI24+$DR$4-1</f>
        <v>6</v>
      </c>
      <c r="DJ13">
        <f t="shared" si="61"/>
        <v>1</v>
      </c>
      <c r="DK13">
        <f t="shared" si="61"/>
        <v>10</v>
      </c>
      <c r="DL13">
        <f t="shared" si="61"/>
        <v>3</v>
      </c>
      <c r="DM13">
        <f t="shared" si="61"/>
        <v>8</v>
      </c>
      <c r="DN13">
        <f t="shared" si="61"/>
        <v>2</v>
      </c>
      <c r="DO13">
        <f t="shared" si="61"/>
        <v>9</v>
      </c>
      <c r="DP13">
        <f t="shared" si="61"/>
        <v>5</v>
      </c>
      <c r="DQ13">
        <f t="shared" si="61"/>
        <v>7</v>
      </c>
      <c r="DR13" s="8">
        <f t="shared" si="31"/>
        <v>51</v>
      </c>
    </row>
    <row r="14" spans="1:122" x14ac:dyDescent="0.35">
      <c r="A14">
        <v>10</v>
      </c>
      <c r="B14" s="286" t="s">
        <v>2546</v>
      </c>
      <c r="C14" s="15">
        <v>8</v>
      </c>
      <c r="D14" s="2">
        <v>3</v>
      </c>
      <c r="E14" s="2">
        <v>7</v>
      </c>
      <c r="F14" s="2">
        <v>4</v>
      </c>
      <c r="G14" s="2">
        <v>1</v>
      </c>
      <c r="H14" s="2">
        <v>9</v>
      </c>
      <c r="I14" s="2">
        <v>2</v>
      </c>
      <c r="J14" s="2">
        <v>5</v>
      </c>
      <c r="K14" s="2">
        <v>6</v>
      </c>
      <c r="L14" s="8">
        <f t="shared" si="0"/>
        <v>45</v>
      </c>
      <c r="M14">
        <f t="shared" ref="M14:U14" si="62">M25+$V$4-1</f>
        <v>4</v>
      </c>
      <c r="N14">
        <f t="shared" si="62"/>
        <v>1</v>
      </c>
      <c r="O14">
        <f t="shared" si="62"/>
        <v>10</v>
      </c>
      <c r="P14">
        <f t="shared" si="62"/>
        <v>7</v>
      </c>
      <c r="Q14">
        <f t="shared" si="62"/>
        <v>2</v>
      </c>
      <c r="R14">
        <f t="shared" si="62"/>
        <v>8</v>
      </c>
      <c r="S14">
        <f t="shared" si="62"/>
        <v>6</v>
      </c>
      <c r="T14">
        <f t="shared" si="62"/>
        <v>3</v>
      </c>
      <c r="U14">
        <f t="shared" si="62"/>
        <v>9</v>
      </c>
      <c r="V14" s="16">
        <f t="shared" si="21"/>
        <v>50</v>
      </c>
      <c r="W14" s="15">
        <v>6</v>
      </c>
      <c r="X14" s="2">
        <v>5</v>
      </c>
      <c r="Y14" s="2">
        <v>2</v>
      </c>
      <c r="Z14" s="2">
        <v>9</v>
      </c>
      <c r="AA14" s="2">
        <v>1</v>
      </c>
      <c r="AB14" s="2">
        <v>4</v>
      </c>
      <c r="AC14" s="2">
        <v>7</v>
      </c>
      <c r="AD14" s="2">
        <v>3</v>
      </c>
      <c r="AE14" s="2">
        <v>8</v>
      </c>
      <c r="AF14" s="8">
        <f t="shared" si="2"/>
        <v>45</v>
      </c>
      <c r="AG14">
        <f t="shared" ref="AG14:AO14" si="63">AG25+$AP$4-1</f>
        <v>8</v>
      </c>
      <c r="AH14">
        <f t="shared" si="63"/>
        <v>10</v>
      </c>
      <c r="AI14">
        <f t="shared" si="63"/>
        <v>3</v>
      </c>
      <c r="AJ14">
        <f t="shared" si="63"/>
        <v>11</v>
      </c>
      <c r="AK14">
        <f t="shared" si="63"/>
        <v>5</v>
      </c>
      <c r="AL14">
        <f t="shared" si="63"/>
        <v>12</v>
      </c>
      <c r="AM14">
        <f t="shared" si="63"/>
        <v>7</v>
      </c>
      <c r="AN14">
        <f t="shared" si="63"/>
        <v>6</v>
      </c>
      <c r="AO14">
        <f t="shared" si="63"/>
        <v>9</v>
      </c>
      <c r="AP14" s="16">
        <f t="shared" si="23"/>
        <v>71</v>
      </c>
      <c r="AQ14" s="2">
        <v>3</v>
      </c>
      <c r="AR14" s="2">
        <v>2</v>
      </c>
      <c r="AS14" s="2">
        <v>7</v>
      </c>
      <c r="AT14" s="2">
        <v>8</v>
      </c>
      <c r="AU14" s="2">
        <v>5</v>
      </c>
      <c r="AV14" s="2">
        <v>9</v>
      </c>
      <c r="AW14" s="2">
        <v>4</v>
      </c>
      <c r="AX14" s="2">
        <v>6</v>
      </c>
      <c r="AY14" s="2">
        <v>1</v>
      </c>
      <c r="AZ14" s="8">
        <f t="shared" si="4"/>
        <v>45</v>
      </c>
      <c r="BA14">
        <f t="shared" ref="BA14:BI14" si="64">BA25+$BJ$4-1</f>
        <v>8</v>
      </c>
      <c r="BB14">
        <f t="shared" si="64"/>
        <v>6</v>
      </c>
      <c r="BC14">
        <f t="shared" si="64"/>
        <v>9</v>
      </c>
      <c r="BD14">
        <f t="shared" si="64"/>
        <v>3</v>
      </c>
      <c r="BE14">
        <f t="shared" si="64"/>
        <v>1</v>
      </c>
      <c r="BF14">
        <f t="shared" si="64"/>
        <v>4</v>
      </c>
      <c r="BG14">
        <f t="shared" si="64"/>
        <v>5</v>
      </c>
      <c r="BH14">
        <f t="shared" si="64"/>
        <v>2</v>
      </c>
      <c r="BI14">
        <f t="shared" si="64"/>
        <v>7</v>
      </c>
      <c r="BJ14" s="8">
        <f t="shared" si="25"/>
        <v>45</v>
      </c>
      <c r="BK14" s="2">
        <v>1</v>
      </c>
      <c r="BL14" s="2">
        <v>6</v>
      </c>
      <c r="BM14" s="2">
        <v>4</v>
      </c>
      <c r="BN14" s="2">
        <v>9</v>
      </c>
      <c r="BO14" s="2">
        <v>5</v>
      </c>
      <c r="BP14" s="2">
        <v>8</v>
      </c>
      <c r="BQ14" s="2">
        <v>7</v>
      </c>
      <c r="BR14" s="2">
        <v>2</v>
      </c>
      <c r="BS14" s="2">
        <v>3</v>
      </c>
      <c r="BT14" s="8">
        <f t="shared" si="6"/>
        <v>45</v>
      </c>
      <c r="BU14">
        <f t="shared" ref="BU14:CC14" si="65">BU25+$CD$4-1</f>
        <v>20</v>
      </c>
      <c r="BV14">
        <f t="shared" si="65"/>
        <v>13</v>
      </c>
      <c r="BW14">
        <f t="shared" si="65"/>
        <v>12</v>
      </c>
      <c r="BX14">
        <f t="shared" si="65"/>
        <v>17</v>
      </c>
      <c r="BY14">
        <f t="shared" si="65"/>
        <v>14</v>
      </c>
      <c r="BZ14">
        <f t="shared" si="65"/>
        <v>18</v>
      </c>
      <c r="CA14">
        <f t="shared" si="65"/>
        <v>16</v>
      </c>
      <c r="CB14">
        <f t="shared" si="65"/>
        <v>11</v>
      </c>
      <c r="CC14">
        <f t="shared" si="65"/>
        <v>19</v>
      </c>
      <c r="CD14" s="8">
        <f t="shared" si="27"/>
        <v>140</v>
      </c>
      <c r="CE14" s="2">
        <v>9</v>
      </c>
      <c r="CF14" s="2">
        <v>5</v>
      </c>
      <c r="CG14" s="2">
        <v>1</v>
      </c>
      <c r="CH14" s="2">
        <v>2</v>
      </c>
      <c r="CI14" s="2">
        <v>7</v>
      </c>
      <c r="CJ14" s="2">
        <v>4</v>
      </c>
      <c r="CK14" s="2">
        <v>3</v>
      </c>
      <c r="CL14" s="2">
        <v>6</v>
      </c>
      <c r="CM14" s="2">
        <v>8</v>
      </c>
      <c r="CN14" s="8">
        <f t="shared" si="8"/>
        <v>45</v>
      </c>
      <c r="CO14">
        <f t="shared" ref="CO14:CW14" si="66">CO25+$CX$4-1</f>
        <v>3</v>
      </c>
      <c r="CP14">
        <f t="shared" si="66"/>
        <v>2</v>
      </c>
      <c r="CQ14">
        <f t="shared" si="66"/>
        <v>7</v>
      </c>
      <c r="CR14">
        <f t="shared" si="66"/>
        <v>4</v>
      </c>
      <c r="CS14">
        <f t="shared" si="66"/>
        <v>9</v>
      </c>
      <c r="CT14">
        <f t="shared" si="66"/>
        <v>5</v>
      </c>
      <c r="CU14">
        <f t="shared" si="66"/>
        <v>1</v>
      </c>
      <c r="CV14">
        <f t="shared" si="66"/>
        <v>8</v>
      </c>
      <c r="CW14">
        <f t="shared" si="66"/>
        <v>10</v>
      </c>
      <c r="CX14" s="8">
        <f t="shared" si="29"/>
        <v>49</v>
      </c>
      <c r="CY14" s="2">
        <v>8</v>
      </c>
      <c r="CZ14" s="2">
        <v>6</v>
      </c>
      <c r="DA14" s="2">
        <v>3</v>
      </c>
      <c r="DB14" s="2">
        <v>4</v>
      </c>
      <c r="DC14" s="2">
        <v>7</v>
      </c>
      <c r="DD14" s="2">
        <v>2</v>
      </c>
      <c r="DE14" s="2">
        <v>1</v>
      </c>
      <c r="DF14" s="2">
        <v>5</v>
      </c>
      <c r="DG14" s="2">
        <v>9</v>
      </c>
      <c r="DH14" s="8">
        <f t="shared" si="10"/>
        <v>45</v>
      </c>
      <c r="DI14">
        <f t="shared" ref="DI14:DQ14" si="67">DI25+$DR$4-1</f>
        <v>1</v>
      </c>
      <c r="DJ14">
        <f t="shared" si="67"/>
        <v>5</v>
      </c>
      <c r="DK14">
        <f t="shared" si="67"/>
        <v>4</v>
      </c>
      <c r="DL14">
        <f t="shared" si="67"/>
        <v>10</v>
      </c>
      <c r="DM14">
        <f t="shared" si="67"/>
        <v>2</v>
      </c>
      <c r="DN14">
        <f t="shared" si="67"/>
        <v>7</v>
      </c>
      <c r="DO14">
        <f t="shared" si="67"/>
        <v>6</v>
      </c>
      <c r="DP14">
        <f t="shared" si="67"/>
        <v>3</v>
      </c>
      <c r="DQ14">
        <f t="shared" si="67"/>
        <v>8</v>
      </c>
      <c r="DR14" s="8">
        <f t="shared" si="31"/>
        <v>46</v>
      </c>
    </row>
    <row r="15" spans="1:122" x14ac:dyDescent="0.35">
      <c r="C15" s="17">
        <f t="shared" ref="C15:K15" si="68">SUM(C5:C14)</f>
        <v>55</v>
      </c>
      <c r="D15">
        <f t="shared" si="68"/>
        <v>55</v>
      </c>
      <c r="E15">
        <f t="shared" si="68"/>
        <v>55</v>
      </c>
      <c r="F15">
        <f t="shared" si="68"/>
        <v>55</v>
      </c>
      <c r="G15">
        <f t="shared" si="68"/>
        <v>55</v>
      </c>
      <c r="H15">
        <f t="shared" si="68"/>
        <v>55</v>
      </c>
      <c r="I15">
        <f t="shared" si="68"/>
        <v>55</v>
      </c>
      <c r="J15">
        <f t="shared" si="68"/>
        <v>55</v>
      </c>
      <c r="K15">
        <f t="shared" si="68"/>
        <v>55</v>
      </c>
      <c r="M15">
        <f t="shared" ref="M15:U15" si="69">SUM(M5:M14)</f>
        <v>55</v>
      </c>
      <c r="N15">
        <f t="shared" si="69"/>
        <v>55</v>
      </c>
      <c r="O15">
        <f t="shared" si="69"/>
        <v>55</v>
      </c>
      <c r="P15">
        <f t="shared" si="69"/>
        <v>55</v>
      </c>
      <c r="Q15">
        <f t="shared" si="69"/>
        <v>55</v>
      </c>
      <c r="R15">
        <f t="shared" si="69"/>
        <v>55</v>
      </c>
      <c r="S15">
        <f t="shared" si="69"/>
        <v>55</v>
      </c>
      <c r="T15">
        <f t="shared" si="69"/>
        <v>55</v>
      </c>
      <c r="U15">
        <f t="shared" si="69"/>
        <v>55</v>
      </c>
      <c r="V15" s="18"/>
      <c r="W15" s="17">
        <f t="shared" ref="W15:AE15" si="70">SUM(W5:W14)</f>
        <v>55</v>
      </c>
      <c r="X15">
        <f t="shared" si="70"/>
        <v>55</v>
      </c>
      <c r="Y15">
        <f t="shared" si="70"/>
        <v>55</v>
      </c>
      <c r="Z15">
        <f t="shared" si="70"/>
        <v>55</v>
      </c>
      <c r="AA15">
        <f t="shared" si="70"/>
        <v>55</v>
      </c>
      <c r="AB15">
        <f t="shared" si="70"/>
        <v>55</v>
      </c>
      <c r="AC15">
        <f t="shared" si="70"/>
        <v>55</v>
      </c>
      <c r="AD15">
        <f t="shared" si="70"/>
        <v>55</v>
      </c>
      <c r="AE15">
        <f t="shared" si="70"/>
        <v>55</v>
      </c>
      <c r="AG15">
        <f t="shared" ref="AG15:AO15" si="71">SUM(AG5:AG14)</f>
        <v>75</v>
      </c>
      <c r="AH15">
        <f t="shared" si="71"/>
        <v>75</v>
      </c>
      <c r="AI15">
        <f t="shared" si="71"/>
        <v>75</v>
      </c>
      <c r="AJ15">
        <f t="shared" si="71"/>
        <v>75</v>
      </c>
      <c r="AK15">
        <f t="shared" si="71"/>
        <v>75</v>
      </c>
      <c r="AL15">
        <f t="shared" si="71"/>
        <v>75</v>
      </c>
      <c r="AM15">
        <f t="shared" si="71"/>
        <v>75</v>
      </c>
      <c r="AN15">
        <f t="shared" si="71"/>
        <v>75</v>
      </c>
      <c r="AO15">
        <f t="shared" si="71"/>
        <v>75</v>
      </c>
      <c r="AP15" s="18"/>
      <c r="AQ15">
        <f t="shared" ref="AQ15:AY15" si="72">SUM(AQ5:AQ14)</f>
        <v>55</v>
      </c>
      <c r="AR15">
        <f t="shared" si="72"/>
        <v>55</v>
      </c>
      <c r="AS15">
        <f t="shared" si="72"/>
        <v>55</v>
      </c>
      <c r="AT15">
        <f t="shared" si="72"/>
        <v>55</v>
      </c>
      <c r="AU15">
        <f t="shared" si="72"/>
        <v>55</v>
      </c>
      <c r="AV15">
        <f t="shared" si="72"/>
        <v>55</v>
      </c>
      <c r="AW15">
        <f t="shared" si="72"/>
        <v>55</v>
      </c>
      <c r="AX15">
        <f t="shared" si="72"/>
        <v>55</v>
      </c>
      <c r="AY15">
        <f t="shared" si="72"/>
        <v>55</v>
      </c>
      <c r="BA15">
        <f t="shared" ref="BA15:BI15" si="73">SUM(BA5:BA14)</f>
        <v>55</v>
      </c>
      <c r="BB15">
        <f t="shared" si="73"/>
        <v>55</v>
      </c>
      <c r="BC15">
        <f t="shared" si="73"/>
        <v>55</v>
      </c>
      <c r="BD15">
        <f t="shared" si="73"/>
        <v>55</v>
      </c>
      <c r="BE15">
        <f t="shared" si="73"/>
        <v>55</v>
      </c>
      <c r="BF15">
        <f t="shared" si="73"/>
        <v>55</v>
      </c>
      <c r="BG15">
        <f t="shared" si="73"/>
        <v>55</v>
      </c>
      <c r="BH15">
        <f t="shared" si="73"/>
        <v>55</v>
      </c>
      <c r="BI15">
        <f t="shared" si="73"/>
        <v>55</v>
      </c>
      <c r="BJ15" s="3"/>
      <c r="BK15">
        <f t="shared" ref="BK15:BS15" si="74">SUM(BK5:BK14)</f>
        <v>55</v>
      </c>
      <c r="BL15">
        <f t="shared" si="74"/>
        <v>55</v>
      </c>
      <c r="BM15">
        <f t="shared" si="74"/>
        <v>55</v>
      </c>
      <c r="BN15">
        <f t="shared" si="74"/>
        <v>55</v>
      </c>
      <c r="BO15">
        <f t="shared" si="74"/>
        <v>55</v>
      </c>
      <c r="BP15">
        <f t="shared" si="74"/>
        <v>55</v>
      </c>
      <c r="BQ15">
        <f t="shared" si="74"/>
        <v>55</v>
      </c>
      <c r="BR15">
        <f t="shared" si="74"/>
        <v>55</v>
      </c>
      <c r="BS15">
        <f t="shared" si="74"/>
        <v>55</v>
      </c>
      <c r="BU15">
        <f t="shared" ref="BU15:CC15" si="75">SUM(BU5:BU14)</f>
        <v>155</v>
      </c>
      <c r="BV15">
        <f t="shared" si="75"/>
        <v>155</v>
      </c>
      <c r="BW15">
        <f t="shared" si="75"/>
        <v>155</v>
      </c>
      <c r="BX15">
        <f t="shared" si="75"/>
        <v>155</v>
      </c>
      <c r="BY15">
        <f t="shared" si="75"/>
        <v>155</v>
      </c>
      <c r="BZ15">
        <f t="shared" si="75"/>
        <v>155</v>
      </c>
      <c r="CA15">
        <f t="shared" si="75"/>
        <v>155</v>
      </c>
      <c r="CB15">
        <f t="shared" si="75"/>
        <v>155</v>
      </c>
      <c r="CC15">
        <f t="shared" si="75"/>
        <v>155</v>
      </c>
      <c r="CD15" s="3"/>
      <c r="CE15">
        <f t="shared" ref="CE15:CM15" si="76">SUM(CE5:CE14)</f>
        <v>55</v>
      </c>
      <c r="CF15">
        <f t="shared" si="76"/>
        <v>55</v>
      </c>
      <c r="CG15">
        <f t="shared" si="76"/>
        <v>55</v>
      </c>
      <c r="CH15">
        <f t="shared" si="76"/>
        <v>55</v>
      </c>
      <c r="CI15">
        <f t="shared" si="76"/>
        <v>55</v>
      </c>
      <c r="CJ15">
        <f t="shared" si="76"/>
        <v>55</v>
      </c>
      <c r="CK15">
        <f t="shared" si="76"/>
        <v>55</v>
      </c>
      <c r="CL15">
        <f t="shared" si="76"/>
        <v>55</v>
      </c>
      <c r="CM15">
        <f t="shared" si="76"/>
        <v>55</v>
      </c>
      <c r="CO15">
        <f t="shared" ref="CO15:CW15" si="77">SUM(CO5:CO14)</f>
        <v>55</v>
      </c>
      <c r="CP15">
        <f t="shared" si="77"/>
        <v>55</v>
      </c>
      <c r="CQ15">
        <f t="shared" si="77"/>
        <v>55</v>
      </c>
      <c r="CR15">
        <f t="shared" si="77"/>
        <v>55</v>
      </c>
      <c r="CS15">
        <f t="shared" si="77"/>
        <v>55</v>
      </c>
      <c r="CT15">
        <f t="shared" si="77"/>
        <v>55</v>
      </c>
      <c r="CU15">
        <f t="shared" si="77"/>
        <v>55</v>
      </c>
      <c r="CV15">
        <f t="shared" si="77"/>
        <v>55</v>
      </c>
      <c r="CW15">
        <f t="shared" si="77"/>
        <v>55</v>
      </c>
      <c r="CX15" s="3"/>
      <c r="CY15">
        <f t="shared" ref="CY15:DG15" si="78">SUM(CY5:CY14)</f>
        <v>55</v>
      </c>
      <c r="CZ15">
        <f t="shared" si="78"/>
        <v>55</v>
      </c>
      <c r="DA15">
        <f t="shared" si="78"/>
        <v>55</v>
      </c>
      <c r="DB15">
        <f t="shared" si="78"/>
        <v>55</v>
      </c>
      <c r="DC15">
        <f t="shared" si="78"/>
        <v>55</v>
      </c>
      <c r="DD15">
        <f t="shared" si="78"/>
        <v>55</v>
      </c>
      <c r="DE15">
        <f t="shared" si="78"/>
        <v>55</v>
      </c>
      <c r="DF15">
        <f t="shared" si="78"/>
        <v>55</v>
      </c>
      <c r="DG15">
        <f t="shared" si="78"/>
        <v>55</v>
      </c>
      <c r="DI15">
        <f t="shared" ref="DI15:DQ15" si="79">SUM(DI5:DI14)</f>
        <v>55</v>
      </c>
      <c r="DJ15">
        <f t="shared" si="79"/>
        <v>55</v>
      </c>
      <c r="DK15">
        <f t="shared" si="79"/>
        <v>55</v>
      </c>
      <c r="DL15">
        <f t="shared" si="79"/>
        <v>55</v>
      </c>
      <c r="DM15">
        <f t="shared" si="79"/>
        <v>55</v>
      </c>
      <c r="DN15">
        <f t="shared" si="79"/>
        <v>55</v>
      </c>
      <c r="DO15">
        <f t="shared" si="79"/>
        <v>55</v>
      </c>
      <c r="DP15">
        <f t="shared" si="79"/>
        <v>55</v>
      </c>
      <c r="DQ15">
        <f t="shared" si="79"/>
        <v>55</v>
      </c>
      <c r="DR15" s="3"/>
    </row>
    <row r="16" spans="1:122" x14ac:dyDescent="0.35">
      <c r="A16">
        <v>1</v>
      </c>
      <c r="B16" s="2" t="str">
        <f>+B5</f>
        <v>Praetoria Regensburg</v>
      </c>
      <c r="C16" s="17"/>
      <c r="M16">
        <v>5</v>
      </c>
      <c r="N16">
        <v>4</v>
      </c>
      <c r="O16">
        <v>7</v>
      </c>
      <c r="P16">
        <v>9</v>
      </c>
      <c r="Q16">
        <v>1</v>
      </c>
      <c r="R16">
        <v>3</v>
      </c>
      <c r="S16">
        <v>10</v>
      </c>
      <c r="T16">
        <v>8</v>
      </c>
      <c r="U16">
        <v>2</v>
      </c>
      <c r="V16" s="16">
        <f t="shared" ref="V16:V26" si="80">SUM(M16:U16)</f>
        <v>49</v>
      </c>
      <c r="W16" s="17"/>
      <c r="AG16">
        <v>3</v>
      </c>
      <c r="AH16">
        <v>9</v>
      </c>
      <c r="AI16">
        <v>5</v>
      </c>
      <c r="AJ16">
        <v>8</v>
      </c>
      <c r="AK16">
        <v>4</v>
      </c>
      <c r="AL16">
        <v>6</v>
      </c>
      <c r="AM16">
        <v>10</v>
      </c>
      <c r="AN16">
        <v>7</v>
      </c>
      <c r="AO16">
        <v>2</v>
      </c>
      <c r="AP16" s="16">
        <f t="shared" ref="AP16:AP26" si="81">SUM(AG16:AO16)</f>
        <v>54</v>
      </c>
      <c r="BA16">
        <v>2</v>
      </c>
      <c r="BB16">
        <v>9</v>
      </c>
      <c r="BC16">
        <v>5</v>
      </c>
      <c r="BD16">
        <v>1</v>
      </c>
      <c r="BE16">
        <v>4</v>
      </c>
      <c r="BF16">
        <v>7</v>
      </c>
      <c r="BG16">
        <v>10</v>
      </c>
      <c r="BH16">
        <v>6</v>
      </c>
      <c r="BI16">
        <v>8</v>
      </c>
      <c r="BJ16" s="8">
        <f t="shared" ref="BJ16:BJ26" si="82">SUM(BA16:BI16)</f>
        <v>52</v>
      </c>
      <c r="BU16">
        <v>9</v>
      </c>
      <c r="BV16">
        <v>1</v>
      </c>
      <c r="BW16">
        <v>5</v>
      </c>
      <c r="BX16">
        <v>10</v>
      </c>
      <c r="BY16">
        <v>7</v>
      </c>
      <c r="BZ16">
        <v>4</v>
      </c>
      <c r="CA16">
        <v>2</v>
      </c>
      <c r="CB16">
        <v>6</v>
      </c>
      <c r="CC16">
        <v>3</v>
      </c>
      <c r="CD16" s="8">
        <f t="shared" ref="CD16:CD26" si="83">SUM(BU16:CC16)</f>
        <v>47</v>
      </c>
      <c r="CO16">
        <v>9</v>
      </c>
      <c r="CP16">
        <v>6</v>
      </c>
      <c r="CQ16">
        <v>8</v>
      </c>
      <c r="CR16">
        <v>10</v>
      </c>
      <c r="CS16">
        <v>2</v>
      </c>
      <c r="CT16">
        <v>4</v>
      </c>
      <c r="CU16">
        <v>7</v>
      </c>
      <c r="CV16">
        <v>5</v>
      </c>
      <c r="CW16">
        <v>1</v>
      </c>
      <c r="CX16" s="8">
        <f t="shared" ref="CX16:CX26" si="84">SUM(CO16:CW16)</f>
        <v>52</v>
      </c>
      <c r="DI16">
        <v>4</v>
      </c>
      <c r="DJ16">
        <v>10</v>
      </c>
      <c r="DK16">
        <v>6</v>
      </c>
      <c r="DL16">
        <v>7</v>
      </c>
      <c r="DM16">
        <v>3</v>
      </c>
      <c r="DN16">
        <v>1</v>
      </c>
      <c r="DO16">
        <v>5</v>
      </c>
      <c r="DP16">
        <v>9</v>
      </c>
      <c r="DQ16">
        <v>2</v>
      </c>
      <c r="DR16" s="8">
        <f t="shared" ref="DR16:DR26" si="85">SUM(DI16:DQ16)</f>
        <v>47</v>
      </c>
    </row>
    <row r="17" spans="1:122" x14ac:dyDescent="0.35">
      <c r="A17">
        <v>2</v>
      </c>
      <c r="B17" s="2" t="str">
        <f t="shared" ref="B17:B25" si="86">+B6</f>
        <v>BK München 2</v>
      </c>
      <c r="C17" s="17"/>
      <c r="M17">
        <v>1</v>
      </c>
      <c r="N17">
        <v>9</v>
      </c>
      <c r="O17">
        <v>6</v>
      </c>
      <c r="P17">
        <v>4</v>
      </c>
      <c r="Q17">
        <v>8</v>
      </c>
      <c r="R17">
        <v>2</v>
      </c>
      <c r="S17">
        <v>5</v>
      </c>
      <c r="T17">
        <v>7</v>
      </c>
      <c r="U17">
        <v>3</v>
      </c>
      <c r="V17" s="16">
        <f t="shared" si="80"/>
        <v>45</v>
      </c>
      <c r="W17" s="17"/>
      <c r="AG17">
        <v>8</v>
      </c>
      <c r="AH17">
        <v>10</v>
      </c>
      <c r="AI17">
        <v>2</v>
      </c>
      <c r="AJ17">
        <v>3</v>
      </c>
      <c r="AK17">
        <v>9</v>
      </c>
      <c r="AL17">
        <v>7</v>
      </c>
      <c r="AM17">
        <v>1</v>
      </c>
      <c r="AN17">
        <v>6</v>
      </c>
      <c r="AO17">
        <v>4</v>
      </c>
      <c r="AP17" s="16">
        <f t="shared" si="81"/>
        <v>50</v>
      </c>
      <c r="BA17">
        <v>10</v>
      </c>
      <c r="BB17">
        <v>5</v>
      </c>
      <c r="BC17">
        <v>4</v>
      </c>
      <c r="BD17">
        <v>2</v>
      </c>
      <c r="BE17">
        <v>6</v>
      </c>
      <c r="BF17">
        <v>9</v>
      </c>
      <c r="BG17">
        <v>1</v>
      </c>
      <c r="BH17">
        <v>7</v>
      </c>
      <c r="BI17">
        <v>3</v>
      </c>
      <c r="BJ17" s="8">
        <f t="shared" si="82"/>
        <v>47</v>
      </c>
      <c r="BU17">
        <v>8</v>
      </c>
      <c r="BV17">
        <v>10</v>
      </c>
      <c r="BW17">
        <v>4</v>
      </c>
      <c r="BX17">
        <v>6</v>
      </c>
      <c r="BY17">
        <v>1</v>
      </c>
      <c r="BZ17">
        <v>3</v>
      </c>
      <c r="CA17">
        <v>7</v>
      </c>
      <c r="CB17">
        <v>2</v>
      </c>
      <c r="CC17">
        <v>5</v>
      </c>
      <c r="CD17" s="8">
        <f t="shared" si="83"/>
        <v>46</v>
      </c>
      <c r="CO17">
        <v>10</v>
      </c>
      <c r="CP17">
        <v>7</v>
      </c>
      <c r="CQ17">
        <v>2</v>
      </c>
      <c r="CR17">
        <v>3</v>
      </c>
      <c r="CS17">
        <v>5</v>
      </c>
      <c r="CT17">
        <v>8</v>
      </c>
      <c r="CU17">
        <v>4</v>
      </c>
      <c r="CV17">
        <v>1</v>
      </c>
      <c r="CW17">
        <v>6</v>
      </c>
      <c r="CX17" s="8">
        <f t="shared" si="84"/>
        <v>46</v>
      </c>
      <c r="DI17">
        <v>9</v>
      </c>
      <c r="DJ17">
        <v>4</v>
      </c>
      <c r="DK17">
        <v>7</v>
      </c>
      <c r="DL17">
        <v>5</v>
      </c>
      <c r="DM17">
        <v>10</v>
      </c>
      <c r="DN17">
        <v>8</v>
      </c>
      <c r="DO17">
        <v>3</v>
      </c>
      <c r="DP17">
        <v>6</v>
      </c>
      <c r="DQ17">
        <v>1</v>
      </c>
      <c r="DR17" s="8">
        <f t="shared" si="85"/>
        <v>53</v>
      </c>
    </row>
    <row r="18" spans="1:122" x14ac:dyDescent="0.35">
      <c r="A18">
        <v>3</v>
      </c>
      <c r="B18" s="2" t="str">
        <f t="shared" si="86"/>
        <v>Highroller Rosenheim</v>
      </c>
      <c r="C18" s="17"/>
      <c r="M18">
        <v>6</v>
      </c>
      <c r="N18">
        <v>2</v>
      </c>
      <c r="O18">
        <v>4</v>
      </c>
      <c r="P18">
        <v>5</v>
      </c>
      <c r="Q18">
        <v>7</v>
      </c>
      <c r="R18">
        <v>10</v>
      </c>
      <c r="S18">
        <v>3</v>
      </c>
      <c r="T18">
        <v>1</v>
      </c>
      <c r="U18">
        <v>8</v>
      </c>
      <c r="V18" s="16">
        <f t="shared" si="80"/>
        <v>46</v>
      </c>
      <c r="W18" s="17"/>
      <c r="AG18">
        <v>9</v>
      </c>
      <c r="AH18">
        <v>4</v>
      </c>
      <c r="AI18">
        <v>8</v>
      </c>
      <c r="AJ18">
        <v>5</v>
      </c>
      <c r="AK18">
        <v>10</v>
      </c>
      <c r="AL18">
        <v>2</v>
      </c>
      <c r="AM18">
        <v>7</v>
      </c>
      <c r="AN18">
        <v>3</v>
      </c>
      <c r="AO18">
        <v>1</v>
      </c>
      <c r="AP18" s="16">
        <f t="shared" si="81"/>
        <v>49</v>
      </c>
      <c r="BA18">
        <v>7</v>
      </c>
      <c r="BB18">
        <v>10</v>
      </c>
      <c r="BC18">
        <v>3</v>
      </c>
      <c r="BD18">
        <v>6</v>
      </c>
      <c r="BE18">
        <v>8</v>
      </c>
      <c r="BF18">
        <v>1</v>
      </c>
      <c r="BG18">
        <v>4</v>
      </c>
      <c r="BH18">
        <v>9</v>
      </c>
      <c r="BI18">
        <v>2</v>
      </c>
      <c r="BJ18" s="8">
        <f t="shared" si="82"/>
        <v>50</v>
      </c>
      <c r="BU18">
        <v>3</v>
      </c>
      <c r="BV18">
        <v>6</v>
      </c>
      <c r="BW18">
        <v>7</v>
      </c>
      <c r="BX18">
        <v>4</v>
      </c>
      <c r="BY18">
        <v>9</v>
      </c>
      <c r="BZ18">
        <v>1</v>
      </c>
      <c r="CA18">
        <v>8</v>
      </c>
      <c r="CB18">
        <v>5</v>
      </c>
      <c r="CC18">
        <v>10</v>
      </c>
      <c r="CD18" s="8">
        <f t="shared" si="83"/>
        <v>53</v>
      </c>
      <c r="CO18">
        <v>6</v>
      </c>
      <c r="CP18">
        <v>10</v>
      </c>
      <c r="CQ18">
        <v>1</v>
      </c>
      <c r="CR18">
        <v>5</v>
      </c>
      <c r="CS18">
        <v>7</v>
      </c>
      <c r="CT18">
        <v>3</v>
      </c>
      <c r="CU18">
        <v>2</v>
      </c>
      <c r="CV18">
        <v>9</v>
      </c>
      <c r="CW18">
        <v>4</v>
      </c>
      <c r="CX18" s="8">
        <f t="shared" si="84"/>
        <v>47</v>
      </c>
      <c r="DI18">
        <v>7</v>
      </c>
      <c r="DJ18">
        <v>2</v>
      </c>
      <c r="DK18">
        <v>3</v>
      </c>
      <c r="DL18">
        <v>8</v>
      </c>
      <c r="DM18">
        <v>6</v>
      </c>
      <c r="DN18">
        <v>10</v>
      </c>
      <c r="DO18">
        <v>4</v>
      </c>
      <c r="DP18">
        <v>1</v>
      </c>
      <c r="DQ18">
        <v>9</v>
      </c>
      <c r="DR18" s="8">
        <f t="shared" si="85"/>
        <v>50</v>
      </c>
    </row>
    <row r="19" spans="1:122" x14ac:dyDescent="0.35">
      <c r="A19">
        <v>4</v>
      </c>
      <c r="B19" s="2" t="str">
        <f t="shared" si="86"/>
        <v>BK München 3</v>
      </c>
      <c r="C19" s="17"/>
      <c r="M19">
        <v>7</v>
      </c>
      <c r="N19">
        <v>10</v>
      </c>
      <c r="O19">
        <v>1</v>
      </c>
      <c r="P19">
        <v>8</v>
      </c>
      <c r="Q19">
        <v>3</v>
      </c>
      <c r="R19">
        <v>5</v>
      </c>
      <c r="S19">
        <v>9</v>
      </c>
      <c r="T19">
        <v>2</v>
      </c>
      <c r="U19">
        <v>6</v>
      </c>
      <c r="V19" s="16">
        <f t="shared" si="80"/>
        <v>51</v>
      </c>
      <c r="W19" s="17"/>
      <c r="AG19">
        <v>1</v>
      </c>
      <c r="AH19">
        <v>3</v>
      </c>
      <c r="AI19">
        <v>6</v>
      </c>
      <c r="AJ19">
        <v>2</v>
      </c>
      <c r="AK19">
        <v>8</v>
      </c>
      <c r="AL19">
        <v>9</v>
      </c>
      <c r="AM19">
        <v>4</v>
      </c>
      <c r="AN19">
        <v>5</v>
      </c>
      <c r="AO19">
        <v>10</v>
      </c>
      <c r="AP19" s="16">
        <f t="shared" si="81"/>
        <v>48</v>
      </c>
      <c r="BA19">
        <v>5</v>
      </c>
      <c r="BB19">
        <v>3</v>
      </c>
      <c r="BC19">
        <v>2</v>
      </c>
      <c r="BD19">
        <v>7</v>
      </c>
      <c r="BE19">
        <v>9</v>
      </c>
      <c r="BF19">
        <v>8</v>
      </c>
      <c r="BG19">
        <v>6</v>
      </c>
      <c r="BH19">
        <v>10</v>
      </c>
      <c r="BI19">
        <v>4</v>
      </c>
      <c r="BJ19" s="8">
        <f t="shared" si="82"/>
        <v>54</v>
      </c>
      <c r="BU19">
        <v>7</v>
      </c>
      <c r="BV19">
        <v>5</v>
      </c>
      <c r="BW19">
        <v>1</v>
      </c>
      <c r="BX19">
        <v>9</v>
      </c>
      <c r="BY19">
        <v>6</v>
      </c>
      <c r="BZ19">
        <v>10</v>
      </c>
      <c r="CA19">
        <v>3</v>
      </c>
      <c r="CB19">
        <v>8</v>
      </c>
      <c r="CC19">
        <v>2</v>
      </c>
      <c r="CD19" s="8">
        <f t="shared" si="83"/>
        <v>51</v>
      </c>
      <c r="CO19">
        <v>5</v>
      </c>
      <c r="CP19">
        <v>3</v>
      </c>
      <c r="CQ19">
        <v>9</v>
      </c>
      <c r="CR19">
        <v>7</v>
      </c>
      <c r="CS19">
        <v>1</v>
      </c>
      <c r="CT19">
        <v>6</v>
      </c>
      <c r="CU19">
        <v>10</v>
      </c>
      <c r="CV19">
        <v>2</v>
      </c>
      <c r="CW19">
        <v>8</v>
      </c>
      <c r="CX19" s="8">
        <f t="shared" si="84"/>
        <v>51</v>
      </c>
      <c r="DI19">
        <v>5</v>
      </c>
      <c r="DJ19">
        <v>3</v>
      </c>
      <c r="DK19">
        <v>1</v>
      </c>
      <c r="DL19">
        <v>9</v>
      </c>
      <c r="DM19">
        <v>4</v>
      </c>
      <c r="DN19">
        <v>6</v>
      </c>
      <c r="DO19">
        <v>2</v>
      </c>
      <c r="DP19">
        <v>8</v>
      </c>
      <c r="DQ19">
        <v>10</v>
      </c>
      <c r="DR19" s="8">
        <f t="shared" si="85"/>
        <v>48</v>
      </c>
    </row>
    <row r="20" spans="1:122" x14ac:dyDescent="0.35">
      <c r="A20">
        <v>5</v>
      </c>
      <c r="B20" s="2" t="str">
        <f t="shared" si="86"/>
        <v xml:space="preserve">Weiß Blau Unterföhring </v>
      </c>
      <c r="C20" s="17"/>
      <c r="M20">
        <v>9</v>
      </c>
      <c r="N20">
        <v>7</v>
      </c>
      <c r="O20">
        <v>3</v>
      </c>
      <c r="P20">
        <v>10</v>
      </c>
      <c r="Q20">
        <v>6</v>
      </c>
      <c r="R20">
        <v>1</v>
      </c>
      <c r="S20">
        <v>8</v>
      </c>
      <c r="T20">
        <v>4</v>
      </c>
      <c r="U20">
        <v>5</v>
      </c>
      <c r="V20" s="16">
        <f t="shared" si="80"/>
        <v>53</v>
      </c>
      <c r="W20" s="17"/>
      <c r="AG20">
        <v>2</v>
      </c>
      <c r="AH20">
        <v>7</v>
      </c>
      <c r="AI20">
        <v>9</v>
      </c>
      <c r="AJ20">
        <v>4</v>
      </c>
      <c r="AK20">
        <v>1</v>
      </c>
      <c r="AL20">
        <v>5</v>
      </c>
      <c r="AM20">
        <v>8</v>
      </c>
      <c r="AN20">
        <v>10</v>
      </c>
      <c r="AO20">
        <v>6</v>
      </c>
      <c r="AP20" s="16">
        <f t="shared" si="81"/>
        <v>52</v>
      </c>
      <c r="BA20">
        <v>1</v>
      </c>
      <c r="BB20">
        <v>4</v>
      </c>
      <c r="BC20">
        <v>7</v>
      </c>
      <c r="BD20">
        <v>10</v>
      </c>
      <c r="BE20">
        <v>2</v>
      </c>
      <c r="BF20">
        <v>6</v>
      </c>
      <c r="BG20">
        <v>3</v>
      </c>
      <c r="BH20">
        <v>8</v>
      </c>
      <c r="BI20">
        <v>5</v>
      </c>
      <c r="BJ20" s="8">
        <f t="shared" si="82"/>
        <v>46</v>
      </c>
      <c r="BU20">
        <v>2</v>
      </c>
      <c r="BV20">
        <v>9</v>
      </c>
      <c r="BW20">
        <v>8</v>
      </c>
      <c r="BX20">
        <v>1</v>
      </c>
      <c r="BY20">
        <v>3</v>
      </c>
      <c r="BZ20">
        <v>5</v>
      </c>
      <c r="CA20">
        <v>10</v>
      </c>
      <c r="CB20">
        <v>7</v>
      </c>
      <c r="CC20">
        <v>4</v>
      </c>
      <c r="CD20" s="8">
        <f t="shared" si="83"/>
        <v>49</v>
      </c>
      <c r="CO20">
        <v>7</v>
      </c>
      <c r="CP20">
        <v>1</v>
      </c>
      <c r="CQ20">
        <v>10</v>
      </c>
      <c r="CR20">
        <v>6</v>
      </c>
      <c r="CS20">
        <v>4</v>
      </c>
      <c r="CT20">
        <v>9</v>
      </c>
      <c r="CU20">
        <v>8</v>
      </c>
      <c r="CV20">
        <v>3</v>
      </c>
      <c r="CW20">
        <v>5</v>
      </c>
      <c r="CX20" s="8">
        <f t="shared" si="84"/>
        <v>53</v>
      </c>
      <c r="DI20">
        <v>10</v>
      </c>
      <c r="DJ20">
        <v>8</v>
      </c>
      <c r="DK20">
        <v>5</v>
      </c>
      <c r="DL20">
        <v>2</v>
      </c>
      <c r="DM20">
        <v>7</v>
      </c>
      <c r="DN20">
        <v>9</v>
      </c>
      <c r="DO20">
        <v>1</v>
      </c>
      <c r="DP20">
        <v>4</v>
      </c>
      <c r="DQ20">
        <v>6</v>
      </c>
      <c r="DR20" s="8">
        <f t="shared" si="85"/>
        <v>52</v>
      </c>
    </row>
    <row r="21" spans="1:122" x14ac:dyDescent="0.35">
      <c r="A21">
        <v>6</v>
      </c>
      <c r="B21" s="2" t="str">
        <f t="shared" si="86"/>
        <v>Phönix 03 Lauf</v>
      </c>
      <c r="C21" s="17"/>
      <c r="M21">
        <v>2</v>
      </c>
      <c r="N21">
        <v>5</v>
      </c>
      <c r="O21">
        <v>8</v>
      </c>
      <c r="P21">
        <v>1</v>
      </c>
      <c r="Q21">
        <v>4</v>
      </c>
      <c r="R21">
        <v>9</v>
      </c>
      <c r="S21">
        <v>7</v>
      </c>
      <c r="T21">
        <v>6</v>
      </c>
      <c r="U21">
        <v>10</v>
      </c>
      <c r="V21" s="16">
        <f t="shared" si="80"/>
        <v>52</v>
      </c>
      <c r="W21" s="17"/>
      <c r="AG21">
        <v>5</v>
      </c>
      <c r="AH21">
        <v>1</v>
      </c>
      <c r="AI21">
        <v>10</v>
      </c>
      <c r="AJ21">
        <v>6</v>
      </c>
      <c r="AK21">
        <v>7</v>
      </c>
      <c r="AL21">
        <v>4</v>
      </c>
      <c r="AM21">
        <v>9</v>
      </c>
      <c r="AN21">
        <v>2</v>
      </c>
      <c r="AO21">
        <v>3</v>
      </c>
      <c r="AP21" s="16">
        <f t="shared" si="81"/>
        <v>47</v>
      </c>
      <c r="BA21">
        <v>6</v>
      </c>
      <c r="BB21">
        <v>2</v>
      </c>
      <c r="BC21">
        <v>8</v>
      </c>
      <c r="BD21">
        <v>5</v>
      </c>
      <c r="BE21">
        <v>3</v>
      </c>
      <c r="BF21">
        <v>10</v>
      </c>
      <c r="BG21">
        <v>7</v>
      </c>
      <c r="BH21">
        <v>1</v>
      </c>
      <c r="BI21">
        <v>9</v>
      </c>
      <c r="BJ21" s="8">
        <f t="shared" si="82"/>
        <v>51</v>
      </c>
      <c r="BU21">
        <v>6</v>
      </c>
      <c r="BV21">
        <v>4</v>
      </c>
      <c r="BW21">
        <v>10</v>
      </c>
      <c r="BX21">
        <v>5</v>
      </c>
      <c r="BY21">
        <v>8</v>
      </c>
      <c r="BZ21">
        <v>2</v>
      </c>
      <c r="CA21">
        <v>9</v>
      </c>
      <c r="CB21">
        <v>3</v>
      </c>
      <c r="CC21">
        <v>1</v>
      </c>
      <c r="CD21" s="8">
        <f t="shared" si="83"/>
        <v>48</v>
      </c>
      <c r="CO21">
        <v>8</v>
      </c>
      <c r="CP21">
        <v>5</v>
      </c>
      <c r="CQ21">
        <v>4</v>
      </c>
      <c r="CR21">
        <v>2</v>
      </c>
      <c r="CS21">
        <v>6</v>
      </c>
      <c r="CT21">
        <v>1</v>
      </c>
      <c r="CU21">
        <v>9</v>
      </c>
      <c r="CV21">
        <v>7</v>
      </c>
      <c r="CW21">
        <v>3</v>
      </c>
      <c r="CX21" s="8">
        <f t="shared" si="84"/>
        <v>45</v>
      </c>
      <c r="DI21">
        <v>8</v>
      </c>
      <c r="DJ21">
        <v>6</v>
      </c>
      <c r="DK21">
        <v>2</v>
      </c>
      <c r="DL21">
        <v>4</v>
      </c>
      <c r="DM21">
        <v>9</v>
      </c>
      <c r="DN21">
        <v>3</v>
      </c>
      <c r="DO21">
        <v>7</v>
      </c>
      <c r="DP21">
        <v>10</v>
      </c>
      <c r="DQ21">
        <v>5</v>
      </c>
      <c r="DR21" s="8">
        <f t="shared" si="85"/>
        <v>54</v>
      </c>
    </row>
    <row r="22" spans="1:122" x14ac:dyDescent="0.35">
      <c r="A22">
        <v>7</v>
      </c>
      <c r="B22" s="2" t="str">
        <f t="shared" si="86"/>
        <v>Frankenpower Nürnberg</v>
      </c>
      <c r="C22" s="17"/>
      <c r="M22">
        <v>8</v>
      </c>
      <c r="N22">
        <v>6</v>
      </c>
      <c r="O22">
        <v>9</v>
      </c>
      <c r="P22">
        <v>3</v>
      </c>
      <c r="Q22">
        <v>5</v>
      </c>
      <c r="R22">
        <v>4</v>
      </c>
      <c r="S22">
        <v>2</v>
      </c>
      <c r="T22">
        <v>10</v>
      </c>
      <c r="U22">
        <v>7</v>
      </c>
      <c r="V22" s="16">
        <f t="shared" si="80"/>
        <v>54</v>
      </c>
      <c r="W22" s="17"/>
      <c r="AG22">
        <v>10</v>
      </c>
      <c r="AH22">
        <v>5</v>
      </c>
      <c r="AI22">
        <v>3</v>
      </c>
      <c r="AJ22">
        <v>7</v>
      </c>
      <c r="AK22">
        <v>2</v>
      </c>
      <c r="AL22">
        <v>8</v>
      </c>
      <c r="AM22">
        <v>6</v>
      </c>
      <c r="AN22">
        <v>1</v>
      </c>
      <c r="AO22">
        <v>9</v>
      </c>
      <c r="AP22" s="16">
        <f t="shared" si="81"/>
        <v>51</v>
      </c>
      <c r="BA22">
        <v>3</v>
      </c>
      <c r="BB22">
        <v>1</v>
      </c>
      <c r="BC22">
        <v>10</v>
      </c>
      <c r="BD22">
        <v>8</v>
      </c>
      <c r="BE22">
        <v>5</v>
      </c>
      <c r="BF22">
        <v>2</v>
      </c>
      <c r="BG22">
        <v>9</v>
      </c>
      <c r="BH22">
        <v>4</v>
      </c>
      <c r="BI22">
        <v>6</v>
      </c>
      <c r="BJ22" s="8">
        <f t="shared" si="82"/>
        <v>48</v>
      </c>
      <c r="BU22">
        <v>1</v>
      </c>
      <c r="BV22">
        <v>7</v>
      </c>
      <c r="BW22">
        <v>6</v>
      </c>
      <c r="BX22">
        <v>3</v>
      </c>
      <c r="BY22">
        <v>2</v>
      </c>
      <c r="BZ22">
        <v>9</v>
      </c>
      <c r="CA22">
        <v>5</v>
      </c>
      <c r="CB22">
        <v>4</v>
      </c>
      <c r="CC22">
        <v>8</v>
      </c>
      <c r="CD22" s="8">
        <f t="shared" si="83"/>
        <v>45</v>
      </c>
      <c r="CO22">
        <v>1</v>
      </c>
      <c r="CP22">
        <v>9</v>
      </c>
      <c r="CQ22">
        <v>3</v>
      </c>
      <c r="CR22">
        <v>8</v>
      </c>
      <c r="CS22">
        <v>10</v>
      </c>
      <c r="CT22">
        <v>7</v>
      </c>
      <c r="CU22">
        <v>6</v>
      </c>
      <c r="CV22">
        <v>4</v>
      </c>
      <c r="CW22">
        <v>2</v>
      </c>
      <c r="CX22" s="8">
        <f t="shared" si="84"/>
        <v>50</v>
      </c>
      <c r="DI22">
        <v>3</v>
      </c>
      <c r="DJ22">
        <v>7</v>
      </c>
      <c r="DK22">
        <v>9</v>
      </c>
      <c r="DL22">
        <v>6</v>
      </c>
      <c r="DM22">
        <v>1</v>
      </c>
      <c r="DN22">
        <v>5</v>
      </c>
      <c r="DO22">
        <v>8</v>
      </c>
      <c r="DP22">
        <v>2</v>
      </c>
      <c r="DQ22">
        <v>4</v>
      </c>
      <c r="DR22" s="8">
        <f t="shared" si="85"/>
        <v>45</v>
      </c>
    </row>
    <row r="23" spans="1:122" x14ac:dyDescent="0.35">
      <c r="A23">
        <v>8</v>
      </c>
      <c r="B23" s="2" t="str">
        <f t="shared" si="86"/>
        <v>EPA München 1</v>
      </c>
      <c r="C23" s="17"/>
      <c r="M23">
        <v>3</v>
      </c>
      <c r="N23">
        <v>8</v>
      </c>
      <c r="O23">
        <v>5</v>
      </c>
      <c r="P23">
        <v>2</v>
      </c>
      <c r="Q23">
        <v>10</v>
      </c>
      <c r="R23">
        <v>6</v>
      </c>
      <c r="S23">
        <v>4</v>
      </c>
      <c r="T23">
        <v>9</v>
      </c>
      <c r="U23">
        <v>1</v>
      </c>
      <c r="V23" s="16">
        <f t="shared" si="80"/>
        <v>48</v>
      </c>
      <c r="W23" s="17"/>
      <c r="AG23">
        <v>4</v>
      </c>
      <c r="AH23">
        <v>6</v>
      </c>
      <c r="AI23">
        <v>7</v>
      </c>
      <c r="AJ23">
        <v>1</v>
      </c>
      <c r="AK23">
        <v>5</v>
      </c>
      <c r="AL23">
        <v>3</v>
      </c>
      <c r="AM23">
        <v>2</v>
      </c>
      <c r="AN23">
        <v>9</v>
      </c>
      <c r="AO23">
        <v>8</v>
      </c>
      <c r="AP23" s="16">
        <f t="shared" si="81"/>
        <v>45</v>
      </c>
      <c r="BA23">
        <v>9</v>
      </c>
      <c r="BB23">
        <v>7</v>
      </c>
      <c r="BC23">
        <v>6</v>
      </c>
      <c r="BD23">
        <v>4</v>
      </c>
      <c r="BE23">
        <v>10</v>
      </c>
      <c r="BF23">
        <v>5</v>
      </c>
      <c r="BG23">
        <v>8</v>
      </c>
      <c r="BH23">
        <v>3</v>
      </c>
      <c r="BI23">
        <v>1</v>
      </c>
      <c r="BJ23" s="8">
        <f t="shared" si="82"/>
        <v>53</v>
      </c>
      <c r="BU23">
        <v>4</v>
      </c>
      <c r="BV23">
        <v>8</v>
      </c>
      <c r="BW23">
        <v>9</v>
      </c>
      <c r="BX23">
        <v>2</v>
      </c>
      <c r="BY23">
        <v>5</v>
      </c>
      <c r="BZ23">
        <v>7</v>
      </c>
      <c r="CA23">
        <v>1</v>
      </c>
      <c r="CB23">
        <v>10</v>
      </c>
      <c r="CC23">
        <v>6</v>
      </c>
      <c r="CD23" s="8">
        <f t="shared" si="83"/>
        <v>52</v>
      </c>
      <c r="CO23">
        <v>2</v>
      </c>
      <c r="CP23">
        <v>4</v>
      </c>
      <c r="CQ23">
        <v>5</v>
      </c>
      <c r="CR23">
        <v>1</v>
      </c>
      <c r="CS23">
        <v>8</v>
      </c>
      <c r="CT23">
        <v>10</v>
      </c>
      <c r="CU23">
        <v>3</v>
      </c>
      <c r="CV23">
        <v>6</v>
      </c>
      <c r="CW23">
        <v>9</v>
      </c>
      <c r="CX23" s="8">
        <f t="shared" si="84"/>
        <v>48</v>
      </c>
      <c r="DI23">
        <v>2</v>
      </c>
      <c r="DJ23">
        <v>9</v>
      </c>
      <c r="DK23">
        <v>8</v>
      </c>
      <c r="DL23">
        <v>1</v>
      </c>
      <c r="DM23">
        <v>5</v>
      </c>
      <c r="DN23">
        <v>4</v>
      </c>
      <c r="DO23">
        <v>10</v>
      </c>
      <c r="DP23">
        <v>7</v>
      </c>
      <c r="DQ23">
        <v>3</v>
      </c>
      <c r="DR23" s="8">
        <f t="shared" si="85"/>
        <v>49</v>
      </c>
    </row>
    <row r="24" spans="1:122" x14ac:dyDescent="0.35">
      <c r="A24">
        <v>9</v>
      </c>
      <c r="B24" s="2" t="str">
        <f t="shared" si="86"/>
        <v>RW Lichtenhof 69 Stein 2</v>
      </c>
      <c r="C24" s="17"/>
      <c r="M24">
        <v>10</v>
      </c>
      <c r="N24">
        <v>3</v>
      </c>
      <c r="O24">
        <v>2</v>
      </c>
      <c r="P24">
        <v>6</v>
      </c>
      <c r="Q24">
        <v>9</v>
      </c>
      <c r="R24">
        <v>7</v>
      </c>
      <c r="S24">
        <v>1</v>
      </c>
      <c r="T24">
        <v>5</v>
      </c>
      <c r="U24">
        <v>4</v>
      </c>
      <c r="V24" s="16">
        <f t="shared" si="80"/>
        <v>47</v>
      </c>
      <c r="W24" s="17"/>
      <c r="AG24">
        <v>7</v>
      </c>
      <c r="AH24">
        <v>2</v>
      </c>
      <c r="AI24">
        <v>4</v>
      </c>
      <c r="AJ24">
        <v>10</v>
      </c>
      <c r="AK24">
        <v>6</v>
      </c>
      <c r="AL24">
        <v>1</v>
      </c>
      <c r="AM24">
        <v>3</v>
      </c>
      <c r="AN24">
        <v>8</v>
      </c>
      <c r="AO24">
        <v>5</v>
      </c>
      <c r="AP24" s="16">
        <f t="shared" si="81"/>
        <v>46</v>
      </c>
      <c r="BA24">
        <v>4</v>
      </c>
      <c r="BB24">
        <v>8</v>
      </c>
      <c r="BC24">
        <v>1</v>
      </c>
      <c r="BD24">
        <v>9</v>
      </c>
      <c r="BE24">
        <v>7</v>
      </c>
      <c r="BF24">
        <v>3</v>
      </c>
      <c r="BG24">
        <v>2</v>
      </c>
      <c r="BH24">
        <v>5</v>
      </c>
      <c r="BI24">
        <v>10</v>
      </c>
      <c r="BJ24" s="8">
        <f t="shared" si="82"/>
        <v>49</v>
      </c>
      <c r="BU24">
        <v>5</v>
      </c>
      <c r="BV24">
        <v>2</v>
      </c>
      <c r="BW24">
        <v>3</v>
      </c>
      <c r="BX24">
        <v>8</v>
      </c>
      <c r="BY24">
        <v>10</v>
      </c>
      <c r="BZ24">
        <v>6</v>
      </c>
      <c r="CA24">
        <v>4</v>
      </c>
      <c r="CB24">
        <v>9</v>
      </c>
      <c r="CC24">
        <v>7</v>
      </c>
      <c r="CD24" s="8">
        <f t="shared" si="83"/>
        <v>54</v>
      </c>
      <c r="CO24">
        <v>4</v>
      </c>
      <c r="CP24">
        <v>8</v>
      </c>
      <c r="CQ24">
        <v>6</v>
      </c>
      <c r="CR24">
        <v>9</v>
      </c>
      <c r="CS24">
        <v>3</v>
      </c>
      <c r="CT24">
        <v>2</v>
      </c>
      <c r="CU24">
        <v>5</v>
      </c>
      <c r="CV24">
        <v>10</v>
      </c>
      <c r="CW24">
        <v>7</v>
      </c>
      <c r="CX24" s="8">
        <f t="shared" si="84"/>
        <v>54</v>
      </c>
      <c r="DI24">
        <v>6</v>
      </c>
      <c r="DJ24">
        <v>1</v>
      </c>
      <c r="DK24">
        <v>10</v>
      </c>
      <c r="DL24">
        <v>3</v>
      </c>
      <c r="DM24">
        <v>8</v>
      </c>
      <c r="DN24">
        <v>2</v>
      </c>
      <c r="DO24">
        <v>9</v>
      </c>
      <c r="DP24">
        <v>5</v>
      </c>
      <c r="DQ24">
        <v>7</v>
      </c>
      <c r="DR24" s="8">
        <f t="shared" si="85"/>
        <v>51</v>
      </c>
    </row>
    <row r="25" spans="1:122" x14ac:dyDescent="0.35">
      <c r="A25">
        <v>10</v>
      </c>
      <c r="B25" s="2" t="str">
        <f t="shared" si="86"/>
        <v>BK München 4</v>
      </c>
      <c r="C25" s="17"/>
      <c r="M25">
        <v>4</v>
      </c>
      <c r="N25">
        <v>1</v>
      </c>
      <c r="O25">
        <v>10</v>
      </c>
      <c r="P25">
        <v>7</v>
      </c>
      <c r="Q25">
        <v>2</v>
      </c>
      <c r="R25">
        <v>8</v>
      </c>
      <c r="S25">
        <v>6</v>
      </c>
      <c r="T25">
        <v>3</v>
      </c>
      <c r="U25">
        <v>9</v>
      </c>
      <c r="V25" s="16">
        <f t="shared" si="80"/>
        <v>50</v>
      </c>
      <c r="W25" s="17"/>
      <c r="AG25">
        <v>6</v>
      </c>
      <c r="AH25">
        <v>8</v>
      </c>
      <c r="AI25">
        <v>1</v>
      </c>
      <c r="AJ25">
        <v>9</v>
      </c>
      <c r="AK25">
        <v>3</v>
      </c>
      <c r="AL25">
        <v>10</v>
      </c>
      <c r="AM25">
        <v>5</v>
      </c>
      <c r="AN25">
        <v>4</v>
      </c>
      <c r="AO25">
        <v>7</v>
      </c>
      <c r="AP25" s="16">
        <f t="shared" si="81"/>
        <v>53</v>
      </c>
      <c r="BA25">
        <v>8</v>
      </c>
      <c r="BB25">
        <v>6</v>
      </c>
      <c r="BC25">
        <v>9</v>
      </c>
      <c r="BD25">
        <v>3</v>
      </c>
      <c r="BE25">
        <v>1</v>
      </c>
      <c r="BF25">
        <v>4</v>
      </c>
      <c r="BG25">
        <v>5</v>
      </c>
      <c r="BH25">
        <v>2</v>
      </c>
      <c r="BI25">
        <v>7</v>
      </c>
      <c r="BJ25" s="8">
        <f t="shared" si="82"/>
        <v>45</v>
      </c>
      <c r="BU25">
        <v>10</v>
      </c>
      <c r="BV25">
        <v>3</v>
      </c>
      <c r="BW25">
        <v>2</v>
      </c>
      <c r="BX25">
        <v>7</v>
      </c>
      <c r="BY25">
        <v>4</v>
      </c>
      <c r="BZ25">
        <v>8</v>
      </c>
      <c r="CA25">
        <v>6</v>
      </c>
      <c r="CB25">
        <v>1</v>
      </c>
      <c r="CC25">
        <v>9</v>
      </c>
      <c r="CD25" s="8">
        <f t="shared" si="83"/>
        <v>50</v>
      </c>
      <c r="CO25">
        <v>3</v>
      </c>
      <c r="CP25">
        <v>2</v>
      </c>
      <c r="CQ25">
        <v>7</v>
      </c>
      <c r="CR25">
        <v>4</v>
      </c>
      <c r="CS25">
        <v>9</v>
      </c>
      <c r="CT25">
        <v>5</v>
      </c>
      <c r="CU25">
        <v>1</v>
      </c>
      <c r="CV25">
        <v>8</v>
      </c>
      <c r="CW25">
        <v>10</v>
      </c>
      <c r="CX25" s="8">
        <f t="shared" si="84"/>
        <v>49</v>
      </c>
      <c r="DI25">
        <v>1</v>
      </c>
      <c r="DJ25">
        <v>5</v>
      </c>
      <c r="DK25">
        <v>4</v>
      </c>
      <c r="DL25">
        <v>10</v>
      </c>
      <c r="DM25">
        <v>2</v>
      </c>
      <c r="DN25">
        <v>7</v>
      </c>
      <c r="DO25">
        <v>6</v>
      </c>
      <c r="DP25">
        <v>3</v>
      </c>
      <c r="DQ25">
        <v>8</v>
      </c>
      <c r="DR25" s="8">
        <f t="shared" si="85"/>
        <v>46</v>
      </c>
    </row>
    <row r="26" spans="1:122" ht="13.15" thickBot="1" x14ac:dyDescent="0.4">
      <c r="C26" s="19"/>
      <c r="D26" s="20"/>
      <c r="E26" s="20"/>
      <c r="F26" s="20"/>
      <c r="G26" s="20"/>
      <c r="H26" s="20"/>
      <c r="I26" s="20"/>
      <c r="J26" s="20"/>
      <c r="K26" s="20"/>
      <c r="L26" s="21"/>
      <c r="M26" s="20">
        <f t="shared" ref="M26:U26" si="87">SUM(M16:M25)</f>
        <v>55</v>
      </c>
      <c r="N26" s="20">
        <f t="shared" si="87"/>
        <v>55</v>
      </c>
      <c r="O26" s="20">
        <f t="shared" si="87"/>
        <v>55</v>
      </c>
      <c r="P26" s="20">
        <f t="shared" si="87"/>
        <v>55</v>
      </c>
      <c r="Q26" s="20">
        <f t="shared" si="87"/>
        <v>55</v>
      </c>
      <c r="R26" s="20">
        <f t="shared" si="87"/>
        <v>55</v>
      </c>
      <c r="S26" s="20">
        <f t="shared" si="87"/>
        <v>55</v>
      </c>
      <c r="T26" s="20">
        <f t="shared" si="87"/>
        <v>55</v>
      </c>
      <c r="U26" s="20">
        <f t="shared" si="87"/>
        <v>55</v>
      </c>
      <c r="V26" s="22">
        <f t="shared" si="80"/>
        <v>495</v>
      </c>
      <c r="W26" s="19"/>
      <c r="X26" s="20"/>
      <c r="Y26" s="20"/>
      <c r="Z26" s="20"/>
      <c r="AA26" s="20"/>
      <c r="AB26" s="20"/>
      <c r="AC26" s="20"/>
      <c r="AD26" s="20"/>
      <c r="AE26" s="20"/>
      <c r="AF26" s="21"/>
      <c r="AG26" s="20">
        <f t="shared" ref="AG26:AO26" si="88">SUM(AG16:AG25)</f>
        <v>55</v>
      </c>
      <c r="AH26" s="20">
        <f t="shared" si="88"/>
        <v>55</v>
      </c>
      <c r="AI26" s="20">
        <f t="shared" si="88"/>
        <v>55</v>
      </c>
      <c r="AJ26" s="20">
        <f t="shared" si="88"/>
        <v>55</v>
      </c>
      <c r="AK26" s="20">
        <f t="shared" si="88"/>
        <v>55</v>
      </c>
      <c r="AL26" s="20">
        <f t="shared" si="88"/>
        <v>55</v>
      </c>
      <c r="AM26" s="20">
        <f t="shared" si="88"/>
        <v>55</v>
      </c>
      <c r="AN26" s="20">
        <f t="shared" si="88"/>
        <v>55</v>
      </c>
      <c r="AO26" s="20">
        <f t="shared" si="88"/>
        <v>55</v>
      </c>
      <c r="AP26" s="22">
        <f t="shared" si="81"/>
        <v>495</v>
      </c>
      <c r="BA26">
        <f t="shared" ref="BA26:BI26" si="89">SUM(BA16:BA25)</f>
        <v>55</v>
      </c>
      <c r="BB26">
        <f t="shared" si="89"/>
        <v>55</v>
      </c>
      <c r="BC26">
        <f t="shared" si="89"/>
        <v>55</v>
      </c>
      <c r="BD26">
        <f t="shared" si="89"/>
        <v>55</v>
      </c>
      <c r="BE26">
        <f t="shared" si="89"/>
        <v>55</v>
      </c>
      <c r="BF26">
        <f t="shared" si="89"/>
        <v>55</v>
      </c>
      <c r="BG26">
        <f t="shared" si="89"/>
        <v>55</v>
      </c>
      <c r="BH26">
        <f t="shared" si="89"/>
        <v>55</v>
      </c>
      <c r="BI26">
        <f t="shared" si="89"/>
        <v>55</v>
      </c>
      <c r="BJ26" s="8">
        <f t="shared" si="82"/>
        <v>495</v>
      </c>
      <c r="BU26">
        <f t="shared" ref="BU26:CC26" si="90">SUM(BU16:BU25)</f>
        <v>55</v>
      </c>
      <c r="BV26">
        <f t="shared" si="90"/>
        <v>55</v>
      </c>
      <c r="BW26">
        <f t="shared" si="90"/>
        <v>55</v>
      </c>
      <c r="BX26">
        <f t="shared" si="90"/>
        <v>55</v>
      </c>
      <c r="BY26">
        <f t="shared" si="90"/>
        <v>55</v>
      </c>
      <c r="BZ26">
        <f t="shared" si="90"/>
        <v>55</v>
      </c>
      <c r="CA26">
        <f t="shared" si="90"/>
        <v>55</v>
      </c>
      <c r="CB26">
        <f t="shared" si="90"/>
        <v>55</v>
      </c>
      <c r="CC26">
        <f t="shared" si="90"/>
        <v>55</v>
      </c>
      <c r="CD26" s="8">
        <f t="shared" si="83"/>
        <v>495</v>
      </c>
      <c r="CO26">
        <f t="shared" ref="CO26:CW26" si="91">SUM(CO16:CO25)</f>
        <v>55</v>
      </c>
      <c r="CP26">
        <f t="shared" si="91"/>
        <v>55</v>
      </c>
      <c r="CQ26">
        <f t="shared" si="91"/>
        <v>55</v>
      </c>
      <c r="CR26">
        <f t="shared" si="91"/>
        <v>55</v>
      </c>
      <c r="CS26">
        <f t="shared" si="91"/>
        <v>55</v>
      </c>
      <c r="CT26">
        <f t="shared" si="91"/>
        <v>55</v>
      </c>
      <c r="CU26">
        <f t="shared" si="91"/>
        <v>55</v>
      </c>
      <c r="CV26">
        <f t="shared" si="91"/>
        <v>55</v>
      </c>
      <c r="CW26">
        <f t="shared" si="91"/>
        <v>55</v>
      </c>
      <c r="CX26" s="8">
        <f t="shared" si="84"/>
        <v>495</v>
      </c>
      <c r="DI26">
        <f t="shared" ref="DI26:DQ26" si="92">SUM(DI16:DI25)</f>
        <v>55</v>
      </c>
      <c r="DJ26">
        <f t="shared" si="92"/>
        <v>55</v>
      </c>
      <c r="DK26">
        <f t="shared" si="92"/>
        <v>55</v>
      </c>
      <c r="DL26">
        <f t="shared" si="92"/>
        <v>55</v>
      </c>
      <c r="DM26">
        <f t="shared" si="92"/>
        <v>55</v>
      </c>
      <c r="DN26">
        <f t="shared" si="92"/>
        <v>55</v>
      </c>
      <c r="DO26">
        <f t="shared" si="92"/>
        <v>55</v>
      </c>
      <c r="DP26">
        <f t="shared" si="92"/>
        <v>55</v>
      </c>
      <c r="DQ26">
        <f t="shared" si="92"/>
        <v>55</v>
      </c>
      <c r="DR26" s="8">
        <f t="shared" si="85"/>
        <v>495</v>
      </c>
    </row>
  </sheetData>
  <sheetProtection formatCells="0" formatColumns="0" formatRows="0"/>
  <mergeCells count="36">
    <mergeCell ref="C1:L1"/>
    <mergeCell ref="C2:L2"/>
    <mergeCell ref="C3:L3"/>
    <mergeCell ref="M3:T3"/>
    <mergeCell ref="M1:V1"/>
    <mergeCell ref="W1:AF1"/>
    <mergeCell ref="AG1:AP1"/>
    <mergeCell ref="W2:AF2"/>
    <mergeCell ref="W3:AF3"/>
    <mergeCell ref="AG3:AN3"/>
    <mergeCell ref="CY1:DH1"/>
    <mergeCell ref="DI1:DR1"/>
    <mergeCell ref="CE2:CN2"/>
    <mergeCell ref="CY2:DH2"/>
    <mergeCell ref="AQ3:AZ3"/>
    <mergeCell ref="BA3:BH3"/>
    <mergeCell ref="BK3:BT3"/>
    <mergeCell ref="BU3:CB3"/>
    <mergeCell ref="CE1:CN1"/>
    <mergeCell ref="CO1:CX1"/>
    <mergeCell ref="AQ1:AZ1"/>
    <mergeCell ref="BA1:BJ1"/>
    <mergeCell ref="BK1:BT1"/>
    <mergeCell ref="BU1:CD1"/>
    <mergeCell ref="AQ2:AZ2"/>
    <mergeCell ref="BK2:BT2"/>
    <mergeCell ref="CY3:DH3"/>
    <mergeCell ref="DI3:DP3"/>
    <mergeCell ref="M2:R2"/>
    <mergeCell ref="AG2:AL2"/>
    <mergeCell ref="BA2:BF2"/>
    <mergeCell ref="BU2:BZ2"/>
    <mergeCell ref="CO2:CT2"/>
    <mergeCell ref="DI2:DN2"/>
    <mergeCell ref="CE3:CN3"/>
    <mergeCell ref="CO3:CV3"/>
  </mergeCells>
  <phoneticPr fontId="3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L111"/>
  <sheetViews>
    <sheetView workbookViewId="0">
      <selection activeCell="C3" sqref="C3:J3"/>
    </sheetView>
  </sheetViews>
  <sheetFormatPr baseColWidth="10" defaultColWidth="11.33203125" defaultRowHeight="12.75" x14ac:dyDescent="0.35"/>
  <cols>
    <col min="1" max="1" width="6.59765625" style="2" customWidth="1"/>
    <col min="2" max="2" width="27.59765625" customWidth="1"/>
    <col min="3" max="3" width="28.59765625" customWidth="1"/>
    <col min="4" max="9" width="6.73046875" style="2" customWidth="1"/>
    <col min="10" max="10" width="64.73046875" customWidth="1"/>
    <col min="11" max="11" width="2.59765625" bestFit="1" customWidth="1"/>
    <col min="12" max="12" width="33.33203125" style="133" bestFit="1" customWidth="1"/>
  </cols>
  <sheetData>
    <row r="1" spans="1:12" s="165" customFormat="1" ht="13.9" x14ac:dyDescent="0.4">
      <c r="A1" s="310" t="str">
        <f>Schlüssel!C1&amp;"     -     Saison "&amp;Spielorte!C18</f>
        <v>Bayernliga Frauen     -     Saison 2024/2025</v>
      </c>
      <c r="B1" s="310"/>
      <c r="C1" s="310"/>
      <c r="D1" s="310"/>
      <c r="E1" s="310"/>
      <c r="F1" s="310"/>
      <c r="G1" s="310"/>
      <c r="H1" s="310"/>
      <c r="I1" s="310"/>
      <c r="J1" s="310"/>
      <c r="L1" s="202"/>
    </row>
    <row r="2" spans="1:12" s="5" customFormat="1" x14ac:dyDescent="0.35">
      <c r="A2" s="4"/>
      <c r="D2" s="4"/>
      <c r="E2" s="4"/>
      <c r="F2" s="4"/>
      <c r="G2" s="4"/>
      <c r="H2" s="4"/>
      <c r="I2" s="4"/>
      <c r="L2" s="203"/>
    </row>
    <row r="3" spans="1:12" s="175" customFormat="1" ht="13.5" x14ac:dyDescent="0.35">
      <c r="A3" s="311" t="s">
        <v>1871</v>
      </c>
      <c r="B3" s="311"/>
      <c r="C3" s="312" t="s">
        <v>2547</v>
      </c>
      <c r="D3" s="312"/>
      <c r="E3" s="312"/>
      <c r="F3" s="312"/>
      <c r="G3" s="312"/>
      <c r="H3" s="312"/>
      <c r="I3" s="312"/>
      <c r="J3" s="312"/>
      <c r="L3" s="204"/>
    </row>
    <row r="4" spans="1:12" s="175" customFormat="1" ht="13.5" x14ac:dyDescent="0.35">
      <c r="A4" s="311" t="s">
        <v>2024</v>
      </c>
      <c r="B4" s="311"/>
      <c r="C4" s="312" t="s">
        <v>2548</v>
      </c>
      <c r="D4" s="312"/>
      <c r="E4" s="312"/>
      <c r="F4" s="312"/>
      <c r="G4" s="312"/>
      <c r="H4" s="312"/>
      <c r="I4" s="312"/>
      <c r="J4" s="312"/>
      <c r="L4" s="204"/>
    </row>
    <row r="5" spans="1:12" s="5" customFormat="1" x14ac:dyDescent="0.35">
      <c r="A5" s="4"/>
      <c r="D5" s="4"/>
      <c r="E5" s="4"/>
      <c r="F5" s="4"/>
      <c r="G5" s="4"/>
      <c r="H5" s="4"/>
      <c r="I5" s="4"/>
      <c r="L5" s="203"/>
    </row>
    <row r="6" spans="1:12" s="207" customFormat="1" ht="13.9" x14ac:dyDescent="0.4">
      <c r="A6" s="313" t="s">
        <v>2025</v>
      </c>
      <c r="B6" s="313"/>
      <c r="C6" s="205">
        <v>1</v>
      </c>
      <c r="D6" s="206"/>
      <c r="E6" s="206"/>
      <c r="F6" s="206"/>
      <c r="G6" s="206"/>
      <c r="H6" s="206"/>
      <c r="I6" s="206"/>
      <c r="K6" s="309" t="s">
        <v>2026</v>
      </c>
      <c r="L6" s="309"/>
    </row>
    <row r="7" spans="1:12" ht="13.9" x14ac:dyDescent="0.4">
      <c r="A7" s="208" t="s">
        <v>1831</v>
      </c>
      <c r="B7" s="209" t="s">
        <v>1809</v>
      </c>
      <c r="C7" s="209" t="s">
        <v>1832</v>
      </c>
      <c r="D7" s="208" t="s">
        <v>2027</v>
      </c>
      <c r="E7" s="208" t="s">
        <v>2028</v>
      </c>
      <c r="F7" s="208" t="s">
        <v>2029</v>
      </c>
      <c r="G7" s="208" t="s">
        <v>2030</v>
      </c>
      <c r="H7" s="208" t="s">
        <v>2031</v>
      </c>
      <c r="I7" s="208" t="s">
        <v>2032</v>
      </c>
      <c r="J7" s="210" t="s">
        <v>2033</v>
      </c>
      <c r="K7" s="4" t="s">
        <v>2034</v>
      </c>
      <c r="L7" s="133" t="s">
        <v>2035</v>
      </c>
    </row>
    <row r="8" spans="1:12" x14ac:dyDescent="0.35">
      <c r="D8" s="4"/>
      <c r="E8" s="4"/>
      <c r="F8" s="4"/>
      <c r="G8" s="4"/>
      <c r="H8" s="4"/>
      <c r="K8" s="4" t="s">
        <v>2036</v>
      </c>
      <c r="L8" s="133" t="s">
        <v>2038</v>
      </c>
    </row>
    <row r="9" spans="1:12" x14ac:dyDescent="0.35">
      <c r="E9" s="4"/>
      <c r="K9" s="4" t="s">
        <v>2039</v>
      </c>
      <c r="L9" s="133" t="s">
        <v>2040</v>
      </c>
    </row>
    <row r="10" spans="1:12" x14ac:dyDescent="0.35">
      <c r="K10" s="4" t="s">
        <v>45</v>
      </c>
      <c r="L10" s="133" t="s">
        <v>2041</v>
      </c>
    </row>
    <row r="11" spans="1:12" x14ac:dyDescent="0.35">
      <c r="K11" s="4" t="s">
        <v>2037</v>
      </c>
      <c r="L11" s="133" t="s">
        <v>2042</v>
      </c>
    </row>
    <row r="19" spans="1:12" x14ac:dyDescent="0.35">
      <c r="D19"/>
      <c r="E19"/>
      <c r="F19"/>
      <c r="G19"/>
      <c r="H19"/>
      <c r="I19"/>
    </row>
    <row r="20" spans="1:12" x14ac:dyDescent="0.35">
      <c r="D20"/>
      <c r="E20"/>
      <c r="F20"/>
      <c r="G20"/>
      <c r="H20"/>
      <c r="I20" s="133"/>
    </row>
    <row r="21" spans="1:12" ht="13.15" x14ac:dyDescent="0.4">
      <c r="B21" s="166"/>
      <c r="C21" s="166"/>
    </row>
    <row r="22" spans="1:12" ht="13.15" x14ac:dyDescent="0.4">
      <c r="A22" s="199"/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</row>
    <row r="23" spans="1:12" ht="13.15" x14ac:dyDescent="0.4">
      <c r="A23" s="199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</row>
    <row r="24" spans="1:12" x14ac:dyDescent="0.35">
      <c r="B24" t="str">
        <f>IFERROR(INDEX(Starter!B:B,MATCH(A24,Starter!A:A,0)),"")</f>
        <v/>
      </c>
      <c r="C24" t="str">
        <f>IFERROR(INDEX(Starter!C:C,MATCH(A24,Starter!A:A,0)),"")</f>
        <v/>
      </c>
    </row>
    <row r="28" spans="1:12" x14ac:dyDescent="0.35">
      <c r="B28" t="str">
        <f>IFERROR(INDEX(Starter!B:B,MATCH(A20,Starter!A:A,0)),"")</f>
        <v/>
      </c>
      <c r="C28" t="str">
        <f>IFERROR(INDEX(Starter!C:C,MATCH(A20,Starter!A:A,0)),"")</f>
        <v/>
      </c>
    </row>
    <row r="32" spans="1:12" x14ac:dyDescent="0.35">
      <c r="B32" t="str">
        <f>IFERROR(INDEX(Starter!B:B,MATCH(A32,Starter!A:A,0)),"")</f>
        <v/>
      </c>
      <c r="C32" t="str">
        <f>IFERROR(INDEX(Starter!C:C,MATCH(A32,Starter!A:A,0)),"")</f>
        <v/>
      </c>
    </row>
    <row r="33" spans="2:3" x14ac:dyDescent="0.35">
      <c r="B33" t="str">
        <f>IFERROR(INDEX(Starter!B:B,MATCH(A33,Starter!A:A,0)),"")</f>
        <v/>
      </c>
      <c r="C33" t="str">
        <f>IFERROR(INDEX(Starter!C:C,MATCH(A33,Starter!A:A,0)),"")</f>
        <v/>
      </c>
    </row>
    <row r="34" spans="2:3" x14ac:dyDescent="0.35">
      <c r="B34" t="str">
        <f>IFERROR(INDEX(Starter!B:B,MATCH(A34,Starter!A:A,0)),"")</f>
        <v/>
      </c>
      <c r="C34" t="str">
        <f>IFERROR(INDEX(Starter!C:C,MATCH(A34,Starter!A:A,0)),"")</f>
        <v/>
      </c>
    </row>
    <row r="35" spans="2:3" x14ac:dyDescent="0.35">
      <c r="B35" t="str">
        <f>IFERROR(INDEX(Starter!B:B,MATCH(A35,Starter!A:A,0)),"")</f>
        <v/>
      </c>
      <c r="C35" t="str">
        <f>IFERROR(INDEX(Starter!C:C,MATCH(A35,Starter!A:A,0)),"")</f>
        <v/>
      </c>
    </row>
    <row r="36" spans="2:3" x14ac:dyDescent="0.35">
      <c r="B36" t="str">
        <f>IFERROR(INDEX(Starter!B:B,MATCH(A36,Starter!A:A,0)),"")</f>
        <v/>
      </c>
      <c r="C36" t="str">
        <f>IFERROR(INDEX(Starter!C:C,MATCH(A36,Starter!A:A,0)),"")</f>
        <v/>
      </c>
    </row>
    <row r="37" spans="2:3" x14ac:dyDescent="0.35">
      <c r="B37" t="str">
        <f>IFERROR(INDEX(Starter!B:B,MATCH(A37,Starter!A:A,0)),"")</f>
        <v/>
      </c>
      <c r="C37" t="str">
        <f>IFERROR(INDEX(Starter!C:C,MATCH(A37,Starter!A:A,0)),"")</f>
        <v/>
      </c>
    </row>
    <row r="38" spans="2:3" x14ac:dyDescent="0.35">
      <c r="B38" t="str">
        <f>IFERROR(INDEX(Starter!B:B,MATCH(A38,Starter!A:A,0)),"")</f>
        <v/>
      </c>
      <c r="C38" t="str">
        <f>IFERROR(INDEX(Starter!C:C,MATCH(A38,Starter!A:A,0)),"")</f>
        <v/>
      </c>
    </row>
    <row r="39" spans="2:3" x14ac:dyDescent="0.35">
      <c r="B39" t="str">
        <f>IFERROR(INDEX(Starter!B:B,MATCH(A39,Starter!A:A,0)),"")</f>
        <v/>
      </c>
      <c r="C39" t="str">
        <f>IFERROR(INDEX(Starter!C:C,MATCH(A39,Starter!A:A,0)),"")</f>
        <v/>
      </c>
    </row>
    <row r="40" spans="2:3" x14ac:dyDescent="0.35">
      <c r="B40" t="str">
        <f>IFERROR(INDEX(Starter!B:B,MATCH(A40,Starter!A:A,0)),"")</f>
        <v/>
      </c>
      <c r="C40" t="str">
        <f>IFERROR(INDEX(Starter!C:C,MATCH(A40,Starter!A:A,0)),"")</f>
        <v/>
      </c>
    </row>
    <row r="41" spans="2:3" x14ac:dyDescent="0.35">
      <c r="B41" t="str">
        <f>IFERROR(INDEX(Starter!B:B,MATCH(A41,Starter!A:A,0)),"")</f>
        <v/>
      </c>
      <c r="C41" t="str">
        <f>IFERROR(INDEX(Starter!C:C,MATCH(A41,Starter!A:A,0)),"")</f>
        <v/>
      </c>
    </row>
    <row r="42" spans="2:3" x14ac:dyDescent="0.35">
      <c r="B42" t="str">
        <f>IFERROR(INDEX(Starter!B:B,MATCH(A42,Starter!A:A,0)),"")</f>
        <v/>
      </c>
      <c r="C42" t="str">
        <f>IFERROR(INDEX(Starter!C:C,MATCH(A42,Starter!A:A,0)),"")</f>
        <v/>
      </c>
    </row>
    <row r="43" spans="2:3" x14ac:dyDescent="0.35">
      <c r="B43" t="str">
        <f>IFERROR(INDEX(Starter!B:B,MATCH(A43,Starter!A:A,0)),"")</f>
        <v/>
      </c>
      <c r="C43" t="str">
        <f>IFERROR(INDEX(Starter!C:C,MATCH(A43,Starter!A:A,0)),"")</f>
        <v/>
      </c>
    </row>
    <row r="44" spans="2:3" x14ac:dyDescent="0.35">
      <c r="B44" t="str">
        <f>IFERROR(INDEX(Starter!B:B,MATCH(A44,Starter!A:A,0)),"")</f>
        <v/>
      </c>
      <c r="C44" t="str">
        <f>IFERROR(INDEX(Starter!C:C,MATCH(A44,Starter!A:A,0)),"")</f>
        <v/>
      </c>
    </row>
    <row r="45" spans="2:3" x14ac:dyDescent="0.35">
      <c r="B45" t="str">
        <f>IFERROR(INDEX(Starter!B:B,MATCH(A45,Starter!A:A,0)),"")</f>
        <v/>
      </c>
      <c r="C45" t="str">
        <f>IFERROR(INDEX(Starter!C:C,MATCH(A45,Starter!A:A,0)),"")</f>
        <v/>
      </c>
    </row>
    <row r="46" spans="2:3" x14ac:dyDescent="0.35">
      <c r="B46" t="str">
        <f>IFERROR(INDEX(Starter!B:B,MATCH(A46,Starter!A:A,0)),"")</f>
        <v/>
      </c>
      <c r="C46" t="str">
        <f>IFERROR(INDEX(Starter!C:C,MATCH(A46,Starter!A:A,0)),"")</f>
        <v/>
      </c>
    </row>
    <row r="47" spans="2:3" x14ac:dyDescent="0.35">
      <c r="B47" t="str">
        <f>IFERROR(INDEX(Starter!B:B,MATCH(A47,Starter!A:A,0)),"")</f>
        <v/>
      </c>
      <c r="C47" t="str">
        <f>IFERROR(INDEX(Starter!C:C,MATCH(A47,Starter!A:A,0)),"")</f>
        <v/>
      </c>
    </row>
    <row r="48" spans="2:3" x14ac:dyDescent="0.35">
      <c r="B48" t="str">
        <f>IFERROR(INDEX(Starter!B:B,MATCH(A48,Starter!A:A,0)),"")</f>
        <v/>
      </c>
      <c r="C48" t="str">
        <f>IFERROR(INDEX(Starter!C:C,MATCH(A48,Starter!A:A,0)),"")</f>
        <v/>
      </c>
    </row>
    <row r="49" spans="2:3" x14ac:dyDescent="0.35">
      <c r="B49" t="str">
        <f>IFERROR(INDEX(Starter!B:B,MATCH(A49,Starter!A:A,0)),"")</f>
        <v/>
      </c>
      <c r="C49" t="str">
        <f>IFERROR(INDEX(Starter!C:C,MATCH(A49,Starter!A:A,0)),"")</f>
        <v/>
      </c>
    </row>
    <row r="50" spans="2:3" x14ac:dyDescent="0.35">
      <c r="B50" t="str">
        <f>IFERROR(INDEX(Starter!B:B,MATCH(A50,Starter!A:A,0)),"")</f>
        <v/>
      </c>
      <c r="C50" t="str">
        <f>IFERROR(INDEX(Starter!C:C,MATCH(A50,Starter!A:A,0)),"")</f>
        <v/>
      </c>
    </row>
    <row r="51" spans="2:3" x14ac:dyDescent="0.35">
      <c r="B51" t="str">
        <f>IFERROR(INDEX(Starter!B:B,MATCH(A51,Starter!A:A,0)),"")</f>
        <v/>
      </c>
      <c r="C51" t="str">
        <f>IFERROR(INDEX(Starter!C:C,MATCH(A51,Starter!A:A,0)),"")</f>
        <v/>
      </c>
    </row>
    <row r="52" spans="2:3" x14ac:dyDescent="0.35">
      <c r="B52" t="str">
        <f>IFERROR(INDEX(Starter!B:B,MATCH(A52,Starter!A:A,0)),"")</f>
        <v/>
      </c>
      <c r="C52" t="str">
        <f>IFERROR(INDEX(Starter!C:C,MATCH(A52,Starter!A:A,0)),"")</f>
        <v/>
      </c>
    </row>
    <row r="53" spans="2:3" x14ac:dyDescent="0.35">
      <c r="B53" t="str">
        <f>IFERROR(INDEX(Starter!B:B,MATCH(A53,Starter!A:A,0)),"")</f>
        <v/>
      </c>
      <c r="C53" t="str">
        <f>IFERROR(INDEX(Starter!C:C,MATCH(A53,Starter!A:A,0)),"")</f>
        <v/>
      </c>
    </row>
    <row r="54" spans="2:3" x14ac:dyDescent="0.35">
      <c r="B54" t="str">
        <f>IFERROR(INDEX(Starter!B:B,MATCH(A54,Starter!A:A,0)),"")</f>
        <v/>
      </c>
      <c r="C54" t="str">
        <f>IFERROR(INDEX(Starter!C:C,MATCH(A54,Starter!A:A,0)),"")</f>
        <v/>
      </c>
    </row>
    <row r="55" spans="2:3" x14ac:dyDescent="0.35">
      <c r="B55" t="str">
        <f>IFERROR(INDEX(Starter!B:B,MATCH(A55,Starter!A:A,0)),"")</f>
        <v/>
      </c>
      <c r="C55" t="str">
        <f>IFERROR(INDEX(Starter!C:C,MATCH(A55,Starter!A:A,0)),"")</f>
        <v/>
      </c>
    </row>
    <row r="56" spans="2:3" x14ac:dyDescent="0.35">
      <c r="B56" t="str">
        <f>IFERROR(INDEX(Starter!B:B,MATCH(A56,Starter!A:A,0)),"")</f>
        <v/>
      </c>
      <c r="C56" t="str">
        <f>IFERROR(INDEX(Starter!C:C,MATCH(A56,Starter!A:A,0)),"")</f>
        <v/>
      </c>
    </row>
    <row r="57" spans="2:3" x14ac:dyDescent="0.35">
      <c r="B57" t="str">
        <f>IFERROR(INDEX(Starter!B:B,MATCH(A57,Starter!A:A,0)),"")</f>
        <v/>
      </c>
      <c r="C57" t="str">
        <f>IFERROR(INDEX(Starter!C:C,MATCH(A57,Starter!A:A,0)),"")</f>
        <v/>
      </c>
    </row>
    <row r="58" spans="2:3" x14ac:dyDescent="0.35">
      <c r="B58" t="str">
        <f>IFERROR(INDEX(Starter!B:B,MATCH(A58,Starter!A:A,0)),"")</f>
        <v/>
      </c>
      <c r="C58" t="str">
        <f>IFERROR(INDEX(Starter!C:C,MATCH(A58,Starter!A:A,0)),"")</f>
        <v/>
      </c>
    </row>
    <row r="59" spans="2:3" x14ac:dyDescent="0.35">
      <c r="B59" t="str">
        <f>IFERROR(INDEX(Starter!B:B,MATCH(A59,Starter!A:A,0)),"")</f>
        <v/>
      </c>
      <c r="C59" t="str">
        <f>IFERROR(INDEX(Starter!C:C,MATCH(A59,Starter!A:A,0)),"")</f>
        <v/>
      </c>
    </row>
    <row r="60" spans="2:3" x14ac:dyDescent="0.35">
      <c r="B60" t="str">
        <f>IFERROR(INDEX(Starter!B:B,MATCH(A60,Starter!A:A,0)),"")</f>
        <v/>
      </c>
      <c r="C60" t="str">
        <f>IFERROR(INDEX(Starter!C:C,MATCH(A60,Starter!A:A,0)),"")</f>
        <v/>
      </c>
    </row>
    <row r="61" spans="2:3" x14ac:dyDescent="0.35">
      <c r="B61" t="str">
        <f>IFERROR(INDEX(Starter!B:B,MATCH(A61,Starter!A:A,0)),"")</f>
        <v/>
      </c>
      <c r="C61" t="str">
        <f>IFERROR(INDEX(Starter!C:C,MATCH(A61,Starter!A:A,0)),"")</f>
        <v/>
      </c>
    </row>
    <row r="62" spans="2:3" x14ac:dyDescent="0.35">
      <c r="B62" t="str">
        <f>IFERROR(INDEX(Starter!B:B,MATCH(A62,Starter!A:A,0)),"")</f>
        <v/>
      </c>
      <c r="C62" t="str">
        <f>IFERROR(INDEX(Starter!C:C,MATCH(A62,Starter!A:A,0)),"")</f>
        <v/>
      </c>
    </row>
    <row r="63" spans="2:3" x14ac:dyDescent="0.35">
      <c r="B63" t="str">
        <f>IFERROR(INDEX(Starter!B:B,MATCH(A63,Starter!A:A,0)),"")</f>
        <v/>
      </c>
      <c r="C63" t="str">
        <f>IFERROR(INDEX(Starter!C:C,MATCH(A63,Starter!A:A,0)),"")</f>
        <v/>
      </c>
    </row>
    <row r="64" spans="2:3" x14ac:dyDescent="0.35">
      <c r="B64" t="str">
        <f>IFERROR(INDEX(Starter!B:B,MATCH(A64,Starter!A:A,0)),"")</f>
        <v/>
      </c>
      <c r="C64" t="str">
        <f>IFERROR(INDEX(Starter!C:C,MATCH(A64,Starter!A:A,0)),"")</f>
        <v/>
      </c>
    </row>
    <row r="65" spans="2:3" x14ac:dyDescent="0.35">
      <c r="B65" t="str">
        <f>IFERROR(INDEX(Starter!B:B,MATCH(A65,Starter!A:A,0)),"")</f>
        <v/>
      </c>
      <c r="C65" t="str">
        <f>IFERROR(INDEX(Starter!C:C,MATCH(A65,Starter!A:A,0)),"")</f>
        <v/>
      </c>
    </row>
    <row r="66" spans="2:3" x14ac:dyDescent="0.35">
      <c r="B66" t="str">
        <f>IFERROR(INDEX(Starter!B:B,MATCH(A66,Starter!A:A,0)),"")</f>
        <v/>
      </c>
      <c r="C66" t="str">
        <f>IFERROR(INDEX(Starter!C:C,MATCH(A66,Starter!A:A,0)),"")</f>
        <v/>
      </c>
    </row>
    <row r="67" spans="2:3" x14ac:dyDescent="0.35">
      <c r="B67" t="str">
        <f>IFERROR(INDEX(Starter!B:B,MATCH(A67,Starter!A:A,0)),"")</f>
        <v/>
      </c>
      <c r="C67" t="str">
        <f>IFERROR(INDEX(Starter!C:C,MATCH(A67,Starter!A:A,0)),"")</f>
        <v/>
      </c>
    </row>
    <row r="68" spans="2:3" x14ac:dyDescent="0.35">
      <c r="B68" t="str">
        <f>IFERROR(INDEX(Starter!B:B,MATCH(A68,Starter!A:A,0)),"")</f>
        <v/>
      </c>
      <c r="C68" t="str">
        <f>IFERROR(INDEX(Starter!C:C,MATCH(A68,Starter!A:A,0)),"")</f>
        <v/>
      </c>
    </row>
    <row r="69" spans="2:3" x14ac:dyDescent="0.35">
      <c r="B69" t="str">
        <f>IFERROR(INDEX(Starter!B:B,MATCH(A69,Starter!A:A,0)),"")</f>
        <v/>
      </c>
      <c r="C69" t="str">
        <f>IFERROR(INDEX(Starter!C:C,MATCH(A69,Starter!A:A,0)),"")</f>
        <v/>
      </c>
    </row>
    <row r="70" spans="2:3" x14ac:dyDescent="0.35">
      <c r="B70" t="str">
        <f>IFERROR(INDEX(Starter!B:B,MATCH(A70,Starter!A:A,0)),"")</f>
        <v/>
      </c>
      <c r="C70" t="str">
        <f>IFERROR(INDEX(Starter!C:C,MATCH(A70,Starter!A:A,0)),"")</f>
        <v/>
      </c>
    </row>
    <row r="71" spans="2:3" x14ac:dyDescent="0.35">
      <c r="B71" t="str">
        <f>IFERROR(INDEX(Starter!B:B,MATCH(A71,Starter!A:A,0)),"")</f>
        <v/>
      </c>
      <c r="C71" t="str">
        <f>IFERROR(INDEX(Starter!C:C,MATCH(A71,Starter!A:A,0)),"")</f>
        <v/>
      </c>
    </row>
    <row r="72" spans="2:3" x14ac:dyDescent="0.35">
      <c r="B72" t="str">
        <f>IFERROR(INDEX(Starter!B:B,MATCH(A72,Starter!A:A,0)),"")</f>
        <v/>
      </c>
      <c r="C72" t="str">
        <f>IFERROR(INDEX(Starter!C:C,MATCH(A72,Starter!A:A,0)),"")</f>
        <v/>
      </c>
    </row>
    <row r="73" spans="2:3" x14ac:dyDescent="0.35">
      <c r="B73" t="str">
        <f>IFERROR(INDEX(Starter!B:B,MATCH(A73,Starter!A:A,0)),"")</f>
        <v/>
      </c>
      <c r="C73" t="str">
        <f>IFERROR(INDEX(Starter!C:C,MATCH(A73,Starter!A:A,0)),"")</f>
        <v/>
      </c>
    </row>
    <row r="74" spans="2:3" x14ac:dyDescent="0.35">
      <c r="B74" t="str">
        <f>IFERROR(INDEX(Starter!B:B,MATCH(A74,Starter!A:A,0)),"")</f>
        <v/>
      </c>
      <c r="C74" t="str">
        <f>IFERROR(INDEX(Starter!C:C,MATCH(A74,Starter!A:A,0)),"")</f>
        <v/>
      </c>
    </row>
    <row r="75" spans="2:3" x14ac:dyDescent="0.35">
      <c r="B75" t="str">
        <f>IFERROR(INDEX(Starter!B:B,MATCH(A75,Starter!A:A,0)),"")</f>
        <v/>
      </c>
      <c r="C75" t="str">
        <f>IFERROR(INDEX(Starter!C:C,MATCH(A75,Starter!A:A,0)),"")</f>
        <v/>
      </c>
    </row>
    <row r="76" spans="2:3" x14ac:dyDescent="0.35">
      <c r="B76" t="str">
        <f>IFERROR(INDEX(Starter!B:B,MATCH(A76,Starter!A:A,0)),"")</f>
        <v/>
      </c>
      <c r="C76" t="str">
        <f>IFERROR(INDEX(Starter!C:C,MATCH(A76,Starter!A:A,0)),"")</f>
        <v/>
      </c>
    </row>
    <row r="77" spans="2:3" x14ac:dyDescent="0.35">
      <c r="B77" t="str">
        <f>IFERROR(INDEX(Starter!B:B,MATCH(A77,Starter!A:A,0)),"")</f>
        <v/>
      </c>
      <c r="C77" t="str">
        <f>IFERROR(INDEX(Starter!C:C,MATCH(A77,Starter!A:A,0)),"")</f>
        <v/>
      </c>
    </row>
    <row r="78" spans="2:3" x14ac:dyDescent="0.35">
      <c r="B78" t="str">
        <f>IFERROR(INDEX(Starter!B:B,MATCH(A78,Starter!A:A,0)),"")</f>
        <v/>
      </c>
      <c r="C78" t="str">
        <f>IFERROR(INDEX(Starter!C:C,MATCH(A78,Starter!A:A,0)),"")</f>
        <v/>
      </c>
    </row>
    <row r="79" spans="2:3" x14ac:dyDescent="0.35">
      <c r="B79" t="str">
        <f>IFERROR(INDEX(Starter!B:B,MATCH(A79,Starter!A:A,0)),"")</f>
        <v/>
      </c>
      <c r="C79" t="str">
        <f>IFERROR(INDEX(Starter!C:C,MATCH(A79,Starter!A:A,0)),"")</f>
        <v/>
      </c>
    </row>
    <row r="80" spans="2:3" x14ac:dyDescent="0.35">
      <c r="B80" t="str">
        <f>IFERROR(INDEX(Starter!B:B,MATCH(A80,Starter!A:A,0)),"")</f>
        <v/>
      </c>
      <c r="C80" t="str">
        <f>IFERROR(INDEX(Starter!C:C,MATCH(A80,Starter!A:A,0)),"")</f>
        <v/>
      </c>
    </row>
    <row r="81" spans="2:3" x14ac:dyDescent="0.35">
      <c r="B81" t="str">
        <f>IFERROR(INDEX(Starter!B:B,MATCH(A81,Starter!A:A,0)),"")</f>
        <v/>
      </c>
      <c r="C81" t="str">
        <f>IFERROR(INDEX(Starter!C:C,MATCH(A81,Starter!A:A,0)),"")</f>
        <v/>
      </c>
    </row>
    <row r="82" spans="2:3" x14ac:dyDescent="0.35">
      <c r="B82" t="str">
        <f>IFERROR(INDEX(Starter!B:B,MATCH(A82,Starter!A:A,0)),"")</f>
        <v/>
      </c>
      <c r="C82" t="str">
        <f>IFERROR(INDEX(Starter!C:C,MATCH(A82,Starter!A:A,0)),"")</f>
        <v/>
      </c>
    </row>
    <row r="83" spans="2:3" x14ac:dyDescent="0.35">
      <c r="B83" t="str">
        <f>IFERROR(INDEX(Starter!B:B,MATCH(A83,Starter!A:A,0)),"")</f>
        <v/>
      </c>
      <c r="C83" t="str">
        <f>IFERROR(INDEX(Starter!C:C,MATCH(A83,Starter!A:A,0)),"")</f>
        <v/>
      </c>
    </row>
    <row r="84" spans="2:3" x14ac:dyDescent="0.35">
      <c r="B84" t="str">
        <f>IFERROR(INDEX(Starter!B:B,MATCH(A84,Starter!A:A,0)),"")</f>
        <v/>
      </c>
      <c r="C84" t="str">
        <f>IFERROR(INDEX(Starter!C:C,MATCH(A84,Starter!A:A,0)),"")</f>
        <v/>
      </c>
    </row>
    <row r="85" spans="2:3" x14ac:dyDescent="0.35">
      <c r="B85" t="str">
        <f>IFERROR(INDEX(Starter!B:B,MATCH(A85,Starter!A:A,0)),"")</f>
        <v/>
      </c>
      <c r="C85" t="str">
        <f>IFERROR(INDEX(Starter!C:C,MATCH(A85,Starter!A:A,0)),"")</f>
        <v/>
      </c>
    </row>
    <row r="86" spans="2:3" x14ac:dyDescent="0.35">
      <c r="B86" t="str">
        <f>IFERROR(INDEX(Starter!B:B,MATCH(A86,Starter!A:A,0)),"")</f>
        <v/>
      </c>
      <c r="C86" t="str">
        <f>IFERROR(INDEX(Starter!C:C,MATCH(A86,Starter!A:A,0)),"")</f>
        <v/>
      </c>
    </row>
    <row r="87" spans="2:3" x14ac:dyDescent="0.35">
      <c r="B87" t="str">
        <f>IFERROR(INDEX(Starter!B:B,MATCH(A87,Starter!A:A,0)),"")</f>
        <v/>
      </c>
      <c r="C87" t="str">
        <f>IFERROR(INDEX(Starter!C:C,MATCH(A87,Starter!A:A,0)),"")</f>
        <v/>
      </c>
    </row>
    <row r="88" spans="2:3" x14ac:dyDescent="0.35">
      <c r="B88" t="str">
        <f>IFERROR(INDEX(Starter!B:B,MATCH(A88,Starter!A:A,0)),"")</f>
        <v/>
      </c>
      <c r="C88" t="str">
        <f>IFERROR(INDEX(Starter!C:C,MATCH(A88,Starter!A:A,0)),"")</f>
        <v/>
      </c>
    </row>
    <row r="89" spans="2:3" x14ac:dyDescent="0.35">
      <c r="B89" t="str">
        <f>IFERROR(INDEX(Starter!B:B,MATCH(A89,Starter!A:A,0)),"")</f>
        <v/>
      </c>
      <c r="C89" t="str">
        <f>IFERROR(INDEX(Starter!C:C,MATCH(A89,Starter!A:A,0)),"")</f>
        <v/>
      </c>
    </row>
    <row r="90" spans="2:3" x14ac:dyDescent="0.35">
      <c r="B90" t="str">
        <f>IFERROR(INDEX(Starter!B:B,MATCH(A90,Starter!A:A,0)),"")</f>
        <v/>
      </c>
      <c r="C90" t="str">
        <f>IFERROR(INDEX(Starter!C:C,MATCH(A90,Starter!A:A,0)),"")</f>
        <v/>
      </c>
    </row>
    <row r="91" spans="2:3" x14ac:dyDescent="0.35">
      <c r="B91" t="str">
        <f>IFERROR(INDEX(Starter!B:B,MATCH(A91,Starter!A:A,0)),"")</f>
        <v/>
      </c>
      <c r="C91" t="str">
        <f>IFERROR(INDEX(Starter!C:C,MATCH(A91,Starter!A:A,0)),"")</f>
        <v/>
      </c>
    </row>
    <row r="92" spans="2:3" x14ac:dyDescent="0.35">
      <c r="B92" t="str">
        <f>IFERROR(INDEX(Starter!B:B,MATCH(A92,Starter!A:A,0)),"")</f>
        <v/>
      </c>
      <c r="C92" t="str">
        <f>IFERROR(INDEX(Starter!C:C,MATCH(A92,Starter!A:A,0)),"")</f>
        <v/>
      </c>
    </row>
    <row r="93" spans="2:3" x14ac:dyDescent="0.35">
      <c r="B93" t="str">
        <f>IFERROR(INDEX(Starter!B:B,MATCH(A93,Starter!A:A,0)),"")</f>
        <v/>
      </c>
      <c r="C93" t="str">
        <f>IFERROR(INDEX(Starter!C:C,MATCH(A93,Starter!A:A,0)),"")</f>
        <v/>
      </c>
    </row>
    <row r="94" spans="2:3" x14ac:dyDescent="0.35">
      <c r="B94" t="str">
        <f>IFERROR(INDEX(Starter!B:B,MATCH(A94,Starter!A:A,0)),"")</f>
        <v/>
      </c>
      <c r="C94" t="str">
        <f>IFERROR(INDEX(Starter!C:C,MATCH(A94,Starter!A:A,0)),"")</f>
        <v/>
      </c>
    </row>
    <row r="95" spans="2:3" x14ac:dyDescent="0.35">
      <c r="B95" t="str">
        <f>IFERROR(INDEX(Starter!B:B,MATCH(A95,Starter!A:A,0)),"")</f>
        <v/>
      </c>
      <c r="C95" t="str">
        <f>IFERROR(INDEX(Starter!C:C,MATCH(A95,Starter!A:A,0)),"")</f>
        <v/>
      </c>
    </row>
    <row r="96" spans="2:3" x14ac:dyDescent="0.35">
      <c r="B96" t="str">
        <f>IFERROR(INDEX(Starter!B:B,MATCH(A96,Starter!A:A,0)),"")</f>
        <v/>
      </c>
      <c r="C96" t="str">
        <f>IFERROR(INDEX(Starter!C:C,MATCH(A96,Starter!A:A,0)),"")</f>
        <v/>
      </c>
    </row>
    <row r="97" spans="2:3" x14ac:dyDescent="0.35">
      <c r="B97" t="str">
        <f>IFERROR(INDEX(Starter!B:B,MATCH(A97,Starter!A:A,0)),"")</f>
        <v/>
      </c>
      <c r="C97" t="str">
        <f>IFERROR(INDEX(Starter!C:C,MATCH(A97,Starter!A:A,0)),"")</f>
        <v/>
      </c>
    </row>
    <row r="98" spans="2:3" x14ac:dyDescent="0.35">
      <c r="B98" t="str">
        <f>IFERROR(INDEX(Starter!B:B,MATCH(A98,Starter!A:A,0)),"")</f>
        <v/>
      </c>
      <c r="C98" t="str">
        <f>IFERROR(INDEX(Starter!C:C,MATCH(A98,Starter!A:A,0)),"")</f>
        <v/>
      </c>
    </row>
    <row r="99" spans="2:3" x14ac:dyDescent="0.35">
      <c r="B99" t="str">
        <f>IFERROR(INDEX(Starter!B:B,MATCH(A99,Starter!A:A,0)),"")</f>
        <v/>
      </c>
      <c r="C99" t="str">
        <f>IFERROR(INDEX(Starter!C:C,MATCH(A99,Starter!A:A,0)),"")</f>
        <v/>
      </c>
    </row>
    <row r="100" spans="2:3" x14ac:dyDescent="0.35">
      <c r="B100" t="str">
        <f>IFERROR(INDEX(Starter!B:B,MATCH(A100,Starter!A:A,0)),"")</f>
        <v/>
      </c>
      <c r="C100" t="str">
        <f>IFERROR(INDEX(Starter!C:C,MATCH(A100,Starter!A:A,0)),"")</f>
        <v/>
      </c>
    </row>
    <row r="101" spans="2:3" x14ac:dyDescent="0.35">
      <c r="B101" t="str">
        <f>IFERROR(INDEX(Starter!B:B,MATCH(A101,Starter!A:A,0)),"")</f>
        <v/>
      </c>
      <c r="C101" t="str">
        <f>IFERROR(INDEX(Starter!C:C,MATCH(A101,Starter!A:A,0)),"")</f>
        <v/>
      </c>
    </row>
    <row r="102" spans="2:3" x14ac:dyDescent="0.35">
      <c r="B102" t="str">
        <f>IFERROR(INDEX(Starter!B:B,MATCH(A102,Starter!A:A,0)),"")</f>
        <v/>
      </c>
      <c r="C102" t="str">
        <f>IFERROR(INDEX(Starter!C:C,MATCH(A102,Starter!A:A,0)),"")</f>
        <v/>
      </c>
    </row>
    <row r="103" spans="2:3" x14ac:dyDescent="0.35">
      <c r="B103" t="str">
        <f>IFERROR(INDEX(Starter!B:B,MATCH(A103,Starter!A:A,0)),"")</f>
        <v/>
      </c>
      <c r="C103" t="str">
        <f>IFERROR(INDEX(Starter!C:C,MATCH(A103,Starter!A:A,0)),"")</f>
        <v/>
      </c>
    </row>
    <row r="104" spans="2:3" x14ac:dyDescent="0.35">
      <c r="B104" t="str">
        <f>IFERROR(INDEX(Starter!B:B,MATCH(A104,Starter!A:A,0)),"")</f>
        <v/>
      </c>
      <c r="C104" t="str">
        <f>IFERROR(INDEX(Starter!C:C,MATCH(A104,Starter!A:A,0)),"")</f>
        <v/>
      </c>
    </row>
    <row r="105" spans="2:3" x14ac:dyDescent="0.35">
      <c r="B105" t="str">
        <f>IFERROR(INDEX(Starter!B:B,MATCH(A105,Starter!A:A,0)),"")</f>
        <v/>
      </c>
      <c r="C105" t="str">
        <f>IFERROR(INDEX(Starter!C:C,MATCH(A105,Starter!A:A,0)),"")</f>
        <v/>
      </c>
    </row>
    <row r="106" spans="2:3" x14ac:dyDescent="0.35">
      <c r="B106" t="str">
        <f>IFERROR(INDEX(Starter!B:B,MATCH(A106,Starter!A:A,0)),"")</f>
        <v/>
      </c>
      <c r="C106" t="str">
        <f>IFERROR(INDEX(Starter!C:C,MATCH(A106,Starter!A:A,0)),"")</f>
        <v/>
      </c>
    </row>
    <row r="107" spans="2:3" x14ac:dyDescent="0.35">
      <c r="B107" t="str">
        <f>IFERROR(INDEX(Starter!B:B,MATCH(A107,Starter!A:A,0)),"")</f>
        <v/>
      </c>
      <c r="C107" t="str">
        <f>IFERROR(INDEX(Starter!C:C,MATCH(A107,Starter!A:A,0)),"")</f>
        <v/>
      </c>
    </row>
    <row r="108" spans="2:3" x14ac:dyDescent="0.35">
      <c r="B108" t="str">
        <f>IFERROR(INDEX(Starter!B:B,MATCH(A108,Starter!A:A,0)),"")</f>
        <v/>
      </c>
      <c r="C108" t="str">
        <f>IFERROR(INDEX(Starter!C:C,MATCH(A108,Starter!A:A,0)),"")</f>
        <v/>
      </c>
    </row>
    <row r="109" spans="2:3" x14ac:dyDescent="0.35">
      <c r="B109" t="str">
        <f>IFERROR(INDEX(Starter!B:B,MATCH(A109,Starter!A:A,0)),"")</f>
        <v/>
      </c>
      <c r="C109" t="str">
        <f>IFERROR(INDEX(Starter!C:C,MATCH(A109,Starter!A:A,0)),"")</f>
        <v/>
      </c>
    </row>
    <row r="110" spans="2:3" x14ac:dyDescent="0.35">
      <c r="B110" t="str">
        <f>IFERROR(INDEX(Starter!B:B,MATCH(A110,Starter!A:A,0)),"")</f>
        <v/>
      </c>
      <c r="C110" t="str">
        <f>IFERROR(INDEX(Starter!C:C,MATCH(A110,Starter!A:A,0)),"")</f>
        <v/>
      </c>
    </row>
    <row r="111" spans="2:3" x14ac:dyDescent="0.35">
      <c r="B111" t="str">
        <f>IFERROR(INDEX(Starter!B:B,MATCH(A111,Starter!A:A,0)),"")</f>
        <v/>
      </c>
      <c r="C111" t="str">
        <f>IFERROR(INDEX(Starter!C:C,MATCH(A111,Starter!A:A,0)),"")</f>
        <v/>
      </c>
    </row>
  </sheetData>
  <sheetProtection algorithmName="SHA-512" hashValue="5pM2afBtZKyd5NuXG0S5xAA1ZdtA0vdvzSF70D4n0KVz9h3A0GVV4DKS7Ayo05GlmMEDJHbtQIf8Om3ebFUwGQ==" saltValue="MtUy2h26AJN2Vgmn42TSbg==" spinCount="100000" sheet="1"/>
  <mergeCells count="7">
    <mergeCell ref="K6:L6"/>
    <mergeCell ref="A1:J1"/>
    <mergeCell ref="A3:B3"/>
    <mergeCell ref="C3:J3"/>
    <mergeCell ref="A4:B4"/>
    <mergeCell ref="C4:J4"/>
    <mergeCell ref="A6:B6"/>
  </mergeCells>
  <conditionalFormatting sqref="D6:I16">
    <cfRule type="cellIs" dxfId="21" priority="1" operator="equal">
      <formula>"S"</formula>
    </cfRule>
    <cfRule type="cellIs" dxfId="20" priority="2" operator="equal">
      <formula>"R"</formula>
    </cfRule>
    <cfRule type="cellIs" dxfId="19" priority="3" operator="equal">
      <formula>"G"</formula>
    </cfRule>
  </conditionalFormatting>
  <conditionalFormatting sqref="J7 I20 D21:I21 D24:I24 D28:I28 D32:I65536">
    <cfRule type="cellIs" dxfId="18" priority="7" operator="equal">
      <formula>"S"</formula>
    </cfRule>
    <cfRule type="cellIs" dxfId="17" priority="8" operator="equal">
      <formula>"R"</formula>
    </cfRule>
    <cfRule type="cellIs" dxfId="16" priority="9" operator="equal">
      <formula>"G"</formula>
    </cfRule>
  </conditionalFormatting>
  <conditionalFormatting sqref="K7:K11">
    <cfRule type="cellIs" dxfId="15" priority="4" operator="equal">
      <formula>"S"</formula>
    </cfRule>
    <cfRule type="cellIs" dxfId="14" priority="5" operator="equal">
      <formula>"R"</formula>
    </cfRule>
    <cfRule type="cellIs" dxfId="13" priority="6" operator="equal">
      <formula>"G"</formula>
    </cfRule>
  </conditionalFormatting>
  <pageMargins left="0.78740157480314965" right="0.19685039370078741" top="0.78740157480314965" bottom="0.39370078740157483" header="0.31496062992125984" footer="0.31496062992125984"/>
  <pageSetup paperSize="9" scale="5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6">
    <tabColor theme="1"/>
    <pageSetUpPr autoPageBreaks="0"/>
  </sheetPr>
  <dimension ref="A1:V81"/>
  <sheetViews>
    <sheetView showGridLines="0" topLeftCell="A70" zoomScaleNormal="100" workbookViewId="0">
      <selection activeCell="D80" sqref="D80:M80"/>
    </sheetView>
  </sheetViews>
  <sheetFormatPr baseColWidth="10" defaultColWidth="0" defaultRowHeight="12.75" x14ac:dyDescent="0.35"/>
  <cols>
    <col min="1" max="1" width="1.06640625" customWidth="1"/>
    <col min="2" max="2" width="3.59765625" customWidth="1"/>
    <col min="3" max="3" width="10.796875" customWidth="1"/>
    <col min="4" max="4" width="1.33203125" customWidth="1"/>
    <col min="5" max="5" width="3.73046875" customWidth="1"/>
    <col min="6" max="6" width="3" customWidth="1"/>
    <col min="7" max="7" width="2" customWidth="1"/>
    <col min="8" max="8" width="11.06640625" customWidth="1"/>
    <col min="9" max="9" width="2.06640625" customWidth="1"/>
    <col min="10" max="10" width="3.06640625" customWidth="1"/>
    <col min="11" max="11" width="0.796875" customWidth="1"/>
    <col min="12" max="12" width="9.265625" customWidth="1"/>
    <col min="13" max="13" width="2.06640625" customWidth="1"/>
    <col min="14" max="14" width="3.06640625" customWidth="1"/>
    <col min="15" max="15" width="0.796875" customWidth="1"/>
    <col min="16" max="16" width="11.06640625" customWidth="1"/>
    <col min="17" max="17" width="2.06640625" customWidth="1"/>
    <col min="18" max="18" width="3.06640625" customWidth="1"/>
    <col min="19" max="19" width="0.796875" customWidth="1"/>
    <col min="20" max="20" width="11.796875" customWidth="1"/>
    <col min="21" max="21" width="2.06640625" customWidth="1"/>
    <col min="22" max="22" width="1" customWidth="1"/>
    <col min="23" max="16384" width="9.06640625" hidden="1"/>
  </cols>
  <sheetData>
    <row r="1" spans="2:21" ht="3.75" customHeight="1" x14ac:dyDescent="0.35"/>
    <row r="2" spans="2:21" ht="25.15" x14ac:dyDescent="0.7">
      <c r="B2" s="314" t="s">
        <v>1837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</row>
    <row r="3" spans="2:21" ht="11.25" customHeight="1" x14ac:dyDescent="0.7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4">
      <c r="P4" s="157"/>
      <c r="Q4" s="315"/>
      <c r="R4" s="315"/>
      <c r="S4" s="315"/>
      <c r="T4" s="315"/>
      <c r="U4" s="315"/>
    </row>
    <row r="5" spans="2:21" ht="11.25" customHeight="1" x14ac:dyDescent="0.3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35">
      <c r="B6" s="17"/>
      <c r="C6" s="140" t="s">
        <v>1795</v>
      </c>
      <c r="D6" s="140"/>
      <c r="E6" s="316">
        <f>+Spielzettel1!T2</f>
        <v>1</v>
      </c>
      <c r="F6" s="317"/>
      <c r="P6" s="140" t="s">
        <v>1838</v>
      </c>
      <c r="Q6" s="318" t="str">
        <f>+Spielzettel1!U1</f>
        <v>12.10./13.10.</v>
      </c>
      <c r="R6" s="319">
        <v>0</v>
      </c>
      <c r="S6" s="319">
        <v>0</v>
      </c>
      <c r="T6" s="320">
        <v>0</v>
      </c>
      <c r="U6" s="18"/>
    </row>
    <row r="7" spans="2:21" x14ac:dyDescent="0.35">
      <c r="B7" s="17"/>
      <c r="C7" s="140"/>
      <c r="D7" s="140"/>
      <c r="U7" s="18"/>
    </row>
    <row r="8" spans="2:21" x14ac:dyDescent="0.35">
      <c r="B8" s="17"/>
      <c r="C8" s="140" t="s">
        <v>1839</v>
      </c>
      <c r="D8" s="140"/>
      <c r="E8" s="321" t="str">
        <f>+Spielzettel1!F2</f>
        <v>Unterföhring Dreambowl Palace</v>
      </c>
      <c r="F8" s="322"/>
      <c r="G8" s="322"/>
      <c r="H8" s="322">
        <v>0</v>
      </c>
      <c r="I8" s="322"/>
      <c r="J8" s="323"/>
      <c r="N8" s="140" t="s">
        <v>1840</v>
      </c>
      <c r="P8" s="321" t="str">
        <f>+Spielzettel1!F1</f>
        <v>Bayernliga Frauen</v>
      </c>
      <c r="Q8" s="322"/>
      <c r="R8" s="322"/>
      <c r="S8" s="322"/>
      <c r="T8" s="323"/>
      <c r="U8" s="18"/>
    </row>
    <row r="9" spans="2:21" ht="11.25" customHeight="1" thickBot="1" x14ac:dyDescent="0.4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15" thickBot="1" x14ac:dyDescent="0.4"/>
    <row r="11" spans="2:21" s="1" customFormat="1" ht="30" customHeight="1" thickBot="1" x14ac:dyDescent="0.4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4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>
        <v>0.375</v>
      </c>
      <c r="M12" s="165" t="s">
        <v>1843</v>
      </c>
      <c r="P12" s="166"/>
      <c r="U12" s="18"/>
    </row>
    <row r="13" spans="2:21" ht="6.75" customHeight="1" thickBot="1" x14ac:dyDescent="0.55000000000000004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35">
      <c r="B14" s="17"/>
      <c r="U14" s="18"/>
    </row>
    <row r="15" spans="2:21" ht="13.15" x14ac:dyDescent="0.4">
      <c r="B15" s="17"/>
      <c r="C15" s="148" t="s">
        <v>1844</v>
      </c>
      <c r="D15" s="148"/>
      <c r="F15" s="151" t="s">
        <v>2549</v>
      </c>
      <c r="G15" s="154"/>
      <c r="H15" t="s">
        <v>1845</v>
      </c>
      <c r="J15" s="151"/>
      <c r="L15" t="s">
        <v>1846</v>
      </c>
      <c r="U15" s="18"/>
    </row>
    <row r="16" spans="2:21" ht="13.15" x14ac:dyDescent="0.4">
      <c r="B16" s="17"/>
      <c r="C16" s="148"/>
      <c r="D16" s="148"/>
      <c r="F16" s="44"/>
      <c r="J16" s="153"/>
      <c r="U16" s="18"/>
    </row>
    <row r="17" spans="2:21" ht="13.15" x14ac:dyDescent="0.4">
      <c r="B17" s="17"/>
      <c r="C17" s="148" t="s">
        <v>1847</v>
      </c>
      <c r="D17" s="148"/>
      <c r="F17" s="151"/>
      <c r="G17" s="154"/>
      <c r="H17" t="s">
        <v>1845</v>
      </c>
      <c r="J17" s="151" t="s">
        <v>2549</v>
      </c>
      <c r="L17" t="s">
        <v>1846</v>
      </c>
      <c r="U17" s="18"/>
    </row>
    <row r="18" spans="2:21" ht="18.75" customHeight="1" x14ac:dyDescent="0.3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200000000000003" customHeight="1" x14ac:dyDescent="0.35">
      <c r="B19" s="17"/>
      <c r="C19" s="326" t="s">
        <v>2550</v>
      </c>
      <c r="D19" s="327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9"/>
      <c r="U19" s="18"/>
    </row>
    <row r="20" spans="2:21" ht="12.75" customHeight="1" x14ac:dyDescent="0.3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35">
      <c r="B21" s="17"/>
      <c r="C21" s="148" t="s">
        <v>1849</v>
      </c>
      <c r="D21" s="148"/>
      <c r="U21" s="18"/>
    </row>
    <row r="22" spans="2:21" ht="13.15" x14ac:dyDescent="0.4">
      <c r="B22" s="17"/>
      <c r="C22" s="148" t="s">
        <v>1850</v>
      </c>
      <c r="D22" s="148"/>
      <c r="F22" s="151" t="s">
        <v>2549</v>
      </c>
      <c r="H22" t="s">
        <v>1845</v>
      </c>
      <c r="J22" s="151"/>
      <c r="L22" t="s">
        <v>1846</v>
      </c>
      <c r="U22" s="18"/>
    </row>
    <row r="23" spans="2:21" ht="18.75" customHeight="1" x14ac:dyDescent="0.3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200000000000003" customHeight="1" x14ac:dyDescent="0.35">
      <c r="B24" s="17"/>
      <c r="C24" s="326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30"/>
      <c r="U24" s="18"/>
    </row>
    <row r="25" spans="2:21" ht="12.75" customHeight="1" thickBot="1" x14ac:dyDescent="0.4">
      <c r="B25" s="17"/>
      <c r="C25" s="168"/>
      <c r="D25" s="168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8"/>
    </row>
    <row r="26" spans="2:21" s="175" customFormat="1" ht="21.75" customHeight="1" x14ac:dyDescent="0.4">
      <c r="B26" s="172" t="s">
        <v>1852</v>
      </c>
      <c r="C26" s="173"/>
      <c r="D26" s="173"/>
      <c r="E26" s="173"/>
      <c r="F26" s="173"/>
      <c r="G26" s="173"/>
      <c r="H26" s="152">
        <v>0.49305555555555558</v>
      </c>
      <c r="I26" s="173"/>
      <c r="J26" s="174" t="s">
        <v>1853</v>
      </c>
      <c r="K26" s="174"/>
      <c r="L26" s="152">
        <v>0.5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55000000000000004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5">
      <c r="B28" s="177"/>
      <c r="U28" s="18"/>
    </row>
    <row r="29" spans="2:21" ht="13.15" x14ac:dyDescent="0.4">
      <c r="B29" s="17"/>
      <c r="C29" s="148" t="s">
        <v>1854</v>
      </c>
      <c r="D29" s="148"/>
      <c r="F29" s="151"/>
      <c r="H29" t="s">
        <v>1845</v>
      </c>
      <c r="J29" s="151" t="s">
        <v>2549</v>
      </c>
      <c r="L29" t="s">
        <v>1846</v>
      </c>
      <c r="U29" s="18"/>
    </row>
    <row r="30" spans="2:21" ht="17.25" customHeight="1" x14ac:dyDescent="0.35">
      <c r="B30" s="17"/>
      <c r="C30" s="148" t="s">
        <v>1855</v>
      </c>
      <c r="D30" s="148"/>
      <c r="F30" s="331"/>
      <c r="G30" s="331"/>
      <c r="H30" s="148"/>
      <c r="U30" s="18"/>
    </row>
    <row r="31" spans="2:21" ht="17.25" customHeight="1" x14ac:dyDescent="0.3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200000000000003" customHeight="1" x14ac:dyDescent="0.35">
      <c r="B32" s="17"/>
      <c r="C32" s="326" t="s">
        <v>2319</v>
      </c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30"/>
      <c r="U32" s="18"/>
    </row>
    <row r="33" spans="2:21" x14ac:dyDescent="0.35">
      <c r="B33" s="17"/>
      <c r="C33" s="171"/>
      <c r="D33" s="171"/>
      <c r="U33" s="18"/>
    </row>
    <row r="34" spans="2:21" ht="6.75" customHeight="1" x14ac:dyDescent="0.35">
      <c r="B34" s="17"/>
      <c r="C34" s="171"/>
      <c r="D34" s="171"/>
      <c r="U34" s="18"/>
    </row>
    <row r="35" spans="2:21" ht="13.15" x14ac:dyDescent="0.4">
      <c r="B35" s="17"/>
      <c r="C35" s="148" t="s">
        <v>1857</v>
      </c>
      <c r="D35" s="148"/>
      <c r="F35" s="151" t="s">
        <v>2549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35">
      <c r="B36" s="17"/>
      <c r="C36" s="149" t="s">
        <v>1861</v>
      </c>
      <c r="D36" s="149"/>
      <c r="F36" s="332"/>
      <c r="G36" s="332"/>
      <c r="H36" s="332"/>
      <c r="U36" s="18"/>
    </row>
    <row r="37" spans="2:21" ht="11.25" customHeight="1" x14ac:dyDescent="0.35">
      <c r="B37" s="17"/>
      <c r="U37" s="18"/>
    </row>
    <row r="38" spans="2:21" ht="13.9" x14ac:dyDescent="0.4">
      <c r="B38" s="179" t="s">
        <v>1862</v>
      </c>
      <c r="U38" s="18"/>
    </row>
    <row r="39" spans="2:21" ht="9" customHeight="1" x14ac:dyDescent="0.35">
      <c r="B39" s="17"/>
      <c r="U39" s="18"/>
    </row>
    <row r="40" spans="2:21" ht="80.25" customHeight="1" x14ac:dyDescent="0.35">
      <c r="B40" s="17"/>
      <c r="C40" s="326" t="s">
        <v>2551</v>
      </c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30"/>
      <c r="U40" s="18"/>
    </row>
    <row r="41" spans="2:21" ht="11.25" customHeight="1" thickBot="1" x14ac:dyDescent="0.4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15" thickBot="1" x14ac:dyDescent="0.4"/>
    <row r="43" spans="2:21" s="1" customFormat="1" ht="30" customHeight="1" thickBot="1" x14ac:dyDescent="0.4">
      <c r="B43" s="162"/>
      <c r="C43" s="324" t="s">
        <v>1863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163"/>
    </row>
    <row r="44" spans="2:21" ht="9" customHeight="1" x14ac:dyDescent="0.35">
      <c r="B44" s="17"/>
      <c r="U44" s="18"/>
    </row>
    <row r="45" spans="2:21" ht="13.9" x14ac:dyDescent="0.4">
      <c r="B45" s="179"/>
      <c r="C45" s="166" t="s">
        <v>1864</v>
      </c>
      <c r="D45" s="166"/>
      <c r="U45" s="18"/>
    </row>
    <row r="46" spans="2:21" ht="9" customHeight="1" x14ac:dyDescent="0.35">
      <c r="B46" s="17"/>
      <c r="U46" s="18"/>
    </row>
    <row r="47" spans="2:21" ht="36.75" customHeight="1" x14ac:dyDescent="0.35">
      <c r="B47" s="17"/>
      <c r="C47" s="326"/>
      <c r="D47" s="327"/>
      <c r="E47" s="327"/>
      <c r="F47" s="327"/>
      <c r="G47" s="327"/>
      <c r="H47" s="327"/>
      <c r="I47" s="327"/>
      <c r="J47" s="327"/>
      <c r="K47" s="327"/>
      <c r="L47" s="327"/>
      <c r="M47" s="327"/>
      <c r="N47" s="327"/>
      <c r="O47" s="327"/>
      <c r="P47" s="327"/>
      <c r="Q47" s="327"/>
      <c r="R47" s="327"/>
      <c r="S47" s="327"/>
      <c r="T47" s="330"/>
      <c r="U47" s="18"/>
    </row>
    <row r="48" spans="2:21" ht="12.75" customHeight="1" x14ac:dyDescent="0.35">
      <c r="B48" s="17"/>
      <c r="C48" s="171"/>
      <c r="D48" s="171"/>
      <c r="U48" s="18"/>
    </row>
    <row r="49" spans="2:21" ht="12.75" customHeight="1" x14ac:dyDescent="0.4">
      <c r="B49" s="179"/>
      <c r="C49" s="166" t="s">
        <v>1865</v>
      </c>
      <c r="D49" s="166"/>
      <c r="U49" s="18"/>
    </row>
    <row r="50" spans="2:21" ht="6.75" customHeight="1" x14ac:dyDescent="0.35">
      <c r="B50" s="17"/>
      <c r="U50" s="18"/>
    </row>
    <row r="51" spans="2:21" ht="36.75" customHeight="1" x14ac:dyDescent="0.35">
      <c r="B51" s="17"/>
      <c r="C51" s="326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30"/>
      <c r="U51" s="18"/>
    </row>
    <row r="52" spans="2:21" ht="12.75" customHeight="1" x14ac:dyDescent="0.35">
      <c r="B52" s="17"/>
      <c r="C52" s="171"/>
      <c r="D52" s="171"/>
      <c r="U52" s="18"/>
    </row>
    <row r="53" spans="2:21" ht="12.75" customHeight="1" x14ac:dyDescent="0.4">
      <c r="B53" s="179"/>
      <c r="C53" s="166" t="s">
        <v>1866</v>
      </c>
      <c r="D53" s="166"/>
      <c r="U53" s="18"/>
    </row>
    <row r="54" spans="2:21" ht="6.75" customHeight="1" x14ac:dyDescent="0.35">
      <c r="B54" s="17"/>
      <c r="U54" s="18"/>
    </row>
    <row r="55" spans="2:21" ht="36.75" customHeight="1" x14ac:dyDescent="0.35">
      <c r="B55" s="17"/>
      <c r="C55" s="326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7"/>
      <c r="Q55" s="327"/>
      <c r="R55" s="327"/>
      <c r="S55" s="327"/>
      <c r="T55" s="330"/>
      <c r="U55" s="18"/>
    </row>
    <row r="56" spans="2:21" ht="11.25" customHeight="1" x14ac:dyDescent="0.35">
      <c r="B56" s="17"/>
      <c r="C56" s="171"/>
      <c r="D56" s="171"/>
      <c r="U56" s="18"/>
    </row>
    <row r="57" spans="2:21" ht="13.5" customHeight="1" x14ac:dyDescent="0.4">
      <c r="B57" s="179"/>
      <c r="C57" s="166" t="s">
        <v>1867</v>
      </c>
      <c r="D57" s="166"/>
      <c r="U57" s="18"/>
    </row>
    <row r="58" spans="2:21" ht="6.75" customHeight="1" x14ac:dyDescent="0.35">
      <c r="B58" s="17"/>
      <c r="U58" s="18"/>
    </row>
    <row r="59" spans="2:21" ht="36.75" customHeight="1" x14ac:dyDescent="0.35">
      <c r="B59" s="17"/>
      <c r="C59" s="326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30"/>
      <c r="U59" s="18"/>
    </row>
    <row r="60" spans="2:21" ht="11.25" customHeight="1" x14ac:dyDescent="0.35">
      <c r="B60" s="17"/>
      <c r="C60" s="171"/>
      <c r="D60" s="171"/>
      <c r="U60" s="18"/>
    </row>
    <row r="61" spans="2:21" ht="13.9" x14ac:dyDescent="0.4">
      <c r="B61" s="179"/>
      <c r="C61" s="166" t="s">
        <v>1868</v>
      </c>
      <c r="D61" s="166"/>
      <c r="U61" s="18"/>
    </row>
    <row r="62" spans="2:21" ht="6" customHeight="1" x14ac:dyDescent="0.35">
      <c r="B62" s="17"/>
      <c r="U62" s="18"/>
    </row>
    <row r="63" spans="2:21" ht="36.75" customHeight="1" x14ac:dyDescent="0.35">
      <c r="B63" s="17"/>
      <c r="C63" s="326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  <c r="T63" s="330"/>
      <c r="U63" s="18"/>
    </row>
    <row r="64" spans="2:21" ht="12.75" customHeight="1" x14ac:dyDescent="0.35">
      <c r="B64" s="17"/>
      <c r="C64" s="171"/>
      <c r="D64" s="171"/>
      <c r="U64" s="18"/>
    </row>
    <row r="65" spans="1:21" ht="12.75" customHeight="1" x14ac:dyDescent="0.4">
      <c r="B65" s="179"/>
      <c r="C65" s="166" t="s">
        <v>1869</v>
      </c>
      <c r="D65" s="166"/>
      <c r="U65" s="18"/>
    </row>
    <row r="66" spans="1:21" ht="6.75" customHeight="1" x14ac:dyDescent="0.35">
      <c r="B66" s="17"/>
      <c r="U66" s="18"/>
    </row>
    <row r="67" spans="1:21" ht="36.75" customHeight="1" x14ac:dyDescent="0.35">
      <c r="B67" s="17"/>
      <c r="C67" s="326"/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30"/>
      <c r="U67" s="18"/>
    </row>
    <row r="68" spans="1:21" ht="11.25" customHeight="1" thickBot="1" x14ac:dyDescent="0.4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4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5">
      <c r="B70" s="177"/>
      <c r="U70" s="18"/>
    </row>
    <row r="71" spans="1:21" s="52" customFormat="1" ht="18" customHeight="1" x14ac:dyDescent="0.5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35">
      <c r="B72" s="17"/>
      <c r="P72" s="52"/>
      <c r="Q72" s="52"/>
      <c r="U72" s="18"/>
    </row>
    <row r="73" spans="1:21" ht="6" customHeight="1" x14ac:dyDescent="0.3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200000000000003" customHeight="1" x14ac:dyDescent="0.35">
      <c r="B74" s="17"/>
      <c r="C74" s="335" t="s">
        <v>2552</v>
      </c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7"/>
      <c r="U74" s="18"/>
    </row>
    <row r="75" spans="1:21" ht="11.25" customHeight="1" thickBot="1" x14ac:dyDescent="0.4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35"/>
    <row r="77" spans="1:21" ht="13.15" x14ac:dyDescent="0.4">
      <c r="B77" s="166" t="s">
        <v>1871</v>
      </c>
      <c r="D77" s="333" t="s">
        <v>2547</v>
      </c>
      <c r="E77" s="334"/>
      <c r="F77" s="334"/>
      <c r="G77" s="334"/>
      <c r="H77" s="334"/>
      <c r="I77" s="334"/>
      <c r="J77" s="334"/>
      <c r="K77" s="334"/>
      <c r="L77" s="334"/>
      <c r="M77" s="334"/>
      <c r="P77" s="334"/>
      <c r="Q77" s="334"/>
      <c r="R77" s="334"/>
      <c r="S77" s="334"/>
      <c r="T77" s="334"/>
      <c r="U77" s="334"/>
    </row>
    <row r="78" spans="1:21" x14ac:dyDescent="0.3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35"/>
    <row r="80" spans="1:21" ht="13.15" x14ac:dyDescent="0.4">
      <c r="B80" s="166" t="s">
        <v>1874</v>
      </c>
      <c r="D80" s="333" t="s">
        <v>2553</v>
      </c>
      <c r="E80" s="334"/>
      <c r="F80" s="334"/>
      <c r="G80" s="334"/>
      <c r="H80" s="334"/>
      <c r="I80" s="334"/>
      <c r="J80" s="334"/>
      <c r="K80" s="334"/>
      <c r="L80" s="334"/>
      <c r="M80" s="334"/>
      <c r="P80" s="334"/>
      <c r="Q80" s="334"/>
      <c r="R80" s="334"/>
      <c r="S80" s="334"/>
      <c r="T80" s="334"/>
      <c r="U80" s="334"/>
    </row>
    <row r="81" spans="3:16" x14ac:dyDescent="0.3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D80:M80"/>
    <mergeCell ref="P80:U80"/>
    <mergeCell ref="C63:T63"/>
    <mergeCell ref="C67:T67"/>
    <mergeCell ref="C74:T74"/>
    <mergeCell ref="D77:M77"/>
    <mergeCell ref="P77:U77"/>
    <mergeCell ref="C47:T47"/>
    <mergeCell ref="C51:T51"/>
    <mergeCell ref="C55:T55"/>
    <mergeCell ref="C59:T59"/>
    <mergeCell ref="C32:T32"/>
    <mergeCell ref="F36:H36"/>
    <mergeCell ref="C40:T40"/>
    <mergeCell ref="C43:T43"/>
    <mergeCell ref="C11:T11"/>
    <mergeCell ref="C12:J12"/>
    <mergeCell ref="C19:T19"/>
    <mergeCell ref="C24:T24"/>
    <mergeCell ref="F30:G30"/>
    <mergeCell ref="B2:U2"/>
    <mergeCell ref="Q4:U4"/>
    <mergeCell ref="E6:F6"/>
    <mergeCell ref="Q6:T6"/>
    <mergeCell ref="E8:J8"/>
    <mergeCell ref="P8:T8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2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3" activePane="bottomLeft" state="frozen"/>
      <selection activeCell="D80" sqref="D80:M80"/>
      <selection pane="bottomLeft" activeCell="D80" sqref="D80:M80"/>
    </sheetView>
  </sheetViews>
  <sheetFormatPr baseColWidth="10" defaultColWidth="11.33203125" defaultRowHeight="12.75" x14ac:dyDescent="0.35"/>
  <cols>
    <col min="1" max="1" width="4.33203125" customWidth="1"/>
    <col min="2" max="2" width="18.06640625" customWidth="1"/>
    <col min="3" max="3" width="6.33203125" customWidth="1"/>
    <col min="4" max="21" width="5.73046875" customWidth="1"/>
    <col min="22" max="22" width="8.33203125" customWidth="1"/>
    <col min="23" max="23" width="6.73046875" customWidth="1"/>
    <col min="25" max="25" width="7.73046875" customWidth="1"/>
    <col min="26" max="26" width="2.73046875" customWidth="1"/>
    <col min="27" max="27" width="7.73046875" customWidth="1"/>
    <col min="28" max="28" width="2.73046875" customWidth="1"/>
  </cols>
  <sheetData>
    <row r="1" spans="1:29" ht="21" customHeight="1" x14ac:dyDescent="0.7">
      <c r="B1" s="44" t="s">
        <v>1813</v>
      </c>
      <c r="C1" s="45"/>
      <c r="D1" s="46" t="s">
        <v>1792</v>
      </c>
      <c r="E1" s="47"/>
      <c r="F1" s="359" t="str">
        <f>Schlüssel!$C$1</f>
        <v>Bayernliga Frauen</v>
      </c>
      <c r="G1" s="359"/>
      <c r="H1" s="359"/>
      <c r="I1" s="359"/>
      <c r="J1" s="359"/>
      <c r="K1" s="359"/>
      <c r="L1" s="359"/>
      <c r="M1" s="359"/>
      <c r="N1" s="359"/>
      <c r="O1" s="359"/>
      <c r="P1" s="45"/>
      <c r="Q1" s="45"/>
      <c r="R1" s="48"/>
      <c r="S1" s="49" t="s">
        <v>1794</v>
      </c>
      <c r="T1" s="50"/>
      <c r="U1" s="360" t="str">
        <f>Schlüssel!$M$1</f>
        <v>12.10./13.10.</v>
      </c>
      <c r="V1" s="361"/>
      <c r="W1" s="362"/>
      <c r="AC1" s="51" t="s">
        <v>1836</v>
      </c>
    </row>
    <row r="2" spans="1:29" ht="17.25" customHeight="1" thickBot="1" x14ac:dyDescent="0.65">
      <c r="A2" s="52"/>
      <c r="B2" s="96">
        <v>1</v>
      </c>
      <c r="D2" s="46" t="s">
        <v>1793</v>
      </c>
      <c r="E2" s="54"/>
      <c r="F2" s="358" t="str">
        <f>Schlüssel!$C$2</f>
        <v>Unterföhring Dreambowl Palace</v>
      </c>
      <c r="G2" s="358"/>
      <c r="H2" s="358"/>
      <c r="I2" s="358"/>
      <c r="J2" s="358"/>
      <c r="K2" s="358"/>
      <c r="L2" s="358"/>
      <c r="M2" s="358"/>
      <c r="N2" s="358"/>
      <c r="O2" s="358"/>
      <c r="P2" s="55"/>
      <c r="Q2" s="55"/>
      <c r="S2" s="49" t="s">
        <v>1791</v>
      </c>
      <c r="T2" s="56">
        <v>1</v>
      </c>
      <c r="U2" s="50"/>
      <c r="V2" s="50"/>
      <c r="AC2" s="97">
        <v>1</v>
      </c>
    </row>
    <row r="3" spans="1:29" ht="15.75" customHeight="1" thickBot="1" x14ac:dyDescent="0.4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5" thickBot="1" x14ac:dyDescent="0.45">
      <c r="A4" s="2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66">
        <f>VLOOKUP($B$2,Schlüssel!$A$5:$DZ$14,21)</f>
        <v>2</v>
      </c>
    </row>
    <row r="5" spans="1:29" ht="20.25" customHeight="1" x14ac:dyDescent="0.35">
      <c r="B5" s="67" t="s">
        <v>1</v>
      </c>
      <c r="C5" s="68"/>
      <c r="D5" s="354" t="s">
        <v>1800</v>
      </c>
      <c r="E5" s="355"/>
      <c r="F5" s="354" t="s">
        <v>1801</v>
      </c>
      <c r="G5" s="355"/>
      <c r="H5" s="354" t="s">
        <v>1802</v>
      </c>
      <c r="I5" s="355"/>
      <c r="J5" s="354" t="s">
        <v>1803</v>
      </c>
      <c r="K5" s="355"/>
      <c r="L5" s="354" t="s">
        <v>1804</v>
      </c>
      <c r="M5" s="355"/>
      <c r="N5" s="354" t="s">
        <v>1805</v>
      </c>
      <c r="O5" s="355"/>
      <c r="P5" s="354" t="s">
        <v>1806</v>
      </c>
      <c r="Q5" s="355"/>
      <c r="R5" s="354" t="s">
        <v>1807</v>
      </c>
      <c r="S5" s="355"/>
      <c r="T5" s="354" t="s">
        <v>1808</v>
      </c>
      <c r="U5" s="355"/>
      <c r="V5" s="356" t="s">
        <v>1799</v>
      </c>
      <c r="W5" s="357"/>
    </row>
    <row r="6" spans="1:29" ht="15" customHeight="1" thickBot="1" x14ac:dyDescent="0.4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2" customHeight="1" x14ac:dyDescent="0.35">
      <c r="A7" s="351" t="s">
        <v>0</v>
      </c>
      <c r="B7" s="73"/>
      <c r="C7" s="74"/>
      <c r="D7" s="75"/>
      <c r="E7" s="348"/>
      <c r="F7" s="75"/>
      <c r="G7" s="348"/>
      <c r="H7" s="75"/>
      <c r="I7" s="348"/>
      <c r="J7" s="75"/>
      <c r="K7" s="348"/>
      <c r="L7" s="75"/>
      <c r="M7" s="348"/>
      <c r="N7" s="75"/>
      <c r="O7" s="348"/>
      <c r="P7" s="75"/>
      <c r="Q7" s="348"/>
      <c r="R7" s="75"/>
      <c r="S7" s="348"/>
      <c r="T7" s="75"/>
      <c r="U7" s="348"/>
      <c r="V7" s="75"/>
      <c r="W7" s="348"/>
    </row>
    <row r="8" spans="1:29" ht="17.2" customHeight="1" x14ac:dyDescent="0.35">
      <c r="A8" s="352"/>
      <c r="B8" s="76"/>
      <c r="C8" s="77"/>
      <c r="D8" s="78"/>
      <c r="E8" s="349"/>
      <c r="F8" s="78"/>
      <c r="G8" s="349"/>
      <c r="H8" s="78"/>
      <c r="I8" s="349"/>
      <c r="J8" s="78"/>
      <c r="K8" s="349"/>
      <c r="L8" s="78"/>
      <c r="M8" s="349"/>
      <c r="N8" s="78"/>
      <c r="O8" s="349"/>
      <c r="P8" s="78"/>
      <c r="Q8" s="349"/>
      <c r="R8" s="78"/>
      <c r="S8" s="349"/>
      <c r="T8" s="78"/>
      <c r="U8" s="349"/>
      <c r="V8" s="78"/>
      <c r="W8" s="349"/>
    </row>
    <row r="9" spans="1:29" ht="17.2" customHeight="1" thickBot="1" x14ac:dyDescent="0.4">
      <c r="A9" s="353"/>
      <c r="B9" s="79"/>
      <c r="C9" s="80"/>
      <c r="D9" s="69"/>
      <c r="E9" s="350"/>
      <c r="F9" s="69"/>
      <c r="G9" s="350"/>
      <c r="H9" s="69"/>
      <c r="I9" s="350"/>
      <c r="J9" s="69"/>
      <c r="K9" s="350"/>
      <c r="L9" s="69"/>
      <c r="M9" s="350"/>
      <c r="N9" s="69"/>
      <c r="O9" s="350"/>
      <c r="P9" s="69"/>
      <c r="Q9" s="350"/>
      <c r="R9" s="69"/>
      <c r="S9" s="350"/>
      <c r="T9" s="69"/>
      <c r="U9" s="350"/>
      <c r="V9" s="69"/>
      <c r="W9" s="350"/>
    </row>
    <row r="10" spans="1:29" ht="17.2" customHeight="1" x14ac:dyDescent="0.35">
      <c r="A10" s="351" t="s">
        <v>2</v>
      </c>
      <c r="B10" s="73"/>
      <c r="C10" s="74"/>
      <c r="D10" s="75"/>
      <c r="E10" s="348"/>
      <c r="F10" s="75"/>
      <c r="G10" s="348"/>
      <c r="H10" s="75"/>
      <c r="I10" s="348"/>
      <c r="J10" s="75"/>
      <c r="K10" s="348"/>
      <c r="L10" s="75"/>
      <c r="M10" s="348"/>
      <c r="N10" s="75"/>
      <c r="O10" s="348"/>
      <c r="P10" s="75"/>
      <c r="Q10" s="348"/>
      <c r="R10" s="75"/>
      <c r="S10" s="348"/>
      <c r="T10" s="75"/>
      <c r="U10" s="348"/>
      <c r="V10" s="75"/>
      <c r="W10" s="348"/>
    </row>
    <row r="11" spans="1:29" ht="17.2" customHeight="1" x14ac:dyDescent="0.35">
      <c r="A11" s="352"/>
      <c r="B11" s="76"/>
      <c r="C11" s="77"/>
      <c r="D11" s="78"/>
      <c r="E11" s="349"/>
      <c r="F11" s="78"/>
      <c r="G11" s="349"/>
      <c r="H11" s="78"/>
      <c r="I11" s="349"/>
      <c r="J11" s="78"/>
      <c r="K11" s="349"/>
      <c r="L11" s="78"/>
      <c r="M11" s="349"/>
      <c r="N11" s="78"/>
      <c r="O11" s="349"/>
      <c r="P11" s="78"/>
      <c r="Q11" s="349"/>
      <c r="R11" s="78"/>
      <c r="S11" s="349"/>
      <c r="T11" s="78"/>
      <c r="U11" s="349"/>
      <c r="V11" s="78"/>
      <c r="W11" s="349"/>
    </row>
    <row r="12" spans="1:29" ht="17.2" customHeight="1" thickBot="1" x14ac:dyDescent="0.4">
      <c r="A12" s="353"/>
      <c r="B12" s="79"/>
      <c r="C12" s="80"/>
      <c r="D12" s="69"/>
      <c r="E12" s="350"/>
      <c r="F12" s="69"/>
      <c r="G12" s="350"/>
      <c r="H12" s="69"/>
      <c r="I12" s="350"/>
      <c r="J12" s="69"/>
      <c r="K12" s="350"/>
      <c r="L12" s="69"/>
      <c r="M12" s="350"/>
      <c r="N12" s="69"/>
      <c r="O12" s="350"/>
      <c r="P12" s="69"/>
      <c r="Q12" s="350"/>
      <c r="R12" s="69"/>
      <c r="S12" s="350"/>
      <c r="T12" s="69"/>
      <c r="U12" s="350"/>
      <c r="V12" s="69"/>
      <c r="W12" s="350"/>
    </row>
    <row r="13" spans="1:29" ht="17.2" customHeight="1" x14ac:dyDescent="0.35">
      <c r="A13" s="351" t="s">
        <v>3</v>
      </c>
      <c r="B13" s="73"/>
      <c r="C13" s="74"/>
      <c r="D13" s="75"/>
      <c r="E13" s="348"/>
      <c r="F13" s="75"/>
      <c r="G13" s="348"/>
      <c r="H13" s="75"/>
      <c r="I13" s="348"/>
      <c r="J13" s="75"/>
      <c r="K13" s="348"/>
      <c r="L13" s="75"/>
      <c r="M13" s="348"/>
      <c r="N13" s="75"/>
      <c r="O13" s="348"/>
      <c r="P13" s="75"/>
      <c r="Q13" s="348"/>
      <c r="R13" s="75"/>
      <c r="S13" s="348"/>
      <c r="T13" s="75"/>
      <c r="U13" s="348"/>
      <c r="V13" s="75"/>
      <c r="W13" s="348"/>
    </row>
    <row r="14" spans="1:29" ht="17.2" customHeight="1" x14ac:dyDescent="0.35">
      <c r="A14" s="352"/>
      <c r="B14" s="76"/>
      <c r="C14" s="77"/>
      <c r="D14" s="78"/>
      <c r="E14" s="349"/>
      <c r="F14" s="78"/>
      <c r="G14" s="349"/>
      <c r="H14" s="78"/>
      <c r="I14" s="349"/>
      <c r="J14" s="78"/>
      <c r="K14" s="349"/>
      <c r="L14" s="78"/>
      <c r="M14" s="349"/>
      <c r="N14" s="78"/>
      <c r="O14" s="349"/>
      <c r="P14" s="78"/>
      <c r="Q14" s="349"/>
      <c r="R14" s="78"/>
      <c r="S14" s="349"/>
      <c r="T14" s="78"/>
      <c r="U14" s="349"/>
      <c r="V14" s="78"/>
      <c r="W14" s="349"/>
    </row>
    <row r="15" spans="1:29" ht="17.2" customHeight="1" thickBot="1" x14ac:dyDescent="0.4">
      <c r="A15" s="353"/>
      <c r="B15" s="79"/>
      <c r="C15" s="80"/>
      <c r="D15" s="69"/>
      <c r="E15" s="350"/>
      <c r="F15" s="69"/>
      <c r="G15" s="350"/>
      <c r="H15" s="69"/>
      <c r="I15" s="350"/>
      <c r="J15" s="69"/>
      <c r="K15" s="350"/>
      <c r="L15" s="69"/>
      <c r="M15" s="350"/>
      <c r="N15" s="69"/>
      <c r="O15" s="350"/>
      <c r="P15" s="69"/>
      <c r="Q15" s="350"/>
      <c r="R15" s="69"/>
      <c r="S15" s="350"/>
      <c r="T15" s="69"/>
      <c r="U15" s="350"/>
      <c r="V15" s="69"/>
      <c r="W15" s="350"/>
    </row>
    <row r="16" spans="1:29" ht="17.2" customHeight="1" x14ac:dyDescent="0.35">
      <c r="A16" s="351" t="s">
        <v>11</v>
      </c>
      <c r="B16" s="73"/>
      <c r="C16" s="74"/>
      <c r="D16" s="75"/>
      <c r="E16" s="348"/>
      <c r="F16" s="75"/>
      <c r="G16" s="348"/>
      <c r="H16" s="75"/>
      <c r="I16" s="348"/>
      <c r="J16" s="75"/>
      <c r="K16" s="348"/>
      <c r="L16" s="75"/>
      <c r="M16" s="348"/>
      <c r="N16" s="75"/>
      <c r="O16" s="348"/>
      <c r="P16" s="75"/>
      <c r="Q16" s="348"/>
      <c r="R16" s="75"/>
      <c r="S16" s="348"/>
      <c r="T16" s="75"/>
      <c r="U16" s="348"/>
      <c r="V16" s="75"/>
      <c r="W16" s="348"/>
    </row>
    <row r="17" spans="1:29" ht="17.2" customHeight="1" x14ac:dyDescent="0.35">
      <c r="A17" s="352"/>
      <c r="B17" s="76"/>
      <c r="C17" s="77"/>
      <c r="D17" s="78"/>
      <c r="E17" s="349"/>
      <c r="F17" s="78"/>
      <c r="G17" s="349"/>
      <c r="H17" s="78"/>
      <c r="I17" s="349"/>
      <c r="J17" s="78"/>
      <c r="K17" s="349"/>
      <c r="L17" s="78"/>
      <c r="M17" s="349"/>
      <c r="N17" s="78"/>
      <c r="O17" s="349"/>
      <c r="P17" s="78"/>
      <c r="Q17" s="349"/>
      <c r="R17" s="78"/>
      <c r="S17" s="349"/>
      <c r="T17" s="78"/>
      <c r="U17" s="349"/>
      <c r="V17" s="78"/>
      <c r="W17" s="349"/>
    </row>
    <row r="18" spans="1:29" ht="17.2" customHeight="1" thickBot="1" x14ac:dyDescent="0.4">
      <c r="A18" s="353"/>
      <c r="B18" s="79"/>
      <c r="C18" s="80"/>
      <c r="D18" s="69"/>
      <c r="E18" s="350"/>
      <c r="F18" s="69"/>
      <c r="G18" s="350"/>
      <c r="H18" s="69"/>
      <c r="I18" s="350"/>
      <c r="J18" s="69"/>
      <c r="K18" s="350"/>
      <c r="L18" s="69"/>
      <c r="M18" s="350"/>
      <c r="N18" s="69"/>
      <c r="O18" s="350"/>
      <c r="P18" s="69"/>
      <c r="Q18" s="350"/>
      <c r="R18" s="69"/>
      <c r="S18" s="350"/>
      <c r="T18" s="69"/>
      <c r="U18" s="350"/>
      <c r="V18" s="69"/>
      <c r="W18" s="350"/>
    </row>
    <row r="19" spans="1:29" ht="27.75" customHeight="1" thickBot="1" x14ac:dyDescent="0.4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4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3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35">
      <c r="B22" s="88" t="s">
        <v>1797</v>
      </c>
      <c r="C22" s="89" t="s">
        <v>1798</v>
      </c>
      <c r="D22" s="346">
        <f>VLOOKUP(B2,Schlüssel!$A$5:$K$14,3)</f>
        <v>3</v>
      </c>
      <c r="E22" s="346"/>
      <c r="F22" s="346">
        <f>VLOOKUP(B2,Schlüssel!$A$5:$K$14,4)</f>
        <v>9</v>
      </c>
      <c r="G22" s="346"/>
      <c r="H22" s="346">
        <f>VLOOKUP(B2,Schlüssel!$A$5:$K$14,5)</f>
        <v>6</v>
      </c>
      <c r="I22" s="346"/>
      <c r="J22" s="346">
        <f>VLOOKUP(B2,Schlüssel!$A$5:$K$14,6)</f>
        <v>5</v>
      </c>
      <c r="K22" s="346"/>
      <c r="L22" s="346">
        <f>VLOOKUP(B2,Schlüssel!$A$5:$K$14,7)</f>
        <v>10</v>
      </c>
      <c r="M22" s="346"/>
      <c r="N22" s="346">
        <f>VLOOKUP(B2,Schlüssel!$A$5:$K$14,8)</f>
        <v>7</v>
      </c>
      <c r="O22" s="346"/>
      <c r="P22" s="346">
        <f>VLOOKUP(B2,Schlüssel!$A$5:$K$14,9)</f>
        <v>4</v>
      </c>
      <c r="Q22" s="346"/>
      <c r="R22" s="346">
        <f>VLOOKUP(B2,Schlüssel!$A$5:$K$14,10)</f>
        <v>2</v>
      </c>
      <c r="S22" s="346"/>
      <c r="T22" s="346">
        <f>VLOOKUP(B2,Schlüssel!$A$5:$K$14,11)</f>
        <v>8</v>
      </c>
      <c r="U22" s="346"/>
      <c r="V22" s="347"/>
      <c r="W22" s="347"/>
    </row>
    <row r="23" spans="1:29" ht="28.5" customHeight="1" x14ac:dyDescent="0.35">
      <c r="B23" s="90"/>
      <c r="C23" s="86"/>
      <c r="D23" s="343" t="str">
        <f>VLOOKUP(D22,Schlüssel!$A$5:$K$14,2)</f>
        <v>Highroller Rosenheim</v>
      </c>
      <c r="E23" s="344"/>
      <c r="F23" s="343" t="str">
        <f>VLOOKUP(F22,Schlüssel!$A$5:$K$14,2)</f>
        <v>RW Lichtenhof 69 Stein 2</v>
      </c>
      <c r="G23" s="344"/>
      <c r="H23" s="343" t="str">
        <f>VLOOKUP(H22,Schlüssel!$A$5:$K$14,2)</f>
        <v>Phönix 03 Lauf</v>
      </c>
      <c r="I23" s="344"/>
      <c r="J23" s="343" t="str">
        <f>VLOOKUP(J22,Schlüssel!$A$5:$K$14,2)</f>
        <v xml:space="preserve">Weiß Blau Unterföhring </v>
      </c>
      <c r="K23" s="344"/>
      <c r="L23" s="343" t="str">
        <f>VLOOKUP(L22,Schlüssel!$A$5:$K$14,2)</f>
        <v>BK München 4</v>
      </c>
      <c r="M23" s="344"/>
      <c r="N23" s="343" t="str">
        <f>VLOOKUP(N22,Schlüssel!$A$5:$K$14,2)</f>
        <v>Frankenpower Nürnberg</v>
      </c>
      <c r="O23" s="344"/>
      <c r="P23" s="343" t="str">
        <f>VLOOKUP(P22,Schlüssel!$A$5:$K$14,2)</f>
        <v>BK München 3</v>
      </c>
      <c r="Q23" s="344"/>
      <c r="R23" s="343" t="str">
        <f>VLOOKUP(R22,Schlüssel!$A$5:$K$14,2)</f>
        <v>BK München 2</v>
      </c>
      <c r="S23" s="344"/>
      <c r="T23" s="343" t="str">
        <f>VLOOKUP(T22,Schlüssel!$A$5:$K$14,2)</f>
        <v>EPA München 1</v>
      </c>
      <c r="U23" s="344"/>
      <c r="V23" s="345"/>
      <c r="W23" s="345"/>
    </row>
    <row r="24" spans="1:29" ht="12" customHeight="1" x14ac:dyDescent="0.35">
      <c r="B24" s="90"/>
      <c r="C24" s="86"/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2"/>
      <c r="V24" s="301"/>
      <c r="W24" s="301"/>
    </row>
    <row r="25" spans="1:29" ht="16.05" customHeight="1" x14ac:dyDescent="0.35">
      <c r="B25" s="91" t="s">
        <v>0</v>
      </c>
      <c r="C25" s="92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40"/>
      <c r="W25" s="340"/>
    </row>
    <row r="26" spans="1:29" ht="16.05" customHeight="1" x14ac:dyDescent="0.35">
      <c r="B26" s="91" t="s">
        <v>2</v>
      </c>
      <c r="C26" s="92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40"/>
      <c r="W26" s="340"/>
    </row>
    <row r="27" spans="1:29" ht="16.05" customHeight="1" x14ac:dyDescent="0.35">
      <c r="B27" s="91" t="s">
        <v>3</v>
      </c>
      <c r="C27" s="92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40"/>
      <c r="W27" s="340"/>
    </row>
    <row r="28" spans="1:29" ht="16.05" customHeight="1" x14ac:dyDescent="0.35">
      <c r="B28" s="91" t="s">
        <v>11</v>
      </c>
      <c r="C28" s="92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40"/>
      <c r="W28" s="340"/>
    </row>
    <row r="29" spans="1:29" ht="16.05" customHeight="1" x14ac:dyDescent="0.35">
      <c r="B29" s="93" t="s">
        <v>1799</v>
      </c>
      <c r="C29" s="94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290"/>
      <c r="W29" s="290"/>
    </row>
    <row r="30" spans="1:29" ht="21" customHeight="1" x14ac:dyDescent="0.7">
      <c r="B30" s="44" t="s">
        <v>1813</v>
      </c>
      <c r="C30" s="45"/>
      <c r="D30" s="46" t="s">
        <v>1792</v>
      </c>
      <c r="E30" s="47"/>
      <c r="F30" s="359" t="str">
        <f>Schlüssel!$C$1</f>
        <v>Bayernliga Frauen</v>
      </c>
      <c r="G30" s="359"/>
      <c r="H30" s="359"/>
      <c r="I30" s="359"/>
      <c r="J30" s="359"/>
      <c r="K30" s="359"/>
      <c r="L30" s="359"/>
      <c r="M30" s="359"/>
      <c r="N30" s="359"/>
      <c r="O30" s="359"/>
      <c r="P30" s="45"/>
      <c r="Q30" s="45"/>
      <c r="R30" s="48"/>
      <c r="S30" s="49" t="s">
        <v>1794</v>
      </c>
      <c r="T30" s="50"/>
      <c r="U30" s="360" t="str">
        <f>Schlüssel!$M$1</f>
        <v>12.10./13.10.</v>
      </c>
      <c r="V30" s="361"/>
      <c r="W30" s="362"/>
      <c r="AC30" s="51"/>
    </row>
    <row r="31" spans="1:29" ht="17.25" customHeight="1" thickBot="1" x14ac:dyDescent="0.65">
      <c r="A31" s="52"/>
      <c r="B31" s="96">
        <f>+B2+1</f>
        <v>2</v>
      </c>
      <c r="D31" s="46" t="s">
        <v>1793</v>
      </c>
      <c r="E31" s="54"/>
      <c r="F31" s="358" t="str">
        <f>Schlüssel!$C$2</f>
        <v>Unterföhring Dreambowl Palace</v>
      </c>
      <c r="G31" s="358"/>
      <c r="H31" s="358"/>
      <c r="I31" s="358"/>
      <c r="J31" s="358"/>
      <c r="K31" s="358"/>
      <c r="L31" s="358"/>
      <c r="M31" s="358"/>
      <c r="N31" s="358"/>
      <c r="O31" s="358"/>
      <c r="P31" s="55"/>
      <c r="Q31" s="55"/>
      <c r="S31" s="49" t="s">
        <v>1791</v>
      </c>
      <c r="T31" s="56">
        <v>1</v>
      </c>
      <c r="U31" s="50"/>
      <c r="V31" s="50"/>
      <c r="AC31" s="97"/>
    </row>
    <row r="32" spans="1:29" ht="15.75" customHeight="1" thickBot="1" x14ac:dyDescent="0.4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5" thickBot="1" x14ac:dyDescent="0.45">
      <c r="A33" s="2"/>
      <c r="B33" s="44"/>
      <c r="C33" s="63"/>
      <c r="D33" s="64" t="s">
        <v>10</v>
      </c>
      <c r="E33" s="44">
        <f>VLOOKUP(B31,Schlüssel!$A$5:$DZ$14,13)</f>
        <v>1</v>
      </c>
      <c r="F33" s="65" t="s">
        <v>10</v>
      </c>
      <c r="G33" s="44">
        <f>VLOOKUP(B31,Schlüssel!$A$5:$DZ$14,14)</f>
        <v>9</v>
      </c>
      <c r="H33" s="65" t="s">
        <v>10</v>
      </c>
      <c r="I33" s="44">
        <f>VLOOKUP(B31,Schlüssel!$A$5:$DZ$14,15)</f>
        <v>6</v>
      </c>
      <c r="J33" s="65" t="s">
        <v>10</v>
      </c>
      <c r="K33" s="44">
        <f>VLOOKUP(B31,Schlüssel!$A$5:$DZ$14,16)</f>
        <v>4</v>
      </c>
      <c r="L33" s="65" t="s">
        <v>10</v>
      </c>
      <c r="M33" s="44">
        <f>VLOOKUP(B31,Schlüssel!$A$5:$DZ$14,17)</f>
        <v>8</v>
      </c>
      <c r="N33" s="65" t="s">
        <v>10</v>
      </c>
      <c r="O33" s="44">
        <f>VLOOKUP(B31,Schlüssel!$A$5:$DZ$14,18)</f>
        <v>2</v>
      </c>
      <c r="P33" s="65" t="s">
        <v>10</v>
      </c>
      <c r="Q33" s="44">
        <f>VLOOKUP(B31,Schlüssel!$A$5:$DZ$14,19)</f>
        <v>5</v>
      </c>
      <c r="R33" s="65" t="s">
        <v>10</v>
      </c>
      <c r="S33" s="44">
        <f>VLOOKUP(B31,Schlüssel!$A$5:$DZ$14,20)</f>
        <v>7</v>
      </c>
      <c r="T33" s="65" t="s">
        <v>10</v>
      </c>
      <c r="U33" s="66">
        <f>VLOOKUP(B31,Schlüssel!$A$5:$DZ$14,21)</f>
        <v>3</v>
      </c>
    </row>
    <row r="34" spans="1:23" ht="20.25" customHeight="1" x14ac:dyDescent="0.35">
      <c r="B34" s="67" t="s">
        <v>1</v>
      </c>
      <c r="C34" s="68"/>
      <c r="D34" s="354" t="s">
        <v>1800</v>
      </c>
      <c r="E34" s="355"/>
      <c r="F34" s="354" t="s">
        <v>1801</v>
      </c>
      <c r="G34" s="355"/>
      <c r="H34" s="354" t="s">
        <v>1802</v>
      </c>
      <c r="I34" s="355"/>
      <c r="J34" s="354" t="s">
        <v>1803</v>
      </c>
      <c r="K34" s="355"/>
      <c r="L34" s="354" t="s">
        <v>1804</v>
      </c>
      <c r="M34" s="355"/>
      <c r="N34" s="354" t="s">
        <v>1805</v>
      </c>
      <c r="O34" s="355"/>
      <c r="P34" s="354" t="s">
        <v>1806</v>
      </c>
      <c r="Q34" s="355"/>
      <c r="R34" s="354" t="s">
        <v>1807</v>
      </c>
      <c r="S34" s="355"/>
      <c r="T34" s="354" t="s">
        <v>1808</v>
      </c>
      <c r="U34" s="355"/>
      <c r="V34" s="356" t="s">
        <v>1799</v>
      </c>
      <c r="W34" s="357"/>
    </row>
    <row r="35" spans="1:23" ht="15" customHeight="1" thickBot="1" x14ac:dyDescent="0.4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2" customHeight="1" x14ac:dyDescent="0.35">
      <c r="A36" s="351" t="s">
        <v>0</v>
      </c>
      <c r="B36" s="73"/>
      <c r="C36" s="74"/>
      <c r="D36" s="75"/>
      <c r="E36" s="348"/>
      <c r="F36" s="75"/>
      <c r="G36" s="348"/>
      <c r="H36" s="75"/>
      <c r="I36" s="348"/>
      <c r="J36" s="75"/>
      <c r="K36" s="348"/>
      <c r="L36" s="75"/>
      <c r="M36" s="348"/>
      <c r="N36" s="75"/>
      <c r="O36" s="348"/>
      <c r="P36" s="75"/>
      <c r="Q36" s="348"/>
      <c r="R36" s="75"/>
      <c r="S36" s="348"/>
      <c r="T36" s="75"/>
      <c r="U36" s="348"/>
      <c r="V36" s="75"/>
      <c r="W36" s="348"/>
    </row>
    <row r="37" spans="1:23" ht="17.2" customHeight="1" x14ac:dyDescent="0.35">
      <c r="A37" s="352"/>
      <c r="B37" s="76"/>
      <c r="C37" s="77"/>
      <c r="D37" s="78"/>
      <c r="E37" s="349"/>
      <c r="F37" s="78"/>
      <c r="G37" s="349"/>
      <c r="H37" s="78"/>
      <c r="I37" s="349"/>
      <c r="J37" s="78"/>
      <c r="K37" s="349"/>
      <c r="L37" s="78"/>
      <c r="M37" s="349"/>
      <c r="N37" s="78"/>
      <c r="O37" s="349"/>
      <c r="P37" s="78"/>
      <c r="Q37" s="349"/>
      <c r="R37" s="78"/>
      <c r="S37" s="349"/>
      <c r="T37" s="78"/>
      <c r="U37" s="349"/>
      <c r="V37" s="78"/>
      <c r="W37" s="349"/>
    </row>
    <row r="38" spans="1:23" ht="17.2" customHeight="1" thickBot="1" x14ac:dyDescent="0.4">
      <c r="A38" s="353"/>
      <c r="B38" s="79"/>
      <c r="C38" s="80"/>
      <c r="D38" s="69"/>
      <c r="E38" s="350"/>
      <c r="F38" s="69"/>
      <c r="G38" s="350"/>
      <c r="H38" s="69"/>
      <c r="I38" s="350"/>
      <c r="J38" s="69"/>
      <c r="K38" s="350"/>
      <c r="L38" s="69"/>
      <c r="M38" s="350"/>
      <c r="N38" s="69"/>
      <c r="O38" s="350"/>
      <c r="P38" s="69"/>
      <c r="Q38" s="350"/>
      <c r="R38" s="69"/>
      <c r="S38" s="350"/>
      <c r="T38" s="69"/>
      <c r="U38" s="350"/>
      <c r="V38" s="69"/>
      <c r="W38" s="350"/>
    </row>
    <row r="39" spans="1:23" ht="17.2" customHeight="1" x14ac:dyDescent="0.35">
      <c r="A39" s="351" t="s">
        <v>2</v>
      </c>
      <c r="B39" s="73"/>
      <c r="C39" s="74"/>
      <c r="D39" s="75"/>
      <c r="E39" s="348"/>
      <c r="F39" s="75"/>
      <c r="G39" s="348"/>
      <c r="H39" s="75"/>
      <c r="I39" s="348"/>
      <c r="J39" s="75"/>
      <c r="K39" s="348"/>
      <c r="L39" s="75"/>
      <c r="M39" s="348"/>
      <c r="N39" s="75"/>
      <c r="O39" s="348"/>
      <c r="P39" s="75"/>
      <c r="Q39" s="348"/>
      <c r="R39" s="75"/>
      <c r="S39" s="348"/>
      <c r="T39" s="75"/>
      <c r="U39" s="348"/>
      <c r="V39" s="75"/>
      <c r="W39" s="348"/>
    </row>
    <row r="40" spans="1:23" ht="17.2" customHeight="1" x14ac:dyDescent="0.35">
      <c r="A40" s="352"/>
      <c r="B40" s="76"/>
      <c r="C40" s="77"/>
      <c r="D40" s="78"/>
      <c r="E40" s="349"/>
      <c r="F40" s="78"/>
      <c r="G40" s="349"/>
      <c r="H40" s="78"/>
      <c r="I40" s="349"/>
      <c r="J40" s="78"/>
      <c r="K40" s="349"/>
      <c r="L40" s="78"/>
      <c r="M40" s="349"/>
      <c r="N40" s="78"/>
      <c r="O40" s="349"/>
      <c r="P40" s="78"/>
      <c r="Q40" s="349"/>
      <c r="R40" s="78"/>
      <c r="S40" s="349"/>
      <c r="T40" s="78"/>
      <c r="U40" s="349"/>
      <c r="V40" s="78"/>
      <c r="W40" s="349"/>
    </row>
    <row r="41" spans="1:23" ht="17.2" customHeight="1" thickBot="1" x14ac:dyDescent="0.4">
      <c r="A41" s="353"/>
      <c r="B41" s="79"/>
      <c r="C41" s="80"/>
      <c r="D41" s="69"/>
      <c r="E41" s="350"/>
      <c r="F41" s="69"/>
      <c r="G41" s="350"/>
      <c r="H41" s="69"/>
      <c r="I41" s="350"/>
      <c r="J41" s="69"/>
      <c r="K41" s="350"/>
      <c r="L41" s="69"/>
      <c r="M41" s="350"/>
      <c r="N41" s="69"/>
      <c r="O41" s="350"/>
      <c r="P41" s="69"/>
      <c r="Q41" s="350"/>
      <c r="R41" s="69"/>
      <c r="S41" s="350"/>
      <c r="T41" s="69"/>
      <c r="U41" s="350"/>
      <c r="V41" s="69"/>
      <c r="W41" s="350"/>
    </row>
    <row r="42" spans="1:23" ht="17.2" customHeight="1" x14ac:dyDescent="0.35">
      <c r="A42" s="351" t="s">
        <v>3</v>
      </c>
      <c r="B42" s="73"/>
      <c r="C42" s="74"/>
      <c r="D42" s="75"/>
      <c r="E42" s="348"/>
      <c r="F42" s="75"/>
      <c r="G42" s="348"/>
      <c r="H42" s="75"/>
      <c r="I42" s="348"/>
      <c r="J42" s="75"/>
      <c r="K42" s="348"/>
      <c r="L42" s="75"/>
      <c r="M42" s="348"/>
      <c r="N42" s="75"/>
      <c r="O42" s="348"/>
      <c r="P42" s="75"/>
      <c r="Q42" s="348"/>
      <c r="R42" s="75"/>
      <c r="S42" s="348"/>
      <c r="T42" s="75"/>
      <c r="U42" s="348"/>
      <c r="V42" s="75"/>
      <c r="W42" s="348"/>
    </row>
    <row r="43" spans="1:23" ht="17.2" customHeight="1" x14ac:dyDescent="0.35">
      <c r="A43" s="352"/>
      <c r="B43" s="76"/>
      <c r="C43" s="77"/>
      <c r="D43" s="78"/>
      <c r="E43" s="349"/>
      <c r="F43" s="78"/>
      <c r="G43" s="349"/>
      <c r="H43" s="78"/>
      <c r="I43" s="349"/>
      <c r="J43" s="78"/>
      <c r="K43" s="349"/>
      <c r="L43" s="78"/>
      <c r="M43" s="349"/>
      <c r="N43" s="78"/>
      <c r="O43" s="349"/>
      <c r="P43" s="78"/>
      <c r="Q43" s="349"/>
      <c r="R43" s="78"/>
      <c r="S43" s="349"/>
      <c r="T43" s="78"/>
      <c r="U43" s="349"/>
      <c r="V43" s="78"/>
      <c r="W43" s="349"/>
    </row>
    <row r="44" spans="1:23" ht="17.2" customHeight="1" thickBot="1" x14ac:dyDescent="0.4">
      <c r="A44" s="353"/>
      <c r="B44" s="79"/>
      <c r="C44" s="80"/>
      <c r="D44" s="69"/>
      <c r="E44" s="350"/>
      <c r="F44" s="69"/>
      <c r="G44" s="350"/>
      <c r="H44" s="69"/>
      <c r="I44" s="350"/>
      <c r="J44" s="69"/>
      <c r="K44" s="350"/>
      <c r="L44" s="69"/>
      <c r="M44" s="350"/>
      <c r="N44" s="69"/>
      <c r="O44" s="350"/>
      <c r="P44" s="69"/>
      <c r="Q44" s="350"/>
      <c r="R44" s="69"/>
      <c r="S44" s="350"/>
      <c r="T44" s="69"/>
      <c r="U44" s="350"/>
      <c r="V44" s="69"/>
      <c r="W44" s="350"/>
    </row>
    <row r="45" spans="1:23" ht="17.2" customHeight="1" x14ac:dyDescent="0.35">
      <c r="A45" s="351" t="s">
        <v>11</v>
      </c>
      <c r="B45" s="73"/>
      <c r="C45" s="74"/>
      <c r="D45" s="75"/>
      <c r="E45" s="348"/>
      <c r="F45" s="75"/>
      <c r="G45" s="348"/>
      <c r="H45" s="75"/>
      <c r="I45" s="348"/>
      <c r="J45" s="75"/>
      <c r="K45" s="348"/>
      <c r="L45" s="75"/>
      <c r="M45" s="348"/>
      <c r="N45" s="75"/>
      <c r="O45" s="348"/>
      <c r="P45" s="75"/>
      <c r="Q45" s="348"/>
      <c r="R45" s="75"/>
      <c r="S45" s="348"/>
      <c r="T45" s="75"/>
      <c r="U45" s="348"/>
      <c r="V45" s="75"/>
      <c r="W45" s="348"/>
    </row>
    <row r="46" spans="1:23" ht="17.2" customHeight="1" x14ac:dyDescent="0.35">
      <c r="A46" s="352"/>
      <c r="B46" s="76"/>
      <c r="C46" s="77"/>
      <c r="D46" s="78"/>
      <c r="E46" s="349"/>
      <c r="F46" s="78"/>
      <c r="G46" s="349"/>
      <c r="H46" s="78"/>
      <c r="I46" s="349"/>
      <c r="J46" s="78"/>
      <c r="K46" s="349"/>
      <c r="L46" s="78"/>
      <c r="M46" s="349"/>
      <c r="N46" s="78"/>
      <c r="O46" s="349"/>
      <c r="P46" s="78"/>
      <c r="Q46" s="349"/>
      <c r="R46" s="78"/>
      <c r="S46" s="349"/>
      <c r="T46" s="78"/>
      <c r="U46" s="349"/>
      <c r="V46" s="78"/>
      <c r="W46" s="349"/>
    </row>
    <row r="47" spans="1:23" ht="17.2" customHeight="1" thickBot="1" x14ac:dyDescent="0.4">
      <c r="A47" s="353"/>
      <c r="B47" s="79"/>
      <c r="C47" s="80"/>
      <c r="D47" s="69"/>
      <c r="E47" s="350"/>
      <c r="F47" s="69"/>
      <c r="G47" s="350"/>
      <c r="H47" s="69"/>
      <c r="I47" s="350"/>
      <c r="J47" s="69"/>
      <c r="K47" s="350"/>
      <c r="L47" s="69"/>
      <c r="M47" s="350"/>
      <c r="N47" s="69"/>
      <c r="O47" s="350"/>
      <c r="P47" s="69"/>
      <c r="Q47" s="350"/>
      <c r="R47" s="69"/>
      <c r="S47" s="350"/>
      <c r="T47" s="69"/>
      <c r="U47" s="350"/>
      <c r="V47" s="69"/>
      <c r="W47" s="350"/>
    </row>
    <row r="48" spans="1:23" ht="27.75" customHeight="1" thickBot="1" x14ac:dyDescent="0.4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4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3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35">
      <c r="B51" s="88" t="s">
        <v>1797</v>
      </c>
      <c r="C51" s="89" t="s">
        <v>1798</v>
      </c>
      <c r="D51" s="346">
        <f>VLOOKUP(B31,Schlüssel!$A$5:$K$14,3)</f>
        <v>6</v>
      </c>
      <c r="E51" s="346"/>
      <c r="F51" s="346">
        <f>VLOOKUP(B31,Schlüssel!$A$5:$K$14,4)</f>
        <v>4</v>
      </c>
      <c r="G51" s="346"/>
      <c r="H51" s="346">
        <f>VLOOKUP(B31,Schlüssel!$A$5:$K$14,5)</f>
        <v>8</v>
      </c>
      <c r="I51" s="346"/>
      <c r="J51" s="346">
        <f>VLOOKUP(B31,Schlüssel!$A$5:$K$14,6)</f>
        <v>7</v>
      </c>
      <c r="K51" s="346"/>
      <c r="L51" s="346">
        <f>VLOOKUP(B31,Schlüssel!$A$5:$K$14,7)</f>
        <v>3</v>
      </c>
      <c r="M51" s="346"/>
      <c r="N51" s="346">
        <f>VLOOKUP(B31,Schlüssel!$A$5:$K$14,8)</f>
        <v>5</v>
      </c>
      <c r="O51" s="346"/>
      <c r="P51" s="346">
        <f>VLOOKUP(B31,Schlüssel!$A$5:$K$14,9)</f>
        <v>10</v>
      </c>
      <c r="Q51" s="346"/>
      <c r="R51" s="346">
        <f>VLOOKUP(B31,Schlüssel!$A$5:$K$14,10)</f>
        <v>1</v>
      </c>
      <c r="S51" s="346"/>
      <c r="T51" s="346">
        <f>VLOOKUP(B31,Schlüssel!$A$5:$K$14,11)</f>
        <v>9</v>
      </c>
      <c r="U51" s="346"/>
      <c r="V51" s="347"/>
      <c r="W51" s="347"/>
    </row>
    <row r="52" spans="1:29" ht="28.5" customHeight="1" x14ac:dyDescent="0.35">
      <c r="B52" s="90"/>
      <c r="C52" s="86"/>
      <c r="D52" s="343" t="str">
        <f>VLOOKUP(D51,Schlüssel!$A$5:$K$14,2)</f>
        <v>Phönix 03 Lauf</v>
      </c>
      <c r="E52" s="344"/>
      <c r="F52" s="343" t="str">
        <f>VLOOKUP(F51,Schlüssel!$A$5:$K$14,2)</f>
        <v>BK München 3</v>
      </c>
      <c r="G52" s="344"/>
      <c r="H52" s="343" t="str">
        <f>VLOOKUP(H51,Schlüssel!$A$5:$K$14,2)</f>
        <v>EPA München 1</v>
      </c>
      <c r="I52" s="344"/>
      <c r="J52" s="343" t="str">
        <f>VLOOKUP(J51,Schlüssel!$A$5:$K$14,2)</f>
        <v>Frankenpower Nürnberg</v>
      </c>
      <c r="K52" s="344"/>
      <c r="L52" s="343" t="str">
        <f>VLOOKUP(L51,Schlüssel!$A$5:$K$14,2)</f>
        <v>Highroller Rosenheim</v>
      </c>
      <c r="M52" s="344"/>
      <c r="N52" s="343" t="str">
        <f>VLOOKUP(N51,Schlüssel!$A$5:$K$14,2)</f>
        <v xml:space="preserve">Weiß Blau Unterföhring </v>
      </c>
      <c r="O52" s="344"/>
      <c r="P52" s="343" t="str">
        <f>VLOOKUP(P51,Schlüssel!$A$5:$K$14,2)</f>
        <v>BK München 4</v>
      </c>
      <c r="Q52" s="344"/>
      <c r="R52" s="343" t="str">
        <f>VLOOKUP(R51,Schlüssel!$A$5:$K$14,2)</f>
        <v>Praetoria Regensburg</v>
      </c>
      <c r="S52" s="344"/>
      <c r="T52" s="343" t="str">
        <f>VLOOKUP(T51,Schlüssel!$A$5:$K$14,2)</f>
        <v>RW Lichtenhof 69 Stein 2</v>
      </c>
      <c r="U52" s="344"/>
      <c r="V52" s="345"/>
      <c r="W52" s="345"/>
    </row>
    <row r="53" spans="1:29" ht="12" customHeight="1" x14ac:dyDescent="0.35">
      <c r="B53" s="90"/>
      <c r="C53" s="86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2"/>
      <c r="V53" s="301"/>
      <c r="W53" s="301"/>
    </row>
    <row r="54" spans="1:29" ht="16.05" customHeight="1" x14ac:dyDescent="0.35">
      <c r="B54" s="91" t="s">
        <v>0</v>
      </c>
      <c r="C54" s="92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40"/>
      <c r="W54" s="340"/>
    </row>
    <row r="55" spans="1:29" ht="16.05" customHeight="1" x14ac:dyDescent="0.35">
      <c r="B55" s="91" t="s">
        <v>2</v>
      </c>
      <c r="C55" s="92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40"/>
      <c r="W55" s="340"/>
    </row>
    <row r="56" spans="1:29" ht="16.05" customHeight="1" x14ac:dyDescent="0.35">
      <c r="B56" s="91" t="s">
        <v>3</v>
      </c>
      <c r="C56" s="92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  <c r="S56" s="339"/>
      <c r="T56" s="339"/>
      <c r="U56" s="339"/>
      <c r="V56" s="340"/>
      <c r="W56" s="340"/>
    </row>
    <row r="57" spans="1:29" ht="16.05" customHeight="1" x14ac:dyDescent="0.35">
      <c r="B57" s="91" t="s">
        <v>11</v>
      </c>
      <c r="C57" s="92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39"/>
      <c r="V57" s="340"/>
      <c r="W57" s="340"/>
    </row>
    <row r="58" spans="1:29" ht="16.05" customHeight="1" x14ac:dyDescent="0.35">
      <c r="B58" s="93" t="s">
        <v>1799</v>
      </c>
      <c r="C58" s="94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38"/>
      <c r="R58" s="338"/>
      <c r="S58" s="338"/>
      <c r="T58" s="338"/>
      <c r="U58" s="338"/>
      <c r="V58" s="290"/>
      <c r="W58" s="290"/>
    </row>
    <row r="59" spans="1:29" ht="21" customHeight="1" x14ac:dyDescent="0.7">
      <c r="B59" s="44" t="s">
        <v>1813</v>
      </c>
      <c r="C59" s="45"/>
      <c r="D59" s="46" t="s">
        <v>1792</v>
      </c>
      <c r="E59" s="47"/>
      <c r="F59" s="359" t="str">
        <f>Schlüssel!$C$1</f>
        <v>Bayernliga Frauen</v>
      </c>
      <c r="G59" s="359"/>
      <c r="H59" s="359"/>
      <c r="I59" s="359"/>
      <c r="J59" s="359"/>
      <c r="K59" s="359"/>
      <c r="L59" s="359"/>
      <c r="M59" s="359"/>
      <c r="N59" s="359"/>
      <c r="O59" s="359"/>
      <c r="P59" s="45"/>
      <c r="Q59" s="45"/>
      <c r="R59" s="48"/>
      <c r="S59" s="49" t="s">
        <v>1794</v>
      </c>
      <c r="T59" s="50"/>
      <c r="U59" s="360" t="str">
        <f>Schlüssel!$M$1</f>
        <v>12.10./13.10.</v>
      </c>
      <c r="V59" s="361"/>
      <c r="W59" s="362"/>
      <c r="AC59" s="51"/>
    </row>
    <row r="60" spans="1:29" ht="17.25" customHeight="1" thickBot="1" x14ac:dyDescent="0.65">
      <c r="A60" s="52"/>
      <c r="B60" s="96">
        <f>+B31+1</f>
        <v>3</v>
      </c>
      <c r="D60" s="46" t="s">
        <v>1793</v>
      </c>
      <c r="E60" s="54"/>
      <c r="F60" s="358" t="str">
        <f>Schlüssel!$C$2</f>
        <v>Unterföhring Dreambowl Palace</v>
      </c>
      <c r="G60" s="358"/>
      <c r="H60" s="358"/>
      <c r="I60" s="358"/>
      <c r="J60" s="358"/>
      <c r="K60" s="358"/>
      <c r="L60" s="358"/>
      <c r="M60" s="358"/>
      <c r="N60" s="358"/>
      <c r="O60" s="358"/>
      <c r="P60" s="55"/>
      <c r="Q60" s="55"/>
      <c r="S60" s="49" t="s">
        <v>1791</v>
      </c>
      <c r="T60" s="56">
        <v>1</v>
      </c>
      <c r="U60" s="50"/>
      <c r="V60" s="50"/>
      <c r="AC60" s="97"/>
    </row>
    <row r="61" spans="1:29" ht="15.75" customHeight="1" thickBot="1" x14ac:dyDescent="0.4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5" thickBot="1" x14ac:dyDescent="0.45">
      <c r="A62" s="2"/>
      <c r="B62" s="44"/>
      <c r="C62" s="63"/>
      <c r="D62" s="64" t="s">
        <v>10</v>
      </c>
      <c r="E62" s="44">
        <f>VLOOKUP(B60,Schlüssel!$A$5:$DZ$14,13)</f>
        <v>6</v>
      </c>
      <c r="F62" s="65" t="s">
        <v>10</v>
      </c>
      <c r="G62" s="44">
        <f>VLOOKUP(B60,Schlüssel!$A$5:$DZ$14,14)</f>
        <v>2</v>
      </c>
      <c r="H62" s="65" t="s">
        <v>10</v>
      </c>
      <c r="I62" s="44">
        <f>VLOOKUP(B60,Schlüssel!$A$5:$DZ$14,15)</f>
        <v>4</v>
      </c>
      <c r="J62" s="65" t="s">
        <v>10</v>
      </c>
      <c r="K62" s="44">
        <f>VLOOKUP(B60,Schlüssel!$A$5:$DZ$14,16)</f>
        <v>5</v>
      </c>
      <c r="L62" s="65" t="s">
        <v>10</v>
      </c>
      <c r="M62" s="44">
        <f>VLOOKUP(B60,Schlüssel!$A$5:$DZ$14,17)</f>
        <v>7</v>
      </c>
      <c r="N62" s="65" t="s">
        <v>10</v>
      </c>
      <c r="O62" s="44">
        <f>VLOOKUP(B60,Schlüssel!$A$5:$DZ$14,18)</f>
        <v>10</v>
      </c>
      <c r="P62" s="65" t="s">
        <v>10</v>
      </c>
      <c r="Q62" s="44">
        <f>VLOOKUP(B60,Schlüssel!$A$5:$DZ$14,19)</f>
        <v>3</v>
      </c>
      <c r="R62" s="65" t="s">
        <v>10</v>
      </c>
      <c r="S62" s="44">
        <f>VLOOKUP(B60,Schlüssel!$A$5:$DZ$14,20)</f>
        <v>1</v>
      </c>
      <c r="T62" s="65" t="s">
        <v>10</v>
      </c>
      <c r="U62" s="66">
        <f>VLOOKUP(B60,Schlüssel!$A$5:$DZ$14,21)</f>
        <v>8</v>
      </c>
    </row>
    <row r="63" spans="1:29" ht="20.25" customHeight="1" x14ac:dyDescent="0.35">
      <c r="B63" s="67" t="s">
        <v>1</v>
      </c>
      <c r="C63" s="68"/>
      <c r="D63" s="354" t="s">
        <v>1800</v>
      </c>
      <c r="E63" s="355"/>
      <c r="F63" s="354" t="s">
        <v>1801</v>
      </c>
      <c r="G63" s="355"/>
      <c r="H63" s="354" t="s">
        <v>1802</v>
      </c>
      <c r="I63" s="355"/>
      <c r="J63" s="354" t="s">
        <v>1803</v>
      </c>
      <c r="K63" s="355"/>
      <c r="L63" s="354" t="s">
        <v>1804</v>
      </c>
      <c r="M63" s="355"/>
      <c r="N63" s="354" t="s">
        <v>1805</v>
      </c>
      <c r="O63" s="355"/>
      <c r="P63" s="354" t="s">
        <v>1806</v>
      </c>
      <c r="Q63" s="355"/>
      <c r="R63" s="354" t="s">
        <v>1807</v>
      </c>
      <c r="S63" s="355"/>
      <c r="T63" s="354" t="s">
        <v>1808</v>
      </c>
      <c r="U63" s="355"/>
      <c r="V63" s="356" t="s">
        <v>1799</v>
      </c>
      <c r="W63" s="357"/>
    </row>
    <row r="64" spans="1:29" ht="15" customHeight="1" thickBot="1" x14ac:dyDescent="0.4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2" customHeight="1" x14ac:dyDescent="0.35">
      <c r="A65" s="351" t="s">
        <v>0</v>
      </c>
      <c r="B65" s="73"/>
      <c r="C65" s="74"/>
      <c r="D65" s="75"/>
      <c r="E65" s="348"/>
      <c r="F65" s="75"/>
      <c r="G65" s="348"/>
      <c r="H65" s="75"/>
      <c r="I65" s="348"/>
      <c r="J65" s="75"/>
      <c r="K65" s="348"/>
      <c r="L65" s="75"/>
      <c r="M65" s="348"/>
      <c r="N65" s="75"/>
      <c r="O65" s="348"/>
      <c r="P65" s="75"/>
      <c r="Q65" s="348"/>
      <c r="R65" s="75"/>
      <c r="S65" s="348"/>
      <c r="T65" s="75"/>
      <c r="U65" s="348"/>
      <c r="V65" s="75"/>
      <c r="W65" s="348"/>
    </row>
    <row r="66" spans="1:23" ht="17.2" customHeight="1" x14ac:dyDescent="0.35">
      <c r="A66" s="352"/>
      <c r="B66" s="76"/>
      <c r="C66" s="77"/>
      <c r="D66" s="78"/>
      <c r="E66" s="349"/>
      <c r="F66" s="78"/>
      <c r="G66" s="349"/>
      <c r="H66" s="78"/>
      <c r="I66" s="349"/>
      <c r="J66" s="78"/>
      <c r="K66" s="349"/>
      <c r="L66" s="78"/>
      <c r="M66" s="349"/>
      <c r="N66" s="78"/>
      <c r="O66" s="349"/>
      <c r="P66" s="78"/>
      <c r="Q66" s="349"/>
      <c r="R66" s="78"/>
      <c r="S66" s="349"/>
      <c r="T66" s="78"/>
      <c r="U66" s="349"/>
      <c r="V66" s="78"/>
      <c r="W66" s="349"/>
    </row>
    <row r="67" spans="1:23" ht="17.2" customHeight="1" thickBot="1" x14ac:dyDescent="0.4">
      <c r="A67" s="353"/>
      <c r="B67" s="79"/>
      <c r="C67" s="80"/>
      <c r="D67" s="69"/>
      <c r="E67" s="350"/>
      <c r="F67" s="69"/>
      <c r="G67" s="350"/>
      <c r="H67" s="69"/>
      <c r="I67" s="350"/>
      <c r="J67" s="69"/>
      <c r="K67" s="350"/>
      <c r="L67" s="69"/>
      <c r="M67" s="350"/>
      <c r="N67" s="69"/>
      <c r="O67" s="350"/>
      <c r="P67" s="69"/>
      <c r="Q67" s="350"/>
      <c r="R67" s="69"/>
      <c r="S67" s="350"/>
      <c r="T67" s="69"/>
      <c r="U67" s="350"/>
      <c r="V67" s="69"/>
      <c r="W67" s="350"/>
    </row>
    <row r="68" spans="1:23" ht="17.2" customHeight="1" x14ac:dyDescent="0.35">
      <c r="A68" s="351" t="s">
        <v>2</v>
      </c>
      <c r="B68" s="73"/>
      <c r="C68" s="74"/>
      <c r="D68" s="75"/>
      <c r="E68" s="348"/>
      <c r="F68" s="75"/>
      <c r="G68" s="348"/>
      <c r="H68" s="75"/>
      <c r="I68" s="348"/>
      <c r="J68" s="75"/>
      <c r="K68" s="348"/>
      <c r="L68" s="75"/>
      <c r="M68" s="348"/>
      <c r="N68" s="75"/>
      <c r="O68" s="348"/>
      <c r="P68" s="75"/>
      <c r="Q68" s="348"/>
      <c r="R68" s="75"/>
      <c r="S68" s="348"/>
      <c r="T68" s="75"/>
      <c r="U68" s="348"/>
      <c r="V68" s="75"/>
      <c r="W68" s="348"/>
    </row>
    <row r="69" spans="1:23" ht="17.2" customHeight="1" x14ac:dyDescent="0.35">
      <c r="A69" s="352"/>
      <c r="B69" s="76"/>
      <c r="C69" s="77"/>
      <c r="D69" s="78"/>
      <c r="E69" s="349"/>
      <c r="F69" s="78"/>
      <c r="G69" s="349"/>
      <c r="H69" s="78"/>
      <c r="I69" s="349"/>
      <c r="J69" s="78"/>
      <c r="K69" s="349"/>
      <c r="L69" s="78"/>
      <c r="M69" s="349"/>
      <c r="N69" s="78"/>
      <c r="O69" s="349"/>
      <c r="P69" s="78"/>
      <c r="Q69" s="349"/>
      <c r="R69" s="78"/>
      <c r="S69" s="349"/>
      <c r="T69" s="78"/>
      <c r="U69" s="349"/>
      <c r="V69" s="78"/>
      <c r="W69" s="349"/>
    </row>
    <row r="70" spans="1:23" ht="17.2" customHeight="1" thickBot="1" x14ac:dyDescent="0.4">
      <c r="A70" s="353"/>
      <c r="B70" s="79"/>
      <c r="C70" s="80"/>
      <c r="D70" s="69"/>
      <c r="E70" s="350"/>
      <c r="F70" s="69"/>
      <c r="G70" s="350"/>
      <c r="H70" s="69"/>
      <c r="I70" s="350"/>
      <c r="J70" s="69"/>
      <c r="K70" s="350"/>
      <c r="L70" s="69"/>
      <c r="M70" s="350"/>
      <c r="N70" s="69"/>
      <c r="O70" s="350"/>
      <c r="P70" s="69"/>
      <c r="Q70" s="350"/>
      <c r="R70" s="69"/>
      <c r="S70" s="350"/>
      <c r="T70" s="69"/>
      <c r="U70" s="350"/>
      <c r="V70" s="69"/>
      <c r="W70" s="350"/>
    </row>
    <row r="71" spans="1:23" ht="17.2" customHeight="1" x14ac:dyDescent="0.35">
      <c r="A71" s="351" t="s">
        <v>3</v>
      </c>
      <c r="B71" s="73"/>
      <c r="C71" s="74"/>
      <c r="D71" s="75"/>
      <c r="E71" s="348"/>
      <c r="F71" s="75"/>
      <c r="G71" s="348"/>
      <c r="H71" s="75"/>
      <c r="I71" s="348"/>
      <c r="J71" s="75"/>
      <c r="K71" s="348"/>
      <c r="L71" s="75"/>
      <c r="M71" s="348"/>
      <c r="N71" s="75"/>
      <c r="O71" s="348"/>
      <c r="P71" s="75"/>
      <c r="Q71" s="348"/>
      <c r="R71" s="75"/>
      <c r="S71" s="348"/>
      <c r="T71" s="75"/>
      <c r="U71" s="348"/>
      <c r="V71" s="75"/>
      <c r="W71" s="348"/>
    </row>
    <row r="72" spans="1:23" ht="17.2" customHeight="1" x14ac:dyDescent="0.35">
      <c r="A72" s="352"/>
      <c r="B72" s="76"/>
      <c r="C72" s="77"/>
      <c r="D72" s="78"/>
      <c r="E72" s="349"/>
      <c r="F72" s="78"/>
      <c r="G72" s="349"/>
      <c r="H72" s="78"/>
      <c r="I72" s="349"/>
      <c r="J72" s="78"/>
      <c r="K72" s="349"/>
      <c r="L72" s="78"/>
      <c r="M72" s="349"/>
      <c r="N72" s="78"/>
      <c r="O72" s="349"/>
      <c r="P72" s="78"/>
      <c r="Q72" s="349"/>
      <c r="R72" s="78"/>
      <c r="S72" s="349"/>
      <c r="T72" s="78"/>
      <c r="U72" s="349"/>
      <c r="V72" s="78"/>
      <c r="W72" s="349"/>
    </row>
    <row r="73" spans="1:23" ht="17.2" customHeight="1" thickBot="1" x14ac:dyDescent="0.4">
      <c r="A73" s="353"/>
      <c r="B73" s="79"/>
      <c r="C73" s="80"/>
      <c r="D73" s="69"/>
      <c r="E73" s="350"/>
      <c r="F73" s="69"/>
      <c r="G73" s="350"/>
      <c r="H73" s="69"/>
      <c r="I73" s="350"/>
      <c r="J73" s="69"/>
      <c r="K73" s="350"/>
      <c r="L73" s="69"/>
      <c r="M73" s="350"/>
      <c r="N73" s="69"/>
      <c r="O73" s="350"/>
      <c r="P73" s="69"/>
      <c r="Q73" s="350"/>
      <c r="R73" s="69"/>
      <c r="S73" s="350"/>
      <c r="T73" s="69"/>
      <c r="U73" s="350"/>
      <c r="V73" s="69"/>
      <c r="W73" s="350"/>
    </row>
    <row r="74" spans="1:23" ht="17.2" customHeight="1" x14ac:dyDescent="0.35">
      <c r="A74" s="351" t="s">
        <v>11</v>
      </c>
      <c r="B74" s="73"/>
      <c r="C74" s="74"/>
      <c r="D74" s="75"/>
      <c r="E74" s="348"/>
      <c r="F74" s="75"/>
      <c r="G74" s="348"/>
      <c r="H74" s="75"/>
      <c r="I74" s="348"/>
      <c r="J74" s="75"/>
      <c r="K74" s="348"/>
      <c r="L74" s="75"/>
      <c r="M74" s="348"/>
      <c r="N74" s="75"/>
      <c r="O74" s="348"/>
      <c r="P74" s="75"/>
      <c r="Q74" s="348"/>
      <c r="R74" s="75"/>
      <c r="S74" s="348"/>
      <c r="T74" s="75"/>
      <c r="U74" s="348"/>
      <c r="V74" s="75"/>
      <c r="W74" s="348"/>
    </row>
    <row r="75" spans="1:23" ht="17.2" customHeight="1" x14ac:dyDescent="0.35">
      <c r="A75" s="352"/>
      <c r="B75" s="76"/>
      <c r="C75" s="77"/>
      <c r="D75" s="78"/>
      <c r="E75" s="349"/>
      <c r="F75" s="78"/>
      <c r="G75" s="349"/>
      <c r="H75" s="78"/>
      <c r="I75" s="349"/>
      <c r="J75" s="78"/>
      <c r="K75" s="349"/>
      <c r="L75" s="78"/>
      <c r="M75" s="349"/>
      <c r="N75" s="78"/>
      <c r="O75" s="349"/>
      <c r="P75" s="78"/>
      <c r="Q75" s="349"/>
      <c r="R75" s="78"/>
      <c r="S75" s="349"/>
      <c r="T75" s="78"/>
      <c r="U75" s="349"/>
      <c r="V75" s="78"/>
      <c r="W75" s="349"/>
    </row>
    <row r="76" spans="1:23" ht="17.2" customHeight="1" thickBot="1" x14ac:dyDescent="0.4">
      <c r="A76" s="353"/>
      <c r="B76" s="79"/>
      <c r="C76" s="80"/>
      <c r="D76" s="69"/>
      <c r="E76" s="350"/>
      <c r="F76" s="69"/>
      <c r="G76" s="350"/>
      <c r="H76" s="69"/>
      <c r="I76" s="350"/>
      <c r="J76" s="69"/>
      <c r="K76" s="350"/>
      <c r="L76" s="69"/>
      <c r="M76" s="350"/>
      <c r="N76" s="69"/>
      <c r="O76" s="350"/>
      <c r="P76" s="69"/>
      <c r="Q76" s="350"/>
      <c r="R76" s="69"/>
      <c r="S76" s="350"/>
      <c r="T76" s="69"/>
      <c r="U76" s="350"/>
      <c r="V76" s="69"/>
      <c r="W76" s="350"/>
    </row>
    <row r="77" spans="1:23" ht="27.75" customHeight="1" thickBot="1" x14ac:dyDescent="0.4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4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3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35">
      <c r="B80" s="88" t="s">
        <v>1797</v>
      </c>
      <c r="C80" s="89" t="s">
        <v>1798</v>
      </c>
      <c r="D80" s="346">
        <f>VLOOKUP(B60,Schlüssel!$A$5:$K$14,3)</f>
        <v>1</v>
      </c>
      <c r="E80" s="346"/>
      <c r="F80" s="346">
        <f>VLOOKUP(B60,Schlüssel!$A$5:$K$14,4)</f>
        <v>10</v>
      </c>
      <c r="G80" s="346"/>
      <c r="H80" s="346">
        <f>VLOOKUP(B60,Schlüssel!$A$5:$K$14,5)</f>
        <v>5</v>
      </c>
      <c r="I80" s="346"/>
      <c r="J80" s="346">
        <f>VLOOKUP(B60,Schlüssel!$A$5:$K$14,6)</f>
        <v>9</v>
      </c>
      <c r="K80" s="346"/>
      <c r="L80" s="346">
        <f>VLOOKUP(B60,Schlüssel!$A$5:$K$14,7)</f>
        <v>2</v>
      </c>
      <c r="M80" s="346"/>
      <c r="N80" s="346">
        <f>VLOOKUP(B60,Schlüssel!$A$5:$K$14,8)</f>
        <v>6</v>
      </c>
      <c r="O80" s="346"/>
      <c r="P80" s="346">
        <f>VLOOKUP(B60,Schlüssel!$A$5:$K$14,9)</f>
        <v>8</v>
      </c>
      <c r="Q80" s="346"/>
      <c r="R80" s="346">
        <f>VLOOKUP(B60,Schlüssel!$A$5:$K$14,10)</f>
        <v>4</v>
      </c>
      <c r="S80" s="346"/>
      <c r="T80" s="346">
        <f>VLOOKUP(B60,Schlüssel!$A$5:$K$14,11)</f>
        <v>7</v>
      </c>
      <c r="U80" s="346"/>
      <c r="V80" s="347"/>
      <c r="W80" s="347"/>
    </row>
    <row r="81" spans="1:29" ht="28.5" customHeight="1" x14ac:dyDescent="0.35">
      <c r="B81" s="90"/>
      <c r="C81" s="86"/>
      <c r="D81" s="343" t="str">
        <f>VLOOKUP(D80,Schlüssel!$A$5:$K$14,2)</f>
        <v>Praetoria Regensburg</v>
      </c>
      <c r="E81" s="344"/>
      <c r="F81" s="343" t="str">
        <f>VLOOKUP(F80,Schlüssel!$A$5:$K$14,2)</f>
        <v>BK München 4</v>
      </c>
      <c r="G81" s="344"/>
      <c r="H81" s="343" t="str">
        <f>VLOOKUP(H80,Schlüssel!$A$5:$K$14,2)</f>
        <v xml:space="preserve">Weiß Blau Unterföhring </v>
      </c>
      <c r="I81" s="344"/>
      <c r="J81" s="343" t="str">
        <f>VLOOKUP(J80,Schlüssel!$A$5:$K$14,2)</f>
        <v>RW Lichtenhof 69 Stein 2</v>
      </c>
      <c r="K81" s="344"/>
      <c r="L81" s="343" t="str">
        <f>VLOOKUP(L80,Schlüssel!$A$5:$K$14,2)</f>
        <v>BK München 2</v>
      </c>
      <c r="M81" s="344"/>
      <c r="N81" s="343" t="str">
        <f>VLOOKUP(N80,Schlüssel!$A$5:$K$14,2)</f>
        <v>Phönix 03 Lauf</v>
      </c>
      <c r="O81" s="344"/>
      <c r="P81" s="343" t="str">
        <f>VLOOKUP(P80,Schlüssel!$A$5:$K$14,2)</f>
        <v>EPA München 1</v>
      </c>
      <c r="Q81" s="344"/>
      <c r="R81" s="343" t="str">
        <f>VLOOKUP(R80,Schlüssel!$A$5:$K$14,2)</f>
        <v>BK München 3</v>
      </c>
      <c r="S81" s="344"/>
      <c r="T81" s="343" t="str">
        <f>VLOOKUP(T80,Schlüssel!$A$5:$K$14,2)</f>
        <v>Frankenpower Nürnberg</v>
      </c>
      <c r="U81" s="344"/>
      <c r="V81" s="345"/>
      <c r="W81" s="345"/>
    </row>
    <row r="82" spans="1:29" ht="12" customHeight="1" x14ac:dyDescent="0.35">
      <c r="B82" s="90"/>
      <c r="C82" s="86"/>
      <c r="D82" s="341"/>
      <c r="E82" s="341"/>
      <c r="F82" s="341"/>
      <c r="G82" s="341"/>
      <c r="H82" s="341"/>
      <c r="I82" s="341"/>
      <c r="J82" s="341"/>
      <c r="K82" s="341"/>
      <c r="L82" s="341"/>
      <c r="M82" s="341"/>
      <c r="N82" s="341"/>
      <c r="O82" s="341"/>
      <c r="P82" s="341"/>
      <c r="Q82" s="341"/>
      <c r="R82" s="341"/>
      <c r="S82" s="341"/>
      <c r="T82" s="341"/>
      <c r="U82" s="342"/>
      <c r="V82" s="301"/>
      <c r="W82" s="301"/>
    </row>
    <row r="83" spans="1:29" ht="16.05" customHeight="1" x14ac:dyDescent="0.35">
      <c r="B83" s="91" t="s">
        <v>0</v>
      </c>
      <c r="C83" s="92"/>
      <c r="D83" s="339"/>
      <c r="E83" s="339"/>
      <c r="F83" s="339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39"/>
      <c r="S83" s="339"/>
      <c r="T83" s="339"/>
      <c r="U83" s="339"/>
      <c r="V83" s="340"/>
      <c r="W83" s="340"/>
    </row>
    <row r="84" spans="1:29" ht="16.05" customHeight="1" x14ac:dyDescent="0.35">
      <c r="B84" s="91" t="s">
        <v>2</v>
      </c>
      <c r="C84" s="92"/>
      <c r="D84" s="339"/>
      <c r="E84" s="339"/>
      <c r="F84" s="339"/>
      <c r="G84" s="339"/>
      <c r="H84" s="339"/>
      <c r="I84" s="339"/>
      <c r="J84" s="339"/>
      <c r="K84" s="339"/>
      <c r="L84" s="339"/>
      <c r="M84" s="339"/>
      <c r="N84" s="339"/>
      <c r="O84" s="339"/>
      <c r="P84" s="339"/>
      <c r="Q84" s="339"/>
      <c r="R84" s="339"/>
      <c r="S84" s="339"/>
      <c r="T84" s="339"/>
      <c r="U84" s="339"/>
      <c r="V84" s="340"/>
      <c r="W84" s="340"/>
    </row>
    <row r="85" spans="1:29" ht="16.05" customHeight="1" x14ac:dyDescent="0.35">
      <c r="B85" s="91" t="s">
        <v>3</v>
      </c>
      <c r="C85" s="92"/>
      <c r="D85" s="339"/>
      <c r="E85" s="339"/>
      <c r="F85" s="339"/>
      <c r="G85" s="339"/>
      <c r="H85" s="339"/>
      <c r="I85" s="339"/>
      <c r="J85" s="339"/>
      <c r="K85" s="339"/>
      <c r="L85" s="339"/>
      <c r="M85" s="339"/>
      <c r="N85" s="339"/>
      <c r="O85" s="339"/>
      <c r="P85" s="339"/>
      <c r="Q85" s="339"/>
      <c r="R85" s="339"/>
      <c r="S85" s="339"/>
      <c r="T85" s="339"/>
      <c r="U85" s="339"/>
      <c r="V85" s="340"/>
      <c r="W85" s="340"/>
    </row>
    <row r="86" spans="1:29" ht="16.05" customHeight="1" x14ac:dyDescent="0.35">
      <c r="B86" s="91" t="s">
        <v>11</v>
      </c>
      <c r="C86" s="92"/>
      <c r="D86" s="339"/>
      <c r="E86" s="339"/>
      <c r="F86" s="339"/>
      <c r="G86" s="339"/>
      <c r="H86" s="339"/>
      <c r="I86" s="339"/>
      <c r="J86" s="339"/>
      <c r="K86" s="339"/>
      <c r="L86" s="339"/>
      <c r="M86" s="339"/>
      <c r="N86" s="339"/>
      <c r="O86" s="339"/>
      <c r="P86" s="339"/>
      <c r="Q86" s="339"/>
      <c r="R86" s="339"/>
      <c r="S86" s="339"/>
      <c r="T86" s="339"/>
      <c r="U86" s="339"/>
      <c r="V86" s="340"/>
      <c r="W86" s="340"/>
    </row>
    <row r="87" spans="1:29" ht="16.05" customHeight="1" x14ac:dyDescent="0.35">
      <c r="B87" s="93" t="s">
        <v>1799</v>
      </c>
      <c r="C87" s="94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38"/>
      <c r="R87" s="338"/>
      <c r="S87" s="338"/>
      <c r="T87" s="338"/>
      <c r="U87" s="338"/>
      <c r="V87" s="290"/>
      <c r="W87" s="290"/>
    </row>
    <row r="88" spans="1:29" ht="21" customHeight="1" x14ac:dyDescent="0.7">
      <c r="B88" s="44" t="s">
        <v>1813</v>
      </c>
      <c r="C88" s="45"/>
      <c r="D88" s="46" t="s">
        <v>1792</v>
      </c>
      <c r="E88" s="47"/>
      <c r="F88" s="359" t="str">
        <f>Schlüssel!$C$1</f>
        <v>Bayernliga Frauen</v>
      </c>
      <c r="G88" s="359"/>
      <c r="H88" s="359"/>
      <c r="I88" s="359"/>
      <c r="J88" s="359"/>
      <c r="K88" s="359"/>
      <c r="L88" s="359"/>
      <c r="M88" s="359"/>
      <c r="N88" s="359"/>
      <c r="O88" s="359"/>
      <c r="P88" s="45"/>
      <c r="Q88" s="45"/>
      <c r="R88" s="48"/>
      <c r="S88" s="49" t="s">
        <v>1794</v>
      </c>
      <c r="T88" s="50"/>
      <c r="U88" s="360" t="str">
        <f>Schlüssel!$M$1</f>
        <v>12.10./13.10.</v>
      </c>
      <c r="V88" s="361"/>
      <c r="W88" s="362"/>
      <c r="AC88" s="51"/>
    </row>
    <row r="89" spans="1:29" ht="17.25" customHeight="1" thickBot="1" x14ac:dyDescent="0.65">
      <c r="A89" s="52"/>
      <c r="B89" s="96">
        <f>+B60+1</f>
        <v>4</v>
      </c>
      <c r="D89" s="46" t="s">
        <v>1793</v>
      </c>
      <c r="E89" s="54"/>
      <c r="F89" s="358" t="str">
        <f>Schlüssel!$C$2</f>
        <v>Unterföhring Dreambowl Palace</v>
      </c>
      <c r="G89" s="358"/>
      <c r="H89" s="358"/>
      <c r="I89" s="358"/>
      <c r="J89" s="358"/>
      <c r="K89" s="358"/>
      <c r="L89" s="358"/>
      <c r="M89" s="358"/>
      <c r="N89" s="358"/>
      <c r="O89" s="358"/>
      <c r="P89" s="55"/>
      <c r="Q89" s="55"/>
      <c r="S89" s="49" t="s">
        <v>1791</v>
      </c>
      <c r="T89" s="56">
        <v>1</v>
      </c>
      <c r="U89" s="50"/>
      <c r="V89" s="50"/>
      <c r="AC89" s="97"/>
    </row>
    <row r="90" spans="1:29" ht="15.75" customHeight="1" thickBot="1" x14ac:dyDescent="0.4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5" thickBot="1" x14ac:dyDescent="0.45">
      <c r="A91" s="2"/>
      <c r="B91" s="44"/>
      <c r="C91" s="63"/>
      <c r="D91" s="64" t="s">
        <v>10</v>
      </c>
      <c r="E91" s="44">
        <f>VLOOKUP(B89,Schlüssel!$A$5:$DZ$14,13)</f>
        <v>7</v>
      </c>
      <c r="F91" s="65" t="s">
        <v>10</v>
      </c>
      <c r="G91" s="44">
        <f>VLOOKUP(B89,Schlüssel!$A$5:$DZ$14,14)</f>
        <v>10</v>
      </c>
      <c r="H91" s="65" t="s">
        <v>10</v>
      </c>
      <c r="I91" s="44">
        <f>VLOOKUP(B89,Schlüssel!$A$5:$DZ$14,15)</f>
        <v>1</v>
      </c>
      <c r="J91" s="65" t="s">
        <v>10</v>
      </c>
      <c r="K91" s="44">
        <f>VLOOKUP(B89,Schlüssel!$A$5:$DZ$14,16)</f>
        <v>8</v>
      </c>
      <c r="L91" s="65" t="s">
        <v>10</v>
      </c>
      <c r="M91" s="44">
        <f>VLOOKUP(B89,Schlüssel!$A$5:$DZ$14,17)</f>
        <v>3</v>
      </c>
      <c r="N91" s="65" t="s">
        <v>10</v>
      </c>
      <c r="O91" s="44">
        <f>VLOOKUP(B89,Schlüssel!$A$5:$DZ$14,18)</f>
        <v>5</v>
      </c>
      <c r="P91" s="65" t="s">
        <v>10</v>
      </c>
      <c r="Q91" s="44">
        <f>VLOOKUP(B89,Schlüssel!$A$5:$DZ$14,19)</f>
        <v>9</v>
      </c>
      <c r="R91" s="65" t="s">
        <v>10</v>
      </c>
      <c r="S91" s="44">
        <f>VLOOKUP(B89,Schlüssel!$A$5:$DZ$14,20)</f>
        <v>2</v>
      </c>
      <c r="T91" s="65" t="s">
        <v>10</v>
      </c>
      <c r="U91" s="66">
        <f>VLOOKUP(B89,Schlüssel!$A$5:$DZ$14,21)</f>
        <v>6</v>
      </c>
    </row>
    <row r="92" spans="1:29" ht="20.25" customHeight="1" x14ac:dyDescent="0.35">
      <c r="B92" s="67" t="s">
        <v>1</v>
      </c>
      <c r="C92" s="68"/>
      <c r="D92" s="354" t="s">
        <v>1800</v>
      </c>
      <c r="E92" s="355"/>
      <c r="F92" s="354" t="s">
        <v>1801</v>
      </c>
      <c r="G92" s="355"/>
      <c r="H92" s="354" t="s">
        <v>1802</v>
      </c>
      <c r="I92" s="355"/>
      <c r="J92" s="354" t="s">
        <v>1803</v>
      </c>
      <c r="K92" s="355"/>
      <c r="L92" s="354" t="s">
        <v>1804</v>
      </c>
      <c r="M92" s="355"/>
      <c r="N92" s="354" t="s">
        <v>1805</v>
      </c>
      <c r="O92" s="355"/>
      <c r="P92" s="354" t="s">
        <v>1806</v>
      </c>
      <c r="Q92" s="355"/>
      <c r="R92" s="354" t="s">
        <v>1807</v>
      </c>
      <c r="S92" s="355"/>
      <c r="T92" s="354" t="s">
        <v>1808</v>
      </c>
      <c r="U92" s="355"/>
      <c r="V92" s="356" t="s">
        <v>1799</v>
      </c>
      <c r="W92" s="357"/>
    </row>
    <row r="93" spans="1:29" ht="15" customHeight="1" thickBot="1" x14ac:dyDescent="0.4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2" customHeight="1" x14ac:dyDescent="0.35">
      <c r="A94" s="351" t="s">
        <v>0</v>
      </c>
      <c r="B94" s="73"/>
      <c r="C94" s="74"/>
      <c r="D94" s="75"/>
      <c r="E94" s="348"/>
      <c r="F94" s="75"/>
      <c r="G94" s="348"/>
      <c r="H94" s="75"/>
      <c r="I94" s="348"/>
      <c r="J94" s="75"/>
      <c r="K94" s="348"/>
      <c r="L94" s="75"/>
      <c r="M94" s="348"/>
      <c r="N94" s="75"/>
      <c r="O94" s="348"/>
      <c r="P94" s="75"/>
      <c r="Q94" s="348"/>
      <c r="R94" s="75"/>
      <c r="S94" s="348"/>
      <c r="T94" s="75"/>
      <c r="U94" s="348"/>
      <c r="V94" s="75"/>
      <c r="W94" s="348"/>
    </row>
    <row r="95" spans="1:29" ht="17.2" customHeight="1" x14ac:dyDescent="0.35">
      <c r="A95" s="352"/>
      <c r="B95" s="76"/>
      <c r="C95" s="77"/>
      <c r="D95" s="78"/>
      <c r="E95" s="349"/>
      <c r="F95" s="78"/>
      <c r="G95" s="349"/>
      <c r="H95" s="78"/>
      <c r="I95" s="349"/>
      <c r="J95" s="78"/>
      <c r="K95" s="349"/>
      <c r="L95" s="78"/>
      <c r="M95" s="349"/>
      <c r="N95" s="78"/>
      <c r="O95" s="349"/>
      <c r="P95" s="78"/>
      <c r="Q95" s="349"/>
      <c r="R95" s="78"/>
      <c r="S95" s="349"/>
      <c r="T95" s="78"/>
      <c r="U95" s="349"/>
      <c r="V95" s="78"/>
      <c r="W95" s="349"/>
    </row>
    <row r="96" spans="1:29" ht="17.2" customHeight="1" thickBot="1" x14ac:dyDescent="0.4">
      <c r="A96" s="353"/>
      <c r="B96" s="79"/>
      <c r="C96" s="80"/>
      <c r="D96" s="69"/>
      <c r="E96" s="350"/>
      <c r="F96" s="69"/>
      <c r="G96" s="350"/>
      <c r="H96" s="69"/>
      <c r="I96" s="350"/>
      <c r="J96" s="69"/>
      <c r="K96" s="350"/>
      <c r="L96" s="69"/>
      <c r="M96" s="350"/>
      <c r="N96" s="69"/>
      <c r="O96" s="350"/>
      <c r="P96" s="69"/>
      <c r="Q96" s="350"/>
      <c r="R96" s="69"/>
      <c r="S96" s="350"/>
      <c r="T96" s="69"/>
      <c r="U96" s="350"/>
      <c r="V96" s="69"/>
      <c r="W96" s="350"/>
    </row>
    <row r="97" spans="1:23" ht="17.2" customHeight="1" x14ac:dyDescent="0.35">
      <c r="A97" s="351" t="s">
        <v>2</v>
      </c>
      <c r="B97" s="73"/>
      <c r="C97" s="74"/>
      <c r="D97" s="75"/>
      <c r="E97" s="348"/>
      <c r="F97" s="75"/>
      <c r="G97" s="348"/>
      <c r="H97" s="75"/>
      <c r="I97" s="348"/>
      <c r="J97" s="75"/>
      <c r="K97" s="348"/>
      <c r="L97" s="75"/>
      <c r="M97" s="348"/>
      <c r="N97" s="75"/>
      <c r="O97" s="348"/>
      <c r="P97" s="75"/>
      <c r="Q97" s="348"/>
      <c r="R97" s="75"/>
      <c r="S97" s="348"/>
      <c r="T97" s="75"/>
      <c r="U97" s="348"/>
      <c r="V97" s="75"/>
      <c r="W97" s="348"/>
    </row>
    <row r="98" spans="1:23" ht="17.2" customHeight="1" x14ac:dyDescent="0.35">
      <c r="A98" s="352"/>
      <c r="B98" s="76"/>
      <c r="C98" s="77"/>
      <c r="D98" s="78"/>
      <c r="E98" s="349"/>
      <c r="F98" s="78"/>
      <c r="G98" s="349"/>
      <c r="H98" s="78"/>
      <c r="I98" s="349"/>
      <c r="J98" s="78"/>
      <c r="K98" s="349"/>
      <c r="L98" s="78"/>
      <c r="M98" s="349"/>
      <c r="N98" s="78"/>
      <c r="O98" s="349"/>
      <c r="P98" s="78"/>
      <c r="Q98" s="349"/>
      <c r="R98" s="78"/>
      <c r="S98" s="349"/>
      <c r="T98" s="78"/>
      <c r="U98" s="349"/>
      <c r="V98" s="78"/>
      <c r="W98" s="349"/>
    </row>
    <row r="99" spans="1:23" ht="17.2" customHeight="1" thickBot="1" x14ac:dyDescent="0.4">
      <c r="A99" s="353"/>
      <c r="B99" s="79"/>
      <c r="C99" s="80"/>
      <c r="D99" s="69"/>
      <c r="E99" s="350"/>
      <c r="F99" s="69"/>
      <c r="G99" s="350"/>
      <c r="H99" s="69"/>
      <c r="I99" s="350"/>
      <c r="J99" s="69"/>
      <c r="K99" s="350"/>
      <c r="L99" s="69"/>
      <c r="M99" s="350"/>
      <c r="N99" s="69"/>
      <c r="O99" s="350"/>
      <c r="P99" s="69"/>
      <c r="Q99" s="350"/>
      <c r="R99" s="69"/>
      <c r="S99" s="350"/>
      <c r="T99" s="69"/>
      <c r="U99" s="350"/>
      <c r="V99" s="69"/>
      <c r="W99" s="350"/>
    </row>
    <row r="100" spans="1:23" ht="17.2" customHeight="1" x14ac:dyDescent="0.35">
      <c r="A100" s="351" t="s">
        <v>3</v>
      </c>
      <c r="B100" s="73"/>
      <c r="C100" s="74"/>
      <c r="D100" s="75"/>
      <c r="E100" s="348"/>
      <c r="F100" s="75"/>
      <c r="G100" s="348"/>
      <c r="H100" s="75"/>
      <c r="I100" s="348"/>
      <c r="J100" s="75"/>
      <c r="K100" s="348"/>
      <c r="L100" s="75"/>
      <c r="M100" s="348"/>
      <c r="N100" s="75"/>
      <c r="O100" s="348"/>
      <c r="P100" s="75"/>
      <c r="Q100" s="348"/>
      <c r="R100" s="75"/>
      <c r="S100" s="348"/>
      <c r="T100" s="75"/>
      <c r="U100" s="348"/>
      <c r="V100" s="75"/>
      <c r="W100" s="348"/>
    </row>
    <row r="101" spans="1:23" ht="17.2" customHeight="1" x14ac:dyDescent="0.35">
      <c r="A101" s="352"/>
      <c r="B101" s="76"/>
      <c r="C101" s="77"/>
      <c r="D101" s="78"/>
      <c r="E101" s="349"/>
      <c r="F101" s="78"/>
      <c r="G101" s="349"/>
      <c r="H101" s="78"/>
      <c r="I101" s="349"/>
      <c r="J101" s="78"/>
      <c r="K101" s="349"/>
      <c r="L101" s="78"/>
      <c r="M101" s="349"/>
      <c r="N101" s="78"/>
      <c r="O101" s="349"/>
      <c r="P101" s="78"/>
      <c r="Q101" s="349"/>
      <c r="R101" s="78"/>
      <c r="S101" s="349"/>
      <c r="T101" s="78"/>
      <c r="U101" s="349"/>
      <c r="V101" s="78"/>
      <c r="W101" s="349"/>
    </row>
    <row r="102" spans="1:23" ht="17.2" customHeight="1" thickBot="1" x14ac:dyDescent="0.4">
      <c r="A102" s="353"/>
      <c r="B102" s="79"/>
      <c r="C102" s="80"/>
      <c r="D102" s="69"/>
      <c r="E102" s="350"/>
      <c r="F102" s="69"/>
      <c r="G102" s="350"/>
      <c r="H102" s="69"/>
      <c r="I102" s="350"/>
      <c r="J102" s="69"/>
      <c r="K102" s="350"/>
      <c r="L102" s="69"/>
      <c r="M102" s="350"/>
      <c r="N102" s="69"/>
      <c r="O102" s="350"/>
      <c r="P102" s="69"/>
      <c r="Q102" s="350"/>
      <c r="R102" s="69"/>
      <c r="S102" s="350"/>
      <c r="T102" s="69"/>
      <c r="U102" s="350"/>
      <c r="V102" s="69"/>
      <c r="W102" s="350"/>
    </row>
    <row r="103" spans="1:23" ht="17.2" customHeight="1" x14ac:dyDescent="0.35">
      <c r="A103" s="351" t="s">
        <v>11</v>
      </c>
      <c r="B103" s="73"/>
      <c r="C103" s="74"/>
      <c r="D103" s="75"/>
      <c r="E103" s="348"/>
      <c r="F103" s="75"/>
      <c r="G103" s="348"/>
      <c r="H103" s="75"/>
      <c r="I103" s="348"/>
      <c r="J103" s="75"/>
      <c r="K103" s="348"/>
      <c r="L103" s="75"/>
      <c r="M103" s="348"/>
      <c r="N103" s="75"/>
      <c r="O103" s="348"/>
      <c r="P103" s="75"/>
      <c r="Q103" s="348"/>
      <c r="R103" s="75"/>
      <c r="S103" s="348"/>
      <c r="T103" s="75"/>
      <c r="U103" s="348"/>
      <c r="V103" s="75"/>
      <c r="W103" s="348"/>
    </row>
    <row r="104" spans="1:23" ht="17.2" customHeight="1" x14ac:dyDescent="0.35">
      <c r="A104" s="352"/>
      <c r="B104" s="76"/>
      <c r="C104" s="77"/>
      <c r="D104" s="78"/>
      <c r="E104" s="349"/>
      <c r="F104" s="78"/>
      <c r="G104" s="349"/>
      <c r="H104" s="78"/>
      <c r="I104" s="349"/>
      <c r="J104" s="78"/>
      <c r="K104" s="349"/>
      <c r="L104" s="78"/>
      <c r="M104" s="349"/>
      <c r="N104" s="78"/>
      <c r="O104" s="349"/>
      <c r="P104" s="78"/>
      <c r="Q104" s="349"/>
      <c r="R104" s="78"/>
      <c r="S104" s="349"/>
      <c r="T104" s="78"/>
      <c r="U104" s="349"/>
      <c r="V104" s="78"/>
      <c r="W104" s="349"/>
    </row>
    <row r="105" spans="1:23" ht="17.2" customHeight="1" thickBot="1" x14ac:dyDescent="0.4">
      <c r="A105" s="353"/>
      <c r="B105" s="79"/>
      <c r="C105" s="80"/>
      <c r="D105" s="69"/>
      <c r="E105" s="350"/>
      <c r="F105" s="69"/>
      <c r="G105" s="350"/>
      <c r="H105" s="69"/>
      <c r="I105" s="350"/>
      <c r="J105" s="69"/>
      <c r="K105" s="350"/>
      <c r="L105" s="69"/>
      <c r="M105" s="350"/>
      <c r="N105" s="69"/>
      <c r="O105" s="350"/>
      <c r="P105" s="69"/>
      <c r="Q105" s="350"/>
      <c r="R105" s="69"/>
      <c r="S105" s="350"/>
      <c r="T105" s="69"/>
      <c r="U105" s="350"/>
      <c r="V105" s="69"/>
      <c r="W105" s="350"/>
    </row>
    <row r="106" spans="1:23" ht="27.75" customHeight="1" thickBot="1" x14ac:dyDescent="0.4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4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3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35">
      <c r="B109" s="88" t="s">
        <v>1797</v>
      </c>
      <c r="C109" s="89" t="s">
        <v>1798</v>
      </c>
      <c r="D109" s="346">
        <f>VLOOKUP(B89,Schlüssel!$A$5:$K$14,3)</f>
        <v>7</v>
      </c>
      <c r="E109" s="346"/>
      <c r="F109" s="346">
        <f>VLOOKUP(B89,Schlüssel!$A$5:$K$14,4)</f>
        <v>2</v>
      </c>
      <c r="G109" s="346"/>
      <c r="H109" s="346">
        <f>VLOOKUP(B89,Schlüssel!$A$5:$K$14,5)</f>
        <v>9</v>
      </c>
      <c r="I109" s="346"/>
      <c r="J109" s="346">
        <f>VLOOKUP(B89,Schlüssel!$A$5:$K$14,6)</f>
        <v>10</v>
      </c>
      <c r="K109" s="346"/>
      <c r="L109" s="346">
        <f>VLOOKUP(B89,Schlüssel!$A$5:$K$14,7)</f>
        <v>6</v>
      </c>
      <c r="M109" s="346"/>
      <c r="N109" s="346">
        <f>VLOOKUP(B89,Schlüssel!$A$5:$K$14,8)</f>
        <v>8</v>
      </c>
      <c r="O109" s="346"/>
      <c r="P109" s="346">
        <f>VLOOKUP(B89,Schlüssel!$A$5:$K$14,9)</f>
        <v>1</v>
      </c>
      <c r="Q109" s="346"/>
      <c r="R109" s="346">
        <f>VLOOKUP(B89,Schlüssel!$A$5:$K$14,10)</f>
        <v>3</v>
      </c>
      <c r="S109" s="346"/>
      <c r="T109" s="346">
        <f>VLOOKUP(B89,Schlüssel!$A$5:$K$14,11)</f>
        <v>5</v>
      </c>
      <c r="U109" s="346"/>
      <c r="V109" s="347"/>
      <c r="W109" s="347"/>
    </row>
    <row r="110" spans="1:23" ht="28.5" customHeight="1" x14ac:dyDescent="0.35">
      <c r="B110" s="90"/>
      <c r="C110" s="86"/>
      <c r="D110" s="343" t="str">
        <f>VLOOKUP(D109,Schlüssel!$A$5:$K$14,2)</f>
        <v>Frankenpower Nürnberg</v>
      </c>
      <c r="E110" s="344"/>
      <c r="F110" s="343" t="str">
        <f>VLOOKUP(F109,Schlüssel!$A$5:$K$14,2)</f>
        <v>BK München 2</v>
      </c>
      <c r="G110" s="344"/>
      <c r="H110" s="343" t="str">
        <f>VLOOKUP(H109,Schlüssel!$A$5:$K$14,2)</f>
        <v>RW Lichtenhof 69 Stein 2</v>
      </c>
      <c r="I110" s="344"/>
      <c r="J110" s="343" t="str">
        <f>VLOOKUP(J109,Schlüssel!$A$5:$K$14,2)</f>
        <v>BK München 4</v>
      </c>
      <c r="K110" s="344"/>
      <c r="L110" s="343" t="str">
        <f>VLOOKUP(L109,Schlüssel!$A$5:$K$14,2)</f>
        <v>Phönix 03 Lauf</v>
      </c>
      <c r="M110" s="344"/>
      <c r="N110" s="343" t="str">
        <f>VLOOKUP(N109,Schlüssel!$A$5:$K$14,2)</f>
        <v>EPA München 1</v>
      </c>
      <c r="O110" s="344"/>
      <c r="P110" s="343" t="str">
        <f>VLOOKUP(P109,Schlüssel!$A$5:$K$14,2)</f>
        <v>Praetoria Regensburg</v>
      </c>
      <c r="Q110" s="344"/>
      <c r="R110" s="343" t="str">
        <f>VLOOKUP(R109,Schlüssel!$A$5:$K$14,2)</f>
        <v>Highroller Rosenheim</v>
      </c>
      <c r="S110" s="344"/>
      <c r="T110" s="343" t="str">
        <f>VLOOKUP(T109,Schlüssel!$A$5:$K$14,2)</f>
        <v xml:space="preserve">Weiß Blau Unterföhring </v>
      </c>
      <c r="U110" s="344"/>
      <c r="V110" s="345"/>
      <c r="W110" s="345"/>
    </row>
    <row r="111" spans="1:23" ht="12" customHeight="1" x14ac:dyDescent="0.35">
      <c r="B111" s="90"/>
      <c r="C111" s="86"/>
      <c r="D111" s="341"/>
      <c r="E111" s="341"/>
      <c r="F111" s="341"/>
      <c r="G111" s="341"/>
      <c r="H111" s="341"/>
      <c r="I111" s="341"/>
      <c r="J111" s="341"/>
      <c r="K111" s="341"/>
      <c r="L111" s="341"/>
      <c r="M111" s="341"/>
      <c r="N111" s="341"/>
      <c r="O111" s="341"/>
      <c r="P111" s="341"/>
      <c r="Q111" s="341"/>
      <c r="R111" s="341"/>
      <c r="S111" s="341"/>
      <c r="T111" s="341"/>
      <c r="U111" s="342"/>
      <c r="V111" s="301"/>
      <c r="W111" s="301"/>
    </row>
    <row r="112" spans="1:23" ht="16.05" customHeight="1" x14ac:dyDescent="0.35">
      <c r="B112" s="91" t="s">
        <v>0</v>
      </c>
      <c r="C112" s="92"/>
      <c r="D112" s="339"/>
      <c r="E112" s="339"/>
      <c r="F112" s="339"/>
      <c r="G112" s="339"/>
      <c r="H112" s="339"/>
      <c r="I112" s="339"/>
      <c r="J112" s="339"/>
      <c r="K112" s="339"/>
      <c r="L112" s="339"/>
      <c r="M112" s="339"/>
      <c r="N112" s="339"/>
      <c r="O112" s="339"/>
      <c r="P112" s="339"/>
      <c r="Q112" s="339"/>
      <c r="R112" s="339"/>
      <c r="S112" s="339"/>
      <c r="T112" s="339"/>
      <c r="U112" s="339"/>
      <c r="V112" s="340"/>
      <c r="W112" s="340"/>
    </row>
    <row r="113" spans="1:29" ht="16.05" customHeight="1" x14ac:dyDescent="0.35">
      <c r="B113" s="91" t="s">
        <v>2</v>
      </c>
      <c r="C113" s="92"/>
      <c r="D113" s="339"/>
      <c r="E113" s="339"/>
      <c r="F113" s="339"/>
      <c r="G113" s="339"/>
      <c r="H113" s="339"/>
      <c r="I113" s="339"/>
      <c r="J113" s="339"/>
      <c r="K113" s="339"/>
      <c r="L113" s="339"/>
      <c r="M113" s="339"/>
      <c r="N113" s="339"/>
      <c r="O113" s="339"/>
      <c r="P113" s="339"/>
      <c r="Q113" s="339"/>
      <c r="R113" s="339"/>
      <c r="S113" s="339"/>
      <c r="T113" s="339"/>
      <c r="U113" s="339"/>
      <c r="V113" s="340"/>
      <c r="W113" s="340"/>
    </row>
    <row r="114" spans="1:29" ht="16.05" customHeight="1" x14ac:dyDescent="0.35">
      <c r="B114" s="91" t="s">
        <v>3</v>
      </c>
      <c r="C114" s="92"/>
      <c r="D114" s="339"/>
      <c r="E114" s="339"/>
      <c r="F114" s="339"/>
      <c r="G114" s="339"/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40"/>
      <c r="W114" s="340"/>
    </row>
    <row r="115" spans="1:29" ht="16.05" customHeight="1" x14ac:dyDescent="0.35">
      <c r="B115" s="91" t="s">
        <v>11</v>
      </c>
      <c r="C115" s="92"/>
      <c r="D115" s="339"/>
      <c r="E115" s="339"/>
      <c r="F115" s="339"/>
      <c r="G115" s="339"/>
      <c r="H115" s="339"/>
      <c r="I115" s="339"/>
      <c r="J115" s="339"/>
      <c r="K115" s="339"/>
      <c r="L115" s="339"/>
      <c r="M115" s="339"/>
      <c r="N115" s="339"/>
      <c r="O115" s="339"/>
      <c r="P115" s="339"/>
      <c r="Q115" s="339"/>
      <c r="R115" s="339"/>
      <c r="S115" s="339"/>
      <c r="T115" s="339"/>
      <c r="U115" s="339"/>
      <c r="V115" s="340"/>
      <c r="W115" s="340"/>
    </row>
    <row r="116" spans="1:29" ht="16.05" customHeight="1" x14ac:dyDescent="0.35">
      <c r="B116" s="93" t="s">
        <v>1799</v>
      </c>
      <c r="C116" s="94"/>
      <c r="D116" s="338"/>
      <c r="E116" s="338"/>
      <c r="F116" s="338"/>
      <c r="G116" s="338"/>
      <c r="H116" s="338"/>
      <c r="I116" s="338"/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  <c r="U116" s="338"/>
      <c r="V116" s="290"/>
      <c r="W116" s="290"/>
    </row>
    <row r="117" spans="1:29" ht="21" customHeight="1" x14ac:dyDescent="0.7">
      <c r="B117" s="44" t="s">
        <v>1813</v>
      </c>
      <c r="C117" s="45"/>
      <c r="D117" s="46" t="s">
        <v>1792</v>
      </c>
      <c r="E117" s="47"/>
      <c r="F117" s="359" t="str">
        <f>Schlüssel!$C$1</f>
        <v>Bayernliga Frauen</v>
      </c>
      <c r="G117" s="359"/>
      <c r="H117" s="359"/>
      <c r="I117" s="359"/>
      <c r="J117" s="359"/>
      <c r="K117" s="359"/>
      <c r="L117" s="359"/>
      <c r="M117" s="359"/>
      <c r="N117" s="359"/>
      <c r="O117" s="359"/>
      <c r="P117" s="45"/>
      <c r="Q117" s="45"/>
      <c r="R117" s="48"/>
      <c r="S117" s="49" t="s">
        <v>1794</v>
      </c>
      <c r="T117" s="50"/>
      <c r="U117" s="360" t="str">
        <f>Schlüssel!$M$1</f>
        <v>12.10./13.10.</v>
      </c>
      <c r="V117" s="361"/>
      <c r="W117" s="362"/>
      <c r="AC117" s="51"/>
    </row>
    <row r="118" spans="1:29" ht="17.25" customHeight="1" thickBot="1" x14ac:dyDescent="0.65">
      <c r="A118" s="52"/>
      <c r="B118" s="96">
        <f>+B89+1</f>
        <v>5</v>
      </c>
      <c r="D118" s="46" t="s">
        <v>1793</v>
      </c>
      <c r="E118" s="54"/>
      <c r="F118" s="358" t="str">
        <f>Schlüssel!$C$2</f>
        <v>Unterföhring Dreambowl Palace</v>
      </c>
      <c r="G118" s="358"/>
      <c r="H118" s="358"/>
      <c r="I118" s="358"/>
      <c r="J118" s="358"/>
      <c r="K118" s="358"/>
      <c r="L118" s="358"/>
      <c r="M118" s="358"/>
      <c r="N118" s="358"/>
      <c r="O118" s="358"/>
      <c r="P118" s="55"/>
      <c r="Q118" s="55"/>
      <c r="S118" s="49" t="s">
        <v>1791</v>
      </c>
      <c r="T118" s="56">
        <v>1</v>
      </c>
      <c r="U118" s="50"/>
      <c r="V118" s="50"/>
      <c r="AC118" s="97"/>
    </row>
    <row r="119" spans="1:29" ht="15.75" customHeight="1" thickBot="1" x14ac:dyDescent="0.4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5" thickBot="1" x14ac:dyDescent="0.45">
      <c r="A120" s="2"/>
      <c r="B120" s="44"/>
      <c r="C120" s="63"/>
      <c r="D120" s="64" t="s">
        <v>10</v>
      </c>
      <c r="E120" s="44">
        <f>VLOOKUP(B118,Schlüssel!$A$5:$DZ$14,13)</f>
        <v>9</v>
      </c>
      <c r="F120" s="65" t="s">
        <v>10</v>
      </c>
      <c r="G120" s="44">
        <f>VLOOKUP(B118,Schlüssel!$A$5:$DZ$14,14)</f>
        <v>7</v>
      </c>
      <c r="H120" s="65" t="s">
        <v>10</v>
      </c>
      <c r="I120" s="44">
        <f>VLOOKUP(B118,Schlüssel!$A$5:$DZ$14,15)</f>
        <v>3</v>
      </c>
      <c r="J120" s="65" t="s">
        <v>10</v>
      </c>
      <c r="K120" s="44">
        <f>VLOOKUP(B118,Schlüssel!$A$5:$DZ$14,16)</f>
        <v>10</v>
      </c>
      <c r="L120" s="65" t="s">
        <v>10</v>
      </c>
      <c r="M120" s="44">
        <f>VLOOKUP(B118,Schlüssel!$A$5:$DZ$14,17)</f>
        <v>6</v>
      </c>
      <c r="N120" s="65" t="s">
        <v>10</v>
      </c>
      <c r="O120" s="44">
        <f>VLOOKUP(B118,Schlüssel!$A$5:$DZ$14,18)</f>
        <v>1</v>
      </c>
      <c r="P120" s="65" t="s">
        <v>10</v>
      </c>
      <c r="Q120" s="44">
        <f>VLOOKUP(B118,Schlüssel!$A$5:$DZ$14,19)</f>
        <v>8</v>
      </c>
      <c r="R120" s="65" t="s">
        <v>10</v>
      </c>
      <c r="S120" s="44">
        <f>VLOOKUP(B118,Schlüssel!$A$5:$DZ$14,20)</f>
        <v>4</v>
      </c>
      <c r="T120" s="65" t="s">
        <v>10</v>
      </c>
      <c r="U120" s="66">
        <f>VLOOKUP(B118,Schlüssel!$A$5:$DZ$14,21)</f>
        <v>5</v>
      </c>
    </row>
    <row r="121" spans="1:29" ht="20.25" customHeight="1" x14ac:dyDescent="0.35">
      <c r="B121" s="67" t="s">
        <v>1</v>
      </c>
      <c r="C121" s="68"/>
      <c r="D121" s="354" t="s">
        <v>1800</v>
      </c>
      <c r="E121" s="355"/>
      <c r="F121" s="354" t="s">
        <v>1801</v>
      </c>
      <c r="G121" s="355"/>
      <c r="H121" s="354" t="s">
        <v>1802</v>
      </c>
      <c r="I121" s="355"/>
      <c r="J121" s="354" t="s">
        <v>1803</v>
      </c>
      <c r="K121" s="355"/>
      <c r="L121" s="354" t="s">
        <v>1804</v>
      </c>
      <c r="M121" s="355"/>
      <c r="N121" s="354" t="s">
        <v>1805</v>
      </c>
      <c r="O121" s="355"/>
      <c r="P121" s="354" t="s">
        <v>1806</v>
      </c>
      <c r="Q121" s="355"/>
      <c r="R121" s="354" t="s">
        <v>1807</v>
      </c>
      <c r="S121" s="355"/>
      <c r="T121" s="354" t="s">
        <v>1808</v>
      </c>
      <c r="U121" s="355"/>
      <c r="V121" s="356" t="s">
        <v>1799</v>
      </c>
      <c r="W121" s="357"/>
    </row>
    <row r="122" spans="1:29" ht="15" customHeight="1" thickBot="1" x14ac:dyDescent="0.4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2" customHeight="1" x14ac:dyDescent="0.35">
      <c r="A123" s="351" t="s">
        <v>0</v>
      </c>
      <c r="B123" s="73"/>
      <c r="C123" s="74"/>
      <c r="D123" s="75"/>
      <c r="E123" s="348"/>
      <c r="F123" s="75"/>
      <c r="G123" s="348"/>
      <c r="H123" s="75"/>
      <c r="I123" s="348"/>
      <c r="J123" s="75"/>
      <c r="K123" s="348"/>
      <c r="L123" s="75"/>
      <c r="M123" s="348"/>
      <c r="N123" s="75"/>
      <c r="O123" s="348"/>
      <c r="P123" s="75"/>
      <c r="Q123" s="348"/>
      <c r="R123" s="75"/>
      <c r="S123" s="348"/>
      <c r="T123" s="75"/>
      <c r="U123" s="348"/>
      <c r="V123" s="75"/>
      <c r="W123" s="348"/>
    </row>
    <row r="124" spans="1:29" ht="17.2" customHeight="1" x14ac:dyDescent="0.35">
      <c r="A124" s="352"/>
      <c r="B124" s="76"/>
      <c r="C124" s="77"/>
      <c r="D124" s="78"/>
      <c r="E124" s="349"/>
      <c r="F124" s="78"/>
      <c r="G124" s="349"/>
      <c r="H124" s="78"/>
      <c r="I124" s="349"/>
      <c r="J124" s="78"/>
      <c r="K124" s="349"/>
      <c r="L124" s="78"/>
      <c r="M124" s="349"/>
      <c r="N124" s="78"/>
      <c r="O124" s="349"/>
      <c r="P124" s="78"/>
      <c r="Q124" s="349"/>
      <c r="R124" s="78"/>
      <c r="S124" s="349"/>
      <c r="T124" s="78"/>
      <c r="U124" s="349"/>
      <c r="V124" s="78"/>
      <c r="W124" s="349"/>
    </row>
    <row r="125" spans="1:29" ht="17.2" customHeight="1" thickBot="1" x14ac:dyDescent="0.4">
      <c r="A125" s="353"/>
      <c r="B125" s="79"/>
      <c r="C125" s="80"/>
      <c r="D125" s="69"/>
      <c r="E125" s="350"/>
      <c r="F125" s="69"/>
      <c r="G125" s="350"/>
      <c r="H125" s="69"/>
      <c r="I125" s="350"/>
      <c r="J125" s="69"/>
      <c r="K125" s="350"/>
      <c r="L125" s="69"/>
      <c r="M125" s="350"/>
      <c r="N125" s="69"/>
      <c r="O125" s="350"/>
      <c r="P125" s="69"/>
      <c r="Q125" s="350"/>
      <c r="R125" s="69"/>
      <c r="S125" s="350"/>
      <c r="T125" s="69"/>
      <c r="U125" s="350"/>
      <c r="V125" s="69"/>
      <c r="W125" s="350"/>
    </row>
    <row r="126" spans="1:29" ht="17.2" customHeight="1" x14ac:dyDescent="0.35">
      <c r="A126" s="351" t="s">
        <v>2</v>
      </c>
      <c r="B126" s="73"/>
      <c r="C126" s="74"/>
      <c r="D126" s="75"/>
      <c r="E126" s="348"/>
      <c r="F126" s="75"/>
      <c r="G126" s="348"/>
      <c r="H126" s="75"/>
      <c r="I126" s="348"/>
      <c r="J126" s="75"/>
      <c r="K126" s="348"/>
      <c r="L126" s="75"/>
      <c r="M126" s="348"/>
      <c r="N126" s="75"/>
      <c r="O126" s="348"/>
      <c r="P126" s="75"/>
      <c r="Q126" s="348"/>
      <c r="R126" s="75"/>
      <c r="S126" s="348"/>
      <c r="T126" s="75"/>
      <c r="U126" s="348"/>
      <c r="V126" s="75"/>
      <c r="W126" s="348"/>
    </row>
    <row r="127" spans="1:29" ht="17.2" customHeight="1" x14ac:dyDescent="0.35">
      <c r="A127" s="352"/>
      <c r="B127" s="76"/>
      <c r="C127" s="77"/>
      <c r="D127" s="78"/>
      <c r="E127" s="349"/>
      <c r="F127" s="78"/>
      <c r="G127" s="349"/>
      <c r="H127" s="78"/>
      <c r="I127" s="349"/>
      <c r="J127" s="78"/>
      <c r="K127" s="349"/>
      <c r="L127" s="78"/>
      <c r="M127" s="349"/>
      <c r="N127" s="78"/>
      <c r="O127" s="349"/>
      <c r="P127" s="78"/>
      <c r="Q127" s="349"/>
      <c r="R127" s="78"/>
      <c r="S127" s="349"/>
      <c r="T127" s="78"/>
      <c r="U127" s="349"/>
      <c r="V127" s="78"/>
      <c r="W127" s="349"/>
    </row>
    <row r="128" spans="1:29" ht="17.2" customHeight="1" thickBot="1" x14ac:dyDescent="0.4">
      <c r="A128" s="353"/>
      <c r="B128" s="79"/>
      <c r="C128" s="80"/>
      <c r="D128" s="69"/>
      <c r="E128" s="350"/>
      <c r="F128" s="69"/>
      <c r="G128" s="350"/>
      <c r="H128" s="69"/>
      <c r="I128" s="350"/>
      <c r="J128" s="69"/>
      <c r="K128" s="350"/>
      <c r="L128" s="69"/>
      <c r="M128" s="350"/>
      <c r="N128" s="69"/>
      <c r="O128" s="350"/>
      <c r="P128" s="69"/>
      <c r="Q128" s="350"/>
      <c r="R128" s="69"/>
      <c r="S128" s="350"/>
      <c r="T128" s="69"/>
      <c r="U128" s="350"/>
      <c r="V128" s="69"/>
      <c r="W128" s="350"/>
    </row>
    <row r="129" spans="1:23" ht="17.2" customHeight="1" x14ac:dyDescent="0.35">
      <c r="A129" s="351" t="s">
        <v>3</v>
      </c>
      <c r="B129" s="73"/>
      <c r="C129" s="74"/>
      <c r="D129" s="75"/>
      <c r="E129" s="348"/>
      <c r="F129" s="75"/>
      <c r="G129" s="348"/>
      <c r="H129" s="75"/>
      <c r="I129" s="348"/>
      <c r="J129" s="75"/>
      <c r="K129" s="348"/>
      <c r="L129" s="75"/>
      <c r="M129" s="348"/>
      <c r="N129" s="75"/>
      <c r="O129" s="348"/>
      <c r="P129" s="75"/>
      <c r="Q129" s="348"/>
      <c r="R129" s="75"/>
      <c r="S129" s="348"/>
      <c r="T129" s="75"/>
      <c r="U129" s="348"/>
      <c r="V129" s="75"/>
      <c r="W129" s="348"/>
    </row>
    <row r="130" spans="1:23" ht="17.2" customHeight="1" x14ac:dyDescent="0.35">
      <c r="A130" s="352"/>
      <c r="B130" s="76"/>
      <c r="C130" s="77"/>
      <c r="D130" s="78"/>
      <c r="E130" s="349"/>
      <c r="F130" s="78"/>
      <c r="G130" s="349"/>
      <c r="H130" s="78"/>
      <c r="I130" s="349"/>
      <c r="J130" s="78"/>
      <c r="K130" s="349"/>
      <c r="L130" s="78"/>
      <c r="M130" s="349"/>
      <c r="N130" s="78"/>
      <c r="O130" s="349"/>
      <c r="P130" s="78"/>
      <c r="Q130" s="349"/>
      <c r="R130" s="78"/>
      <c r="S130" s="349"/>
      <c r="T130" s="78"/>
      <c r="U130" s="349"/>
      <c r="V130" s="78"/>
      <c r="W130" s="349"/>
    </row>
    <row r="131" spans="1:23" ht="17.2" customHeight="1" thickBot="1" x14ac:dyDescent="0.4">
      <c r="A131" s="353"/>
      <c r="B131" s="79"/>
      <c r="C131" s="80"/>
      <c r="D131" s="69"/>
      <c r="E131" s="350"/>
      <c r="F131" s="69"/>
      <c r="G131" s="350"/>
      <c r="H131" s="69"/>
      <c r="I131" s="350"/>
      <c r="J131" s="69"/>
      <c r="K131" s="350"/>
      <c r="L131" s="69"/>
      <c r="M131" s="350"/>
      <c r="N131" s="69"/>
      <c r="O131" s="350"/>
      <c r="P131" s="69"/>
      <c r="Q131" s="350"/>
      <c r="R131" s="69"/>
      <c r="S131" s="350"/>
      <c r="T131" s="69"/>
      <c r="U131" s="350"/>
      <c r="V131" s="69"/>
      <c r="W131" s="350"/>
    </row>
    <row r="132" spans="1:23" ht="17.2" customHeight="1" x14ac:dyDescent="0.35">
      <c r="A132" s="351" t="s">
        <v>11</v>
      </c>
      <c r="B132" s="73"/>
      <c r="C132" s="74"/>
      <c r="D132" s="75"/>
      <c r="E132" s="348"/>
      <c r="F132" s="75"/>
      <c r="G132" s="348"/>
      <c r="H132" s="75"/>
      <c r="I132" s="348"/>
      <c r="J132" s="75"/>
      <c r="K132" s="348"/>
      <c r="L132" s="75"/>
      <c r="M132" s="348"/>
      <c r="N132" s="75"/>
      <c r="O132" s="348"/>
      <c r="P132" s="75"/>
      <c r="Q132" s="348"/>
      <c r="R132" s="75"/>
      <c r="S132" s="348"/>
      <c r="T132" s="75"/>
      <c r="U132" s="348"/>
      <c r="V132" s="75"/>
      <c r="W132" s="348"/>
    </row>
    <row r="133" spans="1:23" ht="17.2" customHeight="1" x14ac:dyDescent="0.35">
      <c r="A133" s="352"/>
      <c r="B133" s="76"/>
      <c r="C133" s="77"/>
      <c r="D133" s="78"/>
      <c r="E133" s="349"/>
      <c r="F133" s="78"/>
      <c r="G133" s="349"/>
      <c r="H133" s="78"/>
      <c r="I133" s="349"/>
      <c r="J133" s="78"/>
      <c r="K133" s="349"/>
      <c r="L133" s="78"/>
      <c r="M133" s="349"/>
      <c r="N133" s="78"/>
      <c r="O133" s="349"/>
      <c r="P133" s="78"/>
      <c r="Q133" s="349"/>
      <c r="R133" s="78"/>
      <c r="S133" s="349"/>
      <c r="T133" s="78"/>
      <c r="U133" s="349"/>
      <c r="V133" s="78"/>
      <c r="W133" s="349"/>
    </row>
    <row r="134" spans="1:23" ht="17.2" customHeight="1" thickBot="1" x14ac:dyDescent="0.4">
      <c r="A134" s="353"/>
      <c r="B134" s="79"/>
      <c r="C134" s="80"/>
      <c r="D134" s="69"/>
      <c r="E134" s="350"/>
      <c r="F134" s="69"/>
      <c r="G134" s="350"/>
      <c r="H134" s="69"/>
      <c r="I134" s="350"/>
      <c r="J134" s="69"/>
      <c r="K134" s="350"/>
      <c r="L134" s="69"/>
      <c r="M134" s="350"/>
      <c r="N134" s="69"/>
      <c r="O134" s="350"/>
      <c r="P134" s="69"/>
      <c r="Q134" s="350"/>
      <c r="R134" s="69"/>
      <c r="S134" s="350"/>
      <c r="T134" s="69"/>
      <c r="U134" s="350"/>
      <c r="V134" s="69"/>
      <c r="W134" s="350"/>
    </row>
    <row r="135" spans="1:23" ht="27.75" customHeight="1" thickBot="1" x14ac:dyDescent="0.4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4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3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35">
      <c r="B138" s="88" t="s">
        <v>1797</v>
      </c>
      <c r="C138" s="89" t="s">
        <v>1798</v>
      </c>
      <c r="D138" s="346">
        <f>VLOOKUP(B118,Schlüssel!$A$5:$K$14,3)</f>
        <v>9</v>
      </c>
      <c r="E138" s="346"/>
      <c r="F138" s="346">
        <f>VLOOKUP(B118,Schlüssel!$A$5:$K$14,4)</f>
        <v>8</v>
      </c>
      <c r="G138" s="346"/>
      <c r="H138" s="346">
        <f>VLOOKUP(B118,Schlüssel!$A$5:$K$14,5)</f>
        <v>3</v>
      </c>
      <c r="I138" s="346"/>
      <c r="J138" s="346">
        <f>VLOOKUP(B118,Schlüssel!$A$5:$K$14,6)</f>
        <v>1</v>
      </c>
      <c r="K138" s="346"/>
      <c r="L138" s="346">
        <f>VLOOKUP(B118,Schlüssel!$A$5:$K$14,7)</f>
        <v>7</v>
      </c>
      <c r="M138" s="346"/>
      <c r="N138" s="346">
        <f>VLOOKUP(B118,Schlüssel!$A$5:$K$14,8)</f>
        <v>2</v>
      </c>
      <c r="O138" s="346"/>
      <c r="P138" s="346">
        <f>VLOOKUP(B118,Schlüssel!$A$5:$K$14,9)</f>
        <v>6</v>
      </c>
      <c r="Q138" s="346"/>
      <c r="R138" s="346">
        <f>VLOOKUP(B118,Schlüssel!$A$5:$K$14,10)</f>
        <v>10</v>
      </c>
      <c r="S138" s="346"/>
      <c r="T138" s="346">
        <f>VLOOKUP(B118,Schlüssel!$A$5:$K$14,11)</f>
        <v>4</v>
      </c>
      <c r="U138" s="346"/>
      <c r="V138" s="347"/>
      <c r="W138" s="347"/>
    </row>
    <row r="139" spans="1:23" ht="28.5" customHeight="1" x14ac:dyDescent="0.35">
      <c r="B139" s="90"/>
      <c r="C139" s="86"/>
      <c r="D139" s="343" t="str">
        <f>VLOOKUP(D138,Schlüssel!$A$5:$K$14,2)</f>
        <v>RW Lichtenhof 69 Stein 2</v>
      </c>
      <c r="E139" s="344"/>
      <c r="F139" s="343" t="str">
        <f>VLOOKUP(F138,Schlüssel!$A$5:$K$14,2)</f>
        <v>EPA München 1</v>
      </c>
      <c r="G139" s="344"/>
      <c r="H139" s="343" t="str">
        <f>VLOOKUP(H138,Schlüssel!$A$5:$K$14,2)</f>
        <v>Highroller Rosenheim</v>
      </c>
      <c r="I139" s="344"/>
      <c r="J139" s="343" t="str">
        <f>VLOOKUP(J138,Schlüssel!$A$5:$K$14,2)</f>
        <v>Praetoria Regensburg</v>
      </c>
      <c r="K139" s="344"/>
      <c r="L139" s="343" t="str">
        <f>VLOOKUP(L138,Schlüssel!$A$5:$K$14,2)</f>
        <v>Frankenpower Nürnberg</v>
      </c>
      <c r="M139" s="344"/>
      <c r="N139" s="343" t="str">
        <f>VLOOKUP(N138,Schlüssel!$A$5:$K$14,2)</f>
        <v>BK München 2</v>
      </c>
      <c r="O139" s="344"/>
      <c r="P139" s="343" t="str">
        <f>VLOOKUP(P138,Schlüssel!$A$5:$K$14,2)</f>
        <v>Phönix 03 Lauf</v>
      </c>
      <c r="Q139" s="344"/>
      <c r="R139" s="343" t="str">
        <f>VLOOKUP(R138,Schlüssel!$A$5:$K$14,2)</f>
        <v>BK München 4</v>
      </c>
      <c r="S139" s="344"/>
      <c r="T139" s="343" t="str">
        <f>VLOOKUP(T138,Schlüssel!$A$5:$K$14,2)</f>
        <v>BK München 3</v>
      </c>
      <c r="U139" s="344"/>
      <c r="V139" s="345"/>
      <c r="W139" s="345"/>
    </row>
    <row r="140" spans="1:23" ht="12" customHeight="1" x14ac:dyDescent="0.35">
      <c r="B140" s="90"/>
      <c r="C140" s="86"/>
      <c r="D140" s="341"/>
      <c r="E140" s="341"/>
      <c r="F140" s="341"/>
      <c r="G140" s="341"/>
      <c r="H140" s="341"/>
      <c r="I140" s="341"/>
      <c r="J140" s="341"/>
      <c r="K140" s="341"/>
      <c r="L140" s="341"/>
      <c r="M140" s="341"/>
      <c r="N140" s="341"/>
      <c r="O140" s="341"/>
      <c r="P140" s="341"/>
      <c r="Q140" s="341"/>
      <c r="R140" s="341"/>
      <c r="S140" s="341"/>
      <c r="T140" s="341"/>
      <c r="U140" s="342"/>
      <c r="V140" s="301"/>
      <c r="W140" s="301"/>
    </row>
    <row r="141" spans="1:23" ht="16.05" customHeight="1" x14ac:dyDescent="0.35">
      <c r="B141" s="91" t="s">
        <v>0</v>
      </c>
      <c r="C141" s="92"/>
      <c r="D141" s="339"/>
      <c r="E141" s="339"/>
      <c r="F141" s="339"/>
      <c r="G141" s="339"/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40"/>
      <c r="W141" s="340"/>
    </row>
    <row r="142" spans="1:23" ht="16.05" customHeight="1" x14ac:dyDescent="0.35">
      <c r="B142" s="91" t="s">
        <v>2</v>
      </c>
      <c r="C142" s="92"/>
      <c r="D142" s="339"/>
      <c r="E142" s="339"/>
      <c r="F142" s="339"/>
      <c r="G142" s="339"/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40"/>
      <c r="W142" s="340"/>
    </row>
    <row r="143" spans="1:23" ht="16.05" customHeight="1" x14ac:dyDescent="0.35">
      <c r="B143" s="91" t="s">
        <v>3</v>
      </c>
      <c r="C143" s="92"/>
      <c r="D143" s="339"/>
      <c r="E143" s="339"/>
      <c r="F143" s="339"/>
      <c r="G143" s="339"/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40"/>
      <c r="W143" s="340"/>
    </row>
    <row r="144" spans="1:23" ht="16.05" customHeight="1" x14ac:dyDescent="0.35">
      <c r="B144" s="91" t="s">
        <v>11</v>
      </c>
      <c r="C144" s="92"/>
      <c r="D144" s="339"/>
      <c r="E144" s="339"/>
      <c r="F144" s="339"/>
      <c r="G144" s="339"/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40"/>
      <c r="W144" s="340"/>
    </row>
    <row r="145" spans="1:29" ht="16.05" customHeight="1" x14ac:dyDescent="0.35">
      <c r="B145" s="93" t="s">
        <v>1799</v>
      </c>
      <c r="C145" s="94"/>
      <c r="D145" s="338"/>
      <c r="E145" s="338"/>
      <c r="F145" s="338"/>
      <c r="G145" s="338"/>
      <c r="H145" s="338"/>
      <c r="I145" s="338"/>
      <c r="J145" s="338"/>
      <c r="K145" s="338"/>
      <c r="L145" s="338"/>
      <c r="M145" s="338"/>
      <c r="N145" s="338"/>
      <c r="O145" s="338"/>
      <c r="P145" s="338"/>
      <c r="Q145" s="338"/>
      <c r="R145" s="338"/>
      <c r="S145" s="338"/>
      <c r="T145" s="338"/>
      <c r="U145" s="338"/>
      <c r="V145" s="290"/>
      <c r="W145" s="290"/>
    </row>
    <row r="146" spans="1:29" ht="21" customHeight="1" x14ac:dyDescent="0.7">
      <c r="B146" s="44" t="s">
        <v>1813</v>
      </c>
      <c r="C146" s="45"/>
      <c r="D146" s="46" t="s">
        <v>1792</v>
      </c>
      <c r="E146" s="47"/>
      <c r="F146" s="359" t="str">
        <f>Schlüssel!$C$1</f>
        <v>Bayernliga Frauen</v>
      </c>
      <c r="G146" s="359"/>
      <c r="H146" s="359"/>
      <c r="I146" s="359"/>
      <c r="J146" s="359"/>
      <c r="K146" s="359"/>
      <c r="L146" s="359"/>
      <c r="M146" s="359"/>
      <c r="N146" s="359"/>
      <c r="O146" s="359"/>
      <c r="P146" s="45"/>
      <c r="Q146" s="45"/>
      <c r="R146" s="48"/>
      <c r="S146" s="49" t="s">
        <v>1794</v>
      </c>
      <c r="T146" s="50"/>
      <c r="U146" s="360" t="str">
        <f>Schlüssel!$M$1</f>
        <v>12.10./13.10.</v>
      </c>
      <c r="V146" s="361"/>
      <c r="W146" s="362"/>
      <c r="AC146" s="51"/>
    </row>
    <row r="147" spans="1:29" ht="17.25" customHeight="1" thickBot="1" x14ac:dyDescent="0.65">
      <c r="A147" s="52"/>
      <c r="B147" s="96">
        <f>+B118+1</f>
        <v>6</v>
      </c>
      <c r="D147" s="46" t="s">
        <v>1793</v>
      </c>
      <c r="E147" s="54"/>
      <c r="F147" s="358" t="str">
        <f>Schlüssel!$C$2</f>
        <v>Unterföhring Dreambowl Palace</v>
      </c>
      <c r="G147" s="358"/>
      <c r="H147" s="358"/>
      <c r="I147" s="358"/>
      <c r="J147" s="358"/>
      <c r="K147" s="358"/>
      <c r="L147" s="358"/>
      <c r="M147" s="358"/>
      <c r="N147" s="358"/>
      <c r="O147" s="358"/>
      <c r="P147" s="55"/>
      <c r="Q147" s="55"/>
      <c r="S147" s="49" t="s">
        <v>1791</v>
      </c>
      <c r="T147" s="56">
        <v>1</v>
      </c>
      <c r="U147" s="50"/>
      <c r="V147" s="50"/>
      <c r="AC147" s="97"/>
    </row>
    <row r="148" spans="1:29" ht="15.75" customHeight="1" thickBot="1" x14ac:dyDescent="0.4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5" thickBot="1" x14ac:dyDescent="0.45">
      <c r="A149" s="2"/>
      <c r="B149" s="44"/>
      <c r="C149" s="63"/>
      <c r="D149" s="64" t="s">
        <v>10</v>
      </c>
      <c r="E149" s="44">
        <f>VLOOKUP(B147,Schlüssel!$A$5:$DZ$14,13)</f>
        <v>2</v>
      </c>
      <c r="F149" s="65" t="s">
        <v>10</v>
      </c>
      <c r="G149" s="44">
        <f>VLOOKUP(B147,Schlüssel!$A$5:$DZ$14,14)</f>
        <v>5</v>
      </c>
      <c r="H149" s="65" t="s">
        <v>10</v>
      </c>
      <c r="I149" s="44">
        <f>VLOOKUP(B147,Schlüssel!$A$5:$DZ$14,15)</f>
        <v>8</v>
      </c>
      <c r="J149" s="65" t="s">
        <v>10</v>
      </c>
      <c r="K149" s="44">
        <f>VLOOKUP(B147,Schlüssel!$A$5:$DZ$14,16)</f>
        <v>1</v>
      </c>
      <c r="L149" s="65" t="s">
        <v>10</v>
      </c>
      <c r="M149" s="44">
        <f>VLOOKUP(B147,Schlüssel!$A$5:$DZ$14,17)</f>
        <v>4</v>
      </c>
      <c r="N149" s="65" t="s">
        <v>10</v>
      </c>
      <c r="O149" s="44">
        <f>VLOOKUP(B147,Schlüssel!$A$5:$DZ$14,18)</f>
        <v>9</v>
      </c>
      <c r="P149" s="65" t="s">
        <v>10</v>
      </c>
      <c r="Q149" s="44">
        <f>VLOOKUP(B147,Schlüssel!$A$5:$DZ$14,19)</f>
        <v>7</v>
      </c>
      <c r="R149" s="65" t="s">
        <v>10</v>
      </c>
      <c r="S149" s="44">
        <f>VLOOKUP(B147,Schlüssel!$A$5:$DZ$14,20)</f>
        <v>6</v>
      </c>
      <c r="T149" s="65" t="s">
        <v>10</v>
      </c>
      <c r="U149" s="66">
        <f>VLOOKUP(B147,Schlüssel!$A$5:$DZ$14,21)</f>
        <v>10</v>
      </c>
    </row>
    <row r="150" spans="1:29" ht="20.25" customHeight="1" x14ac:dyDescent="0.35">
      <c r="B150" s="67" t="s">
        <v>1</v>
      </c>
      <c r="C150" s="68"/>
      <c r="D150" s="354" t="s">
        <v>1800</v>
      </c>
      <c r="E150" s="355"/>
      <c r="F150" s="354" t="s">
        <v>1801</v>
      </c>
      <c r="G150" s="355"/>
      <c r="H150" s="354" t="s">
        <v>1802</v>
      </c>
      <c r="I150" s="355"/>
      <c r="J150" s="354" t="s">
        <v>1803</v>
      </c>
      <c r="K150" s="355"/>
      <c r="L150" s="354" t="s">
        <v>1804</v>
      </c>
      <c r="M150" s="355"/>
      <c r="N150" s="354" t="s">
        <v>1805</v>
      </c>
      <c r="O150" s="355"/>
      <c r="P150" s="354" t="s">
        <v>1806</v>
      </c>
      <c r="Q150" s="355"/>
      <c r="R150" s="354" t="s">
        <v>1807</v>
      </c>
      <c r="S150" s="355"/>
      <c r="T150" s="354" t="s">
        <v>1808</v>
      </c>
      <c r="U150" s="355"/>
      <c r="V150" s="356" t="s">
        <v>1799</v>
      </c>
      <c r="W150" s="357"/>
    </row>
    <row r="151" spans="1:29" ht="15" customHeight="1" thickBot="1" x14ac:dyDescent="0.4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2" customHeight="1" x14ac:dyDescent="0.35">
      <c r="A152" s="351" t="s">
        <v>0</v>
      </c>
      <c r="B152" s="73"/>
      <c r="C152" s="74"/>
      <c r="D152" s="75"/>
      <c r="E152" s="348"/>
      <c r="F152" s="75"/>
      <c r="G152" s="348"/>
      <c r="H152" s="75"/>
      <c r="I152" s="348"/>
      <c r="J152" s="75"/>
      <c r="K152" s="348"/>
      <c r="L152" s="75"/>
      <c r="M152" s="348"/>
      <c r="N152" s="75"/>
      <c r="O152" s="348"/>
      <c r="P152" s="75"/>
      <c r="Q152" s="348"/>
      <c r="R152" s="75"/>
      <c r="S152" s="348"/>
      <c r="T152" s="75"/>
      <c r="U152" s="348"/>
      <c r="V152" s="75"/>
      <c r="W152" s="348"/>
    </row>
    <row r="153" spans="1:29" ht="17.2" customHeight="1" x14ac:dyDescent="0.35">
      <c r="A153" s="352"/>
      <c r="B153" s="76"/>
      <c r="C153" s="77"/>
      <c r="D153" s="78"/>
      <c r="E153" s="349"/>
      <c r="F153" s="78"/>
      <c r="G153" s="349"/>
      <c r="H153" s="78"/>
      <c r="I153" s="349"/>
      <c r="J153" s="78"/>
      <c r="K153" s="349"/>
      <c r="L153" s="78"/>
      <c r="M153" s="349"/>
      <c r="N153" s="78"/>
      <c r="O153" s="349"/>
      <c r="P153" s="78"/>
      <c r="Q153" s="349"/>
      <c r="R153" s="78"/>
      <c r="S153" s="349"/>
      <c r="T153" s="78"/>
      <c r="U153" s="349"/>
      <c r="V153" s="78"/>
      <c r="W153" s="349"/>
    </row>
    <row r="154" spans="1:29" ht="17.2" customHeight="1" thickBot="1" x14ac:dyDescent="0.4">
      <c r="A154" s="353"/>
      <c r="B154" s="79"/>
      <c r="C154" s="80"/>
      <c r="D154" s="69"/>
      <c r="E154" s="350"/>
      <c r="F154" s="69"/>
      <c r="G154" s="350"/>
      <c r="H154" s="69"/>
      <c r="I154" s="350"/>
      <c r="J154" s="69"/>
      <c r="K154" s="350"/>
      <c r="L154" s="69"/>
      <c r="M154" s="350"/>
      <c r="N154" s="69"/>
      <c r="O154" s="350"/>
      <c r="P154" s="69"/>
      <c r="Q154" s="350"/>
      <c r="R154" s="69"/>
      <c r="S154" s="350"/>
      <c r="T154" s="69"/>
      <c r="U154" s="350"/>
      <c r="V154" s="69"/>
      <c r="W154" s="350"/>
    </row>
    <row r="155" spans="1:29" ht="17.2" customHeight="1" x14ac:dyDescent="0.35">
      <c r="A155" s="351" t="s">
        <v>2</v>
      </c>
      <c r="B155" s="73"/>
      <c r="C155" s="74"/>
      <c r="D155" s="75"/>
      <c r="E155" s="348"/>
      <c r="F155" s="75"/>
      <c r="G155" s="348"/>
      <c r="H155" s="75"/>
      <c r="I155" s="348"/>
      <c r="J155" s="75"/>
      <c r="K155" s="348"/>
      <c r="L155" s="75"/>
      <c r="M155" s="348"/>
      <c r="N155" s="75"/>
      <c r="O155" s="348"/>
      <c r="P155" s="75"/>
      <c r="Q155" s="348"/>
      <c r="R155" s="75"/>
      <c r="S155" s="348"/>
      <c r="T155" s="75"/>
      <c r="U155" s="348"/>
      <c r="V155" s="75"/>
      <c r="W155" s="348"/>
    </row>
    <row r="156" spans="1:29" ht="17.2" customHeight="1" x14ac:dyDescent="0.35">
      <c r="A156" s="352"/>
      <c r="B156" s="76"/>
      <c r="C156" s="77"/>
      <c r="D156" s="78"/>
      <c r="E156" s="349"/>
      <c r="F156" s="78"/>
      <c r="G156" s="349"/>
      <c r="H156" s="78"/>
      <c r="I156" s="349"/>
      <c r="J156" s="78"/>
      <c r="K156" s="349"/>
      <c r="L156" s="78"/>
      <c r="M156" s="349"/>
      <c r="N156" s="78"/>
      <c r="O156" s="349"/>
      <c r="P156" s="78"/>
      <c r="Q156" s="349"/>
      <c r="R156" s="78"/>
      <c r="S156" s="349"/>
      <c r="T156" s="78"/>
      <c r="U156" s="349"/>
      <c r="V156" s="78"/>
      <c r="W156" s="349"/>
    </row>
    <row r="157" spans="1:29" ht="17.2" customHeight="1" thickBot="1" x14ac:dyDescent="0.4">
      <c r="A157" s="353"/>
      <c r="B157" s="79"/>
      <c r="C157" s="80"/>
      <c r="D157" s="69"/>
      <c r="E157" s="350"/>
      <c r="F157" s="69"/>
      <c r="G157" s="350"/>
      <c r="H157" s="69"/>
      <c r="I157" s="350"/>
      <c r="J157" s="69"/>
      <c r="K157" s="350"/>
      <c r="L157" s="69"/>
      <c r="M157" s="350"/>
      <c r="N157" s="69"/>
      <c r="O157" s="350"/>
      <c r="P157" s="69"/>
      <c r="Q157" s="350"/>
      <c r="R157" s="69"/>
      <c r="S157" s="350"/>
      <c r="T157" s="69"/>
      <c r="U157" s="350"/>
      <c r="V157" s="69"/>
      <c r="W157" s="350"/>
    </row>
    <row r="158" spans="1:29" ht="17.2" customHeight="1" x14ac:dyDescent="0.35">
      <c r="A158" s="351" t="s">
        <v>3</v>
      </c>
      <c r="B158" s="73"/>
      <c r="C158" s="74"/>
      <c r="D158" s="75"/>
      <c r="E158" s="348"/>
      <c r="F158" s="75"/>
      <c r="G158" s="348"/>
      <c r="H158" s="75"/>
      <c r="I158" s="348"/>
      <c r="J158" s="75"/>
      <c r="K158" s="348"/>
      <c r="L158" s="75"/>
      <c r="M158" s="348"/>
      <c r="N158" s="75"/>
      <c r="O158" s="348"/>
      <c r="P158" s="75"/>
      <c r="Q158" s="348"/>
      <c r="R158" s="75"/>
      <c r="S158" s="348"/>
      <c r="T158" s="75"/>
      <c r="U158" s="348"/>
      <c r="V158" s="75"/>
      <c r="W158" s="348"/>
    </row>
    <row r="159" spans="1:29" ht="17.2" customHeight="1" x14ac:dyDescent="0.35">
      <c r="A159" s="352"/>
      <c r="B159" s="76"/>
      <c r="C159" s="77"/>
      <c r="D159" s="78"/>
      <c r="E159" s="349"/>
      <c r="F159" s="78"/>
      <c r="G159" s="349"/>
      <c r="H159" s="78"/>
      <c r="I159" s="349"/>
      <c r="J159" s="78"/>
      <c r="K159" s="349"/>
      <c r="L159" s="78"/>
      <c r="M159" s="349"/>
      <c r="N159" s="78"/>
      <c r="O159" s="349"/>
      <c r="P159" s="78"/>
      <c r="Q159" s="349"/>
      <c r="R159" s="78"/>
      <c r="S159" s="349"/>
      <c r="T159" s="78"/>
      <c r="U159" s="349"/>
      <c r="V159" s="78"/>
      <c r="W159" s="349"/>
    </row>
    <row r="160" spans="1:29" ht="17.2" customHeight="1" thickBot="1" x14ac:dyDescent="0.4">
      <c r="A160" s="353"/>
      <c r="B160" s="79"/>
      <c r="C160" s="80"/>
      <c r="D160" s="69"/>
      <c r="E160" s="350"/>
      <c r="F160" s="69"/>
      <c r="G160" s="350"/>
      <c r="H160" s="69"/>
      <c r="I160" s="350"/>
      <c r="J160" s="69"/>
      <c r="K160" s="350"/>
      <c r="L160" s="69"/>
      <c r="M160" s="350"/>
      <c r="N160" s="69"/>
      <c r="O160" s="350"/>
      <c r="P160" s="69"/>
      <c r="Q160" s="350"/>
      <c r="R160" s="69"/>
      <c r="S160" s="350"/>
      <c r="T160" s="69"/>
      <c r="U160" s="350"/>
      <c r="V160" s="69"/>
      <c r="W160" s="350"/>
    </row>
    <row r="161" spans="1:29" ht="17.2" customHeight="1" x14ac:dyDescent="0.35">
      <c r="A161" s="351" t="s">
        <v>11</v>
      </c>
      <c r="B161" s="73"/>
      <c r="C161" s="74"/>
      <c r="D161" s="75"/>
      <c r="E161" s="348"/>
      <c r="F161" s="75"/>
      <c r="G161" s="348"/>
      <c r="H161" s="75"/>
      <c r="I161" s="348"/>
      <c r="J161" s="75"/>
      <c r="K161" s="348"/>
      <c r="L161" s="75"/>
      <c r="M161" s="348"/>
      <c r="N161" s="75"/>
      <c r="O161" s="348"/>
      <c r="P161" s="75"/>
      <c r="Q161" s="348"/>
      <c r="R161" s="75"/>
      <c r="S161" s="348"/>
      <c r="T161" s="75"/>
      <c r="U161" s="348"/>
      <c r="V161" s="75"/>
      <c r="W161" s="348"/>
    </row>
    <row r="162" spans="1:29" ht="17.2" customHeight="1" x14ac:dyDescent="0.35">
      <c r="A162" s="352"/>
      <c r="B162" s="76"/>
      <c r="C162" s="77"/>
      <c r="D162" s="78"/>
      <c r="E162" s="349"/>
      <c r="F162" s="78"/>
      <c r="G162" s="349"/>
      <c r="H162" s="78"/>
      <c r="I162" s="349"/>
      <c r="J162" s="78"/>
      <c r="K162" s="349"/>
      <c r="L162" s="78"/>
      <c r="M162" s="349"/>
      <c r="N162" s="78"/>
      <c r="O162" s="349"/>
      <c r="P162" s="78"/>
      <c r="Q162" s="349"/>
      <c r="R162" s="78"/>
      <c r="S162" s="349"/>
      <c r="T162" s="78"/>
      <c r="U162" s="349"/>
      <c r="V162" s="78"/>
      <c r="W162" s="349"/>
    </row>
    <row r="163" spans="1:29" ht="17.2" customHeight="1" thickBot="1" x14ac:dyDescent="0.4">
      <c r="A163" s="353"/>
      <c r="B163" s="79"/>
      <c r="C163" s="80"/>
      <c r="D163" s="69"/>
      <c r="E163" s="350"/>
      <c r="F163" s="69"/>
      <c r="G163" s="350"/>
      <c r="H163" s="69"/>
      <c r="I163" s="350"/>
      <c r="J163" s="69"/>
      <c r="K163" s="350"/>
      <c r="L163" s="69"/>
      <c r="M163" s="350"/>
      <c r="N163" s="69"/>
      <c r="O163" s="350"/>
      <c r="P163" s="69"/>
      <c r="Q163" s="350"/>
      <c r="R163" s="69"/>
      <c r="S163" s="350"/>
      <c r="T163" s="69"/>
      <c r="U163" s="350"/>
      <c r="V163" s="69"/>
      <c r="W163" s="350"/>
    </row>
    <row r="164" spans="1:29" ht="27.75" customHeight="1" thickBot="1" x14ac:dyDescent="0.4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4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3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35">
      <c r="B167" s="88" t="s">
        <v>1797</v>
      </c>
      <c r="C167" s="89" t="s">
        <v>1798</v>
      </c>
      <c r="D167" s="346">
        <f>VLOOKUP(B147,Schlüssel!$A$5:$K$14,3)</f>
        <v>2</v>
      </c>
      <c r="E167" s="346"/>
      <c r="F167" s="346">
        <f>VLOOKUP(B147,Schlüssel!$A$5:$K$14,4)</f>
        <v>7</v>
      </c>
      <c r="G167" s="346"/>
      <c r="H167" s="346">
        <f>VLOOKUP(B147,Schlüssel!$A$5:$K$14,5)</f>
        <v>1</v>
      </c>
      <c r="I167" s="346"/>
      <c r="J167" s="346">
        <f>VLOOKUP(B147,Schlüssel!$A$5:$K$14,6)</f>
        <v>8</v>
      </c>
      <c r="K167" s="346"/>
      <c r="L167" s="346">
        <f>VLOOKUP(B147,Schlüssel!$A$5:$K$14,7)</f>
        <v>4</v>
      </c>
      <c r="M167" s="346"/>
      <c r="N167" s="346">
        <f>VLOOKUP(B147,Schlüssel!$A$5:$K$14,8)</f>
        <v>3</v>
      </c>
      <c r="O167" s="346"/>
      <c r="P167" s="346">
        <f>VLOOKUP(B147,Schlüssel!$A$5:$K$14,9)</f>
        <v>5</v>
      </c>
      <c r="Q167" s="346"/>
      <c r="R167" s="346">
        <f>VLOOKUP(B147,Schlüssel!$A$5:$K$14,10)</f>
        <v>9</v>
      </c>
      <c r="S167" s="346"/>
      <c r="T167" s="346">
        <f>VLOOKUP(B147,Schlüssel!$A$5:$K$14,11)</f>
        <v>10</v>
      </c>
      <c r="U167" s="346"/>
      <c r="V167" s="347"/>
      <c r="W167" s="347"/>
    </row>
    <row r="168" spans="1:29" ht="28.5" customHeight="1" x14ac:dyDescent="0.35">
      <c r="B168" s="90"/>
      <c r="C168" s="86"/>
      <c r="D168" s="343" t="str">
        <f>VLOOKUP(D167,Schlüssel!$A$5:$K$14,2)</f>
        <v>BK München 2</v>
      </c>
      <c r="E168" s="344"/>
      <c r="F168" s="343" t="str">
        <f>VLOOKUP(F167,Schlüssel!$A$5:$K$14,2)</f>
        <v>Frankenpower Nürnberg</v>
      </c>
      <c r="G168" s="344"/>
      <c r="H168" s="343" t="str">
        <f>VLOOKUP(H167,Schlüssel!$A$5:$K$14,2)</f>
        <v>Praetoria Regensburg</v>
      </c>
      <c r="I168" s="344"/>
      <c r="J168" s="343" t="str">
        <f>VLOOKUP(J167,Schlüssel!$A$5:$K$14,2)</f>
        <v>EPA München 1</v>
      </c>
      <c r="K168" s="344"/>
      <c r="L168" s="343" t="str">
        <f>VLOOKUP(L167,Schlüssel!$A$5:$K$14,2)</f>
        <v>BK München 3</v>
      </c>
      <c r="M168" s="344"/>
      <c r="N168" s="343" t="str">
        <f>VLOOKUP(N167,Schlüssel!$A$5:$K$14,2)</f>
        <v>Highroller Rosenheim</v>
      </c>
      <c r="O168" s="344"/>
      <c r="P168" s="343" t="str">
        <f>VLOOKUP(P167,Schlüssel!$A$5:$K$14,2)</f>
        <v xml:space="preserve">Weiß Blau Unterföhring </v>
      </c>
      <c r="Q168" s="344"/>
      <c r="R168" s="343" t="str">
        <f>VLOOKUP(R167,Schlüssel!$A$5:$K$14,2)</f>
        <v>RW Lichtenhof 69 Stein 2</v>
      </c>
      <c r="S168" s="344"/>
      <c r="T168" s="343" t="str">
        <f>VLOOKUP(T167,Schlüssel!$A$5:$K$14,2)</f>
        <v>BK München 4</v>
      </c>
      <c r="U168" s="344"/>
      <c r="V168" s="345"/>
      <c r="W168" s="345"/>
    </row>
    <row r="169" spans="1:29" ht="12" customHeight="1" x14ac:dyDescent="0.35">
      <c r="B169" s="90"/>
      <c r="C169" s="86"/>
      <c r="D169" s="341"/>
      <c r="E169" s="341"/>
      <c r="F169" s="341"/>
      <c r="G169" s="341"/>
      <c r="H169" s="341"/>
      <c r="I169" s="341"/>
      <c r="J169" s="341"/>
      <c r="K169" s="341"/>
      <c r="L169" s="341"/>
      <c r="M169" s="341"/>
      <c r="N169" s="341"/>
      <c r="O169" s="341"/>
      <c r="P169" s="341"/>
      <c r="Q169" s="341"/>
      <c r="R169" s="341"/>
      <c r="S169" s="341"/>
      <c r="T169" s="341"/>
      <c r="U169" s="342"/>
      <c r="V169" s="301"/>
      <c r="W169" s="301"/>
    </row>
    <row r="170" spans="1:29" ht="16.05" customHeight="1" x14ac:dyDescent="0.35">
      <c r="B170" s="91" t="s">
        <v>0</v>
      </c>
      <c r="C170" s="92"/>
      <c r="D170" s="339"/>
      <c r="E170" s="339"/>
      <c r="F170" s="339"/>
      <c r="G170" s="339"/>
      <c r="H170" s="339"/>
      <c r="I170" s="339"/>
      <c r="J170" s="339"/>
      <c r="K170" s="339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40"/>
      <c r="W170" s="340"/>
    </row>
    <row r="171" spans="1:29" ht="16.05" customHeight="1" x14ac:dyDescent="0.35">
      <c r="B171" s="91" t="s">
        <v>2</v>
      </c>
      <c r="C171" s="92"/>
      <c r="D171" s="339"/>
      <c r="E171" s="339"/>
      <c r="F171" s="339"/>
      <c r="G171" s="339"/>
      <c r="H171" s="339"/>
      <c r="I171" s="339"/>
      <c r="J171" s="339"/>
      <c r="K171" s="33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40"/>
      <c r="W171" s="340"/>
    </row>
    <row r="172" spans="1:29" ht="16.05" customHeight="1" x14ac:dyDescent="0.35">
      <c r="B172" s="91" t="s">
        <v>3</v>
      </c>
      <c r="C172" s="92"/>
      <c r="D172" s="339"/>
      <c r="E172" s="339"/>
      <c r="F172" s="339"/>
      <c r="G172" s="339"/>
      <c r="H172" s="339"/>
      <c r="I172" s="339"/>
      <c r="J172" s="339"/>
      <c r="K172" s="339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40"/>
      <c r="W172" s="340"/>
    </row>
    <row r="173" spans="1:29" ht="16.05" customHeight="1" x14ac:dyDescent="0.35">
      <c r="B173" s="91" t="s">
        <v>11</v>
      </c>
      <c r="C173" s="92"/>
      <c r="D173" s="339"/>
      <c r="E173" s="339"/>
      <c r="F173" s="339"/>
      <c r="G173" s="339"/>
      <c r="H173" s="339"/>
      <c r="I173" s="339"/>
      <c r="J173" s="339"/>
      <c r="K173" s="339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40"/>
      <c r="W173" s="340"/>
    </row>
    <row r="174" spans="1:29" ht="16.05" customHeight="1" x14ac:dyDescent="0.35">
      <c r="B174" s="93" t="s">
        <v>1799</v>
      </c>
      <c r="C174" s="94"/>
      <c r="D174" s="338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290"/>
      <c r="W174" s="290"/>
    </row>
    <row r="175" spans="1:29" ht="21" customHeight="1" x14ac:dyDescent="0.7">
      <c r="B175" s="44" t="s">
        <v>1813</v>
      </c>
      <c r="C175" s="45"/>
      <c r="D175" s="46" t="s">
        <v>1792</v>
      </c>
      <c r="E175" s="47"/>
      <c r="F175" s="359" t="str">
        <f>Schlüssel!$C$1</f>
        <v>Bayernliga Frauen</v>
      </c>
      <c r="G175" s="359"/>
      <c r="H175" s="359"/>
      <c r="I175" s="359"/>
      <c r="J175" s="359"/>
      <c r="K175" s="359"/>
      <c r="L175" s="359"/>
      <c r="M175" s="359"/>
      <c r="N175" s="359"/>
      <c r="O175" s="359"/>
      <c r="P175" s="45"/>
      <c r="Q175" s="45"/>
      <c r="R175" s="48"/>
      <c r="S175" s="49" t="s">
        <v>1794</v>
      </c>
      <c r="T175" s="50"/>
      <c r="U175" s="360" t="str">
        <f>Schlüssel!$M$1</f>
        <v>12.10./13.10.</v>
      </c>
      <c r="V175" s="361"/>
      <c r="W175" s="362"/>
      <c r="AC175" s="51"/>
    </row>
    <row r="176" spans="1:29" ht="17.25" customHeight="1" thickBot="1" x14ac:dyDescent="0.65">
      <c r="A176" s="52"/>
      <c r="B176" s="96">
        <f>+B147+1</f>
        <v>7</v>
      </c>
      <c r="D176" s="46" t="s">
        <v>1793</v>
      </c>
      <c r="E176" s="54"/>
      <c r="F176" s="358" t="str">
        <f>Schlüssel!$C$2</f>
        <v>Unterföhring Dreambowl Palace</v>
      </c>
      <c r="G176" s="358"/>
      <c r="H176" s="358"/>
      <c r="I176" s="358"/>
      <c r="J176" s="358"/>
      <c r="K176" s="358"/>
      <c r="L176" s="358"/>
      <c r="M176" s="358"/>
      <c r="N176" s="358"/>
      <c r="O176" s="358"/>
      <c r="P176" s="55"/>
      <c r="Q176" s="55"/>
      <c r="S176" s="49" t="s">
        <v>1791</v>
      </c>
      <c r="T176" s="56">
        <v>1</v>
      </c>
      <c r="U176" s="50"/>
      <c r="V176" s="50"/>
      <c r="AC176" s="97"/>
    </row>
    <row r="177" spans="1:23" ht="15.75" customHeight="1" thickBot="1" x14ac:dyDescent="0.4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5" thickBot="1" x14ac:dyDescent="0.45">
      <c r="A178" s="2"/>
      <c r="B178" s="44"/>
      <c r="C178" s="63"/>
      <c r="D178" s="64" t="s">
        <v>10</v>
      </c>
      <c r="E178" s="44">
        <f>VLOOKUP(B176,Schlüssel!$A$5:$DZ$14,13)</f>
        <v>8</v>
      </c>
      <c r="F178" s="65" t="s">
        <v>10</v>
      </c>
      <c r="G178" s="44">
        <f>VLOOKUP(B176,Schlüssel!$A$5:$DZ$14,14)</f>
        <v>6</v>
      </c>
      <c r="H178" s="65" t="s">
        <v>10</v>
      </c>
      <c r="I178" s="44">
        <f>VLOOKUP(B176,Schlüssel!$A$5:$DZ$14,15)</f>
        <v>9</v>
      </c>
      <c r="J178" s="65" t="s">
        <v>10</v>
      </c>
      <c r="K178" s="44">
        <f>VLOOKUP(B176,Schlüssel!$A$5:$DZ$14,16)</f>
        <v>3</v>
      </c>
      <c r="L178" s="65" t="s">
        <v>10</v>
      </c>
      <c r="M178" s="44">
        <f>VLOOKUP(B176,Schlüssel!$A$5:$DZ$14,17)</f>
        <v>5</v>
      </c>
      <c r="N178" s="65" t="s">
        <v>10</v>
      </c>
      <c r="O178" s="44">
        <f>VLOOKUP(B176,Schlüssel!$A$5:$DZ$14,18)</f>
        <v>4</v>
      </c>
      <c r="P178" s="65" t="s">
        <v>10</v>
      </c>
      <c r="Q178" s="44">
        <f>VLOOKUP(B176,Schlüssel!$A$5:$DZ$14,19)</f>
        <v>2</v>
      </c>
      <c r="R178" s="65" t="s">
        <v>10</v>
      </c>
      <c r="S178" s="44">
        <f>VLOOKUP(B176,Schlüssel!$A$5:$DZ$14,20)</f>
        <v>10</v>
      </c>
      <c r="T178" s="65" t="s">
        <v>10</v>
      </c>
      <c r="U178" s="66">
        <f>VLOOKUP(B176,Schlüssel!$A$5:$DZ$14,21)</f>
        <v>7</v>
      </c>
    </row>
    <row r="179" spans="1:23" ht="20.25" customHeight="1" x14ac:dyDescent="0.35">
      <c r="B179" s="67" t="s">
        <v>1</v>
      </c>
      <c r="C179" s="68"/>
      <c r="D179" s="354" t="s">
        <v>1800</v>
      </c>
      <c r="E179" s="355"/>
      <c r="F179" s="354" t="s">
        <v>1801</v>
      </c>
      <c r="G179" s="355"/>
      <c r="H179" s="354" t="s">
        <v>1802</v>
      </c>
      <c r="I179" s="355"/>
      <c r="J179" s="354" t="s">
        <v>1803</v>
      </c>
      <c r="K179" s="355"/>
      <c r="L179" s="354" t="s">
        <v>1804</v>
      </c>
      <c r="M179" s="355"/>
      <c r="N179" s="354" t="s">
        <v>1805</v>
      </c>
      <c r="O179" s="355"/>
      <c r="P179" s="354" t="s">
        <v>1806</v>
      </c>
      <c r="Q179" s="355"/>
      <c r="R179" s="354" t="s">
        <v>1807</v>
      </c>
      <c r="S179" s="355"/>
      <c r="T179" s="354" t="s">
        <v>1808</v>
      </c>
      <c r="U179" s="355"/>
      <c r="V179" s="356" t="s">
        <v>1799</v>
      </c>
      <c r="W179" s="357"/>
    </row>
    <row r="180" spans="1:23" ht="15" customHeight="1" thickBot="1" x14ac:dyDescent="0.4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2" customHeight="1" x14ac:dyDescent="0.35">
      <c r="A181" s="351" t="s">
        <v>0</v>
      </c>
      <c r="B181" s="73"/>
      <c r="C181" s="74"/>
      <c r="D181" s="75"/>
      <c r="E181" s="348"/>
      <c r="F181" s="75"/>
      <c r="G181" s="348"/>
      <c r="H181" s="75"/>
      <c r="I181" s="348"/>
      <c r="J181" s="75"/>
      <c r="K181" s="348"/>
      <c r="L181" s="75"/>
      <c r="M181" s="348"/>
      <c r="N181" s="75"/>
      <c r="O181" s="348"/>
      <c r="P181" s="75"/>
      <c r="Q181" s="348"/>
      <c r="R181" s="75"/>
      <c r="S181" s="348"/>
      <c r="T181" s="75"/>
      <c r="U181" s="348"/>
      <c r="V181" s="75"/>
      <c r="W181" s="348"/>
    </row>
    <row r="182" spans="1:23" ht="17.2" customHeight="1" x14ac:dyDescent="0.35">
      <c r="A182" s="352"/>
      <c r="B182" s="76"/>
      <c r="C182" s="77"/>
      <c r="D182" s="78"/>
      <c r="E182" s="349"/>
      <c r="F182" s="78"/>
      <c r="G182" s="349"/>
      <c r="H182" s="78"/>
      <c r="I182" s="349"/>
      <c r="J182" s="78"/>
      <c r="K182" s="349"/>
      <c r="L182" s="78"/>
      <c r="M182" s="349"/>
      <c r="N182" s="78"/>
      <c r="O182" s="349"/>
      <c r="P182" s="78"/>
      <c r="Q182" s="349"/>
      <c r="R182" s="78"/>
      <c r="S182" s="349"/>
      <c r="T182" s="78"/>
      <c r="U182" s="349"/>
      <c r="V182" s="78"/>
      <c r="W182" s="349"/>
    </row>
    <row r="183" spans="1:23" ht="17.2" customHeight="1" thickBot="1" x14ac:dyDescent="0.4">
      <c r="A183" s="353"/>
      <c r="B183" s="79"/>
      <c r="C183" s="80"/>
      <c r="D183" s="69"/>
      <c r="E183" s="350"/>
      <c r="F183" s="69"/>
      <c r="G183" s="350"/>
      <c r="H183" s="69"/>
      <c r="I183" s="350"/>
      <c r="J183" s="69"/>
      <c r="K183" s="350"/>
      <c r="L183" s="69"/>
      <c r="M183" s="350"/>
      <c r="N183" s="69"/>
      <c r="O183" s="350"/>
      <c r="P183" s="69"/>
      <c r="Q183" s="350"/>
      <c r="R183" s="69"/>
      <c r="S183" s="350"/>
      <c r="T183" s="69"/>
      <c r="U183" s="350"/>
      <c r="V183" s="69"/>
      <c r="W183" s="350"/>
    </row>
    <row r="184" spans="1:23" ht="17.2" customHeight="1" x14ac:dyDescent="0.35">
      <c r="A184" s="351" t="s">
        <v>2</v>
      </c>
      <c r="B184" s="73"/>
      <c r="C184" s="74"/>
      <c r="D184" s="75"/>
      <c r="E184" s="348"/>
      <c r="F184" s="75"/>
      <c r="G184" s="348"/>
      <c r="H184" s="75"/>
      <c r="I184" s="348"/>
      <c r="J184" s="75"/>
      <c r="K184" s="348"/>
      <c r="L184" s="75"/>
      <c r="M184" s="348"/>
      <c r="N184" s="75"/>
      <c r="O184" s="348"/>
      <c r="P184" s="75"/>
      <c r="Q184" s="348"/>
      <c r="R184" s="75"/>
      <c r="S184" s="348"/>
      <c r="T184" s="75"/>
      <c r="U184" s="348"/>
      <c r="V184" s="75"/>
      <c r="W184" s="348"/>
    </row>
    <row r="185" spans="1:23" ht="17.2" customHeight="1" x14ac:dyDescent="0.35">
      <c r="A185" s="352"/>
      <c r="B185" s="76"/>
      <c r="C185" s="77"/>
      <c r="D185" s="78"/>
      <c r="E185" s="349"/>
      <c r="F185" s="78"/>
      <c r="G185" s="349"/>
      <c r="H185" s="78"/>
      <c r="I185" s="349"/>
      <c r="J185" s="78"/>
      <c r="K185" s="349"/>
      <c r="L185" s="78"/>
      <c r="M185" s="349"/>
      <c r="N185" s="78"/>
      <c r="O185" s="349"/>
      <c r="P185" s="78"/>
      <c r="Q185" s="349"/>
      <c r="R185" s="78"/>
      <c r="S185" s="349"/>
      <c r="T185" s="78"/>
      <c r="U185" s="349"/>
      <c r="V185" s="78"/>
      <c r="W185" s="349"/>
    </row>
    <row r="186" spans="1:23" ht="17.2" customHeight="1" thickBot="1" x14ac:dyDescent="0.4">
      <c r="A186" s="353"/>
      <c r="B186" s="79"/>
      <c r="C186" s="80"/>
      <c r="D186" s="69"/>
      <c r="E186" s="350"/>
      <c r="F186" s="69"/>
      <c r="G186" s="350"/>
      <c r="H186" s="69"/>
      <c r="I186" s="350"/>
      <c r="J186" s="69"/>
      <c r="K186" s="350"/>
      <c r="L186" s="69"/>
      <c r="M186" s="350"/>
      <c r="N186" s="69"/>
      <c r="O186" s="350"/>
      <c r="P186" s="69"/>
      <c r="Q186" s="350"/>
      <c r="R186" s="69"/>
      <c r="S186" s="350"/>
      <c r="T186" s="69"/>
      <c r="U186" s="350"/>
      <c r="V186" s="69"/>
      <c r="W186" s="350"/>
    </row>
    <row r="187" spans="1:23" ht="17.2" customHeight="1" x14ac:dyDescent="0.35">
      <c r="A187" s="351" t="s">
        <v>3</v>
      </c>
      <c r="B187" s="73"/>
      <c r="C187" s="74"/>
      <c r="D187" s="75"/>
      <c r="E187" s="348"/>
      <c r="F187" s="75"/>
      <c r="G187" s="348"/>
      <c r="H187" s="75"/>
      <c r="I187" s="348"/>
      <c r="J187" s="75"/>
      <c r="K187" s="348"/>
      <c r="L187" s="75"/>
      <c r="M187" s="348"/>
      <c r="N187" s="75"/>
      <c r="O187" s="348"/>
      <c r="P187" s="75"/>
      <c r="Q187" s="348"/>
      <c r="R187" s="75"/>
      <c r="S187" s="348"/>
      <c r="T187" s="75"/>
      <c r="U187" s="348"/>
      <c r="V187" s="75"/>
      <c r="W187" s="348"/>
    </row>
    <row r="188" spans="1:23" ht="17.2" customHeight="1" x14ac:dyDescent="0.35">
      <c r="A188" s="352"/>
      <c r="B188" s="76"/>
      <c r="C188" s="77"/>
      <c r="D188" s="78"/>
      <c r="E188" s="349"/>
      <c r="F188" s="78"/>
      <c r="G188" s="349"/>
      <c r="H188" s="78"/>
      <c r="I188" s="349"/>
      <c r="J188" s="78"/>
      <c r="K188" s="349"/>
      <c r="L188" s="78"/>
      <c r="M188" s="349"/>
      <c r="N188" s="78"/>
      <c r="O188" s="349"/>
      <c r="P188" s="78"/>
      <c r="Q188" s="349"/>
      <c r="R188" s="78"/>
      <c r="S188" s="349"/>
      <c r="T188" s="78"/>
      <c r="U188" s="349"/>
      <c r="V188" s="78"/>
      <c r="W188" s="349"/>
    </row>
    <row r="189" spans="1:23" ht="17.2" customHeight="1" thickBot="1" x14ac:dyDescent="0.4">
      <c r="A189" s="353"/>
      <c r="B189" s="79"/>
      <c r="C189" s="80"/>
      <c r="D189" s="69"/>
      <c r="E189" s="350"/>
      <c r="F189" s="69"/>
      <c r="G189" s="350"/>
      <c r="H189" s="69"/>
      <c r="I189" s="350"/>
      <c r="J189" s="69"/>
      <c r="K189" s="350"/>
      <c r="L189" s="69"/>
      <c r="M189" s="350"/>
      <c r="N189" s="69"/>
      <c r="O189" s="350"/>
      <c r="P189" s="69"/>
      <c r="Q189" s="350"/>
      <c r="R189" s="69"/>
      <c r="S189" s="350"/>
      <c r="T189" s="69"/>
      <c r="U189" s="350"/>
      <c r="V189" s="69"/>
      <c r="W189" s="350"/>
    </row>
    <row r="190" spans="1:23" ht="17.2" customHeight="1" x14ac:dyDescent="0.35">
      <c r="A190" s="351" t="s">
        <v>11</v>
      </c>
      <c r="B190" s="73"/>
      <c r="C190" s="74"/>
      <c r="D190" s="75"/>
      <c r="E190" s="348"/>
      <c r="F190" s="75"/>
      <c r="G190" s="348"/>
      <c r="H190" s="75"/>
      <c r="I190" s="348"/>
      <c r="J190" s="75"/>
      <c r="K190" s="348"/>
      <c r="L190" s="75"/>
      <c r="M190" s="348"/>
      <c r="N190" s="75"/>
      <c r="O190" s="348"/>
      <c r="P190" s="75"/>
      <c r="Q190" s="348"/>
      <c r="R190" s="75"/>
      <c r="S190" s="348"/>
      <c r="T190" s="75"/>
      <c r="U190" s="348"/>
      <c r="V190" s="75"/>
      <c r="W190" s="348"/>
    </row>
    <row r="191" spans="1:23" ht="17.2" customHeight="1" x14ac:dyDescent="0.35">
      <c r="A191" s="352"/>
      <c r="B191" s="76"/>
      <c r="C191" s="77"/>
      <c r="D191" s="78"/>
      <c r="E191" s="349"/>
      <c r="F191" s="78"/>
      <c r="G191" s="349"/>
      <c r="H191" s="78"/>
      <c r="I191" s="349"/>
      <c r="J191" s="78"/>
      <c r="K191" s="349"/>
      <c r="L191" s="78"/>
      <c r="M191" s="349"/>
      <c r="N191" s="78"/>
      <c r="O191" s="349"/>
      <c r="P191" s="78"/>
      <c r="Q191" s="349"/>
      <c r="R191" s="78"/>
      <c r="S191" s="349"/>
      <c r="T191" s="78"/>
      <c r="U191" s="349"/>
      <c r="V191" s="78"/>
      <c r="W191" s="349"/>
    </row>
    <row r="192" spans="1:23" ht="17.2" customHeight="1" thickBot="1" x14ac:dyDescent="0.4">
      <c r="A192" s="353"/>
      <c r="B192" s="79"/>
      <c r="C192" s="80"/>
      <c r="D192" s="69"/>
      <c r="E192" s="350"/>
      <c r="F192" s="69"/>
      <c r="G192" s="350"/>
      <c r="H192" s="69"/>
      <c r="I192" s="350"/>
      <c r="J192" s="69"/>
      <c r="K192" s="350"/>
      <c r="L192" s="69"/>
      <c r="M192" s="350"/>
      <c r="N192" s="69"/>
      <c r="O192" s="350"/>
      <c r="P192" s="69"/>
      <c r="Q192" s="350"/>
      <c r="R192" s="69"/>
      <c r="S192" s="350"/>
      <c r="T192" s="69"/>
      <c r="U192" s="350"/>
      <c r="V192" s="69"/>
      <c r="W192" s="350"/>
    </row>
    <row r="193" spans="1:29" ht="27.75" customHeight="1" thickBot="1" x14ac:dyDescent="0.4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4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3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35">
      <c r="B196" s="88" t="s">
        <v>1797</v>
      </c>
      <c r="C196" s="89" t="s">
        <v>1798</v>
      </c>
      <c r="D196" s="346">
        <f>VLOOKUP(B176,Schlüssel!$A$5:$K$14,3)</f>
        <v>4</v>
      </c>
      <c r="E196" s="346"/>
      <c r="F196" s="346">
        <f>VLOOKUP(B176,Schlüssel!$A$5:$K$14,4)</f>
        <v>6</v>
      </c>
      <c r="G196" s="346"/>
      <c r="H196" s="346">
        <f>VLOOKUP(B176,Schlüssel!$A$5:$K$14,5)</f>
        <v>10</v>
      </c>
      <c r="I196" s="346"/>
      <c r="J196" s="346">
        <f>VLOOKUP(B176,Schlüssel!$A$5:$K$14,6)</f>
        <v>2</v>
      </c>
      <c r="K196" s="346"/>
      <c r="L196" s="346">
        <f>VLOOKUP(B176,Schlüssel!$A$5:$K$14,7)</f>
        <v>5</v>
      </c>
      <c r="M196" s="346"/>
      <c r="N196" s="346">
        <f>VLOOKUP(B176,Schlüssel!$A$5:$K$14,8)</f>
        <v>1</v>
      </c>
      <c r="O196" s="346"/>
      <c r="P196" s="346">
        <f>VLOOKUP(B176,Schlüssel!$A$5:$K$14,9)</f>
        <v>9</v>
      </c>
      <c r="Q196" s="346"/>
      <c r="R196" s="346">
        <f>VLOOKUP(B176,Schlüssel!$A$5:$K$14,10)</f>
        <v>8</v>
      </c>
      <c r="S196" s="346"/>
      <c r="T196" s="346">
        <f>VLOOKUP(B176,Schlüssel!$A$5:$K$14,11)</f>
        <v>3</v>
      </c>
      <c r="U196" s="346"/>
      <c r="V196" s="347"/>
      <c r="W196" s="347"/>
    </row>
    <row r="197" spans="1:29" ht="28.5" customHeight="1" x14ac:dyDescent="0.35">
      <c r="B197" s="90"/>
      <c r="C197" s="86"/>
      <c r="D197" s="343" t="str">
        <f>VLOOKUP(D196,Schlüssel!$A$5:$K$14,2)</f>
        <v>BK München 3</v>
      </c>
      <c r="E197" s="344"/>
      <c r="F197" s="343" t="str">
        <f>VLOOKUP(F196,Schlüssel!$A$5:$K$14,2)</f>
        <v>Phönix 03 Lauf</v>
      </c>
      <c r="G197" s="344"/>
      <c r="H197" s="343" t="str">
        <f>VLOOKUP(H196,Schlüssel!$A$5:$K$14,2)</f>
        <v>BK München 4</v>
      </c>
      <c r="I197" s="344"/>
      <c r="J197" s="343" t="str">
        <f>VLOOKUP(J196,Schlüssel!$A$5:$K$14,2)</f>
        <v>BK München 2</v>
      </c>
      <c r="K197" s="344"/>
      <c r="L197" s="343" t="str">
        <f>VLOOKUP(L196,Schlüssel!$A$5:$K$14,2)</f>
        <v xml:space="preserve">Weiß Blau Unterföhring </v>
      </c>
      <c r="M197" s="344"/>
      <c r="N197" s="343" t="str">
        <f>VLOOKUP(N196,Schlüssel!$A$5:$K$14,2)</f>
        <v>Praetoria Regensburg</v>
      </c>
      <c r="O197" s="344"/>
      <c r="P197" s="343" t="str">
        <f>VLOOKUP(P196,Schlüssel!$A$5:$K$14,2)</f>
        <v>RW Lichtenhof 69 Stein 2</v>
      </c>
      <c r="Q197" s="344"/>
      <c r="R197" s="343" t="str">
        <f>VLOOKUP(R196,Schlüssel!$A$5:$K$14,2)</f>
        <v>EPA München 1</v>
      </c>
      <c r="S197" s="344"/>
      <c r="T197" s="343" t="str">
        <f>VLOOKUP(T196,Schlüssel!$A$5:$K$14,2)</f>
        <v>Highroller Rosenheim</v>
      </c>
      <c r="U197" s="344"/>
      <c r="V197" s="345"/>
      <c r="W197" s="345"/>
    </row>
    <row r="198" spans="1:29" ht="12" customHeight="1" x14ac:dyDescent="0.35">
      <c r="B198" s="90"/>
      <c r="C198" s="86"/>
      <c r="D198" s="341"/>
      <c r="E198" s="341"/>
      <c r="F198" s="341"/>
      <c r="G198" s="341"/>
      <c r="H198" s="341"/>
      <c r="I198" s="341"/>
      <c r="J198" s="341"/>
      <c r="K198" s="341"/>
      <c r="L198" s="341"/>
      <c r="M198" s="341"/>
      <c r="N198" s="341"/>
      <c r="O198" s="341"/>
      <c r="P198" s="341"/>
      <c r="Q198" s="341"/>
      <c r="R198" s="341"/>
      <c r="S198" s="341"/>
      <c r="T198" s="341"/>
      <c r="U198" s="342"/>
      <c r="V198" s="301"/>
      <c r="W198" s="301"/>
    </row>
    <row r="199" spans="1:29" ht="16.05" customHeight="1" x14ac:dyDescent="0.35">
      <c r="B199" s="91" t="s">
        <v>0</v>
      </c>
      <c r="C199" s="92"/>
      <c r="D199" s="339"/>
      <c r="E199" s="339"/>
      <c r="F199" s="339"/>
      <c r="G199" s="339"/>
      <c r="H199" s="339"/>
      <c r="I199" s="339"/>
      <c r="J199" s="339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40"/>
      <c r="W199" s="340"/>
    </row>
    <row r="200" spans="1:29" ht="16.05" customHeight="1" x14ac:dyDescent="0.35">
      <c r="B200" s="91" t="s">
        <v>2</v>
      </c>
      <c r="C200" s="92"/>
      <c r="D200" s="339"/>
      <c r="E200" s="339"/>
      <c r="F200" s="339"/>
      <c r="G200" s="339"/>
      <c r="H200" s="339"/>
      <c r="I200" s="339"/>
      <c r="J200" s="339"/>
      <c r="K200" s="33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40"/>
      <c r="W200" s="340"/>
    </row>
    <row r="201" spans="1:29" ht="16.05" customHeight="1" x14ac:dyDescent="0.35">
      <c r="B201" s="91" t="s">
        <v>3</v>
      </c>
      <c r="C201" s="92"/>
      <c r="D201" s="339"/>
      <c r="E201" s="339"/>
      <c r="F201" s="339"/>
      <c r="G201" s="339"/>
      <c r="H201" s="339"/>
      <c r="I201" s="339"/>
      <c r="J201" s="339"/>
      <c r="K201" s="339"/>
      <c r="L201" s="339"/>
      <c r="M201" s="339"/>
      <c r="N201" s="339"/>
      <c r="O201" s="339"/>
      <c r="P201" s="339"/>
      <c r="Q201" s="339"/>
      <c r="R201" s="339"/>
      <c r="S201" s="339"/>
      <c r="T201" s="339"/>
      <c r="U201" s="339"/>
      <c r="V201" s="340"/>
      <c r="W201" s="340"/>
    </row>
    <row r="202" spans="1:29" ht="16.05" customHeight="1" x14ac:dyDescent="0.35">
      <c r="B202" s="91" t="s">
        <v>11</v>
      </c>
      <c r="C202" s="92"/>
      <c r="D202" s="339"/>
      <c r="E202" s="339"/>
      <c r="F202" s="339"/>
      <c r="G202" s="339"/>
      <c r="H202" s="339"/>
      <c r="I202" s="339"/>
      <c r="J202" s="339"/>
      <c r="K202" s="339"/>
      <c r="L202" s="339"/>
      <c r="M202" s="339"/>
      <c r="N202" s="339"/>
      <c r="O202" s="339"/>
      <c r="P202" s="339"/>
      <c r="Q202" s="339"/>
      <c r="R202" s="339"/>
      <c r="S202" s="339"/>
      <c r="T202" s="339"/>
      <c r="U202" s="339"/>
      <c r="V202" s="340"/>
      <c r="W202" s="340"/>
    </row>
    <row r="203" spans="1:29" ht="16.05" customHeight="1" x14ac:dyDescent="0.35">
      <c r="B203" s="93" t="s">
        <v>1799</v>
      </c>
      <c r="C203" s="94"/>
      <c r="D203" s="338"/>
      <c r="E203" s="338"/>
      <c r="F203" s="338"/>
      <c r="G203" s="338"/>
      <c r="H203" s="338"/>
      <c r="I203" s="338"/>
      <c r="J203" s="338"/>
      <c r="K203" s="338"/>
      <c r="L203" s="338"/>
      <c r="M203" s="338"/>
      <c r="N203" s="338"/>
      <c r="O203" s="338"/>
      <c r="P203" s="338"/>
      <c r="Q203" s="338"/>
      <c r="R203" s="338"/>
      <c r="S203" s="338"/>
      <c r="T203" s="338"/>
      <c r="U203" s="338"/>
      <c r="V203" s="290"/>
      <c r="W203" s="290"/>
    </row>
    <row r="204" spans="1:29" ht="21" customHeight="1" x14ac:dyDescent="0.7">
      <c r="B204" s="44" t="s">
        <v>1813</v>
      </c>
      <c r="C204" s="45"/>
      <c r="D204" s="46" t="s">
        <v>1792</v>
      </c>
      <c r="E204" s="47"/>
      <c r="F204" s="359" t="str">
        <f>Schlüssel!$C$1</f>
        <v>Bayernliga Frauen</v>
      </c>
      <c r="G204" s="359"/>
      <c r="H204" s="359"/>
      <c r="I204" s="359"/>
      <c r="J204" s="359"/>
      <c r="K204" s="359"/>
      <c r="L204" s="359"/>
      <c r="M204" s="359"/>
      <c r="N204" s="359"/>
      <c r="O204" s="359"/>
      <c r="P204" s="45"/>
      <c r="Q204" s="45"/>
      <c r="R204" s="48"/>
      <c r="S204" s="49" t="s">
        <v>1794</v>
      </c>
      <c r="T204" s="50"/>
      <c r="U204" s="360" t="str">
        <f>Schlüssel!$M$1</f>
        <v>12.10./13.10.</v>
      </c>
      <c r="V204" s="361"/>
      <c r="W204" s="362"/>
      <c r="AC204" s="51"/>
    </row>
    <row r="205" spans="1:29" ht="17.25" customHeight="1" thickBot="1" x14ac:dyDescent="0.65">
      <c r="A205" s="52"/>
      <c r="B205" s="96">
        <f>+B176+1</f>
        <v>8</v>
      </c>
      <c r="D205" s="46" t="s">
        <v>1793</v>
      </c>
      <c r="E205" s="54"/>
      <c r="F205" s="358" t="str">
        <f>Schlüssel!$C$2</f>
        <v>Unterföhring Dreambowl Palace</v>
      </c>
      <c r="G205" s="358"/>
      <c r="H205" s="358"/>
      <c r="I205" s="358"/>
      <c r="J205" s="358"/>
      <c r="K205" s="358"/>
      <c r="L205" s="358"/>
      <c r="M205" s="358"/>
      <c r="N205" s="358"/>
      <c r="O205" s="358"/>
      <c r="P205" s="55"/>
      <c r="Q205" s="55"/>
      <c r="S205" s="49" t="s">
        <v>1791</v>
      </c>
      <c r="T205" s="56">
        <v>1</v>
      </c>
      <c r="U205" s="50"/>
      <c r="V205" s="50"/>
      <c r="AC205" s="97"/>
    </row>
    <row r="206" spans="1:29" ht="15.75" customHeight="1" thickBot="1" x14ac:dyDescent="0.4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5" thickBot="1" x14ac:dyDescent="0.45">
      <c r="A207" s="2"/>
      <c r="B207" s="44"/>
      <c r="C207" s="63"/>
      <c r="D207" s="64" t="s">
        <v>10</v>
      </c>
      <c r="E207" s="44">
        <f>VLOOKUP(B205,Schlüssel!$A$5:$DZ$14,13)</f>
        <v>3</v>
      </c>
      <c r="F207" s="65" t="s">
        <v>10</v>
      </c>
      <c r="G207" s="44">
        <f>VLOOKUP(B205,Schlüssel!$A$5:$DZ$14,14)</f>
        <v>8</v>
      </c>
      <c r="H207" s="65" t="s">
        <v>10</v>
      </c>
      <c r="I207" s="44">
        <f>VLOOKUP(B205,Schlüssel!$A$5:$DZ$14,15)</f>
        <v>5</v>
      </c>
      <c r="J207" s="65" t="s">
        <v>10</v>
      </c>
      <c r="K207" s="44">
        <f>VLOOKUP(B205,Schlüssel!$A$5:$DZ$14,16)</f>
        <v>2</v>
      </c>
      <c r="L207" s="65" t="s">
        <v>10</v>
      </c>
      <c r="M207" s="44">
        <f>VLOOKUP(B205,Schlüssel!$A$5:$DZ$14,17)</f>
        <v>10</v>
      </c>
      <c r="N207" s="65" t="s">
        <v>10</v>
      </c>
      <c r="O207" s="44">
        <f>VLOOKUP(B205,Schlüssel!$A$5:$DZ$14,18)</f>
        <v>6</v>
      </c>
      <c r="P207" s="65" t="s">
        <v>10</v>
      </c>
      <c r="Q207" s="44">
        <f>VLOOKUP(B205,Schlüssel!$A$5:$DZ$14,19)</f>
        <v>4</v>
      </c>
      <c r="R207" s="65" t="s">
        <v>10</v>
      </c>
      <c r="S207" s="44">
        <f>VLOOKUP(B205,Schlüssel!$A$5:$DZ$14,20)</f>
        <v>9</v>
      </c>
      <c r="T207" s="65" t="s">
        <v>10</v>
      </c>
      <c r="U207" s="66">
        <f>VLOOKUP(B205,Schlüssel!$A$5:$DZ$14,21)</f>
        <v>1</v>
      </c>
    </row>
    <row r="208" spans="1:29" ht="20.25" customHeight="1" x14ac:dyDescent="0.35">
      <c r="B208" s="67" t="s">
        <v>1</v>
      </c>
      <c r="C208" s="68"/>
      <c r="D208" s="354" t="s">
        <v>1800</v>
      </c>
      <c r="E208" s="355"/>
      <c r="F208" s="354" t="s">
        <v>1801</v>
      </c>
      <c r="G208" s="355"/>
      <c r="H208" s="354" t="s">
        <v>1802</v>
      </c>
      <c r="I208" s="355"/>
      <c r="J208" s="354" t="s">
        <v>1803</v>
      </c>
      <c r="K208" s="355"/>
      <c r="L208" s="354" t="s">
        <v>1804</v>
      </c>
      <c r="M208" s="355"/>
      <c r="N208" s="354" t="s">
        <v>1805</v>
      </c>
      <c r="O208" s="355"/>
      <c r="P208" s="354" t="s">
        <v>1806</v>
      </c>
      <c r="Q208" s="355"/>
      <c r="R208" s="354" t="s">
        <v>1807</v>
      </c>
      <c r="S208" s="355"/>
      <c r="T208" s="354" t="s">
        <v>1808</v>
      </c>
      <c r="U208" s="355"/>
      <c r="V208" s="356" t="s">
        <v>1799</v>
      </c>
      <c r="W208" s="357"/>
    </row>
    <row r="209" spans="1:23" ht="15" customHeight="1" thickBot="1" x14ac:dyDescent="0.4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2" customHeight="1" x14ac:dyDescent="0.35">
      <c r="A210" s="351" t="s">
        <v>0</v>
      </c>
      <c r="B210" s="73"/>
      <c r="C210" s="74"/>
      <c r="D210" s="75"/>
      <c r="E210" s="348"/>
      <c r="F210" s="75"/>
      <c r="G210" s="348"/>
      <c r="H210" s="75"/>
      <c r="I210" s="348"/>
      <c r="J210" s="75"/>
      <c r="K210" s="348"/>
      <c r="L210" s="75"/>
      <c r="M210" s="348"/>
      <c r="N210" s="75"/>
      <c r="O210" s="348"/>
      <c r="P210" s="75"/>
      <c r="Q210" s="348"/>
      <c r="R210" s="75"/>
      <c r="S210" s="348"/>
      <c r="T210" s="75"/>
      <c r="U210" s="348"/>
      <c r="V210" s="75"/>
      <c r="W210" s="348"/>
    </row>
    <row r="211" spans="1:23" ht="17.2" customHeight="1" x14ac:dyDescent="0.35">
      <c r="A211" s="352"/>
      <c r="B211" s="76"/>
      <c r="C211" s="77"/>
      <c r="D211" s="78"/>
      <c r="E211" s="349"/>
      <c r="F211" s="78"/>
      <c r="G211" s="349"/>
      <c r="H211" s="78"/>
      <c r="I211" s="349"/>
      <c r="J211" s="78"/>
      <c r="K211" s="349"/>
      <c r="L211" s="78"/>
      <c r="M211" s="349"/>
      <c r="N211" s="78"/>
      <c r="O211" s="349"/>
      <c r="P211" s="78"/>
      <c r="Q211" s="349"/>
      <c r="R211" s="78"/>
      <c r="S211" s="349"/>
      <c r="T211" s="78"/>
      <c r="U211" s="349"/>
      <c r="V211" s="78"/>
      <c r="W211" s="349"/>
    </row>
    <row r="212" spans="1:23" ht="17.2" customHeight="1" thickBot="1" x14ac:dyDescent="0.4">
      <c r="A212" s="353"/>
      <c r="B212" s="79"/>
      <c r="C212" s="80"/>
      <c r="D212" s="69"/>
      <c r="E212" s="350"/>
      <c r="F212" s="69"/>
      <c r="G212" s="350"/>
      <c r="H212" s="69"/>
      <c r="I212" s="350"/>
      <c r="J212" s="69"/>
      <c r="K212" s="350"/>
      <c r="L212" s="69"/>
      <c r="M212" s="350"/>
      <c r="N212" s="69"/>
      <c r="O212" s="350"/>
      <c r="P212" s="69"/>
      <c r="Q212" s="350"/>
      <c r="R212" s="69"/>
      <c r="S212" s="350"/>
      <c r="T212" s="69"/>
      <c r="U212" s="350"/>
      <c r="V212" s="69"/>
      <c r="W212" s="350"/>
    </row>
    <row r="213" spans="1:23" ht="17.2" customHeight="1" x14ac:dyDescent="0.35">
      <c r="A213" s="351" t="s">
        <v>2</v>
      </c>
      <c r="B213" s="73"/>
      <c r="C213" s="74"/>
      <c r="D213" s="75"/>
      <c r="E213" s="348"/>
      <c r="F213" s="75"/>
      <c r="G213" s="348"/>
      <c r="H213" s="75"/>
      <c r="I213" s="348"/>
      <c r="J213" s="75"/>
      <c r="K213" s="348"/>
      <c r="L213" s="75"/>
      <c r="M213" s="348"/>
      <c r="N213" s="75"/>
      <c r="O213" s="348"/>
      <c r="P213" s="75"/>
      <c r="Q213" s="348"/>
      <c r="R213" s="75"/>
      <c r="S213" s="348"/>
      <c r="T213" s="75"/>
      <c r="U213" s="348"/>
      <c r="V213" s="75"/>
      <c r="W213" s="348"/>
    </row>
    <row r="214" spans="1:23" ht="17.2" customHeight="1" x14ac:dyDescent="0.35">
      <c r="A214" s="352"/>
      <c r="B214" s="76"/>
      <c r="C214" s="77"/>
      <c r="D214" s="78"/>
      <c r="E214" s="349"/>
      <c r="F214" s="78"/>
      <c r="G214" s="349"/>
      <c r="H214" s="78"/>
      <c r="I214" s="349"/>
      <c r="J214" s="78"/>
      <c r="K214" s="349"/>
      <c r="L214" s="78"/>
      <c r="M214" s="349"/>
      <c r="N214" s="78"/>
      <c r="O214" s="349"/>
      <c r="P214" s="78"/>
      <c r="Q214" s="349"/>
      <c r="R214" s="78"/>
      <c r="S214" s="349"/>
      <c r="T214" s="78"/>
      <c r="U214" s="349"/>
      <c r="V214" s="78"/>
      <c r="W214" s="349"/>
    </row>
    <row r="215" spans="1:23" ht="17.2" customHeight="1" thickBot="1" x14ac:dyDescent="0.4">
      <c r="A215" s="353"/>
      <c r="B215" s="79"/>
      <c r="C215" s="80"/>
      <c r="D215" s="69"/>
      <c r="E215" s="350"/>
      <c r="F215" s="69"/>
      <c r="G215" s="350"/>
      <c r="H215" s="69"/>
      <c r="I215" s="350"/>
      <c r="J215" s="69"/>
      <c r="K215" s="350"/>
      <c r="L215" s="69"/>
      <c r="M215" s="350"/>
      <c r="N215" s="69"/>
      <c r="O215" s="350"/>
      <c r="P215" s="69"/>
      <c r="Q215" s="350"/>
      <c r="R215" s="69"/>
      <c r="S215" s="350"/>
      <c r="T215" s="69"/>
      <c r="U215" s="350"/>
      <c r="V215" s="69"/>
      <c r="W215" s="350"/>
    </row>
    <row r="216" spans="1:23" ht="17.2" customHeight="1" x14ac:dyDescent="0.35">
      <c r="A216" s="351" t="s">
        <v>3</v>
      </c>
      <c r="B216" s="73"/>
      <c r="C216" s="74"/>
      <c r="D216" s="75"/>
      <c r="E216" s="348"/>
      <c r="F216" s="75"/>
      <c r="G216" s="348"/>
      <c r="H216" s="75"/>
      <c r="I216" s="348"/>
      <c r="J216" s="75"/>
      <c r="K216" s="348"/>
      <c r="L216" s="75"/>
      <c r="M216" s="348"/>
      <c r="N216" s="75"/>
      <c r="O216" s="348"/>
      <c r="P216" s="75"/>
      <c r="Q216" s="348"/>
      <c r="R216" s="75"/>
      <c r="S216" s="348"/>
      <c r="T216" s="75"/>
      <c r="U216" s="348"/>
      <c r="V216" s="75"/>
      <c r="W216" s="348"/>
    </row>
    <row r="217" spans="1:23" ht="17.2" customHeight="1" x14ac:dyDescent="0.35">
      <c r="A217" s="352"/>
      <c r="B217" s="76"/>
      <c r="C217" s="77"/>
      <c r="D217" s="78"/>
      <c r="E217" s="349"/>
      <c r="F217" s="78"/>
      <c r="G217" s="349"/>
      <c r="H217" s="78"/>
      <c r="I217" s="349"/>
      <c r="J217" s="78"/>
      <c r="K217" s="349"/>
      <c r="L217" s="78"/>
      <c r="M217" s="349"/>
      <c r="N217" s="78"/>
      <c r="O217" s="349"/>
      <c r="P217" s="78"/>
      <c r="Q217" s="349"/>
      <c r="R217" s="78"/>
      <c r="S217" s="349"/>
      <c r="T217" s="78"/>
      <c r="U217" s="349"/>
      <c r="V217" s="78"/>
      <c r="W217" s="349"/>
    </row>
    <row r="218" spans="1:23" ht="17.2" customHeight="1" thickBot="1" x14ac:dyDescent="0.4">
      <c r="A218" s="353"/>
      <c r="B218" s="79"/>
      <c r="C218" s="80"/>
      <c r="D218" s="69"/>
      <c r="E218" s="350"/>
      <c r="F218" s="69"/>
      <c r="G218" s="350"/>
      <c r="H218" s="69"/>
      <c r="I218" s="350"/>
      <c r="J218" s="69"/>
      <c r="K218" s="350"/>
      <c r="L218" s="69"/>
      <c r="M218" s="350"/>
      <c r="N218" s="69"/>
      <c r="O218" s="350"/>
      <c r="P218" s="69"/>
      <c r="Q218" s="350"/>
      <c r="R218" s="69"/>
      <c r="S218" s="350"/>
      <c r="T218" s="69"/>
      <c r="U218" s="350"/>
      <c r="V218" s="69"/>
      <c r="W218" s="350"/>
    </row>
    <row r="219" spans="1:23" ht="17.2" customHeight="1" x14ac:dyDescent="0.35">
      <c r="A219" s="351" t="s">
        <v>11</v>
      </c>
      <c r="B219" s="73"/>
      <c r="C219" s="74"/>
      <c r="D219" s="75"/>
      <c r="E219" s="348"/>
      <c r="F219" s="75"/>
      <c r="G219" s="348"/>
      <c r="H219" s="75"/>
      <c r="I219" s="348"/>
      <c r="J219" s="75"/>
      <c r="K219" s="348"/>
      <c r="L219" s="75"/>
      <c r="M219" s="348"/>
      <c r="N219" s="75"/>
      <c r="O219" s="348"/>
      <c r="P219" s="75"/>
      <c r="Q219" s="348"/>
      <c r="R219" s="75"/>
      <c r="S219" s="348"/>
      <c r="T219" s="75"/>
      <c r="U219" s="348"/>
      <c r="V219" s="75"/>
      <c r="W219" s="348"/>
    </row>
    <row r="220" spans="1:23" ht="17.2" customHeight="1" x14ac:dyDescent="0.35">
      <c r="A220" s="352"/>
      <c r="B220" s="76"/>
      <c r="C220" s="77"/>
      <c r="D220" s="78"/>
      <c r="E220" s="349"/>
      <c r="F220" s="78"/>
      <c r="G220" s="349"/>
      <c r="H220" s="78"/>
      <c r="I220" s="349"/>
      <c r="J220" s="78"/>
      <c r="K220" s="349"/>
      <c r="L220" s="78"/>
      <c r="M220" s="349"/>
      <c r="N220" s="78"/>
      <c r="O220" s="349"/>
      <c r="P220" s="78"/>
      <c r="Q220" s="349"/>
      <c r="R220" s="78"/>
      <c r="S220" s="349"/>
      <c r="T220" s="78"/>
      <c r="U220" s="349"/>
      <c r="V220" s="78"/>
      <c r="W220" s="349"/>
    </row>
    <row r="221" spans="1:23" ht="17.2" customHeight="1" thickBot="1" x14ac:dyDescent="0.4">
      <c r="A221" s="353"/>
      <c r="B221" s="79"/>
      <c r="C221" s="80"/>
      <c r="D221" s="69"/>
      <c r="E221" s="350"/>
      <c r="F221" s="69"/>
      <c r="G221" s="350"/>
      <c r="H221" s="69"/>
      <c r="I221" s="350"/>
      <c r="J221" s="69"/>
      <c r="K221" s="350"/>
      <c r="L221" s="69"/>
      <c r="M221" s="350"/>
      <c r="N221" s="69"/>
      <c r="O221" s="350"/>
      <c r="P221" s="69"/>
      <c r="Q221" s="350"/>
      <c r="R221" s="69"/>
      <c r="S221" s="350"/>
      <c r="T221" s="69"/>
      <c r="U221" s="350"/>
      <c r="V221" s="69"/>
      <c r="W221" s="350"/>
    </row>
    <row r="222" spans="1:23" ht="27.75" customHeight="1" thickBot="1" x14ac:dyDescent="0.4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4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3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35">
      <c r="B225" s="88" t="s">
        <v>1797</v>
      </c>
      <c r="C225" s="89" t="s">
        <v>1798</v>
      </c>
      <c r="D225" s="346">
        <f>VLOOKUP(B205,Schlüssel!$A$5:$K$14,3)</f>
        <v>10</v>
      </c>
      <c r="E225" s="346"/>
      <c r="F225" s="346">
        <f>VLOOKUP(B205,Schlüssel!$A$5:$K$14,4)</f>
        <v>5</v>
      </c>
      <c r="G225" s="346"/>
      <c r="H225" s="346">
        <f>VLOOKUP(B205,Schlüssel!$A$5:$K$14,5)</f>
        <v>2</v>
      </c>
      <c r="I225" s="346"/>
      <c r="J225" s="346">
        <f>VLOOKUP(B205,Schlüssel!$A$5:$K$14,6)</f>
        <v>6</v>
      </c>
      <c r="K225" s="346"/>
      <c r="L225" s="346">
        <f>VLOOKUP(B205,Schlüssel!$A$5:$K$14,7)</f>
        <v>9</v>
      </c>
      <c r="M225" s="346"/>
      <c r="N225" s="346">
        <f>VLOOKUP(B205,Schlüssel!$A$5:$K$14,8)</f>
        <v>4</v>
      </c>
      <c r="O225" s="346"/>
      <c r="P225" s="346">
        <f>VLOOKUP(B205,Schlüssel!$A$5:$K$14,9)</f>
        <v>3</v>
      </c>
      <c r="Q225" s="346"/>
      <c r="R225" s="346">
        <f>VLOOKUP(B205,Schlüssel!$A$5:$K$14,10)</f>
        <v>7</v>
      </c>
      <c r="S225" s="346"/>
      <c r="T225" s="346">
        <f>VLOOKUP(B205,Schlüssel!$A$5:$K$14,11)</f>
        <v>1</v>
      </c>
      <c r="U225" s="346"/>
      <c r="V225" s="347"/>
      <c r="W225" s="347"/>
    </row>
    <row r="226" spans="1:29" ht="28.5" customHeight="1" x14ac:dyDescent="0.35">
      <c r="B226" s="90"/>
      <c r="C226" s="86"/>
      <c r="D226" s="343" t="str">
        <f>VLOOKUP(D225,Schlüssel!$A$5:$K$14,2)</f>
        <v>BK München 4</v>
      </c>
      <c r="E226" s="344"/>
      <c r="F226" s="343" t="str">
        <f>VLOOKUP(F225,Schlüssel!$A$5:$K$14,2)</f>
        <v xml:space="preserve">Weiß Blau Unterföhring </v>
      </c>
      <c r="G226" s="344"/>
      <c r="H226" s="343" t="str">
        <f>VLOOKUP(H225,Schlüssel!$A$5:$K$14,2)</f>
        <v>BK München 2</v>
      </c>
      <c r="I226" s="344"/>
      <c r="J226" s="343" t="str">
        <f>VLOOKUP(J225,Schlüssel!$A$5:$K$14,2)</f>
        <v>Phönix 03 Lauf</v>
      </c>
      <c r="K226" s="344"/>
      <c r="L226" s="343" t="str">
        <f>VLOOKUP(L225,Schlüssel!$A$5:$K$14,2)</f>
        <v>RW Lichtenhof 69 Stein 2</v>
      </c>
      <c r="M226" s="344"/>
      <c r="N226" s="343" t="str">
        <f>VLOOKUP(N225,Schlüssel!$A$5:$K$14,2)</f>
        <v>BK München 3</v>
      </c>
      <c r="O226" s="344"/>
      <c r="P226" s="343" t="str">
        <f>VLOOKUP(P225,Schlüssel!$A$5:$K$14,2)</f>
        <v>Highroller Rosenheim</v>
      </c>
      <c r="Q226" s="344"/>
      <c r="R226" s="343" t="str">
        <f>VLOOKUP(R225,Schlüssel!$A$5:$K$14,2)</f>
        <v>Frankenpower Nürnberg</v>
      </c>
      <c r="S226" s="344"/>
      <c r="T226" s="343" t="str">
        <f>VLOOKUP(T225,Schlüssel!$A$5:$K$14,2)</f>
        <v>Praetoria Regensburg</v>
      </c>
      <c r="U226" s="344"/>
      <c r="V226" s="345"/>
      <c r="W226" s="345"/>
    </row>
    <row r="227" spans="1:29" ht="12" customHeight="1" x14ac:dyDescent="0.35">
      <c r="B227" s="90"/>
      <c r="C227" s="86"/>
      <c r="D227" s="341"/>
      <c r="E227" s="341"/>
      <c r="F227" s="341"/>
      <c r="G227" s="341"/>
      <c r="H227" s="341"/>
      <c r="I227" s="341"/>
      <c r="J227" s="341"/>
      <c r="K227" s="341"/>
      <c r="L227" s="341"/>
      <c r="M227" s="341"/>
      <c r="N227" s="341"/>
      <c r="O227" s="341"/>
      <c r="P227" s="341"/>
      <c r="Q227" s="341"/>
      <c r="R227" s="341"/>
      <c r="S227" s="341"/>
      <c r="T227" s="341"/>
      <c r="U227" s="342"/>
      <c r="V227" s="301"/>
      <c r="W227" s="301"/>
    </row>
    <row r="228" spans="1:29" ht="16.05" customHeight="1" x14ac:dyDescent="0.35">
      <c r="B228" s="91" t="s">
        <v>0</v>
      </c>
      <c r="C228" s="92"/>
      <c r="D228" s="339"/>
      <c r="E228" s="339"/>
      <c r="F228" s="339"/>
      <c r="G228" s="339"/>
      <c r="H228" s="339"/>
      <c r="I228" s="339"/>
      <c r="J228" s="339"/>
      <c r="K228" s="339"/>
      <c r="L228" s="339"/>
      <c r="M228" s="339"/>
      <c r="N228" s="339"/>
      <c r="O228" s="339"/>
      <c r="P228" s="339"/>
      <c r="Q228" s="339"/>
      <c r="R228" s="339"/>
      <c r="S228" s="339"/>
      <c r="T228" s="339"/>
      <c r="U228" s="339"/>
      <c r="V228" s="340"/>
      <c r="W228" s="340"/>
    </row>
    <row r="229" spans="1:29" ht="16.05" customHeight="1" x14ac:dyDescent="0.35">
      <c r="B229" s="91" t="s">
        <v>2</v>
      </c>
      <c r="C229" s="92"/>
      <c r="D229" s="339"/>
      <c r="E229" s="339"/>
      <c r="F229" s="339"/>
      <c r="G229" s="339"/>
      <c r="H229" s="339"/>
      <c r="I229" s="339"/>
      <c r="J229" s="339"/>
      <c r="K229" s="339"/>
      <c r="L229" s="339"/>
      <c r="M229" s="339"/>
      <c r="N229" s="339"/>
      <c r="O229" s="339"/>
      <c r="P229" s="339"/>
      <c r="Q229" s="339"/>
      <c r="R229" s="339"/>
      <c r="S229" s="339"/>
      <c r="T229" s="339"/>
      <c r="U229" s="339"/>
      <c r="V229" s="340"/>
      <c r="W229" s="340"/>
    </row>
    <row r="230" spans="1:29" ht="16.05" customHeight="1" x14ac:dyDescent="0.35">
      <c r="B230" s="91" t="s">
        <v>3</v>
      </c>
      <c r="C230" s="92"/>
      <c r="D230" s="339"/>
      <c r="E230" s="339"/>
      <c r="F230" s="339"/>
      <c r="G230" s="339"/>
      <c r="H230" s="339"/>
      <c r="I230" s="339"/>
      <c r="J230" s="339"/>
      <c r="K230" s="339"/>
      <c r="L230" s="339"/>
      <c r="M230" s="339"/>
      <c r="N230" s="339"/>
      <c r="O230" s="339"/>
      <c r="P230" s="339"/>
      <c r="Q230" s="339"/>
      <c r="R230" s="339"/>
      <c r="S230" s="339"/>
      <c r="T230" s="339"/>
      <c r="U230" s="339"/>
      <c r="V230" s="340"/>
      <c r="W230" s="340"/>
    </row>
    <row r="231" spans="1:29" ht="16.05" customHeight="1" x14ac:dyDescent="0.35">
      <c r="B231" s="91" t="s">
        <v>11</v>
      </c>
      <c r="C231" s="92"/>
      <c r="D231" s="339"/>
      <c r="E231" s="339"/>
      <c r="F231" s="339"/>
      <c r="G231" s="339"/>
      <c r="H231" s="339"/>
      <c r="I231" s="339"/>
      <c r="J231" s="339"/>
      <c r="K231" s="339"/>
      <c r="L231" s="339"/>
      <c r="M231" s="339"/>
      <c r="N231" s="339"/>
      <c r="O231" s="339"/>
      <c r="P231" s="339"/>
      <c r="Q231" s="339"/>
      <c r="R231" s="339"/>
      <c r="S231" s="339"/>
      <c r="T231" s="339"/>
      <c r="U231" s="339"/>
      <c r="V231" s="340"/>
      <c r="W231" s="340"/>
    </row>
    <row r="232" spans="1:29" ht="16.05" customHeight="1" x14ac:dyDescent="0.35">
      <c r="B232" s="93" t="s">
        <v>1799</v>
      </c>
      <c r="C232" s="94"/>
      <c r="D232" s="338"/>
      <c r="E232" s="338"/>
      <c r="F232" s="338"/>
      <c r="G232" s="338"/>
      <c r="H232" s="338"/>
      <c r="I232" s="338"/>
      <c r="J232" s="338"/>
      <c r="K232" s="338"/>
      <c r="L232" s="338"/>
      <c r="M232" s="338"/>
      <c r="N232" s="338"/>
      <c r="O232" s="338"/>
      <c r="P232" s="338"/>
      <c r="Q232" s="338"/>
      <c r="R232" s="338"/>
      <c r="S232" s="338"/>
      <c r="T232" s="338"/>
      <c r="U232" s="338"/>
      <c r="V232" s="290"/>
      <c r="W232" s="290"/>
    </row>
    <row r="233" spans="1:29" ht="21" customHeight="1" x14ac:dyDescent="0.7">
      <c r="B233" s="44" t="s">
        <v>1813</v>
      </c>
      <c r="C233" s="45"/>
      <c r="D233" s="46" t="s">
        <v>1792</v>
      </c>
      <c r="E233" s="47"/>
      <c r="F233" s="359" t="str">
        <f>Schlüssel!$C$1</f>
        <v>Bayernliga Frauen</v>
      </c>
      <c r="G233" s="359"/>
      <c r="H233" s="359"/>
      <c r="I233" s="359"/>
      <c r="J233" s="359"/>
      <c r="K233" s="359"/>
      <c r="L233" s="359"/>
      <c r="M233" s="359"/>
      <c r="N233" s="359"/>
      <c r="O233" s="359"/>
      <c r="P233" s="45"/>
      <c r="Q233" s="45"/>
      <c r="R233" s="48"/>
      <c r="S233" s="49" t="s">
        <v>1794</v>
      </c>
      <c r="T233" s="50"/>
      <c r="U233" s="360" t="str">
        <f>Schlüssel!$M$1</f>
        <v>12.10./13.10.</v>
      </c>
      <c r="V233" s="361"/>
      <c r="W233" s="362"/>
      <c r="AC233" s="51"/>
    </row>
    <row r="234" spans="1:29" ht="17.25" customHeight="1" thickBot="1" x14ac:dyDescent="0.65">
      <c r="A234" s="52"/>
      <c r="B234" s="96">
        <f>+B205+1</f>
        <v>9</v>
      </c>
      <c r="D234" s="46" t="s">
        <v>1793</v>
      </c>
      <c r="E234" s="54"/>
      <c r="F234" s="358" t="str">
        <f>Schlüssel!$C$2</f>
        <v>Unterföhring Dreambowl Palace</v>
      </c>
      <c r="G234" s="358"/>
      <c r="H234" s="358"/>
      <c r="I234" s="358"/>
      <c r="J234" s="358"/>
      <c r="K234" s="358"/>
      <c r="L234" s="358"/>
      <c r="M234" s="358"/>
      <c r="N234" s="358"/>
      <c r="O234" s="358"/>
      <c r="P234" s="55"/>
      <c r="Q234" s="55"/>
      <c r="S234" s="49" t="s">
        <v>1791</v>
      </c>
      <c r="T234" s="56">
        <v>1</v>
      </c>
      <c r="U234" s="50"/>
      <c r="V234" s="50"/>
      <c r="AC234" s="97"/>
    </row>
    <row r="235" spans="1:29" ht="15.75" customHeight="1" thickBot="1" x14ac:dyDescent="0.4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5" thickBot="1" x14ac:dyDescent="0.45">
      <c r="A236" s="2"/>
      <c r="B236" s="44"/>
      <c r="C236" s="63"/>
      <c r="D236" s="64" t="s">
        <v>10</v>
      </c>
      <c r="E236" s="44">
        <f>VLOOKUP(B234,Schlüssel!$A$5:$DZ$14,13)</f>
        <v>10</v>
      </c>
      <c r="F236" s="65" t="s">
        <v>10</v>
      </c>
      <c r="G236" s="44">
        <f>VLOOKUP(B234,Schlüssel!$A$5:$DZ$14,14)</f>
        <v>3</v>
      </c>
      <c r="H236" s="65" t="s">
        <v>10</v>
      </c>
      <c r="I236" s="44">
        <f>VLOOKUP(B234,Schlüssel!$A$5:$DZ$14,15)</f>
        <v>2</v>
      </c>
      <c r="J236" s="65" t="s">
        <v>10</v>
      </c>
      <c r="K236" s="44">
        <f>VLOOKUP(B234,Schlüssel!$A$5:$DZ$14,16)</f>
        <v>6</v>
      </c>
      <c r="L236" s="65" t="s">
        <v>10</v>
      </c>
      <c r="M236" s="44">
        <f>VLOOKUP(B234,Schlüssel!$A$5:$DZ$14,17)</f>
        <v>9</v>
      </c>
      <c r="N236" s="65" t="s">
        <v>10</v>
      </c>
      <c r="O236" s="44">
        <f>VLOOKUP(B234,Schlüssel!$A$5:$DZ$14,18)</f>
        <v>7</v>
      </c>
      <c r="P236" s="65" t="s">
        <v>10</v>
      </c>
      <c r="Q236" s="44">
        <f>VLOOKUP(B234,Schlüssel!$A$5:$DZ$14,19)</f>
        <v>1</v>
      </c>
      <c r="R236" s="65" t="s">
        <v>10</v>
      </c>
      <c r="S236" s="44">
        <f>VLOOKUP(B234,Schlüssel!$A$5:$DZ$14,20)</f>
        <v>5</v>
      </c>
      <c r="T236" s="65" t="s">
        <v>10</v>
      </c>
      <c r="U236" s="66">
        <f>VLOOKUP(B234,Schlüssel!$A$5:$DZ$14,21)</f>
        <v>4</v>
      </c>
    </row>
    <row r="237" spans="1:29" ht="20.25" customHeight="1" x14ac:dyDescent="0.35">
      <c r="B237" s="67" t="s">
        <v>1</v>
      </c>
      <c r="C237" s="68"/>
      <c r="D237" s="354" t="s">
        <v>1800</v>
      </c>
      <c r="E237" s="355"/>
      <c r="F237" s="354" t="s">
        <v>1801</v>
      </c>
      <c r="G237" s="355"/>
      <c r="H237" s="354" t="s">
        <v>1802</v>
      </c>
      <c r="I237" s="355"/>
      <c r="J237" s="354" t="s">
        <v>1803</v>
      </c>
      <c r="K237" s="355"/>
      <c r="L237" s="354" t="s">
        <v>1804</v>
      </c>
      <c r="M237" s="355"/>
      <c r="N237" s="354" t="s">
        <v>1805</v>
      </c>
      <c r="O237" s="355"/>
      <c r="P237" s="354" t="s">
        <v>1806</v>
      </c>
      <c r="Q237" s="355"/>
      <c r="R237" s="354" t="s">
        <v>1807</v>
      </c>
      <c r="S237" s="355"/>
      <c r="T237" s="354" t="s">
        <v>1808</v>
      </c>
      <c r="U237" s="355"/>
      <c r="V237" s="356" t="s">
        <v>1799</v>
      </c>
      <c r="W237" s="357"/>
    </row>
    <row r="238" spans="1:29" ht="15" customHeight="1" thickBot="1" x14ac:dyDescent="0.4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2" customHeight="1" x14ac:dyDescent="0.35">
      <c r="A239" s="351" t="s">
        <v>0</v>
      </c>
      <c r="B239" s="73"/>
      <c r="C239" s="74"/>
      <c r="D239" s="75"/>
      <c r="E239" s="348"/>
      <c r="F239" s="75"/>
      <c r="G239" s="348"/>
      <c r="H239" s="75"/>
      <c r="I239" s="348"/>
      <c r="J239" s="75"/>
      <c r="K239" s="348"/>
      <c r="L239" s="75"/>
      <c r="M239" s="348"/>
      <c r="N239" s="75"/>
      <c r="O239" s="348"/>
      <c r="P239" s="75"/>
      <c r="Q239" s="348"/>
      <c r="R239" s="75"/>
      <c r="S239" s="348"/>
      <c r="T239" s="75"/>
      <c r="U239" s="348"/>
      <c r="V239" s="75"/>
      <c r="W239" s="348"/>
    </row>
    <row r="240" spans="1:29" ht="17.2" customHeight="1" x14ac:dyDescent="0.35">
      <c r="A240" s="352"/>
      <c r="B240" s="76"/>
      <c r="C240" s="77"/>
      <c r="D240" s="78"/>
      <c r="E240" s="349"/>
      <c r="F240" s="78"/>
      <c r="G240" s="349"/>
      <c r="H240" s="78"/>
      <c r="I240" s="349"/>
      <c r="J240" s="78"/>
      <c r="K240" s="349"/>
      <c r="L240" s="78"/>
      <c r="M240" s="349"/>
      <c r="N240" s="78"/>
      <c r="O240" s="349"/>
      <c r="P240" s="78"/>
      <c r="Q240" s="349"/>
      <c r="R240" s="78"/>
      <c r="S240" s="349"/>
      <c r="T240" s="78"/>
      <c r="U240" s="349"/>
      <c r="V240" s="78"/>
      <c r="W240" s="349"/>
    </row>
    <row r="241" spans="1:23" ht="17.2" customHeight="1" thickBot="1" x14ac:dyDescent="0.4">
      <c r="A241" s="353"/>
      <c r="B241" s="79"/>
      <c r="C241" s="80"/>
      <c r="D241" s="69"/>
      <c r="E241" s="350"/>
      <c r="F241" s="69"/>
      <c r="G241" s="350"/>
      <c r="H241" s="69"/>
      <c r="I241" s="350"/>
      <c r="J241" s="69"/>
      <c r="K241" s="350"/>
      <c r="L241" s="69"/>
      <c r="M241" s="350"/>
      <c r="N241" s="69"/>
      <c r="O241" s="350"/>
      <c r="P241" s="69"/>
      <c r="Q241" s="350"/>
      <c r="R241" s="69"/>
      <c r="S241" s="350"/>
      <c r="T241" s="69"/>
      <c r="U241" s="350"/>
      <c r="V241" s="69"/>
      <c r="W241" s="350"/>
    </row>
    <row r="242" spans="1:23" ht="17.2" customHeight="1" x14ac:dyDescent="0.35">
      <c r="A242" s="351" t="s">
        <v>2</v>
      </c>
      <c r="B242" s="73"/>
      <c r="C242" s="74"/>
      <c r="D242" s="75"/>
      <c r="E242" s="348"/>
      <c r="F242" s="75"/>
      <c r="G242" s="348"/>
      <c r="H242" s="75"/>
      <c r="I242" s="348"/>
      <c r="J242" s="75"/>
      <c r="K242" s="348"/>
      <c r="L242" s="75"/>
      <c r="M242" s="348"/>
      <c r="N242" s="75"/>
      <c r="O242" s="348"/>
      <c r="P242" s="75"/>
      <c r="Q242" s="348"/>
      <c r="R242" s="75"/>
      <c r="S242" s="348"/>
      <c r="T242" s="75"/>
      <c r="U242" s="348"/>
      <c r="V242" s="75"/>
      <c r="W242" s="348"/>
    </row>
    <row r="243" spans="1:23" ht="17.2" customHeight="1" x14ac:dyDescent="0.35">
      <c r="A243" s="352"/>
      <c r="B243" s="76"/>
      <c r="C243" s="77"/>
      <c r="D243" s="78"/>
      <c r="E243" s="349"/>
      <c r="F243" s="78"/>
      <c r="G243" s="349"/>
      <c r="H243" s="78"/>
      <c r="I243" s="349"/>
      <c r="J243" s="78"/>
      <c r="K243" s="349"/>
      <c r="L243" s="78"/>
      <c r="M243" s="349"/>
      <c r="N243" s="78"/>
      <c r="O243" s="349"/>
      <c r="P243" s="78"/>
      <c r="Q243" s="349"/>
      <c r="R243" s="78"/>
      <c r="S243" s="349"/>
      <c r="T243" s="78"/>
      <c r="U243" s="349"/>
      <c r="V243" s="78"/>
      <c r="W243" s="349"/>
    </row>
    <row r="244" spans="1:23" ht="17.2" customHeight="1" thickBot="1" x14ac:dyDescent="0.4">
      <c r="A244" s="353"/>
      <c r="B244" s="79"/>
      <c r="C244" s="80"/>
      <c r="D244" s="69"/>
      <c r="E244" s="350"/>
      <c r="F244" s="69"/>
      <c r="G244" s="350"/>
      <c r="H244" s="69"/>
      <c r="I244" s="350"/>
      <c r="J244" s="69"/>
      <c r="K244" s="350"/>
      <c r="L244" s="69"/>
      <c r="M244" s="350"/>
      <c r="N244" s="69"/>
      <c r="O244" s="350"/>
      <c r="P244" s="69"/>
      <c r="Q244" s="350"/>
      <c r="R244" s="69"/>
      <c r="S244" s="350"/>
      <c r="T244" s="69"/>
      <c r="U244" s="350"/>
      <c r="V244" s="69"/>
      <c r="W244" s="350"/>
    </row>
    <row r="245" spans="1:23" ht="17.2" customHeight="1" x14ac:dyDescent="0.35">
      <c r="A245" s="351" t="s">
        <v>3</v>
      </c>
      <c r="B245" s="73"/>
      <c r="C245" s="74"/>
      <c r="D245" s="75"/>
      <c r="E245" s="348"/>
      <c r="F245" s="75"/>
      <c r="G245" s="348"/>
      <c r="H245" s="75"/>
      <c r="I245" s="348"/>
      <c r="J245" s="75"/>
      <c r="K245" s="348"/>
      <c r="L245" s="75"/>
      <c r="M245" s="348"/>
      <c r="N245" s="75"/>
      <c r="O245" s="348"/>
      <c r="P245" s="75"/>
      <c r="Q245" s="348"/>
      <c r="R245" s="75"/>
      <c r="S245" s="348"/>
      <c r="T245" s="75"/>
      <c r="U245" s="348"/>
      <c r="V245" s="75"/>
      <c r="W245" s="348"/>
    </row>
    <row r="246" spans="1:23" ht="17.2" customHeight="1" x14ac:dyDescent="0.35">
      <c r="A246" s="352"/>
      <c r="B246" s="76"/>
      <c r="C246" s="77"/>
      <c r="D246" s="78"/>
      <c r="E246" s="349"/>
      <c r="F246" s="78"/>
      <c r="G246" s="349"/>
      <c r="H246" s="78"/>
      <c r="I246" s="349"/>
      <c r="J246" s="78"/>
      <c r="K246" s="349"/>
      <c r="L246" s="78"/>
      <c r="M246" s="349"/>
      <c r="N246" s="78"/>
      <c r="O246" s="349"/>
      <c r="P246" s="78"/>
      <c r="Q246" s="349"/>
      <c r="R246" s="78"/>
      <c r="S246" s="349"/>
      <c r="T246" s="78"/>
      <c r="U246" s="349"/>
      <c r="V246" s="78"/>
      <c r="W246" s="349"/>
    </row>
    <row r="247" spans="1:23" ht="17.2" customHeight="1" thickBot="1" x14ac:dyDescent="0.4">
      <c r="A247" s="353"/>
      <c r="B247" s="79"/>
      <c r="C247" s="80"/>
      <c r="D247" s="69"/>
      <c r="E247" s="350"/>
      <c r="F247" s="69"/>
      <c r="G247" s="350"/>
      <c r="H247" s="69"/>
      <c r="I247" s="350"/>
      <c r="J247" s="69"/>
      <c r="K247" s="350"/>
      <c r="L247" s="69"/>
      <c r="M247" s="350"/>
      <c r="N247" s="69"/>
      <c r="O247" s="350"/>
      <c r="P247" s="69"/>
      <c r="Q247" s="350"/>
      <c r="R247" s="69"/>
      <c r="S247" s="350"/>
      <c r="T247" s="69"/>
      <c r="U247" s="350"/>
      <c r="V247" s="69"/>
      <c r="W247" s="350"/>
    </row>
    <row r="248" spans="1:23" ht="17.2" customHeight="1" x14ac:dyDescent="0.35">
      <c r="A248" s="351" t="s">
        <v>11</v>
      </c>
      <c r="B248" s="73"/>
      <c r="C248" s="74"/>
      <c r="D248" s="75"/>
      <c r="E248" s="348"/>
      <c r="F248" s="75"/>
      <c r="G248" s="348"/>
      <c r="H248" s="75"/>
      <c r="I248" s="348"/>
      <c r="J248" s="75"/>
      <c r="K248" s="348"/>
      <c r="L248" s="75"/>
      <c r="M248" s="348"/>
      <c r="N248" s="75"/>
      <c r="O248" s="348"/>
      <c r="P248" s="75"/>
      <c r="Q248" s="348"/>
      <c r="R248" s="75"/>
      <c r="S248" s="348"/>
      <c r="T248" s="75"/>
      <c r="U248" s="348"/>
      <c r="V248" s="75"/>
      <c r="W248" s="348"/>
    </row>
    <row r="249" spans="1:23" ht="17.2" customHeight="1" x14ac:dyDescent="0.35">
      <c r="A249" s="352"/>
      <c r="B249" s="76"/>
      <c r="C249" s="77"/>
      <c r="D249" s="78"/>
      <c r="E249" s="349"/>
      <c r="F249" s="78"/>
      <c r="G249" s="349"/>
      <c r="H249" s="78"/>
      <c r="I249" s="349"/>
      <c r="J249" s="78"/>
      <c r="K249" s="349"/>
      <c r="L249" s="78"/>
      <c r="M249" s="349"/>
      <c r="N249" s="78"/>
      <c r="O249" s="349"/>
      <c r="P249" s="78"/>
      <c r="Q249" s="349"/>
      <c r="R249" s="78"/>
      <c r="S249" s="349"/>
      <c r="T249" s="78"/>
      <c r="U249" s="349"/>
      <c r="V249" s="78"/>
      <c r="W249" s="349"/>
    </row>
    <row r="250" spans="1:23" ht="17.2" customHeight="1" thickBot="1" x14ac:dyDescent="0.4">
      <c r="A250" s="353"/>
      <c r="B250" s="79"/>
      <c r="C250" s="80"/>
      <c r="D250" s="69"/>
      <c r="E250" s="350"/>
      <c r="F250" s="69"/>
      <c r="G250" s="350"/>
      <c r="H250" s="69"/>
      <c r="I250" s="350"/>
      <c r="J250" s="69"/>
      <c r="K250" s="350"/>
      <c r="L250" s="69"/>
      <c r="M250" s="350"/>
      <c r="N250" s="69"/>
      <c r="O250" s="350"/>
      <c r="P250" s="69"/>
      <c r="Q250" s="350"/>
      <c r="R250" s="69"/>
      <c r="S250" s="350"/>
      <c r="T250" s="69"/>
      <c r="U250" s="350"/>
      <c r="V250" s="69"/>
      <c r="W250" s="350"/>
    </row>
    <row r="251" spans="1:23" ht="27.75" customHeight="1" thickBot="1" x14ac:dyDescent="0.4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4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3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35">
      <c r="B254" s="88" t="s">
        <v>1797</v>
      </c>
      <c r="C254" s="89" t="s">
        <v>1798</v>
      </c>
      <c r="D254" s="346">
        <f>VLOOKUP(B234,Schlüssel!$A$5:$K$14,3)</f>
        <v>5</v>
      </c>
      <c r="E254" s="346"/>
      <c r="F254" s="346">
        <f>VLOOKUP(B234,Schlüssel!$A$5:$K$14,4)</f>
        <v>1</v>
      </c>
      <c r="G254" s="346"/>
      <c r="H254" s="346">
        <f>VLOOKUP(B234,Schlüssel!$A$5:$K$14,5)</f>
        <v>4</v>
      </c>
      <c r="I254" s="346"/>
      <c r="J254" s="346">
        <f>VLOOKUP(B234,Schlüssel!$A$5:$K$14,6)</f>
        <v>3</v>
      </c>
      <c r="K254" s="346"/>
      <c r="L254" s="346">
        <f>VLOOKUP(B234,Schlüssel!$A$5:$K$14,7)</f>
        <v>8</v>
      </c>
      <c r="M254" s="346"/>
      <c r="N254" s="346">
        <f>VLOOKUP(B234,Schlüssel!$A$5:$K$14,8)</f>
        <v>10</v>
      </c>
      <c r="O254" s="346"/>
      <c r="P254" s="346">
        <f>VLOOKUP(B234,Schlüssel!$A$5:$K$14,9)</f>
        <v>7</v>
      </c>
      <c r="Q254" s="346"/>
      <c r="R254" s="346">
        <f>VLOOKUP(B234,Schlüssel!$A$5:$K$14,10)</f>
        <v>6</v>
      </c>
      <c r="S254" s="346"/>
      <c r="T254" s="346">
        <f>VLOOKUP(B234,Schlüssel!$A$5:$K$14,11)</f>
        <v>2</v>
      </c>
      <c r="U254" s="346"/>
      <c r="V254" s="347"/>
      <c r="W254" s="347"/>
    </row>
    <row r="255" spans="1:23" ht="28.5" customHeight="1" x14ac:dyDescent="0.35">
      <c r="B255" s="90"/>
      <c r="C255" s="86"/>
      <c r="D255" s="343" t="str">
        <f>VLOOKUP(D254,Schlüssel!$A$5:$K$14,2)</f>
        <v xml:space="preserve">Weiß Blau Unterföhring </v>
      </c>
      <c r="E255" s="344"/>
      <c r="F255" s="343" t="str">
        <f>VLOOKUP(F254,Schlüssel!$A$5:$K$14,2)</f>
        <v>Praetoria Regensburg</v>
      </c>
      <c r="G255" s="344"/>
      <c r="H255" s="343" t="str">
        <f>VLOOKUP(H254,Schlüssel!$A$5:$K$14,2)</f>
        <v>BK München 3</v>
      </c>
      <c r="I255" s="344"/>
      <c r="J255" s="343" t="str">
        <f>VLOOKUP(J254,Schlüssel!$A$5:$K$14,2)</f>
        <v>Highroller Rosenheim</v>
      </c>
      <c r="K255" s="344"/>
      <c r="L255" s="343" t="str">
        <f>VLOOKUP(L254,Schlüssel!$A$5:$K$14,2)</f>
        <v>EPA München 1</v>
      </c>
      <c r="M255" s="344"/>
      <c r="N255" s="343" t="str">
        <f>VLOOKUP(N254,Schlüssel!$A$5:$K$14,2)</f>
        <v>BK München 4</v>
      </c>
      <c r="O255" s="344"/>
      <c r="P255" s="343" t="str">
        <f>VLOOKUP(P254,Schlüssel!$A$5:$K$14,2)</f>
        <v>Frankenpower Nürnberg</v>
      </c>
      <c r="Q255" s="344"/>
      <c r="R255" s="343" t="str">
        <f>VLOOKUP(R254,Schlüssel!$A$5:$K$14,2)</f>
        <v>Phönix 03 Lauf</v>
      </c>
      <c r="S255" s="344"/>
      <c r="T255" s="343" t="str">
        <f>VLOOKUP(T254,Schlüssel!$A$5:$K$14,2)</f>
        <v>BK München 2</v>
      </c>
      <c r="U255" s="344"/>
      <c r="V255" s="345"/>
      <c r="W255" s="345"/>
    </row>
    <row r="256" spans="1:23" ht="12" customHeight="1" x14ac:dyDescent="0.35">
      <c r="B256" s="90"/>
      <c r="C256" s="86"/>
      <c r="D256" s="341"/>
      <c r="E256" s="341"/>
      <c r="F256" s="341"/>
      <c r="G256" s="341"/>
      <c r="H256" s="341"/>
      <c r="I256" s="341"/>
      <c r="J256" s="341"/>
      <c r="K256" s="341"/>
      <c r="L256" s="341"/>
      <c r="M256" s="341"/>
      <c r="N256" s="341"/>
      <c r="O256" s="341"/>
      <c r="P256" s="341"/>
      <c r="Q256" s="341"/>
      <c r="R256" s="341"/>
      <c r="S256" s="341"/>
      <c r="T256" s="341"/>
      <c r="U256" s="342"/>
      <c r="V256" s="301"/>
      <c r="W256" s="301"/>
    </row>
    <row r="257" spans="1:29" ht="16.05" customHeight="1" x14ac:dyDescent="0.35">
      <c r="B257" s="91" t="s">
        <v>0</v>
      </c>
      <c r="C257" s="92"/>
      <c r="D257" s="339"/>
      <c r="E257" s="339"/>
      <c r="F257" s="339"/>
      <c r="G257" s="339"/>
      <c r="H257" s="339"/>
      <c r="I257" s="339"/>
      <c r="J257" s="339"/>
      <c r="K257" s="339"/>
      <c r="L257" s="339"/>
      <c r="M257" s="339"/>
      <c r="N257" s="339"/>
      <c r="O257" s="339"/>
      <c r="P257" s="339"/>
      <c r="Q257" s="339"/>
      <c r="R257" s="339"/>
      <c r="S257" s="339"/>
      <c r="T257" s="339"/>
      <c r="U257" s="339"/>
      <c r="V257" s="340"/>
      <c r="W257" s="340"/>
    </row>
    <row r="258" spans="1:29" ht="16.05" customHeight="1" x14ac:dyDescent="0.35">
      <c r="B258" s="91" t="s">
        <v>2</v>
      </c>
      <c r="C258" s="92"/>
      <c r="D258" s="339"/>
      <c r="E258" s="339"/>
      <c r="F258" s="339"/>
      <c r="G258" s="339"/>
      <c r="H258" s="339"/>
      <c r="I258" s="339"/>
      <c r="J258" s="339"/>
      <c r="K258" s="339"/>
      <c r="L258" s="339"/>
      <c r="M258" s="339"/>
      <c r="N258" s="339"/>
      <c r="O258" s="339"/>
      <c r="P258" s="339"/>
      <c r="Q258" s="339"/>
      <c r="R258" s="339"/>
      <c r="S258" s="339"/>
      <c r="T258" s="339"/>
      <c r="U258" s="339"/>
      <c r="V258" s="340"/>
      <c r="W258" s="340"/>
    </row>
    <row r="259" spans="1:29" ht="16.05" customHeight="1" x14ac:dyDescent="0.35">
      <c r="B259" s="91" t="s">
        <v>3</v>
      </c>
      <c r="C259" s="92"/>
      <c r="D259" s="339"/>
      <c r="E259" s="339"/>
      <c r="F259" s="339"/>
      <c r="G259" s="339"/>
      <c r="H259" s="339"/>
      <c r="I259" s="339"/>
      <c r="J259" s="339"/>
      <c r="K259" s="339"/>
      <c r="L259" s="339"/>
      <c r="M259" s="339"/>
      <c r="N259" s="339"/>
      <c r="O259" s="339"/>
      <c r="P259" s="339"/>
      <c r="Q259" s="339"/>
      <c r="R259" s="339"/>
      <c r="S259" s="339"/>
      <c r="T259" s="339"/>
      <c r="U259" s="339"/>
      <c r="V259" s="340"/>
      <c r="W259" s="340"/>
    </row>
    <row r="260" spans="1:29" ht="16.05" customHeight="1" x14ac:dyDescent="0.35">
      <c r="B260" s="91" t="s">
        <v>11</v>
      </c>
      <c r="C260" s="92"/>
      <c r="D260" s="339"/>
      <c r="E260" s="339"/>
      <c r="F260" s="339"/>
      <c r="G260" s="339"/>
      <c r="H260" s="339"/>
      <c r="I260" s="339"/>
      <c r="J260" s="339"/>
      <c r="K260" s="339"/>
      <c r="L260" s="339"/>
      <c r="M260" s="339"/>
      <c r="N260" s="339"/>
      <c r="O260" s="339"/>
      <c r="P260" s="339"/>
      <c r="Q260" s="339"/>
      <c r="R260" s="339"/>
      <c r="S260" s="339"/>
      <c r="T260" s="339"/>
      <c r="U260" s="339"/>
      <c r="V260" s="340"/>
      <c r="W260" s="340"/>
    </row>
    <row r="261" spans="1:29" ht="16.05" customHeight="1" x14ac:dyDescent="0.35">
      <c r="B261" s="93" t="s">
        <v>1799</v>
      </c>
      <c r="C261" s="94"/>
      <c r="D261" s="338"/>
      <c r="E261" s="338"/>
      <c r="F261" s="338"/>
      <c r="G261" s="338"/>
      <c r="H261" s="338"/>
      <c r="I261" s="338"/>
      <c r="J261" s="338"/>
      <c r="K261" s="338"/>
      <c r="L261" s="338"/>
      <c r="M261" s="338"/>
      <c r="N261" s="338"/>
      <c r="O261" s="338"/>
      <c r="P261" s="338"/>
      <c r="Q261" s="338"/>
      <c r="R261" s="338"/>
      <c r="S261" s="338"/>
      <c r="T261" s="338"/>
      <c r="U261" s="338"/>
      <c r="V261" s="290"/>
      <c r="W261" s="290"/>
    </row>
    <row r="262" spans="1:29" ht="21" customHeight="1" x14ac:dyDescent="0.7">
      <c r="B262" s="44" t="s">
        <v>1813</v>
      </c>
      <c r="C262" s="45"/>
      <c r="D262" s="46" t="s">
        <v>1792</v>
      </c>
      <c r="E262" s="47"/>
      <c r="F262" s="359" t="str">
        <f>Schlüssel!$C$1</f>
        <v>Bayernliga Frauen</v>
      </c>
      <c r="G262" s="359"/>
      <c r="H262" s="359"/>
      <c r="I262" s="359"/>
      <c r="J262" s="359"/>
      <c r="K262" s="359"/>
      <c r="L262" s="359"/>
      <c r="M262" s="359"/>
      <c r="N262" s="359"/>
      <c r="O262" s="359"/>
      <c r="P262" s="45"/>
      <c r="Q262" s="45"/>
      <c r="R262" s="48"/>
      <c r="S262" s="49" t="s">
        <v>1794</v>
      </c>
      <c r="T262" s="50"/>
      <c r="U262" s="360" t="str">
        <f>Schlüssel!$M$1</f>
        <v>12.10./13.10.</v>
      </c>
      <c r="V262" s="361"/>
      <c r="W262" s="362"/>
      <c r="AC262" s="51"/>
    </row>
    <row r="263" spans="1:29" ht="17.25" customHeight="1" thickBot="1" x14ac:dyDescent="0.65">
      <c r="A263" s="52"/>
      <c r="B263" s="96">
        <f>+B234+1</f>
        <v>10</v>
      </c>
      <c r="D263" s="46" t="s">
        <v>1793</v>
      </c>
      <c r="E263" s="54"/>
      <c r="F263" s="358" t="str">
        <f>Schlüssel!$C$2</f>
        <v>Unterföhring Dreambowl Palace</v>
      </c>
      <c r="G263" s="358"/>
      <c r="H263" s="358"/>
      <c r="I263" s="358"/>
      <c r="J263" s="358"/>
      <c r="K263" s="358"/>
      <c r="L263" s="358"/>
      <c r="M263" s="358"/>
      <c r="N263" s="358"/>
      <c r="O263" s="358"/>
      <c r="P263" s="55"/>
      <c r="Q263" s="55"/>
      <c r="S263" s="49" t="s">
        <v>1791</v>
      </c>
      <c r="T263" s="56">
        <v>1</v>
      </c>
      <c r="U263" s="50"/>
      <c r="V263" s="50"/>
      <c r="AC263" s="97"/>
    </row>
    <row r="264" spans="1:29" ht="15.75" customHeight="1" thickBot="1" x14ac:dyDescent="0.4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5" thickBot="1" x14ac:dyDescent="0.45">
      <c r="A265" s="2"/>
      <c r="B265" s="44"/>
      <c r="C265" s="63"/>
      <c r="D265" s="64" t="s">
        <v>10</v>
      </c>
      <c r="E265" s="44">
        <f>VLOOKUP(B263,Schlüssel!$A$5:$DZ$14,13)</f>
        <v>4</v>
      </c>
      <c r="F265" s="65" t="s">
        <v>10</v>
      </c>
      <c r="G265" s="44">
        <f>VLOOKUP(B263,Schlüssel!$A$5:$DZ$14,14)</f>
        <v>1</v>
      </c>
      <c r="H265" s="65" t="s">
        <v>10</v>
      </c>
      <c r="I265" s="44">
        <f>VLOOKUP(B263,Schlüssel!$A$5:$DZ$14,15)</f>
        <v>10</v>
      </c>
      <c r="J265" s="65" t="s">
        <v>10</v>
      </c>
      <c r="K265" s="44">
        <f>VLOOKUP(B263,Schlüssel!$A$5:$DZ$14,16)</f>
        <v>7</v>
      </c>
      <c r="L265" s="65" t="s">
        <v>10</v>
      </c>
      <c r="M265" s="44">
        <f>VLOOKUP(B263,Schlüssel!$A$5:$DZ$14,17)</f>
        <v>2</v>
      </c>
      <c r="N265" s="65" t="s">
        <v>10</v>
      </c>
      <c r="O265" s="44">
        <f>VLOOKUP(B263,Schlüssel!$A$5:$DZ$14,18)</f>
        <v>8</v>
      </c>
      <c r="P265" s="65" t="s">
        <v>10</v>
      </c>
      <c r="Q265" s="44">
        <f>VLOOKUP(B263,Schlüssel!$A$5:$DZ$14,19)</f>
        <v>6</v>
      </c>
      <c r="R265" s="65" t="s">
        <v>10</v>
      </c>
      <c r="S265" s="44">
        <f>VLOOKUP(B263,Schlüssel!$A$5:$DZ$14,20)</f>
        <v>3</v>
      </c>
      <c r="T265" s="65" t="s">
        <v>10</v>
      </c>
      <c r="U265" s="66">
        <f>VLOOKUP(B263,Schlüssel!$A$5:$DZ$14,21)</f>
        <v>9</v>
      </c>
    </row>
    <row r="266" spans="1:29" ht="20.25" customHeight="1" x14ac:dyDescent="0.35">
      <c r="B266" s="67" t="s">
        <v>1</v>
      </c>
      <c r="C266" s="68"/>
      <c r="D266" s="354" t="s">
        <v>1800</v>
      </c>
      <c r="E266" s="355"/>
      <c r="F266" s="354" t="s">
        <v>1801</v>
      </c>
      <c r="G266" s="355"/>
      <c r="H266" s="354" t="s">
        <v>1802</v>
      </c>
      <c r="I266" s="355"/>
      <c r="J266" s="354" t="s">
        <v>1803</v>
      </c>
      <c r="K266" s="355"/>
      <c r="L266" s="354" t="s">
        <v>1804</v>
      </c>
      <c r="M266" s="355"/>
      <c r="N266" s="354" t="s">
        <v>1805</v>
      </c>
      <c r="O266" s="355"/>
      <c r="P266" s="354" t="s">
        <v>1806</v>
      </c>
      <c r="Q266" s="355"/>
      <c r="R266" s="354" t="s">
        <v>1807</v>
      </c>
      <c r="S266" s="355"/>
      <c r="T266" s="354" t="s">
        <v>1808</v>
      </c>
      <c r="U266" s="355"/>
      <c r="V266" s="356" t="s">
        <v>1799</v>
      </c>
      <c r="W266" s="357"/>
    </row>
    <row r="267" spans="1:29" ht="15" customHeight="1" thickBot="1" x14ac:dyDescent="0.4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2" customHeight="1" x14ac:dyDescent="0.35">
      <c r="A268" s="351" t="s">
        <v>0</v>
      </c>
      <c r="B268" s="73"/>
      <c r="C268" s="74"/>
      <c r="D268" s="75"/>
      <c r="E268" s="348"/>
      <c r="F268" s="75"/>
      <c r="G268" s="348"/>
      <c r="H268" s="75"/>
      <c r="I268" s="348"/>
      <c r="J268" s="75"/>
      <c r="K268" s="348"/>
      <c r="L268" s="75"/>
      <c r="M268" s="348"/>
      <c r="N268" s="75"/>
      <c r="O268" s="348"/>
      <c r="P268" s="75"/>
      <c r="Q268" s="348"/>
      <c r="R268" s="75"/>
      <c r="S268" s="348"/>
      <c r="T268" s="75"/>
      <c r="U268" s="348"/>
      <c r="V268" s="75"/>
      <c r="W268" s="348"/>
    </row>
    <row r="269" spans="1:29" ht="17.2" customHeight="1" x14ac:dyDescent="0.35">
      <c r="A269" s="352"/>
      <c r="B269" s="76"/>
      <c r="C269" s="77"/>
      <c r="D269" s="78"/>
      <c r="E269" s="349"/>
      <c r="F269" s="78"/>
      <c r="G269" s="349"/>
      <c r="H269" s="78"/>
      <c r="I269" s="349"/>
      <c r="J269" s="78"/>
      <c r="K269" s="349"/>
      <c r="L269" s="78"/>
      <c r="M269" s="349"/>
      <c r="N269" s="78"/>
      <c r="O269" s="349"/>
      <c r="P269" s="78"/>
      <c r="Q269" s="349"/>
      <c r="R269" s="78"/>
      <c r="S269" s="349"/>
      <c r="T269" s="78"/>
      <c r="U269" s="349"/>
      <c r="V269" s="78"/>
      <c r="W269" s="349"/>
    </row>
    <row r="270" spans="1:29" ht="17.2" customHeight="1" thickBot="1" x14ac:dyDescent="0.4">
      <c r="A270" s="353"/>
      <c r="B270" s="79"/>
      <c r="C270" s="80"/>
      <c r="D270" s="69"/>
      <c r="E270" s="350"/>
      <c r="F270" s="69"/>
      <c r="G270" s="350"/>
      <c r="H270" s="69"/>
      <c r="I270" s="350"/>
      <c r="J270" s="69"/>
      <c r="K270" s="350"/>
      <c r="L270" s="69"/>
      <c r="M270" s="350"/>
      <c r="N270" s="69"/>
      <c r="O270" s="350"/>
      <c r="P270" s="69"/>
      <c r="Q270" s="350"/>
      <c r="R270" s="69"/>
      <c r="S270" s="350"/>
      <c r="T270" s="69"/>
      <c r="U270" s="350"/>
      <c r="V270" s="69"/>
      <c r="W270" s="350"/>
    </row>
    <row r="271" spans="1:29" ht="17.2" customHeight="1" x14ac:dyDescent="0.35">
      <c r="A271" s="351" t="s">
        <v>2</v>
      </c>
      <c r="B271" s="73"/>
      <c r="C271" s="74"/>
      <c r="D271" s="75"/>
      <c r="E271" s="348"/>
      <c r="F271" s="75"/>
      <c r="G271" s="348"/>
      <c r="H271" s="75"/>
      <c r="I271" s="348"/>
      <c r="J271" s="75"/>
      <c r="K271" s="348"/>
      <c r="L271" s="75"/>
      <c r="M271" s="348"/>
      <c r="N271" s="75"/>
      <c r="O271" s="348"/>
      <c r="P271" s="75"/>
      <c r="Q271" s="348"/>
      <c r="R271" s="75"/>
      <c r="S271" s="348"/>
      <c r="T271" s="75"/>
      <c r="U271" s="348"/>
      <c r="V271" s="75"/>
      <c r="W271" s="348"/>
    </row>
    <row r="272" spans="1:29" ht="17.2" customHeight="1" x14ac:dyDescent="0.35">
      <c r="A272" s="352"/>
      <c r="B272" s="76"/>
      <c r="C272" s="77"/>
      <c r="D272" s="78"/>
      <c r="E272" s="349"/>
      <c r="F272" s="78"/>
      <c r="G272" s="349"/>
      <c r="H272" s="78"/>
      <c r="I272" s="349"/>
      <c r="J272" s="78"/>
      <c r="K272" s="349"/>
      <c r="L272" s="78"/>
      <c r="M272" s="349"/>
      <c r="N272" s="78"/>
      <c r="O272" s="349"/>
      <c r="P272" s="78"/>
      <c r="Q272" s="349"/>
      <c r="R272" s="78"/>
      <c r="S272" s="349"/>
      <c r="T272" s="78"/>
      <c r="U272" s="349"/>
      <c r="V272" s="78"/>
      <c r="W272" s="349"/>
    </row>
    <row r="273" spans="1:23" ht="17.2" customHeight="1" thickBot="1" x14ac:dyDescent="0.4">
      <c r="A273" s="353"/>
      <c r="B273" s="79"/>
      <c r="C273" s="80"/>
      <c r="D273" s="69"/>
      <c r="E273" s="350"/>
      <c r="F273" s="69"/>
      <c r="G273" s="350"/>
      <c r="H273" s="69"/>
      <c r="I273" s="350"/>
      <c r="J273" s="69"/>
      <c r="K273" s="350"/>
      <c r="L273" s="69"/>
      <c r="M273" s="350"/>
      <c r="N273" s="69"/>
      <c r="O273" s="350"/>
      <c r="P273" s="69"/>
      <c r="Q273" s="350"/>
      <c r="R273" s="69"/>
      <c r="S273" s="350"/>
      <c r="T273" s="69"/>
      <c r="U273" s="350"/>
      <c r="V273" s="69"/>
      <c r="W273" s="350"/>
    </row>
    <row r="274" spans="1:23" ht="17.2" customHeight="1" x14ac:dyDescent="0.35">
      <c r="A274" s="351" t="s">
        <v>3</v>
      </c>
      <c r="B274" s="73"/>
      <c r="C274" s="74"/>
      <c r="D274" s="75"/>
      <c r="E274" s="348"/>
      <c r="F274" s="75"/>
      <c r="G274" s="348"/>
      <c r="H274" s="75"/>
      <c r="I274" s="348"/>
      <c r="J274" s="75"/>
      <c r="K274" s="348"/>
      <c r="L274" s="75"/>
      <c r="M274" s="348"/>
      <c r="N274" s="75"/>
      <c r="O274" s="348"/>
      <c r="P274" s="75"/>
      <c r="Q274" s="348"/>
      <c r="R274" s="75"/>
      <c r="S274" s="348"/>
      <c r="T274" s="75"/>
      <c r="U274" s="348"/>
      <c r="V274" s="75"/>
      <c r="W274" s="348"/>
    </row>
    <row r="275" spans="1:23" ht="17.2" customHeight="1" x14ac:dyDescent="0.35">
      <c r="A275" s="352"/>
      <c r="B275" s="76"/>
      <c r="C275" s="77"/>
      <c r="D275" s="78"/>
      <c r="E275" s="349"/>
      <c r="F275" s="78"/>
      <c r="G275" s="349"/>
      <c r="H275" s="78"/>
      <c r="I275" s="349"/>
      <c r="J275" s="78"/>
      <c r="K275" s="349"/>
      <c r="L275" s="78"/>
      <c r="M275" s="349"/>
      <c r="N275" s="78"/>
      <c r="O275" s="349"/>
      <c r="P275" s="78"/>
      <c r="Q275" s="349"/>
      <c r="R275" s="78"/>
      <c r="S275" s="349"/>
      <c r="T275" s="78"/>
      <c r="U275" s="349"/>
      <c r="V275" s="78"/>
      <c r="W275" s="349"/>
    </row>
    <row r="276" spans="1:23" ht="17.2" customHeight="1" thickBot="1" x14ac:dyDescent="0.4">
      <c r="A276" s="353"/>
      <c r="B276" s="79"/>
      <c r="C276" s="80"/>
      <c r="D276" s="69"/>
      <c r="E276" s="350"/>
      <c r="F276" s="69"/>
      <c r="G276" s="350"/>
      <c r="H276" s="69"/>
      <c r="I276" s="350"/>
      <c r="J276" s="69"/>
      <c r="K276" s="350"/>
      <c r="L276" s="69"/>
      <c r="M276" s="350"/>
      <c r="N276" s="69"/>
      <c r="O276" s="350"/>
      <c r="P276" s="69"/>
      <c r="Q276" s="350"/>
      <c r="R276" s="69"/>
      <c r="S276" s="350"/>
      <c r="T276" s="69"/>
      <c r="U276" s="350"/>
      <c r="V276" s="69"/>
      <c r="W276" s="350"/>
    </row>
    <row r="277" spans="1:23" ht="17.2" customHeight="1" x14ac:dyDescent="0.35">
      <c r="A277" s="351" t="s">
        <v>11</v>
      </c>
      <c r="B277" s="73"/>
      <c r="C277" s="74"/>
      <c r="D277" s="75"/>
      <c r="E277" s="348"/>
      <c r="F277" s="75"/>
      <c r="G277" s="348"/>
      <c r="H277" s="75"/>
      <c r="I277" s="348"/>
      <c r="J277" s="75"/>
      <c r="K277" s="348"/>
      <c r="L277" s="75"/>
      <c r="M277" s="348"/>
      <c r="N277" s="75"/>
      <c r="O277" s="348"/>
      <c r="P277" s="75"/>
      <c r="Q277" s="348"/>
      <c r="R277" s="75"/>
      <c r="S277" s="348"/>
      <c r="T277" s="75"/>
      <c r="U277" s="348"/>
      <c r="V277" s="75"/>
      <c r="W277" s="348"/>
    </row>
    <row r="278" spans="1:23" ht="17.2" customHeight="1" x14ac:dyDescent="0.35">
      <c r="A278" s="352"/>
      <c r="B278" s="76"/>
      <c r="C278" s="77"/>
      <c r="D278" s="78"/>
      <c r="E278" s="349"/>
      <c r="F278" s="78"/>
      <c r="G278" s="349"/>
      <c r="H278" s="78"/>
      <c r="I278" s="349"/>
      <c r="J278" s="78"/>
      <c r="K278" s="349"/>
      <c r="L278" s="78"/>
      <c r="M278" s="349"/>
      <c r="N278" s="78"/>
      <c r="O278" s="349"/>
      <c r="P278" s="78"/>
      <c r="Q278" s="349"/>
      <c r="R278" s="78"/>
      <c r="S278" s="349"/>
      <c r="T278" s="78"/>
      <c r="U278" s="349"/>
      <c r="V278" s="78"/>
      <c r="W278" s="349"/>
    </row>
    <row r="279" spans="1:23" ht="17.2" customHeight="1" thickBot="1" x14ac:dyDescent="0.4">
      <c r="A279" s="353"/>
      <c r="B279" s="79"/>
      <c r="C279" s="80"/>
      <c r="D279" s="69"/>
      <c r="E279" s="350"/>
      <c r="F279" s="69"/>
      <c r="G279" s="350"/>
      <c r="H279" s="69"/>
      <c r="I279" s="350"/>
      <c r="J279" s="69"/>
      <c r="K279" s="350"/>
      <c r="L279" s="69"/>
      <c r="M279" s="350"/>
      <c r="N279" s="69"/>
      <c r="O279" s="350"/>
      <c r="P279" s="69"/>
      <c r="Q279" s="350"/>
      <c r="R279" s="69"/>
      <c r="S279" s="350"/>
      <c r="T279" s="69"/>
      <c r="U279" s="350"/>
      <c r="V279" s="69"/>
      <c r="W279" s="350"/>
    </row>
    <row r="280" spans="1:23" ht="27.75" customHeight="1" thickBot="1" x14ac:dyDescent="0.4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4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3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35">
      <c r="B283" s="88" t="s">
        <v>1797</v>
      </c>
      <c r="C283" s="89" t="s">
        <v>1798</v>
      </c>
      <c r="D283" s="346">
        <f>VLOOKUP(B263,Schlüssel!$A$5:$K$14,3)</f>
        <v>8</v>
      </c>
      <c r="E283" s="346"/>
      <c r="F283" s="346">
        <f>VLOOKUP(B263,Schlüssel!$A$5:$K$14,4)</f>
        <v>3</v>
      </c>
      <c r="G283" s="346"/>
      <c r="H283" s="346">
        <f>VLOOKUP(B263,Schlüssel!$A$5:$K$14,5)</f>
        <v>7</v>
      </c>
      <c r="I283" s="346"/>
      <c r="J283" s="346">
        <f>VLOOKUP(B263,Schlüssel!$A$5:$K$14,6)</f>
        <v>4</v>
      </c>
      <c r="K283" s="346"/>
      <c r="L283" s="346">
        <f>VLOOKUP(B263,Schlüssel!$A$5:$K$14,7)</f>
        <v>1</v>
      </c>
      <c r="M283" s="346"/>
      <c r="N283" s="346">
        <f>VLOOKUP(B263,Schlüssel!$A$5:$K$14,8)</f>
        <v>9</v>
      </c>
      <c r="O283" s="346"/>
      <c r="P283" s="346">
        <f>VLOOKUP(B263,Schlüssel!$A$5:$K$14,9)</f>
        <v>2</v>
      </c>
      <c r="Q283" s="346"/>
      <c r="R283" s="346">
        <f>VLOOKUP(B263,Schlüssel!$A$5:$K$14,10)</f>
        <v>5</v>
      </c>
      <c r="S283" s="346"/>
      <c r="T283" s="346">
        <f>VLOOKUP(B263,Schlüssel!$A$5:$K$14,11)</f>
        <v>6</v>
      </c>
      <c r="U283" s="346"/>
      <c r="V283" s="347"/>
      <c r="W283" s="347"/>
    </row>
    <row r="284" spans="1:23" ht="28.5" customHeight="1" x14ac:dyDescent="0.35">
      <c r="B284" s="90"/>
      <c r="C284" s="86"/>
      <c r="D284" s="343" t="str">
        <f>VLOOKUP(D283,Schlüssel!$A$5:$K$14,2)</f>
        <v>EPA München 1</v>
      </c>
      <c r="E284" s="344"/>
      <c r="F284" s="343" t="str">
        <f>VLOOKUP(F283,Schlüssel!$A$5:$K$14,2)</f>
        <v>Highroller Rosenheim</v>
      </c>
      <c r="G284" s="344"/>
      <c r="H284" s="343" t="str">
        <f>VLOOKUP(H283,Schlüssel!$A$5:$K$14,2)</f>
        <v>Frankenpower Nürnberg</v>
      </c>
      <c r="I284" s="344"/>
      <c r="J284" s="343" t="str">
        <f>VLOOKUP(J283,Schlüssel!$A$5:$K$14,2)</f>
        <v>BK München 3</v>
      </c>
      <c r="K284" s="344"/>
      <c r="L284" s="343" t="str">
        <f>VLOOKUP(L283,Schlüssel!$A$5:$K$14,2)</f>
        <v>Praetoria Regensburg</v>
      </c>
      <c r="M284" s="344"/>
      <c r="N284" s="343" t="str">
        <f>VLOOKUP(N283,Schlüssel!$A$5:$K$14,2)</f>
        <v>RW Lichtenhof 69 Stein 2</v>
      </c>
      <c r="O284" s="344"/>
      <c r="P284" s="343" t="str">
        <f>VLOOKUP(P283,Schlüssel!$A$5:$K$14,2)</f>
        <v>BK München 2</v>
      </c>
      <c r="Q284" s="344"/>
      <c r="R284" s="343" t="str">
        <f>VLOOKUP(R283,Schlüssel!$A$5:$K$14,2)</f>
        <v xml:space="preserve">Weiß Blau Unterföhring </v>
      </c>
      <c r="S284" s="344"/>
      <c r="T284" s="343" t="str">
        <f>VLOOKUP(T283,Schlüssel!$A$5:$K$14,2)</f>
        <v>Phönix 03 Lauf</v>
      </c>
      <c r="U284" s="344"/>
      <c r="V284" s="345"/>
      <c r="W284" s="345"/>
    </row>
    <row r="285" spans="1:23" ht="12" customHeight="1" x14ac:dyDescent="0.35">
      <c r="B285" s="90"/>
      <c r="C285" s="86"/>
      <c r="D285" s="341"/>
      <c r="E285" s="341"/>
      <c r="F285" s="341"/>
      <c r="G285" s="341"/>
      <c r="H285" s="341"/>
      <c r="I285" s="341"/>
      <c r="J285" s="341"/>
      <c r="K285" s="341"/>
      <c r="L285" s="341"/>
      <c r="M285" s="341"/>
      <c r="N285" s="341"/>
      <c r="O285" s="341"/>
      <c r="P285" s="341"/>
      <c r="Q285" s="341"/>
      <c r="R285" s="341"/>
      <c r="S285" s="341"/>
      <c r="T285" s="341"/>
      <c r="U285" s="342"/>
      <c r="V285" s="301"/>
      <c r="W285" s="301"/>
    </row>
    <row r="286" spans="1:23" ht="16.05" customHeight="1" x14ac:dyDescent="0.35">
      <c r="B286" s="91" t="s">
        <v>0</v>
      </c>
      <c r="C286" s="92"/>
      <c r="D286" s="339"/>
      <c r="E286" s="339"/>
      <c r="F286" s="339"/>
      <c r="G286" s="339"/>
      <c r="H286" s="339"/>
      <c r="I286" s="339"/>
      <c r="J286" s="339"/>
      <c r="K286" s="339"/>
      <c r="L286" s="339"/>
      <c r="M286" s="339"/>
      <c r="N286" s="339"/>
      <c r="O286" s="339"/>
      <c r="P286" s="339"/>
      <c r="Q286" s="339"/>
      <c r="R286" s="339"/>
      <c r="S286" s="339"/>
      <c r="T286" s="339"/>
      <c r="U286" s="339"/>
      <c r="V286" s="340"/>
      <c r="W286" s="340"/>
    </row>
    <row r="287" spans="1:23" ht="16.05" customHeight="1" x14ac:dyDescent="0.35">
      <c r="B287" s="91" t="s">
        <v>2</v>
      </c>
      <c r="C287" s="92"/>
      <c r="D287" s="339"/>
      <c r="E287" s="339"/>
      <c r="F287" s="339"/>
      <c r="G287" s="339"/>
      <c r="H287" s="339"/>
      <c r="I287" s="339"/>
      <c r="J287" s="339"/>
      <c r="K287" s="339"/>
      <c r="L287" s="339"/>
      <c r="M287" s="339"/>
      <c r="N287" s="339"/>
      <c r="O287" s="339"/>
      <c r="P287" s="339"/>
      <c r="Q287" s="339"/>
      <c r="R287" s="339"/>
      <c r="S287" s="339"/>
      <c r="T287" s="339"/>
      <c r="U287" s="339"/>
      <c r="V287" s="340"/>
      <c r="W287" s="340"/>
    </row>
    <row r="288" spans="1:23" ht="16.05" customHeight="1" x14ac:dyDescent="0.35">
      <c r="B288" s="91" t="s">
        <v>3</v>
      </c>
      <c r="C288" s="92"/>
      <c r="D288" s="339"/>
      <c r="E288" s="339"/>
      <c r="F288" s="339"/>
      <c r="G288" s="339"/>
      <c r="H288" s="339"/>
      <c r="I288" s="339"/>
      <c r="J288" s="339"/>
      <c r="K288" s="33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40"/>
      <c r="W288" s="340"/>
    </row>
    <row r="289" spans="2:23" ht="16.05" customHeight="1" x14ac:dyDescent="0.35">
      <c r="B289" s="91" t="s">
        <v>11</v>
      </c>
      <c r="C289" s="92"/>
      <c r="D289" s="339"/>
      <c r="E289" s="339"/>
      <c r="F289" s="339"/>
      <c r="G289" s="339"/>
      <c r="H289" s="339"/>
      <c r="I289" s="339"/>
      <c r="J289" s="339"/>
      <c r="K289" s="339"/>
      <c r="L289" s="339"/>
      <c r="M289" s="339"/>
      <c r="N289" s="339"/>
      <c r="O289" s="339"/>
      <c r="P289" s="339"/>
      <c r="Q289" s="339"/>
      <c r="R289" s="339"/>
      <c r="S289" s="339"/>
      <c r="T289" s="339"/>
      <c r="U289" s="339"/>
      <c r="V289" s="340"/>
      <c r="W289" s="340"/>
    </row>
    <row r="290" spans="2:23" ht="16.05" customHeight="1" x14ac:dyDescent="0.35">
      <c r="B290" s="93" t="s">
        <v>1799</v>
      </c>
      <c r="C290" s="94"/>
      <c r="D290" s="338"/>
      <c r="E290" s="338"/>
      <c r="F290" s="338"/>
      <c r="G290" s="338"/>
      <c r="H290" s="338"/>
      <c r="I290" s="338"/>
      <c r="J290" s="338"/>
      <c r="K290" s="338"/>
      <c r="L290" s="338"/>
      <c r="M290" s="338"/>
      <c r="N290" s="338"/>
      <c r="O290" s="338"/>
      <c r="P290" s="338"/>
      <c r="Q290" s="338"/>
      <c r="R290" s="338"/>
      <c r="S290" s="338"/>
      <c r="T290" s="338"/>
      <c r="U290" s="338"/>
      <c r="V290" s="290"/>
      <c r="W290" s="290"/>
    </row>
  </sheetData>
  <sheetProtection password="D19C" sheet="1" formatCells="0" formatColumns="0" formatRows="0"/>
  <mergeCells count="1370">
    <mergeCell ref="U1:W1"/>
    <mergeCell ref="F2:O2"/>
    <mergeCell ref="F1:O1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">
    <tabColor rgb="FF92D050"/>
    <pageSetUpPr fitToPage="1"/>
  </sheetPr>
  <dimension ref="A1:BZ300"/>
  <sheetViews>
    <sheetView topLeftCell="Z88" zoomScaleNormal="100" zoomScaleSheetLayoutView="100" workbookViewId="0">
      <selection activeCell="AC106" sqref="AC106"/>
    </sheetView>
  </sheetViews>
  <sheetFormatPr baseColWidth="10" defaultColWidth="11.33203125" defaultRowHeight="12.75" x14ac:dyDescent="0.35"/>
  <cols>
    <col min="1" max="1" width="4.33203125" style="5" hidden="1" customWidth="1"/>
    <col min="2" max="2" width="18.06640625" hidden="1" customWidth="1"/>
    <col min="3" max="3" width="6.33203125" hidden="1" customWidth="1"/>
    <col min="4" max="21" width="5.73046875" hidden="1" customWidth="1"/>
    <col min="22" max="22" width="8.33203125" hidden="1" customWidth="1"/>
    <col min="23" max="23" width="6.73046875" hidden="1" customWidth="1"/>
    <col min="24" max="25" width="0" hidden="1" customWidth="1"/>
    <col min="26" max="26" width="4.33203125" customWidth="1"/>
    <col min="27" max="27" width="18.06640625" customWidth="1"/>
    <col min="28" max="28" width="6.33203125" customWidth="1"/>
    <col min="29" max="46" width="5.73046875" customWidth="1"/>
    <col min="47" max="47" width="8.33203125" customWidth="1"/>
    <col min="48" max="48" width="6.73046875" customWidth="1"/>
    <col min="49" max="50" width="11.33203125" customWidth="1"/>
    <col min="51" max="51" width="9.59765625" customWidth="1"/>
    <col min="52" max="52" width="11.33203125" customWidth="1"/>
    <col min="53" max="53" width="6.33203125" style="215" hidden="1" customWidth="1"/>
    <col min="54" max="54" width="5.33203125" style="215" hidden="1" customWidth="1"/>
    <col min="55" max="55" width="5.59765625" style="215" hidden="1" customWidth="1"/>
    <col min="56" max="56" width="6.265625" style="215" hidden="1" customWidth="1"/>
    <col min="57" max="57" width="5.33203125" style="215" hidden="1" customWidth="1"/>
    <col min="58" max="58" width="6" style="215" hidden="1" customWidth="1"/>
    <col min="59" max="59" width="8.33203125" style="215" hidden="1" customWidth="1"/>
    <col min="60" max="68" width="4.265625" style="215" hidden="1" customWidth="1"/>
    <col min="69" max="69" width="14.73046875" style="215" hidden="1" customWidth="1"/>
    <col min="70" max="70" width="5.265625" style="215" hidden="1" customWidth="1"/>
    <col min="71" max="71" width="9.33203125" style="215" hidden="1" customWidth="1"/>
    <col min="72" max="72" width="11" style="215" hidden="1" customWidth="1"/>
    <col min="73" max="73" width="17.265625" style="215" hidden="1" customWidth="1"/>
    <col min="74" max="75" width="5.265625" style="215" hidden="1" customWidth="1"/>
    <col min="76" max="76" width="7.73046875" style="215" hidden="1" customWidth="1"/>
    <col min="77" max="77" width="11.33203125" style="215" hidden="1" customWidth="1"/>
    <col min="78" max="78" width="5.265625" style="215" hidden="1" customWidth="1"/>
    <col min="79" max="99" width="11.33203125" customWidth="1"/>
  </cols>
  <sheetData>
    <row r="1" spans="1:78" ht="21" customHeight="1" x14ac:dyDescent="0.7">
      <c r="B1" s="44" t="str">
        <f>AA1</f>
        <v>Team-Nr.</v>
      </c>
      <c r="C1" s="45"/>
      <c r="D1" s="44" t="str">
        <f>AC1</f>
        <v>Liga:</v>
      </c>
      <c r="E1" s="47"/>
      <c r="F1" s="359" t="str">
        <f>AE1</f>
        <v>Bayernliga Frauen</v>
      </c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48"/>
      <c r="S1" s="49" t="s">
        <v>1794</v>
      </c>
      <c r="T1" s="50"/>
      <c r="U1" s="360" t="str">
        <f>AT1</f>
        <v>12.10./13.10.</v>
      </c>
      <c r="V1" s="361"/>
      <c r="W1" s="362"/>
      <c r="X1" s="363"/>
      <c r="Y1" s="364"/>
      <c r="Z1" s="364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0" t="str">
        <f>VLOOKUP(AS2,Spielorte!$A$1:$C$6,2)</f>
        <v>12.10./13.10.</v>
      </c>
      <c r="AU1" s="361"/>
      <c r="AV1" s="362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65">
      <c r="B2" s="53">
        <f>AA2</f>
        <v>1</v>
      </c>
      <c r="D2" s="46" t="s">
        <v>1793</v>
      </c>
      <c r="E2" s="54"/>
      <c r="F2" s="358" t="str">
        <f>AE2</f>
        <v>Unterföhring Dreambowl Palace</v>
      </c>
      <c r="G2" s="358"/>
      <c r="H2" s="358"/>
      <c r="I2" s="358"/>
      <c r="J2" s="358"/>
      <c r="K2" s="358"/>
      <c r="L2" s="358"/>
      <c r="M2" s="358"/>
      <c r="N2" s="358"/>
      <c r="O2" s="358"/>
      <c r="P2" s="55"/>
      <c r="Q2" s="55"/>
      <c r="S2" s="49" t="s">
        <v>1791</v>
      </c>
      <c r="T2" s="56">
        <f>AS2</f>
        <v>1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Unterföhring Dreambowl Palace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1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4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5" thickBot="1" x14ac:dyDescent="0.45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VLOOKUP($AA2,Schlüssel!$A$5:$DZ$14,13)</f>
        <v>5</v>
      </c>
      <c r="AE4" s="65" t="s">
        <v>10</v>
      </c>
      <c r="AF4" s="44">
        <f>VLOOKUP($AA2,Schlüssel!$A$5:$DZ$14,14)</f>
        <v>4</v>
      </c>
      <c r="AG4" s="65" t="s">
        <v>10</v>
      </c>
      <c r="AH4" s="44">
        <f>VLOOKUP($AA2,Schlüssel!$A$5:$DZ$14,15)</f>
        <v>7</v>
      </c>
      <c r="AI4" s="65" t="s">
        <v>10</v>
      </c>
      <c r="AJ4" s="44">
        <f>VLOOKUP($AA2,Schlüssel!$A$5:$DZ$14,16)</f>
        <v>9</v>
      </c>
      <c r="AK4" s="65" t="s">
        <v>10</v>
      </c>
      <c r="AL4" s="44">
        <f>VLOOKUP($AA2,Schlüssel!$A$5:$DZ$14,17)</f>
        <v>1</v>
      </c>
      <c r="AM4" s="65" t="s">
        <v>10</v>
      </c>
      <c r="AN4" s="44">
        <f>VLOOKUP($AA2,Schlüssel!$A$5:$DZ$14,18)</f>
        <v>3</v>
      </c>
      <c r="AO4" s="65" t="s">
        <v>10</v>
      </c>
      <c r="AP4" s="44">
        <f>VLOOKUP($AA2,Schlüssel!$A$5:$DZ$14,19)</f>
        <v>10</v>
      </c>
      <c r="AQ4" s="65" t="s">
        <v>10</v>
      </c>
      <c r="AR4" s="44">
        <f>VLOOKUP($AA2,Schlüssel!$A$5:$DZ$14,20)</f>
        <v>8</v>
      </c>
      <c r="AS4" s="65" t="s">
        <v>10</v>
      </c>
      <c r="AT4" s="44">
        <f>VLOOKUP($AA2,Schlüssel!$A$5:$DZ$14,21)</f>
        <v>2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35">
      <c r="B5" s="67" t="s">
        <v>1</v>
      </c>
      <c r="C5" s="68"/>
      <c r="D5" s="354" t="s">
        <v>1800</v>
      </c>
      <c r="E5" s="355"/>
      <c r="F5" s="354" t="s">
        <v>1801</v>
      </c>
      <c r="G5" s="355"/>
      <c r="H5" s="354" t="s">
        <v>1802</v>
      </c>
      <c r="I5" s="355"/>
      <c r="J5" s="354" t="s">
        <v>1803</v>
      </c>
      <c r="K5" s="355"/>
      <c r="L5" s="354" t="s">
        <v>1804</v>
      </c>
      <c r="M5" s="355"/>
      <c r="N5" s="354" t="s">
        <v>1805</v>
      </c>
      <c r="O5" s="355"/>
      <c r="P5" s="354" t="s">
        <v>1806</v>
      </c>
      <c r="Q5" s="355"/>
      <c r="R5" s="354" t="s">
        <v>1807</v>
      </c>
      <c r="S5" s="355"/>
      <c r="T5" s="354" t="s">
        <v>1808</v>
      </c>
      <c r="U5" s="355"/>
      <c r="V5" s="356" t="s">
        <v>1799</v>
      </c>
      <c r="W5" s="357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4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2" customHeight="1" x14ac:dyDescent="0.35">
      <c r="A7" s="367" t="s">
        <v>0</v>
      </c>
      <c r="B7" s="73" t="str">
        <f>IF(AA7=0,"",AA7)</f>
        <v>Wölki, Elisabeth</v>
      </c>
      <c r="C7" s="74">
        <f>IF(AB7=0,"",AB7)</f>
        <v>16170</v>
      </c>
      <c r="D7" s="75">
        <f>IF(AC7=0,"",AC7)</f>
        <v>148</v>
      </c>
      <c r="E7" s="348">
        <f>IF(AD7="","",AD7)</f>
        <v>0</v>
      </c>
      <c r="F7" s="75">
        <f t="shared" ref="F7:F20" si="0">IF(AE7=0,"",AE7)</f>
        <v>180</v>
      </c>
      <c r="G7" s="348">
        <f>IF(AF7="","",AF7)</f>
        <v>1</v>
      </c>
      <c r="H7" s="75">
        <f t="shared" ref="H7:H20" si="1">IF(AG7=0,"",AG7)</f>
        <v>180</v>
      </c>
      <c r="I7" s="348">
        <f>IF(AH7="","",AH7)</f>
        <v>0</v>
      </c>
      <c r="J7" s="75">
        <f t="shared" ref="J7:J20" si="2">IF(AI7=0,"",AI7)</f>
        <v>195</v>
      </c>
      <c r="K7" s="348">
        <f>IF(AJ7="","",AJ7)</f>
        <v>1</v>
      </c>
      <c r="L7" s="75">
        <f t="shared" ref="L7:L20" si="3">IF(AK7=0,"",AK7)</f>
        <v>178</v>
      </c>
      <c r="M7" s="348">
        <f>IF(AL7="","",AL7)</f>
        <v>0</v>
      </c>
      <c r="N7" s="75">
        <f>IF(AM7=0,"",AM7)</f>
        <v>147</v>
      </c>
      <c r="O7" s="348">
        <f>IF(AN7="","",AN7)</f>
        <v>0</v>
      </c>
      <c r="P7" s="75">
        <f t="shared" ref="P7:P20" si="4">IF(AO7=0,"",AO7)</f>
        <v>194</v>
      </c>
      <c r="Q7" s="348">
        <f>IF(AP7="","",AP7)</f>
        <v>1</v>
      </c>
      <c r="R7" s="75">
        <f t="shared" ref="R7:R20" si="5">IF(AQ7=0,"",AQ7)</f>
        <v>174</v>
      </c>
      <c r="S7" s="348">
        <f>IF(AR7="","",AR7)</f>
        <v>0</v>
      </c>
      <c r="T7" s="75">
        <f t="shared" ref="T7:T20" si="6">IF(AS7=0,"",AS7)</f>
        <v>190</v>
      </c>
      <c r="U7" s="348">
        <f>IF(AT7="","",AT7)</f>
        <v>1</v>
      </c>
      <c r="V7" s="75">
        <f t="shared" ref="V7:V20" si="7">IF(AU7=0,"",AU7)</f>
        <v>1586</v>
      </c>
      <c r="W7" s="348">
        <f>IF(AV7="","",AV7)</f>
        <v>4</v>
      </c>
      <c r="Z7" s="351" t="s">
        <v>0</v>
      </c>
      <c r="AA7" s="108" t="str">
        <f>IF(AB7=0,"",VLOOKUP(AB7,Starter!$A$1:$D$199,2,FALSE))</f>
        <v>Wölki, Elisabeth</v>
      </c>
      <c r="AB7" s="99">
        <v>16170</v>
      </c>
      <c r="AC7" s="185">
        <v>148</v>
      </c>
      <c r="AD7" s="109">
        <f>IF(SUM(AC7:AC9)+AC25=0,0,IF(SUM(ABS(AC7),ABS(AC8),ABS(AC9))=AC25,0.5,IF(SUM(ABS(AC7),ABS(AC8),ABS(AC9))&gt;AC25,1,0)))</f>
        <v>0</v>
      </c>
      <c r="AE7" s="185">
        <v>180</v>
      </c>
      <c r="AF7" s="109">
        <f>IF(SUM(AE7:AE9)+AE25=0,0,IF(SUM(ABS(AE7),ABS(AE8),ABS(AE9))=AE25,0.5,IF(SUM(ABS(AE7),ABS(AE8),ABS(AE9))&gt;AE25,1,0)))</f>
        <v>1</v>
      </c>
      <c r="AG7" s="185">
        <v>180</v>
      </c>
      <c r="AH7" s="109">
        <f>IF(SUM(AG7:AG9)+AG25=0,0,IF(SUM(ABS(AG7),ABS(AG8),ABS(AG9))=AG25,0.5,IF(SUM(ABS(AG7),ABS(AG8),ABS(AG9))&gt;AG25,1,0)))</f>
        <v>0</v>
      </c>
      <c r="AI7" s="185">
        <v>195</v>
      </c>
      <c r="AJ7" s="109">
        <f>IF(SUM(AI7:AI9)+AI25=0,0,IF(SUM(ABS(AI7),ABS(AI8),ABS(AI9))=AI25,0.5,IF(SUM(ABS(AI7),ABS(AI8),ABS(AI9))&gt;AI25,1,0)))</f>
        <v>1</v>
      </c>
      <c r="AK7" s="185">
        <v>178</v>
      </c>
      <c r="AL7" s="109">
        <f>IF(SUM(AK7:AK9)+AK25=0,0,IF(SUM(ABS(AK7),ABS(AK8),ABS(AK9))=AK25,0.5,IF(SUM(ABS(AK7),ABS(AK8),ABS(AK9))&gt;AK25,1,0)))</f>
        <v>0</v>
      </c>
      <c r="AM7" s="185">
        <v>147</v>
      </c>
      <c r="AN7" s="109">
        <f>IF(SUM(AM7:AM9)+AM25=0,0,IF(SUM(ABS(AM7),ABS(AM8),ABS(AM9))=AM25,0.5,IF(SUM(ABS(AM7),ABS(AM8),ABS(AM9))&gt;AM25,1,0)))</f>
        <v>0</v>
      </c>
      <c r="AO7" s="185">
        <v>194</v>
      </c>
      <c r="AP7" s="109">
        <f>IF(SUM(AO7:AO9)+AO25=0,0,IF(SUM(ABS(AO7),ABS(AO8),ABS(AO9))=AO25,0.5,IF(SUM(ABS(AO7),ABS(AO8),ABS(AO9))&gt;AO25,1,0)))</f>
        <v>1</v>
      </c>
      <c r="AQ7" s="185">
        <v>174</v>
      </c>
      <c r="AR7" s="109">
        <f>IF(SUM(AQ7:AQ9)+AQ25=0,0,IF(SUM(ABS(AQ7),ABS(AQ8),ABS(AQ9))=AQ25,0.5,IF(SUM(ABS(AQ7),ABS(AQ8),ABS(AQ9))&gt;AQ25,1,0)))</f>
        <v>0</v>
      </c>
      <c r="AS7" s="185">
        <v>190</v>
      </c>
      <c r="AT7" s="109">
        <f>IF(SUM(AS7:AS9)+AS25=0,0,IF(SUM(ABS(AS7),ABS(AS8),ABS(AS9))=AS25,0.5,IF(SUM(ABS(AS7),ABS(AS8),ABS(AS9))&gt;AS25,1,0)))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1586</v>
      </c>
      <c r="AV7" s="111">
        <f>SUM(AD7+AF7+AH7+AJ7+AL7+AN7+AP7+AR7+AT7)</f>
        <v>4</v>
      </c>
      <c r="AW7" s="101"/>
      <c r="AX7" s="102"/>
      <c r="AZ7" s="63"/>
      <c r="BA7" s="212"/>
      <c r="BB7" s="213"/>
      <c r="BC7" s="214"/>
      <c r="BD7" s="217">
        <f>+AB7</f>
        <v>16170</v>
      </c>
      <c r="BE7" s="213">
        <f>+AU7</f>
        <v>1586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148</v>
      </c>
      <c r="BI7" s="215">
        <f t="shared" ref="BI7:BI18" si="10">IF(AE7=0,"",AE7)</f>
        <v>180</v>
      </c>
      <c r="BJ7" s="215">
        <f t="shared" ref="BJ7:BJ18" si="11">IF(AG7=0,"",AG7)</f>
        <v>180</v>
      </c>
      <c r="BK7" s="215">
        <f t="shared" ref="BK7:BK18" si="12">IF(AI7=0,"",AI7)</f>
        <v>195</v>
      </c>
      <c r="BL7" s="215">
        <f t="shared" ref="BL7:BL18" si="13">IF(AK7=0,"",AK7)</f>
        <v>178</v>
      </c>
      <c r="BM7" s="215">
        <f t="shared" ref="BM7:BM18" si="14">IF(AM7=0,"",AM7)</f>
        <v>147</v>
      </c>
      <c r="BN7" s="215">
        <f t="shared" ref="BN7:BN18" si="15">IF(AO7=0,"",AO7)</f>
        <v>194</v>
      </c>
      <c r="BO7" s="215">
        <f t="shared" ref="BO7:BO18" si="16">IF(AQ7=0,"",AQ7)</f>
        <v>174</v>
      </c>
      <c r="BP7" s="215">
        <f t="shared" ref="BP7:BP18" si="17">IF(AS7=0,"",AS7)</f>
        <v>190</v>
      </c>
      <c r="BQ7" s="216"/>
      <c r="BR7" s="214"/>
      <c r="BS7" s="215">
        <f>MAX(BH7:BP7)</f>
        <v>195</v>
      </c>
      <c r="BT7" s="215">
        <f>IF(BS7&lt;MAX(BS:BS),0,BS7+ROW()/1000000000)</f>
        <v>0</v>
      </c>
      <c r="BU7" s="215" t="str">
        <f>+AA3</f>
        <v>Praetoria Regensburg</v>
      </c>
      <c r="BV7" s="214">
        <f>RANK(BT7,BT:BT)</f>
        <v>2</v>
      </c>
      <c r="BW7" s="215">
        <f>SUMIF(BH7:BP7,"&gt;0")</f>
        <v>1586</v>
      </c>
      <c r="BX7" s="215">
        <f>IF(COUNTIF(BH7:BP7,"&gt;0")&lt;Spielorte!$A$23,0,BE7/Spielorte!$A$23)</f>
        <v>176.22222222222223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2" customHeight="1" x14ac:dyDescent="0.35">
      <c r="A8" s="368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9"/>
      <c r="F8" s="78" t="str">
        <f t="shared" si="0"/>
        <v/>
      </c>
      <c r="G8" s="349"/>
      <c r="H8" s="78" t="str">
        <f t="shared" si="1"/>
        <v/>
      </c>
      <c r="I8" s="349"/>
      <c r="J8" s="78" t="str">
        <f t="shared" si="2"/>
        <v/>
      </c>
      <c r="K8" s="349"/>
      <c r="L8" s="78" t="str">
        <f t="shared" si="3"/>
        <v/>
      </c>
      <c r="M8" s="349"/>
      <c r="N8" s="78" t="str">
        <f t="shared" ref="N8:N20" si="20">IF(AM8=0,"",AM8)</f>
        <v/>
      </c>
      <c r="O8" s="349"/>
      <c r="P8" s="78" t="str">
        <f t="shared" si="4"/>
        <v/>
      </c>
      <c r="Q8" s="349"/>
      <c r="R8" s="78" t="str">
        <f t="shared" si="5"/>
        <v/>
      </c>
      <c r="S8" s="349"/>
      <c r="T8" s="78" t="str">
        <f t="shared" si="6"/>
        <v/>
      </c>
      <c r="U8" s="349"/>
      <c r="V8" s="78" t="str">
        <f t="shared" si="7"/>
        <v/>
      </c>
      <c r="W8" s="349"/>
      <c r="Z8" s="352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Praetoria Regensburg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2" customHeight="1" thickBot="1" x14ac:dyDescent="0.4">
      <c r="A9" s="369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0"/>
      <c r="F9" s="69" t="str">
        <f t="shared" si="0"/>
        <v/>
      </c>
      <c r="G9" s="350"/>
      <c r="H9" s="69" t="str">
        <f t="shared" si="1"/>
        <v/>
      </c>
      <c r="I9" s="350"/>
      <c r="J9" s="69" t="str">
        <f t="shared" si="2"/>
        <v/>
      </c>
      <c r="K9" s="350"/>
      <c r="L9" s="69" t="str">
        <f t="shared" si="3"/>
        <v/>
      </c>
      <c r="M9" s="350"/>
      <c r="N9" s="69" t="str">
        <f t="shared" si="20"/>
        <v/>
      </c>
      <c r="O9" s="350"/>
      <c r="P9" s="69" t="str">
        <f t="shared" si="4"/>
        <v/>
      </c>
      <c r="Q9" s="350"/>
      <c r="R9" s="69" t="str">
        <f t="shared" si="5"/>
        <v/>
      </c>
      <c r="S9" s="350"/>
      <c r="T9" s="69" t="str">
        <f t="shared" si="6"/>
        <v/>
      </c>
      <c r="U9" s="350"/>
      <c r="V9" s="69" t="str">
        <f t="shared" si="7"/>
        <v/>
      </c>
      <c r="W9" s="350"/>
      <c r="Z9" s="353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Praetoria Regensburg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2" customHeight="1" x14ac:dyDescent="0.35">
      <c r="A10" s="367" t="s">
        <v>2</v>
      </c>
      <c r="B10" s="73" t="str">
        <f t="shared" si="19"/>
        <v>Zahner, Barbara</v>
      </c>
      <c r="C10" s="74">
        <f t="shared" si="19"/>
        <v>7889</v>
      </c>
      <c r="D10" s="75">
        <f t="shared" si="19"/>
        <v>192</v>
      </c>
      <c r="E10" s="348">
        <f>IF(AD10="","",AD10)</f>
        <v>1</v>
      </c>
      <c r="F10" s="75">
        <f t="shared" si="0"/>
        <v>155</v>
      </c>
      <c r="G10" s="348">
        <f>IF(AF10="","",AF10)</f>
        <v>0</v>
      </c>
      <c r="H10" s="75">
        <f t="shared" si="1"/>
        <v>166</v>
      </c>
      <c r="I10" s="348">
        <f>IF(AH10="","",AH10)</f>
        <v>0</v>
      </c>
      <c r="J10" s="75">
        <f t="shared" si="2"/>
        <v>192</v>
      </c>
      <c r="K10" s="348">
        <f>IF(AJ10="","",AJ10)</f>
        <v>1</v>
      </c>
      <c r="L10" s="75">
        <f t="shared" si="3"/>
        <v>210</v>
      </c>
      <c r="M10" s="348">
        <f>IF(AL10="","",AL10)</f>
        <v>1</v>
      </c>
      <c r="N10" s="75">
        <f t="shared" si="20"/>
        <v>197</v>
      </c>
      <c r="O10" s="348">
        <f>IF(AN10="","",AN10)</f>
        <v>1</v>
      </c>
      <c r="P10" s="75">
        <f t="shared" si="4"/>
        <v>216</v>
      </c>
      <c r="Q10" s="348">
        <f>IF(AP10="","",AP10)</f>
        <v>1</v>
      </c>
      <c r="R10" s="75">
        <f t="shared" si="5"/>
        <v>182</v>
      </c>
      <c r="S10" s="348">
        <f>IF(AR10="","",AR10)</f>
        <v>0</v>
      </c>
      <c r="T10" s="75">
        <f t="shared" si="6"/>
        <v>157</v>
      </c>
      <c r="U10" s="348">
        <f>IF(AT10="","",AT10)</f>
        <v>0</v>
      </c>
      <c r="V10" s="75">
        <f t="shared" si="7"/>
        <v>1667</v>
      </c>
      <c r="W10" s="348">
        <f>IF(AV10="","",AV10)</f>
        <v>5</v>
      </c>
      <c r="Z10" s="351" t="s">
        <v>2</v>
      </c>
      <c r="AA10" s="108" t="str">
        <f>IF(AB10=0,"",VLOOKUP(AB10,Starter!$A$1:$D$199,2,FALSE))</f>
        <v>Zahner, Barbara</v>
      </c>
      <c r="AB10" s="99">
        <v>7889</v>
      </c>
      <c r="AC10" s="188">
        <v>192</v>
      </c>
      <c r="AD10" s="109">
        <f>IF(SUM(AC10:AC12)+AC26=0,0,IF(SUM(ABS(AC10),ABS(AC11),ABS(AC12))=AC26,0.5,IF(SUM(ABS(AC10),ABS(AC11),ABS(AC12))&gt;AC26,1,0)))</f>
        <v>1</v>
      </c>
      <c r="AE10" s="188">
        <v>155</v>
      </c>
      <c r="AF10" s="109">
        <f>IF(SUM(AE10:AE12)+AE26=0,0,IF(SUM(ABS(AE10),ABS(AE11),ABS(AE12))=AE26,0.5,IF(SUM(ABS(AE10),ABS(AE11),ABS(AE12))&gt;AE26,1,0)))</f>
        <v>0</v>
      </c>
      <c r="AG10" s="188">
        <v>166</v>
      </c>
      <c r="AH10" s="109">
        <f>IF(SUM(AG10:AG12)+AG26=0,0,IF(SUM(ABS(AG10),ABS(AG11),ABS(AG12))=AG26,0.5,IF(SUM(ABS(AG10),ABS(AG11),ABS(AG12))&gt;AG26,1,0)))</f>
        <v>0</v>
      </c>
      <c r="AI10" s="188">
        <v>192</v>
      </c>
      <c r="AJ10" s="109">
        <f>IF(SUM(AI10:AI12)+AI26=0,0,IF(SUM(ABS(AI10),ABS(AI11),ABS(AI12))=AI26,0.5,IF(SUM(ABS(AI10),ABS(AI11),ABS(AI12))&gt;AI26,1,0)))</f>
        <v>1</v>
      </c>
      <c r="AK10" s="188">
        <v>210</v>
      </c>
      <c r="AL10" s="109">
        <f>IF(SUM(AK10:AK12)+AK26=0,0,IF(SUM(ABS(AK10),ABS(AK11),ABS(AK12))=AK26,0.5,IF(SUM(ABS(AK10),ABS(AK11),ABS(AK12))&gt;AK26,1,0)))</f>
        <v>1</v>
      </c>
      <c r="AM10" s="188">
        <v>197</v>
      </c>
      <c r="AN10" s="109">
        <f>IF(SUM(AM10:AM12)+AM26=0,0,IF(SUM(ABS(AM10),ABS(AM11),ABS(AM12))=AM26,0.5,IF(SUM(ABS(AM10),ABS(AM11),ABS(AM12))&gt;AM26,1,0)))</f>
        <v>1</v>
      </c>
      <c r="AO10" s="188">
        <v>216</v>
      </c>
      <c r="AP10" s="109">
        <f>IF(SUM(AO10:AO12)+AO26=0,0,IF(SUM(ABS(AO10),ABS(AO11),ABS(AO12))=AO26,0.5,IF(SUM(ABS(AO10),ABS(AO11),ABS(AO12))&gt;AO26,1,0)))</f>
        <v>1</v>
      </c>
      <c r="AQ10" s="188">
        <v>182</v>
      </c>
      <c r="AR10" s="109">
        <f>IF(SUM(AQ10:AQ12)+AQ26=0,0,IF(SUM(ABS(AQ10),ABS(AQ11),ABS(AQ12))=AQ26,0.5,IF(SUM(ABS(AQ10),ABS(AQ11),ABS(AQ12))&gt;AQ26,1,0)))</f>
        <v>0</v>
      </c>
      <c r="AS10" s="188">
        <v>157</v>
      </c>
      <c r="AT10" s="109">
        <f>IF(SUM(AS10:AS12)+AS26=0,0,IF(SUM(ABS(AS10),ABS(AS11),ABS(AS12))=AS26,0.5,IF(SUM(ABS(AS10),ABS(AS11),ABS(AS12))&gt;AS26,1,0)))</f>
        <v>0</v>
      </c>
      <c r="AU10" s="110">
        <f t="shared" si="8"/>
        <v>1667</v>
      </c>
      <c r="AV10" s="111">
        <f>SUM(AD10+AF10+AH10+AJ10+AL10+AN10+AP10+AR10+AT10)</f>
        <v>5</v>
      </c>
      <c r="AW10" s="101"/>
      <c r="AX10" s="102"/>
      <c r="AZ10" s="63"/>
      <c r="BA10" s="212"/>
      <c r="BB10" s="213"/>
      <c r="BC10" s="214"/>
      <c r="BD10" s="217">
        <f t="shared" si="21"/>
        <v>7889</v>
      </c>
      <c r="BE10" s="213">
        <f t="shared" si="22"/>
        <v>1667</v>
      </c>
      <c r="BF10" s="215">
        <f t="shared" si="23"/>
        <v>9</v>
      </c>
      <c r="BG10" s="215">
        <f t="shared" si="24"/>
        <v>9</v>
      </c>
      <c r="BH10" s="215">
        <f t="shared" si="9"/>
        <v>192</v>
      </c>
      <c r="BI10" s="215">
        <f t="shared" si="10"/>
        <v>155</v>
      </c>
      <c r="BJ10" s="215">
        <f t="shared" si="11"/>
        <v>166</v>
      </c>
      <c r="BK10" s="215">
        <f t="shared" si="12"/>
        <v>192</v>
      </c>
      <c r="BL10" s="215">
        <f t="shared" si="13"/>
        <v>210</v>
      </c>
      <c r="BM10" s="215">
        <f t="shared" si="14"/>
        <v>197</v>
      </c>
      <c r="BN10" s="215">
        <f t="shared" si="15"/>
        <v>216</v>
      </c>
      <c r="BO10" s="215">
        <f t="shared" si="16"/>
        <v>182</v>
      </c>
      <c r="BP10" s="215">
        <f t="shared" si="17"/>
        <v>157</v>
      </c>
      <c r="BQ10" s="216"/>
      <c r="BR10" s="214"/>
      <c r="BS10" s="215">
        <f t="shared" si="25"/>
        <v>216</v>
      </c>
      <c r="BT10" s="215">
        <f t="shared" si="26"/>
        <v>0</v>
      </c>
      <c r="BU10" s="215" t="str">
        <f t="shared" si="27"/>
        <v>Praetoria Regensburg</v>
      </c>
      <c r="BV10" s="214">
        <f t="shared" si="28"/>
        <v>2</v>
      </c>
      <c r="BW10" s="215">
        <f t="shared" si="29"/>
        <v>1667</v>
      </c>
      <c r="BX10" s="215">
        <f>IF(COUNTIF(BH10:BP10,"&gt;0")&lt;Spielorte!$A$23,0,BE10/Spielorte!$A$23)</f>
        <v>185.22222222222223</v>
      </c>
      <c r="BY10" s="215">
        <f t="shared" si="30"/>
        <v>0</v>
      </c>
      <c r="BZ10" s="214">
        <f t="shared" si="18"/>
        <v>0</v>
      </c>
    </row>
    <row r="11" spans="1:78" ht="17.2" customHeight="1" x14ac:dyDescent="0.35">
      <c r="A11" s="368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9"/>
      <c r="F11" s="78" t="str">
        <f t="shared" si="0"/>
        <v/>
      </c>
      <c r="G11" s="349"/>
      <c r="H11" s="78" t="str">
        <f t="shared" si="1"/>
        <v/>
      </c>
      <c r="I11" s="349"/>
      <c r="J11" s="78" t="str">
        <f t="shared" si="2"/>
        <v/>
      </c>
      <c r="K11" s="349"/>
      <c r="L11" s="78" t="str">
        <f t="shared" si="3"/>
        <v/>
      </c>
      <c r="M11" s="349"/>
      <c r="N11" s="78" t="str">
        <f t="shared" si="20"/>
        <v/>
      </c>
      <c r="O11" s="349"/>
      <c r="P11" s="78" t="str">
        <f t="shared" si="4"/>
        <v/>
      </c>
      <c r="Q11" s="349"/>
      <c r="R11" s="78" t="str">
        <f t="shared" si="5"/>
        <v/>
      </c>
      <c r="S11" s="349"/>
      <c r="T11" s="78" t="str">
        <f t="shared" si="6"/>
        <v/>
      </c>
      <c r="U11" s="349"/>
      <c r="V11" s="78" t="str">
        <f t="shared" si="7"/>
        <v/>
      </c>
      <c r="W11" s="349"/>
      <c r="Z11" s="352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Praetoria Regensburg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2" customHeight="1" thickBot="1" x14ac:dyDescent="0.4">
      <c r="A12" s="369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0"/>
      <c r="F12" s="69" t="str">
        <f t="shared" si="0"/>
        <v/>
      </c>
      <c r="G12" s="350"/>
      <c r="H12" s="69" t="str">
        <f t="shared" si="1"/>
        <v/>
      </c>
      <c r="I12" s="350"/>
      <c r="J12" s="69" t="str">
        <f t="shared" si="2"/>
        <v/>
      </c>
      <c r="K12" s="350"/>
      <c r="L12" s="69" t="str">
        <f t="shared" si="3"/>
        <v/>
      </c>
      <c r="M12" s="350"/>
      <c r="N12" s="69" t="str">
        <f t="shared" si="20"/>
        <v/>
      </c>
      <c r="O12" s="350"/>
      <c r="P12" s="69" t="str">
        <f t="shared" si="4"/>
        <v/>
      </c>
      <c r="Q12" s="350"/>
      <c r="R12" s="69" t="str">
        <f t="shared" si="5"/>
        <v/>
      </c>
      <c r="S12" s="350"/>
      <c r="T12" s="69" t="str">
        <f t="shared" si="6"/>
        <v/>
      </c>
      <c r="U12" s="350"/>
      <c r="V12" s="69" t="str">
        <f t="shared" si="7"/>
        <v/>
      </c>
      <c r="W12" s="350"/>
      <c r="Z12" s="353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Praetoria Regensburg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2" customHeight="1" x14ac:dyDescent="0.35">
      <c r="A13" s="367" t="s">
        <v>3</v>
      </c>
      <c r="B13" s="73" t="str">
        <f t="shared" si="19"/>
        <v>Kicker-Mihatsch, Elvira</v>
      </c>
      <c r="C13" s="74">
        <f t="shared" si="19"/>
        <v>25798</v>
      </c>
      <c r="D13" s="75">
        <f t="shared" si="19"/>
        <v>177</v>
      </c>
      <c r="E13" s="348">
        <f>IF(AD13="","",AD13)</f>
        <v>0</v>
      </c>
      <c r="F13" s="75">
        <f t="shared" si="0"/>
        <v>167</v>
      </c>
      <c r="G13" s="348">
        <f>IF(AF13="","",AF13)</f>
        <v>1</v>
      </c>
      <c r="H13" s="75">
        <f t="shared" si="1"/>
        <v>171</v>
      </c>
      <c r="I13" s="348">
        <f>IF(AH13="","",AH13)</f>
        <v>0</v>
      </c>
      <c r="J13" s="75">
        <f t="shared" si="2"/>
        <v>194</v>
      </c>
      <c r="K13" s="348">
        <f>IF(AJ13="","",AJ13)</f>
        <v>1</v>
      </c>
      <c r="L13" s="75">
        <f t="shared" si="3"/>
        <v>230</v>
      </c>
      <c r="M13" s="348">
        <f>IF(AL13="","",AL13)</f>
        <v>1</v>
      </c>
      <c r="N13" s="75">
        <f t="shared" si="20"/>
        <v>197</v>
      </c>
      <c r="O13" s="348">
        <f>IF(AN13="","",AN13)</f>
        <v>1</v>
      </c>
      <c r="P13" s="75">
        <f t="shared" si="4"/>
        <v>182</v>
      </c>
      <c r="Q13" s="348">
        <f>IF(AP13="","",AP13)</f>
        <v>1</v>
      </c>
      <c r="R13" s="75">
        <f t="shared" si="5"/>
        <v>169</v>
      </c>
      <c r="S13" s="348">
        <f>IF(AR13="","",AR13)</f>
        <v>0</v>
      </c>
      <c r="T13" s="75">
        <f t="shared" si="6"/>
        <v>194</v>
      </c>
      <c r="U13" s="348">
        <f>IF(AT13="","",AT13)</f>
        <v>1</v>
      </c>
      <c r="V13" s="75">
        <f t="shared" si="7"/>
        <v>1681</v>
      </c>
      <c r="W13" s="348">
        <f>IF(AV13="","",AV13)</f>
        <v>6</v>
      </c>
      <c r="Z13" s="351" t="s">
        <v>3</v>
      </c>
      <c r="AA13" s="108" t="str">
        <f>IF(AB13=0,"",VLOOKUP(AB13,Starter!$A$1:$D$199,2,FALSE))</f>
        <v>Kicker-Mihatsch, Elvira</v>
      </c>
      <c r="AB13" s="99">
        <v>25798</v>
      </c>
      <c r="AC13" s="188">
        <v>177</v>
      </c>
      <c r="AD13" s="109">
        <f>IF(SUM(AC13:AC15)+AC27=0,0,IF(SUM(ABS(AC13),ABS(AC14),ABS(AC15))=AC27,0.5,IF(SUM(ABS(AC13),ABS(AC14),ABS(AC15))&gt;AC27,1,0)))</f>
        <v>0</v>
      </c>
      <c r="AE13" s="188">
        <v>167</v>
      </c>
      <c r="AF13" s="109">
        <f>IF(SUM(AE13:AE15)+AE27=0,0,IF(SUM(ABS(AE13),ABS(AE14),ABS(AE15))=AE27,0.5,IF(SUM(ABS(AE13),ABS(AE14),ABS(AE15))&gt;AE27,1,0)))</f>
        <v>1</v>
      </c>
      <c r="AG13" s="188">
        <v>171</v>
      </c>
      <c r="AH13" s="109">
        <f>IF(SUM(AG13:AG15)+AG27=0,0,IF(SUM(ABS(AG13),ABS(AG14),ABS(AG15))=AG27,0.5,IF(SUM(ABS(AG13),ABS(AG14),ABS(AG15))&gt;AG27,1,0)))</f>
        <v>0</v>
      </c>
      <c r="AI13" s="188">
        <v>194</v>
      </c>
      <c r="AJ13" s="109">
        <f>IF(SUM(AI13:AI15)+AI27=0,0,IF(SUM(ABS(AI13),ABS(AI14),ABS(AI15))=AI27,0.5,IF(SUM(ABS(AI13),ABS(AI14),ABS(AI15))&gt;AI27,1,0)))</f>
        <v>1</v>
      </c>
      <c r="AK13" s="188">
        <v>230</v>
      </c>
      <c r="AL13" s="109">
        <f>IF(SUM(AK13:AK15)+AK27=0,0,IF(SUM(ABS(AK13),ABS(AK14),ABS(AK15))=AK27,0.5,IF(SUM(ABS(AK13),ABS(AK14),ABS(AK15))&gt;AK27,1,0)))</f>
        <v>1</v>
      </c>
      <c r="AM13" s="188">
        <v>197</v>
      </c>
      <c r="AN13" s="109">
        <f>IF(SUM(AM13:AM15)+AM27=0,0,IF(SUM(ABS(AM13),ABS(AM14),ABS(AM15))=AM27,0.5,IF(SUM(ABS(AM13),ABS(AM14),ABS(AM15))&gt;AM27,1,0)))</f>
        <v>1</v>
      </c>
      <c r="AO13" s="188">
        <v>182</v>
      </c>
      <c r="AP13" s="109">
        <f>IF(SUM(AO13:AO15)+AO27=0,0,IF(SUM(ABS(AO13),ABS(AO14),ABS(AO15))=AO27,0.5,IF(SUM(ABS(AO13),ABS(AO14),ABS(AO15))&gt;AO27,1,0)))</f>
        <v>1</v>
      </c>
      <c r="AQ13" s="188">
        <v>169</v>
      </c>
      <c r="AR13" s="109">
        <f>IF(SUM(AQ13:AQ15)+AQ27=0,0,IF(SUM(ABS(AQ13),ABS(AQ14),ABS(AQ15))=AQ27,0.5,IF(SUM(ABS(AQ13),ABS(AQ14),ABS(AQ15))&gt;AQ27,1,0)))</f>
        <v>0</v>
      </c>
      <c r="AS13" s="188">
        <v>194</v>
      </c>
      <c r="AT13" s="109">
        <f>IF(SUM(AS13:AS15)+AS27=0,0,IF(SUM(ABS(AS13),ABS(AS14),ABS(AS15))=AS27,0.5,IF(SUM(ABS(AS13),ABS(AS14),ABS(AS15))&gt;AS27,1,0)))</f>
        <v>1</v>
      </c>
      <c r="AU13" s="110">
        <f t="shared" si="8"/>
        <v>1681</v>
      </c>
      <c r="AV13" s="111">
        <f>SUM(AD13+AF13+AH13+AJ13+AL13+AN13+AP13+AR13+AT13)</f>
        <v>6</v>
      </c>
      <c r="AW13" s="101"/>
      <c r="AX13" s="102"/>
      <c r="AZ13" s="63"/>
      <c r="BA13" s="212"/>
      <c r="BB13" s="213"/>
      <c r="BC13" s="214"/>
      <c r="BD13" s="217">
        <f t="shared" si="21"/>
        <v>25798</v>
      </c>
      <c r="BE13" s="213">
        <f t="shared" si="22"/>
        <v>1681</v>
      </c>
      <c r="BF13" s="215">
        <f t="shared" si="23"/>
        <v>9</v>
      </c>
      <c r="BG13" s="215">
        <f t="shared" si="24"/>
        <v>9</v>
      </c>
      <c r="BH13" s="215">
        <f t="shared" si="9"/>
        <v>177</v>
      </c>
      <c r="BI13" s="215">
        <f t="shared" si="10"/>
        <v>167</v>
      </c>
      <c r="BJ13" s="215">
        <f t="shared" si="11"/>
        <v>171</v>
      </c>
      <c r="BK13" s="215">
        <f t="shared" si="12"/>
        <v>194</v>
      </c>
      <c r="BL13" s="215">
        <f t="shared" si="13"/>
        <v>230</v>
      </c>
      <c r="BM13" s="215">
        <f t="shared" si="14"/>
        <v>197</v>
      </c>
      <c r="BN13" s="215">
        <f t="shared" si="15"/>
        <v>182</v>
      </c>
      <c r="BO13" s="215">
        <f t="shared" si="16"/>
        <v>169</v>
      </c>
      <c r="BP13" s="215">
        <f t="shared" si="17"/>
        <v>194</v>
      </c>
      <c r="BQ13" s="216"/>
      <c r="BR13" s="214"/>
      <c r="BS13" s="215">
        <f t="shared" si="25"/>
        <v>230</v>
      </c>
      <c r="BT13" s="215">
        <f t="shared" si="26"/>
        <v>0</v>
      </c>
      <c r="BU13" s="215" t="str">
        <f t="shared" si="27"/>
        <v>Praetoria Regensburg</v>
      </c>
      <c r="BV13" s="214">
        <f t="shared" si="28"/>
        <v>2</v>
      </c>
      <c r="BW13" s="215">
        <f t="shared" si="29"/>
        <v>1681</v>
      </c>
      <c r="BX13" s="215">
        <f>IF(COUNTIF(BH13:BP13,"&gt;0")&lt;Spielorte!$A$23,0,BE13/Spielorte!$A$23)</f>
        <v>186.77777777777777</v>
      </c>
      <c r="BY13" s="215">
        <f t="shared" si="30"/>
        <v>0</v>
      </c>
      <c r="BZ13" s="214">
        <f t="shared" si="18"/>
        <v>0</v>
      </c>
    </row>
    <row r="14" spans="1:78" ht="17.2" customHeight="1" x14ac:dyDescent="0.35">
      <c r="A14" s="368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9"/>
      <c r="F14" s="78" t="str">
        <f t="shared" si="0"/>
        <v/>
      </c>
      <c r="G14" s="349"/>
      <c r="H14" s="78" t="str">
        <f t="shared" si="1"/>
        <v/>
      </c>
      <c r="I14" s="349"/>
      <c r="J14" s="78" t="str">
        <f t="shared" si="2"/>
        <v/>
      </c>
      <c r="K14" s="349"/>
      <c r="L14" s="78" t="str">
        <f t="shared" si="3"/>
        <v/>
      </c>
      <c r="M14" s="349"/>
      <c r="N14" s="78" t="str">
        <f t="shared" si="20"/>
        <v/>
      </c>
      <c r="O14" s="349"/>
      <c r="P14" s="78" t="str">
        <f t="shared" si="4"/>
        <v/>
      </c>
      <c r="Q14" s="349"/>
      <c r="R14" s="78" t="str">
        <f t="shared" si="5"/>
        <v/>
      </c>
      <c r="S14" s="349"/>
      <c r="T14" s="78" t="str">
        <f t="shared" si="6"/>
        <v/>
      </c>
      <c r="U14" s="349"/>
      <c r="V14" s="78" t="str">
        <f t="shared" si="7"/>
        <v/>
      </c>
      <c r="W14" s="349"/>
      <c r="Z14" s="352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Praetoria Regensburg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2" customHeight="1" thickBot="1" x14ac:dyDescent="0.4">
      <c r="A15" s="369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0"/>
      <c r="F15" s="69" t="str">
        <f t="shared" si="0"/>
        <v/>
      </c>
      <c r="G15" s="350"/>
      <c r="H15" s="69" t="str">
        <f t="shared" si="1"/>
        <v/>
      </c>
      <c r="I15" s="350"/>
      <c r="J15" s="69" t="str">
        <f t="shared" si="2"/>
        <v/>
      </c>
      <c r="K15" s="350"/>
      <c r="L15" s="69" t="str">
        <f t="shared" si="3"/>
        <v/>
      </c>
      <c r="M15" s="350"/>
      <c r="N15" s="69" t="str">
        <f t="shared" si="20"/>
        <v/>
      </c>
      <c r="O15" s="350"/>
      <c r="P15" s="69" t="str">
        <f t="shared" si="4"/>
        <v/>
      </c>
      <c r="Q15" s="350"/>
      <c r="R15" s="69" t="str">
        <f t="shared" si="5"/>
        <v/>
      </c>
      <c r="S15" s="350"/>
      <c r="T15" s="69" t="str">
        <f t="shared" si="6"/>
        <v/>
      </c>
      <c r="U15" s="350"/>
      <c r="V15" s="69" t="str">
        <f t="shared" si="7"/>
        <v/>
      </c>
      <c r="W15" s="350"/>
      <c r="Z15" s="353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Praetoria Regensburg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2" customHeight="1" x14ac:dyDescent="0.35">
      <c r="A16" s="367" t="s">
        <v>11</v>
      </c>
      <c r="B16" s="73" t="str">
        <f>IF(AA16=0,"",AA16)</f>
        <v>Schlundt, Sabrina</v>
      </c>
      <c r="C16" s="74">
        <f t="shared" si="19"/>
        <v>25751</v>
      </c>
      <c r="D16" s="75">
        <f t="shared" si="19"/>
        <v>170</v>
      </c>
      <c r="E16" s="348">
        <f>IF(AD16="","",AD16)</f>
        <v>0</v>
      </c>
      <c r="F16" s="75">
        <f t="shared" si="0"/>
        <v>172</v>
      </c>
      <c r="G16" s="348">
        <f>IF(AF16="","",AF16)</f>
        <v>1</v>
      </c>
      <c r="H16" s="75">
        <f t="shared" si="1"/>
        <v>163</v>
      </c>
      <c r="I16" s="348">
        <f>IF(AH16="","",AH16)</f>
        <v>0</v>
      </c>
      <c r="J16" s="75" t="str">
        <f t="shared" si="2"/>
        <v/>
      </c>
      <c r="K16" s="348">
        <f>IF(AJ16="","",AJ16)</f>
        <v>0</v>
      </c>
      <c r="L16" s="75">
        <f t="shared" si="3"/>
        <v>166</v>
      </c>
      <c r="M16" s="348">
        <f>IF(AL16="","",AL16)</f>
        <v>1</v>
      </c>
      <c r="N16" s="75">
        <f t="shared" si="20"/>
        <v>158</v>
      </c>
      <c r="O16" s="348">
        <f>IF(AN16="","",AN16)</f>
        <v>0</v>
      </c>
      <c r="P16" s="75" t="str">
        <f t="shared" si="4"/>
        <v/>
      </c>
      <c r="Q16" s="348">
        <f>IF(AP16="","",AP16)</f>
        <v>1</v>
      </c>
      <c r="R16" s="75">
        <f t="shared" si="5"/>
        <v>202</v>
      </c>
      <c r="S16" s="348">
        <f>IF(AR16="","",AR16)</f>
        <v>0</v>
      </c>
      <c r="T16" s="75">
        <f t="shared" si="6"/>
        <v>180</v>
      </c>
      <c r="U16" s="348">
        <f>IF(AT16="","",AT16)</f>
        <v>1</v>
      </c>
      <c r="V16" s="75">
        <f t="shared" si="7"/>
        <v>1211</v>
      </c>
      <c r="W16" s="348">
        <f>IF(AV16="","",AV16)</f>
        <v>4</v>
      </c>
      <c r="Z16" s="351" t="s">
        <v>11</v>
      </c>
      <c r="AA16" s="108" t="str">
        <f>IF(AB16=0,"",VLOOKUP(AB16,Starter!$A$1:$D$199,2,FALSE))</f>
        <v>Schlundt, Sabrina</v>
      </c>
      <c r="AB16" s="99">
        <v>25751</v>
      </c>
      <c r="AC16" s="188">
        <v>170</v>
      </c>
      <c r="AD16" s="109">
        <f>IF(SUM(AC16:AC18)+AC28=0,0,IF(SUM(ABS(AC16),ABS(AC17),ABS(AC18))=AC28,0.5,IF(SUM(ABS(AC16),ABS(AC17),ABS(AC18))&gt;AC28,1,0)))</f>
        <v>0</v>
      </c>
      <c r="AE16" s="188">
        <v>172</v>
      </c>
      <c r="AF16" s="109">
        <f>IF(SUM(AE16:AE18)+AE28=0,0,IF(SUM(ABS(AE16),ABS(AE17),ABS(AE18))=AE28,0.5,IF(SUM(ABS(AE16),ABS(AE17),ABS(AE18))&gt;AE28,1,0)))</f>
        <v>1</v>
      </c>
      <c r="AG16" s="188">
        <v>163</v>
      </c>
      <c r="AH16" s="109">
        <f>IF(SUM(AG16:AG18)+AG28=0,0,IF(SUM(ABS(AG16),ABS(AG17),ABS(AG18))=AG28,0.5,IF(SUM(ABS(AG16),ABS(AG17),ABS(AG18))&gt;AG28,1,0)))</f>
        <v>0</v>
      </c>
      <c r="AI16" s="188"/>
      <c r="AJ16" s="109">
        <f>IF(SUM(AI16:AI18)+AI28=0,0,IF(SUM(ABS(AI16),ABS(AI17),ABS(AI18))=AI28,0.5,IF(SUM(ABS(AI16),ABS(AI17),ABS(AI18))&gt;AI28,1,0)))</f>
        <v>0</v>
      </c>
      <c r="AK16" s="188">
        <v>166</v>
      </c>
      <c r="AL16" s="109">
        <f>IF(SUM(AK16:AK18)+AK28=0,0,IF(SUM(ABS(AK16),ABS(AK17),ABS(AK18))=AK28,0.5,IF(SUM(ABS(AK16),ABS(AK17),ABS(AK18))&gt;AK28,1,0)))</f>
        <v>1</v>
      </c>
      <c r="AM16" s="188">
        <v>158</v>
      </c>
      <c r="AN16" s="109">
        <f>IF(SUM(AM16:AM18)+AM28=0,0,IF(SUM(ABS(AM16),ABS(AM17),ABS(AM18))=AM28,0.5,IF(SUM(ABS(AM16),ABS(AM17),ABS(AM18))&gt;AM28,1,0)))</f>
        <v>0</v>
      </c>
      <c r="AO16" s="188"/>
      <c r="AP16" s="109">
        <f>IF(SUM(AO16:AO18)+AO28=0,0,IF(SUM(ABS(AO16),ABS(AO17),ABS(AO18))=AO28,0.5,IF(SUM(ABS(AO16),ABS(AO17),ABS(AO18))&gt;AO28,1,0)))</f>
        <v>1</v>
      </c>
      <c r="AQ16" s="188">
        <v>202</v>
      </c>
      <c r="AR16" s="109">
        <f>IF(SUM(AQ16:AQ18)+AQ28=0,0,IF(SUM(ABS(AQ16),ABS(AQ17),ABS(AQ18))=AQ28,0.5,IF(SUM(ABS(AQ16),ABS(AQ17),ABS(AQ18))&gt;AQ28,1,0)))</f>
        <v>0</v>
      </c>
      <c r="AS16" s="188">
        <v>180</v>
      </c>
      <c r="AT16" s="109">
        <f>IF(SUM(AS16:AS18)+AS28=0,0,IF(SUM(ABS(AS16),ABS(AS17),ABS(AS18))=AS28,0.5,IF(SUM(ABS(AS16),ABS(AS17),ABS(AS18))&gt;AS28,1,0)))</f>
        <v>1</v>
      </c>
      <c r="AU16" s="110">
        <f t="shared" si="8"/>
        <v>1211</v>
      </c>
      <c r="AV16" s="111">
        <f>SUM(AD16+AF16+AH16+AJ16+AL16+AN16+AP16+AR16+AT16)</f>
        <v>4</v>
      </c>
      <c r="AW16" s="101"/>
      <c r="AX16" s="102"/>
      <c r="AZ16" s="63"/>
      <c r="BA16" s="212"/>
      <c r="BB16" s="213"/>
      <c r="BC16" s="214"/>
      <c r="BD16" s="217">
        <f t="shared" si="21"/>
        <v>25751</v>
      </c>
      <c r="BE16" s="213">
        <f t="shared" si="22"/>
        <v>1211</v>
      </c>
      <c r="BF16" s="215">
        <f t="shared" si="23"/>
        <v>7</v>
      </c>
      <c r="BG16" s="215">
        <f t="shared" si="24"/>
        <v>7</v>
      </c>
      <c r="BH16" s="215">
        <f t="shared" si="9"/>
        <v>170</v>
      </c>
      <c r="BI16" s="215">
        <f t="shared" si="10"/>
        <v>172</v>
      </c>
      <c r="BJ16" s="215">
        <f t="shared" si="11"/>
        <v>163</v>
      </c>
      <c r="BK16" s="215" t="str">
        <f t="shared" si="12"/>
        <v/>
      </c>
      <c r="BL16" s="215">
        <f t="shared" si="13"/>
        <v>166</v>
      </c>
      <c r="BM16" s="215">
        <f t="shared" si="14"/>
        <v>158</v>
      </c>
      <c r="BN16" s="215" t="str">
        <f t="shared" si="15"/>
        <v/>
      </c>
      <c r="BO16" s="215">
        <f t="shared" si="16"/>
        <v>202</v>
      </c>
      <c r="BP16" s="215">
        <f t="shared" si="17"/>
        <v>180</v>
      </c>
      <c r="BQ16" s="216"/>
      <c r="BR16" s="214"/>
      <c r="BS16" s="215">
        <f t="shared" si="25"/>
        <v>202</v>
      </c>
      <c r="BT16" s="215">
        <f t="shared" si="26"/>
        <v>0</v>
      </c>
      <c r="BU16" s="215" t="str">
        <f t="shared" si="27"/>
        <v>Praetoria Regensburg</v>
      </c>
      <c r="BV16" s="214">
        <f t="shared" si="28"/>
        <v>2</v>
      </c>
      <c r="BW16" s="215">
        <f t="shared" si="29"/>
        <v>1211</v>
      </c>
      <c r="BX16" s="215">
        <f>IF(COUNTIF(BH16:BP16,"&gt;0")&lt;Spielorte!$A$23,0,BE16/Spielorte!$A$23)</f>
        <v>0</v>
      </c>
      <c r="BY16" s="215">
        <f t="shared" si="30"/>
        <v>0</v>
      </c>
      <c r="BZ16" s="214">
        <f t="shared" si="18"/>
        <v>0</v>
      </c>
    </row>
    <row r="17" spans="1:78" ht="17.2" customHeight="1" x14ac:dyDescent="0.35">
      <c r="A17" s="368"/>
      <c r="B17" s="76" t="str">
        <f>IF(AA17=0,"",AA17)</f>
        <v>Spieler, Regina</v>
      </c>
      <c r="C17" s="77">
        <f t="shared" si="19"/>
        <v>7903</v>
      </c>
      <c r="D17" s="78" t="str">
        <f t="shared" si="19"/>
        <v/>
      </c>
      <c r="E17" s="349"/>
      <c r="F17" s="78" t="str">
        <f t="shared" si="0"/>
        <v/>
      </c>
      <c r="G17" s="349"/>
      <c r="H17" s="78" t="str">
        <f t="shared" si="1"/>
        <v/>
      </c>
      <c r="I17" s="349"/>
      <c r="J17" s="78">
        <f t="shared" si="2"/>
        <v>126</v>
      </c>
      <c r="K17" s="349"/>
      <c r="L17" s="78" t="str">
        <f t="shared" si="3"/>
        <v/>
      </c>
      <c r="M17" s="349"/>
      <c r="N17" s="78" t="str">
        <f t="shared" si="20"/>
        <v/>
      </c>
      <c r="O17" s="349"/>
      <c r="P17" s="78">
        <f t="shared" si="4"/>
        <v>136</v>
      </c>
      <c r="Q17" s="349"/>
      <c r="R17" s="78" t="str">
        <f t="shared" si="5"/>
        <v/>
      </c>
      <c r="S17" s="349"/>
      <c r="T17" s="78" t="str">
        <f t="shared" si="6"/>
        <v/>
      </c>
      <c r="U17" s="349"/>
      <c r="V17" s="78">
        <f t="shared" si="7"/>
        <v>262</v>
      </c>
      <c r="W17" s="349"/>
      <c r="Z17" s="352"/>
      <c r="AA17" s="108" t="str">
        <f>IF(AB17=0,"",VLOOKUP(AB17,Starter!$A$1:$D$199,2,FALSE))</f>
        <v>Spieler, Regina</v>
      </c>
      <c r="AB17" s="98">
        <v>7903</v>
      </c>
      <c r="AC17" s="186"/>
      <c r="AD17" s="112"/>
      <c r="AE17" s="186"/>
      <c r="AF17" s="112"/>
      <c r="AG17" s="186"/>
      <c r="AH17" s="112"/>
      <c r="AI17" s="186">
        <v>126</v>
      </c>
      <c r="AJ17" s="112"/>
      <c r="AK17" s="186"/>
      <c r="AL17" s="112"/>
      <c r="AM17" s="186"/>
      <c r="AN17" s="112"/>
      <c r="AO17" s="186">
        <v>136</v>
      </c>
      <c r="AP17" s="112"/>
      <c r="AQ17" s="186"/>
      <c r="AR17" s="112"/>
      <c r="AS17" s="186"/>
      <c r="AT17" s="112"/>
      <c r="AU17" s="113">
        <f t="shared" si="8"/>
        <v>262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7903</v>
      </c>
      <c r="BE17" s="213">
        <f t="shared" si="22"/>
        <v>262</v>
      </c>
      <c r="BF17" s="215">
        <f t="shared" si="23"/>
        <v>2</v>
      </c>
      <c r="BG17" s="215">
        <f t="shared" si="24"/>
        <v>2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>
        <f t="shared" si="12"/>
        <v>126</v>
      </c>
      <c r="BL17" s="215" t="str">
        <f t="shared" si="13"/>
        <v/>
      </c>
      <c r="BM17" s="215" t="str">
        <f t="shared" si="14"/>
        <v/>
      </c>
      <c r="BN17" s="215">
        <f t="shared" si="15"/>
        <v>136</v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136</v>
      </c>
      <c r="BT17" s="215">
        <f t="shared" si="26"/>
        <v>0</v>
      </c>
      <c r="BU17" s="215" t="str">
        <f t="shared" si="27"/>
        <v>Praetoria Regensburg</v>
      </c>
      <c r="BV17" s="214">
        <f t="shared" si="28"/>
        <v>2</v>
      </c>
      <c r="BW17" s="215">
        <f t="shared" si="29"/>
        <v>262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2" customHeight="1" thickBot="1" x14ac:dyDescent="0.4">
      <c r="A18" s="369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0"/>
      <c r="F18" s="69" t="str">
        <f t="shared" si="0"/>
        <v/>
      </c>
      <c r="G18" s="350"/>
      <c r="H18" s="69" t="str">
        <f t="shared" si="1"/>
        <v/>
      </c>
      <c r="I18" s="350"/>
      <c r="J18" s="69" t="str">
        <f t="shared" si="2"/>
        <v/>
      </c>
      <c r="K18" s="350"/>
      <c r="L18" s="69" t="str">
        <f t="shared" si="3"/>
        <v/>
      </c>
      <c r="M18" s="350"/>
      <c r="N18" s="69" t="str">
        <f t="shared" si="20"/>
        <v/>
      </c>
      <c r="O18" s="350"/>
      <c r="P18" s="69" t="str">
        <f t="shared" si="4"/>
        <v/>
      </c>
      <c r="Q18" s="350"/>
      <c r="R18" s="69" t="str">
        <f t="shared" si="5"/>
        <v/>
      </c>
      <c r="S18" s="350"/>
      <c r="T18" s="69" t="str">
        <f t="shared" si="6"/>
        <v/>
      </c>
      <c r="U18" s="350"/>
      <c r="V18" s="69" t="str">
        <f t="shared" si="7"/>
        <v/>
      </c>
      <c r="W18" s="350"/>
      <c r="Z18" s="353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Praetoria Regensburg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4">
      <c r="B19" s="81" t="str">
        <f>IF(AA19=0,"",AA19)</f>
        <v>Gesamt</v>
      </c>
      <c r="C19" s="82" t="str">
        <f t="shared" si="19"/>
        <v/>
      </c>
      <c r="D19" s="83">
        <f t="shared" si="19"/>
        <v>687</v>
      </c>
      <c r="E19" s="84">
        <f>IF(AD19="","",AD19)</f>
        <v>0</v>
      </c>
      <c r="F19" s="83">
        <f t="shared" si="0"/>
        <v>674</v>
      </c>
      <c r="G19" s="84">
        <f>IF(AF19="","",AF19)</f>
        <v>2</v>
      </c>
      <c r="H19" s="83">
        <f t="shared" si="1"/>
        <v>680</v>
      </c>
      <c r="I19" s="84">
        <f>IF(AH19="","",AH19)</f>
        <v>0</v>
      </c>
      <c r="J19" s="83">
        <f t="shared" si="2"/>
        <v>707</v>
      </c>
      <c r="K19" s="84">
        <f>IF(AJ19="","",AJ19)</f>
        <v>2</v>
      </c>
      <c r="L19" s="83">
        <f t="shared" si="3"/>
        <v>784</v>
      </c>
      <c r="M19" s="84">
        <f>IF(AL19="","",AL19)</f>
        <v>2</v>
      </c>
      <c r="N19" s="83">
        <f t="shared" si="20"/>
        <v>699</v>
      </c>
      <c r="O19" s="84">
        <f>IF(AN19="","",AN19)</f>
        <v>2</v>
      </c>
      <c r="P19" s="83">
        <f t="shared" si="4"/>
        <v>728</v>
      </c>
      <c r="Q19" s="84">
        <f>IF(AP19="","",AP19)</f>
        <v>2</v>
      </c>
      <c r="R19" s="83">
        <f t="shared" si="5"/>
        <v>727</v>
      </c>
      <c r="S19" s="84">
        <f>IF(AR19="","",AR19)</f>
        <v>0</v>
      </c>
      <c r="T19" s="83">
        <f t="shared" si="6"/>
        <v>721</v>
      </c>
      <c r="U19" s="84">
        <f>IF(AT19="","",AT19)</f>
        <v>0</v>
      </c>
      <c r="V19" s="83">
        <f t="shared" si="7"/>
        <v>6407</v>
      </c>
      <c r="W19" s="84">
        <f>IF(AV19="","",AV19)</f>
        <v>10</v>
      </c>
      <c r="AA19" s="81" t="s">
        <v>1799</v>
      </c>
      <c r="AB19" s="120"/>
      <c r="AC19" s="211">
        <f>ABS(SUM(AC7:AC9))+ABS(SUM(AC10:AC12))+ABS(SUM(AC13:AC15))+ABS(SUM(AC16:AC18))</f>
        <v>687</v>
      </c>
      <c r="AD19" s="121">
        <f>IF(AC19+AC29=0,0,IF(AC19=AC29,1,IF(AC19&gt;AC29,2,0)))</f>
        <v>0</v>
      </c>
      <c r="AE19" s="211">
        <f>ABS(SUM(AE7:AE9))+ABS(SUM(AE10:AE12))+ABS(SUM(AE13:AE15))+ABS(SUM(AE16:AE18))</f>
        <v>674</v>
      </c>
      <c r="AF19" s="121">
        <f>IF(AE19+AE29=0,0,IF(AE19=AE29,1,IF(AE19&gt;AE29,2,0)))</f>
        <v>2</v>
      </c>
      <c r="AG19" s="211">
        <f>ABS(SUM(AG7:AG9))+ABS(SUM(AG10:AG12))+ABS(SUM(AG13:AG15))+ABS(SUM(AG16:AG18))</f>
        <v>680</v>
      </c>
      <c r="AH19" s="121">
        <f>IF(AG19+AG29=0,0,IF(AG19=AG29,1,IF(AG19&gt;AG29,2,0)))</f>
        <v>0</v>
      </c>
      <c r="AI19" s="211">
        <f>ABS(SUM(AI7:AI9))+ABS(SUM(AI10:AI12))+ABS(SUM(AI13:AI15))+ABS(SUM(AI16:AI18))</f>
        <v>707</v>
      </c>
      <c r="AJ19" s="121">
        <f>IF(AI19+AI29=0,0,IF(AI19=AI29,1,IF(AI19&gt;AI29,2,0)))</f>
        <v>2</v>
      </c>
      <c r="AK19" s="211">
        <f>ABS(SUM(AK7:AK9))+ABS(SUM(AK10:AK12))+ABS(SUM(AK13:AK15))+ABS(SUM(AK16:AK18))</f>
        <v>784</v>
      </c>
      <c r="AL19" s="121">
        <f>IF(AK19+AK29=0,0,IF(AK19=AK29,1,IF(AK19&gt;AK29,2,0)))</f>
        <v>2</v>
      </c>
      <c r="AM19" s="211">
        <f>ABS(SUM(AM7:AM9))+ABS(SUM(AM10:AM12))+ABS(SUM(AM13:AM15))+ABS(SUM(AM16:AM18))</f>
        <v>699</v>
      </c>
      <c r="AN19" s="121">
        <f>IF(AM19+AM29=0,0,IF(AM19=AM29,1,IF(AM19&gt;AM29,2,0)))</f>
        <v>2</v>
      </c>
      <c r="AO19" s="211">
        <f>ABS(SUM(AO7:AO9))+ABS(SUM(AO10:AO12))+ABS(SUM(AO13:AO15))+ABS(SUM(AO16:AO18))</f>
        <v>728</v>
      </c>
      <c r="AP19" s="121">
        <f>IF(AO19+AO29=0,0,IF(AO19=AO29,1,IF(AO19&gt;AO29,2,0)))</f>
        <v>2</v>
      </c>
      <c r="AQ19" s="211">
        <f>ABS(SUM(AQ7:AQ9))+ABS(SUM(AQ10:AQ12))+ABS(SUM(AQ13:AQ15))+ABS(SUM(AQ16:AQ18))</f>
        <v>727</v>
      </c>
      <c r="AR19" s="121">
        <f>IF(AQ19+AQ29=0,0,IF(AQ19=AQ29,1,IF(AQ19&gt;AQ29,2,0)))</f>
        <v>0</v>
      </c>
      <c r="AS19" s="211">
        <f>ABS(SUM(AS7:AS9))+ABS(SUM(AS10:AS12))+ABS(SUM(AS13:AS15))+ABS(SUM(AS16:AS18))</f>
        <v>721</v>
      </c>
      <c r="AT19" s="121">
        <f>IF(AS19+AS29=0,0,IF(AS19=AS29,1,IF(AS19&gt;AS29,2,0)))</f>
        <v>0</v>
      </c>
      <c r="AU19" s="122">
        <f>SUM(AC19+AE19+AG19+AI19+AK19+AM19+AO19+AQ19+AS19)</f>
        <v>6407</v>
      </c>
      <c r="AV19" s="123">
        <f>SUM(AD19+AF19+AH19+AJ19+AL19+AN19+AP19+AR19+AT19)</f>
        <v>10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4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1</v>
      </c>
      <c r="F20" s="86" t="str">
        <f t="shared" si="0"/>
        <v/>
      </c>
      <c r="G20" s="87">
        <f>IF(AF20="","",AF20)</f>
        <v>5</v>
      </c>
      <c r="H20" s="86" t="str">
        <f t="shared" si="1"/>
        <v/>
      </c>
      <c r="I20" s="87">
        <f>IF(AH20="","",AH20)</f>
        <v>0</v>
      </c>
      <c r="J20" s="86" t="str">
        <f t="shared" si="2"/>
        <v/>
      </c>
      <c r="K20" s="87">
        <f>IF(AJ20="","",AJ20)</f>
        <v>5</v>
      </c>
      <c r="L20" s="86" t="str">
        <f t="shared" si="3"/>
        <v/>
      </c>
      <c r="M20" s="87">
        <f>IF(AL20="","",AL20)</f>
        <v>5</v>
      </c>
      <c r="N20" s="86" t="str">
        <f t="shared" si="20"/>
        <v/>
      </c>
      <c r="O20" s="87">
        <f>IF(AN20="","",AN20)</f>
        <v>4</v>
      </c>
      <c r="P20" s="86" t="str">
        <f t="shared" si="4"/>
        <v/>
      </c>
      <c r="Q20" s="87">
        <f>IF(AP20="","",AP20)</f>
        <v>6</v>
      </c>
      <c r="R20" s="86" t="str">
        <f t="shared" si="5"/>
        <v/>
      </c>
      <c r="S20" s="87">
        <f>IF(AR20="","",AR20)</f>
        <v>0</v>
      </c>
      <c r="T20" s="86" t="str">
        <f t="shared" si="6"/>
        <v/>
      </c>
      <c r="U20" s="87">
        <f>IF(AT20="","",AT20)</f>
        <v>3</v>
      </c>
      <c r="V20" s="86" t="str">
        <f t="shared" si="7"/>
        <v/>
      </c>
      <c r="W20" s="87">
        <f>IF(AV20="","",AV20)</f>
        <v>29</v>
      </c>
      <c r="AA20" s="85" t="s">
        <v>1814</v>
      </c>
      <c r="AB20" s="86"/>
      <c r="AC20" s="86"/>
      <c r="AD20" s="124">
        <f>SUM(AD7:AD19)</f>
        <v>1</v>
      </c>
      <c r="AE20" s="86"/>
      <c r="AF20" s="124">
        <f>SUM(AF7:AF19)</f>
        <v>5</v>
      </c>
      <c r="AG20" s="86"/>
      <c r="AH20" s="124">
        <f>SUM(AH7:AH19)</f>
        <v>0</v>
      </c>
      <c r="AI20" s="86"/>
      <c r="AJ20" s="124">
        <f>SUM(AJ7:AJ19)</f>
        <v>5</v>
      </c>
      <c r="AK20" s="86"/>
      <c r="AL20" s="124">
        <f>SUM(AL7:AL19)</f>
        <v>5</v>
      </c>
      <c r="AM20" s="86"/>
      <c r="AN20" s="124">
        <f>SUM(AN7:AN19)</f>
        <v>4</v>
      </c>
      <c r="AO20" s="86"/>
      <c r="AP20" s="124">
        <f>SUM(AP7:AP19)</f>
        <v>6</v>
      </c>
      <c r="AQ20" s="86"/>
      <c r="AR20" s="124">
        <f>SUM(AR7:AR19)</f>
        <v>0</v>
      </c>
      <c r="AS20" s="86"/>
      <c r="AT20" s="124">
        <f>SUM(AT7:AT19)</f>
        <v>3</v>
      </c>
      <c r="AU20" s="86"/>
      <c r="AV20" s="125">
        <f>SUM(AV7:AV19)</f>
        <v>29</v>
      </c>
      <c r="AW20" s="101"/>
      <c r="AX20" s="102"/>
      <c r="BA20" s="212">
        <f>+AV20</f>
        <v>29</v>
      </c>
      <c r="BB20" s="213">
        <f>+AU19</f>
        <v>6407</v>
      </c>
      <c r="BC20" s="214">
        <f>+AA2</f>
        <v>1</v>
      </c>
      <c r="BF20" s="215">
        <f>SUM(BF1:BF19)</f>
        <v>36</v>
      </c>
      <c r="BQ20" s="212">
        <f>+BB20/1000000+BA20</f>
        <v>29.006406999999999</v>
      </c>
      <c r="BR20" s="214">
        <f>RANK(BQ20,BQ:BQ)</f>
        <v>6</v>
      </c>
      <c r="BV20" s="214"/>
      <c r="BZ20" s="214"/>
    </row>
    <row r="21" spans="1:78" ht="11.25" customHeight="1" x14ac:dyDescent="0.3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35">
      <c r="B22" s="88" t="str">
        <f t="shared" ref="B22:Q22" si="31">IF(AA22=0,"",AA22)</f>
        <v>Gegner-Nr.:</v>
      </c>
      <c r="C22" s="89" t="str">
        <f t="shared" si="31"/>
        <v>&gt;&gt;&gt;&gt;</v>
      </c>
      <c r="D22" s="346">
        <f t="shared" si="31"/>
        <v>3</v>
      </c>
      <c r="E22" s="346" t="str">
        <f t="shared" si="31"/>
        <v/>
      </c>
      <c r="F22" s="346">
        <f t="shared" si="31"/>
        <v>9</v>
      </c>
      <c r="G22" s="346" t="str">
        <f t="shared" si="31"/>
        <v/>
      </c>
      <c r="H22" s="346">
        <f t="shared" si="31"/>
        <v>6</v>
      </c>
      <c r="I22" s="346" t="str">
        <f t="shared" si="31"/>
        <v/>
      </c>
      <c r="J22" s="346">
        <f t="shared" si="31"/>
        <v>5</v>
      </c>
      <c r="K22" s="346" t="str">
        <f t="shared" si="31"/>
        <v/>
      </c>
      <c r="L22" s="346">
        <f t="shared" si="31"/>
        <v>10</v>
      </c>
      <c r="M22" s="346" t="str">
        <f t="shared" si="31"/>
        <v/>
      </c>
      <c r="N22" s="346">
        <f t="shared" si="31"/>
        <v>7</v>
      </c>
      <c r="O22" s="346" t="str">
        <f t="shared" si="31"/>
        <v/>
      </c>
      <c r="P22" s="346">
        <f t="shared" si="31"/>
        <v>4</v>
      </c>
      <c r="Q22" s="346" t="str">
        <f t="shared" si="31"/>
        <v/>
      </c>
      <c r="R22" s="346">
        <f t="shared" ref="L22:U24" si="32">IF(AQ22=0,"",AQ22)</f>
        <v>2</v>
      </c>
      <c r="S22" s="346" t="str">
        <f t="shared" si="32"/>
        <v/>
      </c>
      <c r="T22" s="346">
        <f t="shared" si="32"/>
        <v>8</v>
      </c>
      <c r="U22" s="346" t="str">
        <f t="shared" si="32"/>
        <v/>
      </c>
      <c r="V22" s="347"/>
      <c r="W22" s="347"/>
      <c r="AA22" s="88" t="s">
        <v>1797</v>
      </c>
      <c r="AB22" s="89" t="s">
        <v>1798</v>
      </c>
      <c r="AC22" s="370">
        <f>VLOOKUP($AA2,Schlüssel!$A$5:$K$14,3)</f>
        <v>3</v>
      </c>
      <c r="AD22" s="371"/>
      <c r="AE22" s="370">
        <f>VLOOKUP($AA2,Schlüssel!$A$5:$K$14,4)</f>
        <v>9</v>
      </c>
      <c r="AF22" s="371"/>
      <c r="AG22" s="370">
        <f>VLOOKUP($AA2,Schlüssel!$A$5:$K$14,5)</f>
        <v>6</v>
      </c>
      <c r="AH22" s="371"/>
      <c r="AI22" s="370">
        <f>VLOOKUP($AA2,Schlüssel!$A$5:$K$14,6)</f>
        <v>5</v>
      </c>
      <c r="AJ22" s="371"/>
      <c r="AK22" s="370">
        <f>VLOOKUP($AA2,Schlüssel!$A$5:$K$14,7)</f>
        <v>10</v>
      </c>
      <c r="AL22" s="371"/>
      <c r="AM22" s="370">
        <f>VLOOKUP($AA2,Schlüssel!$A$5:$K$14,8)</f>
        <v>7</v>
      </c>
      <c r="AN22" s="371"/>
      <c r="AO22" s="370">
        <f>VLOOKUP($AA2,Schlüssel!$A$5:$K$14,9)</f>
        <v>4</v>
      </c>
      <c r="AP22" s="371"/>
      <c r="AQ22" s="370">
        <f>VLOOKUP($AA2,Schlüssel!$A$5:$K$14,10)</f>
        <v>2</v>
      </c>
      <c r="AR22" s="371"/>
      <c r="AS22" s="370">
        <f>VLOOKUP($AA2,Schlüssel!$A$5:$K$14,11)</f>
        <v>8</v>
      </c>
      <c r="AT22" s="371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35">
      <c r="B23" s="90" t="str">
        <f t="shared" ref="B23:K24" si="33">IF(AA23=0,"",AA23)</f>
        <v/>
      </c>
      <c r="C23" s="86" t="str">
        <f t="shared" si="33"/>
        <v/>
      </c>
      <c r="D23" s="343" t="str">
        <f t="shared" si="33"/>
        <v>Highroller Rosenheim</v>
      </c>
      <c r="E23" s="344" t="str">
        <f t="shared" si="33"/>
        <v/>
      </c>
      <c r="F23" s="343" t="str">
        <f t="shared" si="33"/>
        <v>RW Lichtenhof 69 Stein 2</v>
      </c>
      <c r="G23" s="344" t="str">
        <f t="shared" si="33"/>
        <v/>
      </c>
      <c r="H23" s="343" t="str">
        <f t="shared" si="33"/>
        <v>Phönix 03 Lauf</v>
      </c>
      <c r="I23" s="344" t="str">
        <f t="shared" si="33"/>
        <v/>
      </c>
      <c r="J23" s="343" t="str">
        <f t="shared" si="33"/>
        <v xml:space="preserve">Weiß Blau Unterföhring </v>
      </c>
      <c r="K23" s="344" t="str">
        <f t="shared" si="33"/>
        <v/>
      </c>
      <c r="L23" s="343" t="str">
        <f t="shared" si="32"/>
        <v>BK München 4</v>
      </c>
      <c r="M23" s="344" t="str">
        <f t="shared" si="32"/>
        <v/>
      </c>
      <c r="N23" s="343" t="str">
        <f t="shared" si="32"/>
        <v>Frankenpower Nürnberg</v>
      </c>
      <c r="O23" s="344" t="str">
        <f t="shared" si="32"/>
        <v/>
      </c>
      <c r="P23" s="343" t="str">
        <f t="shared" si="32"/>
        <v>BK München 3</v>
      </c>
      <c r="Q23" s="344" t="str">
        <f t="shared" si="32"/>
        <v/>
      </c>
      <c r="R23" s="343" t="str">
        <f t="shared" si="32"/>
        <v>BK München 2</v>
      </c>
      <c r="S23" s="344" t="str">
        <f t="shared" si="32"/>
        <v/>
      </c>
      <c r="T23" s="343" t="str">
        <f t="shared" si="32"/>
        <v>EPA München 1</v>
      </c>
      <c r="U23" s="344" t="str">
        <f t="shared" si="32"/>
        <v/>
      </c>
      <c r="V23" s="345"/>
      <c r="W23" s="345"/>
      <c r="AA23" s="90"/>
      <c r="AB23" s="86"/>
      <c r="AC23" s="343" t="str">
        <f>VLOOKUP(AC22,Schlüssel!$A$5:$K$14,2)</f>
        <v>Highroller Rosenheim</v>
      </c>
      <c r="AD23" s="344"/>
      <c r="AE23" s="343" t="str">
        <f>VLOOKUP(AE22,Schlüssel!$A$5:$K$14,2)</f>
        <v>RW Lichtenhof 69 Stein 2</v>
      </c>
      <c r="AF23" s="344"/>
      <c r="AG23" s="343" t="str">
        <f>VLOOKUP(AG22,Schlüssel!$A$5:$K$14,2)</f>
        <v>Phönix 03 Lauf</v>
      </c>
      <c r="AH23" s="344"/>
      <c r="AI23" s="343" t="str">
        <f>VLOOKUP(AI22,Schlüssel!$A$5:$K$14,2)</f>
        <v xml:space="preserve">Weiß Blau Unterföhring </v>
      </c>
      <c r="AJ23" s="344"/>
      <c r="AK23" s="343" t="str">
        <f>VLOOKUP(AK22,Schlüssel!$A$5:$K$14,2)</f>
        <v>BK München 4</v>
      </c>
      <c r="AL23" s="344"/>
      <c r="AM23" s="343" t="str">
        <f>VLOOKUP(AM22,Schlüssel!$A$5:$K$14,2)</f>
        <v>Frankenpower Nürnberg</v>
      </c>
      <c r="AN23" s="344"/>
      <c r="AO23" s="343" t="str">
        <f>VLOOKUP(AO22,Schlüssel!$A$5:$K$14,2)</f>
        <v>BK München 3</v>
      </c>
      <c r="AP23" s="344"/>
      <c r="AQ23" s="343" t="str">
        <f>VLOOKUP(AQ22,Schlüssel!$A$5:$K$14,2)</f>
        <v>BK München 2</v>
      </c>
      <c r="AR23" s="344"/>
      <c r="AS23" s="343" t="str">
        <f>VLOOKUP(AS22,Schlüssel!$A$5:$K$14,2)</f>
        <v>EPA München 1</v>
      </c>
      <c r="AT23" s="344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35">
      <c r="B24" s="90" t="str">
        <f t="shared" si="33"/>
        <v/>
      </c>
      <c r="C24" s="86" t="str">
        <f t="shared" si="33"/>
        <v/>
      </c>
      <c r="D24" s="341" t="str">
        <f t="shared" si="33"/>
        <v/>
      </c>
      <c r="E24" s="341" t="str">
        <f t="shared" si="33"/>
        <v/>
      </c>
      <c r="F24" s="341" t="str">
        <f t="shared" si="33"/>
        <v/>
      </c>
      <c r="G24" s="341" t="str">
        <f t="shared" si="33"/>
        <v/>
      </c>
      <c r="H24" s="341" t="str">
        <f t="shared" si="33"/>
        <v/>
      </c>
      <c r="I24" s="341" t="str">
        <f t="shared" si="33"/>
        <v/>
      </c>
      <c r="J24" s="341" t="str">
        <f t="shared" si="33"/>
        <v/>
      </c>
      <c r="K24" s="341" t="str">
        <f t="shared" si="33"/>
        <v/>
      </c>
      <c r="L24" s="341" t="str">
        <f t="shared" si="32"/>
        <v/>
      </c>
      <c r="M24" s="341" t="str">
        <f t="shared" si="32"/>
        <v/>
      </c>
      <c r="N24" s="341" t="str">
        <f t="shared" si="32"/>
        <v/>
      </c>
      <c r="O24" s="341" t="str">
        <f t="shared" si="32"/>
        <v/>
      </c>
      <c r="P24" s="341" t="str">
        <f t="shared" si="32"/>
        <v/>
      </c>
      <c r="Q24" s="341" t="str">
        <f t="shared" si="32"/>
        <v/>
      </c>
      <c r="R24" s="341" t="str">
        <f t="shared" si="32"/>
        <v/>
      </c>
      <c r="S24" s="341" t="str">
        <f t="shared" si="32"/>
        <v/>
      </c>
      <c r="T24" s="341" t="str">
        <f t="shared" si="32"/>
        <v/>
      </c>
      <c r="U24" s="342" t="str">
        <f t="shared" si="32"/>
        <v/>
      </c>
      <c r="V24" s="301"/>
      <c r="W24" s="301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6.05" customHeight="1" x14ac:dyDescent="0.35">
      <c r="B25" s="365" t="str">
        <f t="shared" ref="B25:C29" si="34">IF(AA25=0,"",AA25)</f>
        <v>Spieler 1</v>
      </c>
      <c r="C25" s="366" t="str">
        <f t="shared" si="34"/>
        <v/>
      </c>
      <c r="D25" s="339">
        <f>IF(AC25=301,"",AC25)</f>
        <v>191</v>
      </c>
      <c r="E25" s="339" t="str">
        <f>IF(AD25=0,"",AD25)</f>
        <v/>
      </c>
      <c r="F25" s="339">
        <f>IF(AE25=301,"",AE25)</f>
        <v>157</v>
      </c>
      <c r="G25" s="339" t="str">
        <f>IF(AF25=0,"",AF25)</f>
        <v/>
      </c>
      <c r="H25" s="339">
        <f>IF(AG25=301,"",AG25)</f>
        <v>185</v>
      </c>
      <c r="I25" s="339" t="str">
        <f>IF(AH25=0,"",AH25)</f>
        <v/>
      </c>
      <c r="J25" s="339">
        <f>IF(AI25=301,"",AI25)</f>
        <v>157</v>
      </c>
      <c r="K25" s="339" t="str">
        <f>IF(AJ25=0,"",AJ25)</f>
        <v/>
      </c>
      <c r="L25" s="339">
        <f>IF(AK25=301,"",AK25)</f>
        <v>186</v>
      </c>
      <c r="M25" s="339" t="str">
        <f>IF(AL25=0,"",AL25)</f>
        <v/>
      </c>
      <c r="N25" s="339">
        <f>IF(AM25=301,"",AM25)</f>
        <v>163</v>
      </c>
      <c r="O25" s="339" t="str">
        <f>IF(AN25=0,"",AN25)</f>
        <v/>
      </c>
      <c r="P25" s="339">
        <f>IF(AO25=301,"",AO25)</f>
        <v>0</v>
      </c>
      <c r="Q25" s="339" t="str">
        <f>IF(AP25=0,"",AP25)</f>
        <v/>
      </c>
      <c r="R25" s="339">
        <f>IF(AQ25=301,"",AQ25)</f>
        <v>184</v>
      </c>
      <c r="S25" s="339" t="str">
        <f>IF(AR25=0,"",AR25)</f>
        <v/>
      </c>
      <c r="T25" s="339">
        <f>IF(AS25=301,"",AS25)</f>
        <v>180</v>
      </c>
      <c r="U25" s="339" t="str">
        <f>IF(AT25=0,"",AT25)</f>
        <v/>
      </c>
      <c r="V25" s="340"/>
      <c r="W25" s="340"/>
      <c r="AA25" s="91" t="s">
        <v>0</v>
      </c>
      <c r="AB25" s="92"/>
      <c r="AC25" s="372">
        <f>ABS(INDEX(AC:AC,MATCH(AC22,$AA:$AA,0)+5)+INDEX(AC:AC,MATCH(AC22,$AA:$AA,0)+6)+INDEX(AC:AC,MATCH(AC22,$AA:$AA,0)+7))</f>
        <v>191</v>
      </c>
      <c r="AD25" s="373"/>
      <c r="AE25" s="372">
        <f>ABS(INDEX(AE:AE,MATCH(AE22,$AA:$AA,0)+5)+INDEX(AE:AE,MATCH(AE22,$AA:$AA,0)+6)+INDEX(AE:AE,MATCH(AE22,$AA:$AA,0)+7))</f>
        <v>157</v>
      </c>
      <c r="AF25" s="373"/>
      <c r="AG25" s="372">
        <f>ABS(INDEX(AG:AG,MATCH(AG22,$AA:$AA,0)+5)+INDEX(AG:AG,MATCH(AG22,$AA:$AA,0)+6)+INDEX(AG:AG,MATCH(AG22,$AA:$AA,0)+7))</f>
        <v>185</v>
      </c>
      <c r="AH25" s="373"/>
      <c r="AI25" s="372">
        <f>ABS(INDEX(AI:AI,MATCH(AI22,$AA:$AA,0)+5)+INDEX(AI:AI,MATCH(AI22,$AA:$AA,0)+6)+INDEX(AI:AI,MATCH(AI22,$AA:$AA,0)+7))</f>
        <v>157</v>
      </c>
      <c r="AJ25" s="373"/>
      <c r="AK25" s="372">
        <f>ABS(INDEX(AK:AK,MATCH(AK22,$AA:$AA,0)+5)+INDEX(AK:AK,MATCH(AK22,$AA:$AA,0)+6)+INDEX(AK:AK,MATCH(AK22,$AA:$AA,0)+7))</f>
        <v>186</v>
      </c>
      <c r="AL25" s="373"/>
      <c r="AM25" s="372">
        <f>ABS(INDEX(AM:AM,MATCH(AM22,$AA:$AA,0)+5)+INDEX(AM:AM,MATCH(AM22,$AA:$AA,0)+6)+INDEX(AM:AM,MATCH(AM22,$AA:$AA,0)+7))</f>
        <v>163</v>
      </c>
      <c r="AN25" s="373"/>
      <c r="AO25" s="372">
        <f>ABS(INDEX(AO:AO,MATCH(AO22,$AA:$AA,0)+5)+INDEX(AO:AO,MATCH(AO22,$AA:$AA,0)+6)+INDEX(AO:AO,MATCH(AO22,$AA:$AA,0)+7))</f>
        <v>0</v>
      </c>
      <c r="AP25" s="373"/>
      <c r="AQ25" s="372">
        <f>ABS(INDEX(AQ:AQ,MATCH(AQ22,$AA:$AA,0)+5)+INDEX(AQ:AQ,MATCH(AQ22,$AA:$AA,0)+6)+INDEX(AQ:AQ,MATCH(AQ22,$AA:$AA,0)+7))</f>
        <v>184</v>
      </c>
      <c r="AR25" s="373"/>
      <c r="AS25" s="372">
        <f>ABS(INDEX(AS:AS,MATCH(AS22,$AA:$AA,0)+5)+INDEX(AS:AS,MATCH(AS22,$AA:$AA,0)+6)+INDEX(AS:AS,MATCH(AS22,$AA:$AA,0)+7))</f>
        <v>180</v>
      </c>
      <c r="AT25" s="373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6.05" customHeight="1" x14ac:dyDescent="0.35">
      <c r="B26" s="365" t="str">
        <f t="shared" si="34"/>
        <v>Spieler 2</v>
      </c>
      <c r="C26" s="366" t="str">
        <f t="shared" si="34"/>
        <v/>
      </c>
      <c r="D26" s="339">
        <f>IF(AC26=301,"",AC26)</f>
        <v>162</v>
      </c>
      <c r="E26" s="339" t="str">
        <f>IF(AD26=0,"",AD26)</f>
        <v/>
      </c>
      <c r="F26" s="339">
        <f>IF(AE26=301,"",AE26)</f>
        <v>186</v>
      </c>
      <c r="G26" s="339" t="str">
        <f>IF(AF26=0,"",AF26)</f>
        <v/>
      </c>
      <c r="H26" s="339">
        <f>IF(AG26=301,"",AG26)</f>
        <v>181</v>
      </c>
      <c r="I26" s="339" t="str">
        <f>IF(AH26=0,"",AH26)</f>
        <v/>
      </c>
      <c r="J26" s="339">
        <f>IF(AI26=301,"",AI26)</f>
        <v>139</v>
      </c>
      <c r="K26" s="339" t="str">
        <f>IF(AJ26=0,"",AJ26)</f>
        <v/>
      </c>
      <c r="L26" s="339">
        <f>IF(AK26=301,"",AK26)</f>
        <v>158</v>
      </c>
      <c r="M26" s="339" t="str">
        <f>IF(AL26=0,"",AL26)</f>
        <v/>
      </c>
      <c r="N26" s="339">
        <f>IF(AM26=301,"",AM26)</f>
        <v>151</v>
      </c>
      <c r="O26" s="339" t="str">
        <f>IF(AN26=0,"",AN26)</f>
        <v/>
      </c>
      <c r="P26" s="339">
        <f>IF(AO26=301,"",AO26)</f>
        <v>0</v>
      </c>
      <c r="Q26" s="339" t="str">
        <f>IF(AP26=0,"",AP26)</f>
        <v/>
      </c>
      <c r="R26" s="339">
        <f>IF(AQ26=301,"",AQ26)</f>
        <v>210</v>
      </c>
      <c r="S26" s="339" t="str">
        <f>IF(AR26=0,"",AR26)</f>
        <v/>
      </c>
      <c r="T26" s="339">
        <f>IF(AS26=301,"",AS26)</f>
        <v>236</v>
      </c>
      <c r="U26" s="339" t="str">
        <f>IF(AT26=0,"",AT26)</f>
        <v/>
      </c>
      <c r="V26" s="340"/>
      <c r="W26" s="340"/>
      <c r="AA26" s="91" t="s">
        <v>2</v>
      </c>
      <c r="AB26" s="92"/>
      <c r="AC26" s="374">
        <f>ABS(INDEX(AC:AC,MATCH(AC22,$AA:$AA,0)+8)+INDEX(AC:AC,MATCH(AC22,$AA:$AA,0)+9)+INDEX(AC:AC,MATCH(AC22,$AA:$AA,0)+10))</f>
        <v>162</v>
      </c>
      <c r="AD26" s="375"/>
      <c r="AE26" s="374">
        <f>ABS(INDEX(AE:AE,MATCH(AE22,$AA:$AA,0)+8)+INDEX(AE:AE,MATCH(AE22,$AA:$AA,0)+9)+INDEX(AE:AE,MATCH(AE22,$AA:$AA,0)+10))</f>
        <v>186</v>
      </c>
      <c r="AF26" s="375"/>
      <c r="AG26" s="374">
        <f>ABS(INDEX(AG:AG,MATCH(AG22,$AA:$AA,0)+8)+INDEX(AG:AG,MATCH(AG22,$AA:$AA,0)+9)+INDEX(AG:AG,MATCH(AG22,$AA:$AA,0)+10))</f>
        <v>181</v>
      </c>
      <c r="AH26" s="375"/>
      <c r="AI26" s="374">
        <f>ABS(INDEX(AI:AI,MATCH(AI22,$AA:$AA,0)+8)+INDEX(AI:AI,MATCH(AI22,$AA:$AA,0)+9)+INDEX(AI:AI,MATCH(AI22,$AA:$AA,0)+10))</f>
        <v>139</v>
      </c>
      <c r="AJ26" s="375"/>
      <c r="AK26" s="374">
        <f>ABS(INDEX(AK:AK,MATCH(AK22,$AA:$AA,0)+8)+INDEX(AK:AK,MATCH(AK22,$AA:$AA,0)+9)+INDEX(AK:AK,MATCH(AK22,$AA:$AA,0)+10))</f>
        <v>158</v>
      </c>
      <c r="AL26" s="375"/>
      <c r="AM26" s="374">
        <f>ABS(INDEX(AM:AM,MATCH(AM22,$AA:$AA,0)+8)+INDEX(AM:AM,MATCH(AM22,$AA:$AA,0)+9)+INDEX(AM:AM,MATCH(AM22,$AA:$AA,0)+10))</f>
        <v>151</v>
      </c>
      <c r="AN26" s="375"/>
      <c r="AO26" s="374">
        <f>ABS(INDEX(AO:AO,MATCH(AO22,$AA:$AA,0)+8)+INDEX(AO:AO,MATCH(AO22,$AA:$AA,0)+9)+INDEX(AO:AO,MATCH(AO22,$AA:$AA,0)+10))</f>
        <v>0</v>
      </c>
      <c r="AP26" s="375"/>
      <c r="AQ26" s="374">
        <f>ABS(INDEX(AQ:AQ,MATCH(AQ22,$AA:$AA,0)+8)+INDEX(AQ:AQ,MATCH(AQ22,$AA:$AA,0)+9)+INDEX(AQ:AQ,MATCH(AQ22,$AA:$AA,0)+10))</f>
        <v>210</v>
      </c>
      <c r="AR26" s="375"/>
      <c r="AS26" s="374">
        <f>ABS(INDEX(AS:AS,MATCH(AS22,$AA:$AA,0)+8)+INDEX(AS:AS,MATCH(AS22,$AA:$AA,0)+9)+INDEX(AS:AS,MATCH(AS22,$AA:$AA,0)+10))</f>
        <v>236</v>
      </c>
      <c r="AT26" s="37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6.05" customHeight="1" x14ac:dyDescent="0.35">
      <c r="B27" s="365" t="str">
        <f t="shared" si="34"/>
        <v>Spieler 3</v>
      </c>
      <c r="C27" s="366" t="str">
        <f t="shared" si="34"/>
        <v/>
      </c>
      <c r="D27" s="339">
        <f>IF(AC27=301,"",AC27)</f>
        <v>235</v>
      </c>
      <c r="E27" s="339" t="str">
        <f>IF(AD27=0,"",AD27)</f>
        <v/>
      </c>
      <c r="F27" s="339">
        <f>IF(AE27=301,"",AE27)</f>
        <v>149</v>
      </c>
      <c r="G27" s="339" t="str">
        <f>IF(AF27=0,"",AF27)</f>
        <v/>
      </c>
      <c r="H27" s="339">
        <f>IF(AG27=301,"",AG27)</f>
        <v>196</v>
      </c>
      <c r="I27" s="339" t="str">
        <f>IF(AH27=0,"",AH27)</f>
        <v/>
      </c>
      <c r="J27" s="339">
        <f>IF(AI27=301,"",AI27)</f>
        <v>161</v>
      </c>
      <c r="K27" s="339" t="str">
        <f>IF(AJ27=0,"",AJ27)</f>
        <v/>
      </c>
      <c r="L27" s="339">
        <f>IF(AK27=301,"",AK27)</f>
        <v>170</v>
      </c>
      <c r="M27" s="339" t="str">
        <f>IF(AL27=0,"",AL27)</f>
        <v/>
      </c>
      <c r="N27" s="339">
        <f>IF(AM27=301,"",AM27)</f>
        <v>189</v>
      </c>
      <c r="O27" s="339" t="str">
        <f>IF(AN27=0,"",AN27)</f>
        <v/>
      </c>
      <c r="P27" s="339">
        <f>IF(AO27=301,"",AO27)</f>
        <v>0</v>
      </c>
      <c r="Q27" s="339" t="str">
        <f>IF(AP27=0,"",AP27)</f>
        <v/>
      </c>
      <c r="R27" s="339">
        <f>IF(AQ27=301,"",AQ27)</f>
        <v>183</v>
      </c>
      <c r="S27" s="339" t="str">
        <f>IF(AR27=0,"",AR27)</f>
        <v/>
      </c>
      <c r="T27" s="339">
        <f>IF(AS27=301,"",AS27)</f>
        <v>172</v>
      </c>
      <c r="U27" s="339" t="str">
        <f>IF(AT27=0,"",AT27)</f>
        <v/>
      </c>
      <c r="V27" s="340"/>
      <c r="W27" s="340"/>
      <c r="AA27" s="91" t="s">
        <v>3</v>
      </c>
      <c r="AB27" s="92"/>
      <c r="AC27" s="374">
        <f>ABS(INDEX(AC:AC,MATCH(AC22,$AA:$AA,0)+11)+INDEX(AC:AC,MATCH(AC22,$AA:$AA,0)+12)+INDEX(AC:AC,MATCH(AC22,$AA:$AA,0)+13))</f>
        <v>235</v>
      </c>
      <c r="AD27" s="375"/>
      <c r="AE27" s="374">
        <f>ABS(INDEX(AE:AE,MATCH(AE22,$AA:$AA,0)+11)+INDEX(AE:AE,MATCH(AE22,$AA:$AA,0)+12)+INDEX(AE:AE,MATCH(AE22,$AA:$AA,0)+13))</f>
        <v>149</v>
      </c>
      <c r="AF27" s="375"/>
      <c r="AG27" s="374">
        <f>ABS(INDEX(AG:AG,MATCH(AG22,$AA:$AA,0)+11)+INDEX(AG:AG,MATCH(AG22,$AA:$AA,0)+12)+INDEX(AG:AG,MATCH(AG22,$AA:$AA,0)+13))</f>
        <v>196</v>
      </c>
      <c r="AH27" s="375"/>
      <c r="AI27" s="374">
        <f>ABS(INDEX(AI:AI,MATCH(AI22,$AA:$AA,0)+11)+INDEX(AI:AI,MATCH(AI22,$AA:$AA,0)+12)+INDEX(AI:AI,MATCH(AI22,$AA:$AA,0)+13))</f>
        <v>161</v>
      </c>
      <c r="AJ27" s="375"/>
      <c r="AK27" s="374">
        <f>ABS(INDEX(AK:AK,MATCH(AK22,$AA:$AA,0)+11)+INDEX(AK:AK,MATCH(AK22,$AA:$AA,0)+12)+INDEX(AK:AK,MATCH(AK22,$AA:$AA,0)+13))</f>
        <v>170</v>
      </c>
      <c r="AL27" s="375"/>
      <c r="AM27" s="374">
        <f>ABS(INDEX(AM:AM,MATCH(AM22,$AA:$AA,0)+11)+INDEX(AM:AM,MATCH(AM22,$AA:$AA,0)+12)+INDEX(AM:AM,MATCH(AM22,$AA:$AA,0)+13))</f>
        <v>189</v>
      </c>
      <c r="AN27" s="375"/>
      <c r="AO27" s="374">
        <f>ABS(INDEX(AO:AO,MATCH(AO22,$AA:$AA,0)+11)+INDEX(AO:AO,MATCH(AO22,$AA:$AA,0)+12)+INDEX(AO:AO,MATCH(AO22,$AA:$AA,0)+13))</f>
        <v>0</v>
      </c>
      <c r="AP27" s="375"/>
      <c r="AQ27" s="374">
        <f>ABS(INDEX(AQ:AQ,MATCH(AQ22,$AA:$AA,0)+11)+INDEX(AQ:AQ,MATCH(AQ22,$AA:$AA,0)+12)+INDEX(AQ:AQ,MATCH(AQ22,$AA:$AA,0)+13))</f>
        <v>183</v>
      </c>
      <c r="AR27" s="375"/>
      <c r="AS27" s="374">
        <f>ABS(INDEX(AS:AS,MATCH(AS22,$AA:$AA,0)+11)+INDEX(AS:AS,MATCH(AS22,$AA:$AA,0)+12)+INDEX(AS:AS,MATCH(AS22,$AA:$AA,0)+13))</f>
        <v>172</v>
      </c>
      <c r="AT27" s="37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6.05" customHeight="1" x14ac:dyDescent="0.35">
      <c r="B28" s="365" t="str">
        <f t="shared" si="34"/>
        <v>Spieler 4</v>
      </c>
      <c r="C28" s="366" t="str">
        <f t="shared" si="34"/>
        <v/>
      </c>
      <c r="D28" s="339">
        <f>IF(AC28=301,"",AC28)</f>
        <v>191</v>
      </c>
      <c r="E28" s="339" t="str">
        <f>IF(AD28=0,"",AD28)</f>
        <v/>
      </c>
      <c r="F28" s="339">
        <f>IF(AE28=301,"",AE28)</f>
        <v>147</v>
      </c>
      <c r="G28" s="339" t="str">
        <f>IF(AF28=0,"",AF28)</f>
        <v/>
      </c>
      <c r="H28" s="339">
        <f>IF(AG28=301,"",AG28)</f>
        <v>185</v>
      </c>
      <c r="I28" s="339" t="str">
        <f>IF(AH28=0,"",AH28)</f>
        <v/>
      </c>
      <c r="J28" s="339">
        <f>IF(AI28=301,"",AI28)</f>
        <v>177</v>
      </c>
      <c r="K28" s="339" t="str">
        <f>IF(AJ28=0,"",AJ28)</f>
        <v/>
      </c>
      <c r="L28" s="339">
        <f>IF(AK28=301,"",AK28)</f>
        <v>160</v>
      </c>
      <c r="M28" s="339" t="str">
        <f>IF(AL28=0,"",AL28)</f>
        <v/>
      </c>
      <c r="N28" s="339">
        <f>IF(AM28=301,"",AM28)</f>
        <v>161</v>
      </c>
      <c r="O28" s="339" t="str">
        <f>IF(AN28=0,"",AN28)</f>
        <v/>
      </c>
      <c r="P28" s="339">
        <f>IF(AO28=301,"",AO28)</f>
        <v>0</v>
      </c>
      <c r="Q28" s="339" t="str">
        <f>IF(AP28=0,"",AP28)</f>
        <v/>
      </c>
      <c r="R28" s="339">
        <f>IF(AQ28=301,"",AQ28)</f>
        <v>235</v>
      </c>
      <c r="S28" s="339" t="str">
        <f>IF(AR28=0,"",AR28)</f>
        <v/>
      </c>
      <c r="T28" s="339">
        <f>IF(AS28=301,"",AS28)</f>
        <v>179</v>
      </c>
      <c r="U28" s="339" t="str">
        <f>IF(AT28=0,"",AT28)</f>
        <v/>
      </c>
      <c r="V28" s="340"/>
      <c r="W28" s="340"/>
      <c r="AA28" s="91" t="s">
        <v>11</v>
      </c>
      <c r="AB28" s="92"/>
      <c r="AC28" s="374">
        <f>ABS(INDEX(AC:AC,MATCH(AC22,$AA:$AA,0)+14)+INDEX(AC:AC,MATCH(AC22,$AA:$AA,0)+15)+INDEX(AC:AC,MATCH(AC22,$AA:$AA,0)+16))</f>
        <v>191</v>
      </c>
      <c r="AD28" s="375"/>
      <c r="AE28" s="374">
        <f>ABS(INDEX(AE:AE,MATCH(AE22,$AA:$AA,0)+14)+INDEX(AE:AE,MATCH(AE22,$AA:$AA,0)+15)+INDEX(AE:AE,MATCH(AE22,$AA:$AA,0)+16))</f>
        <v>147</v>
      </c>
      <c r="AF28" s="375"/>
      <c r="AG28" s="374">
        <f>ABS(INDEX(AG:AG,MATCH(AG22,$AA:$AA,0)+14)+INDEX(AG:AG,MATCH(AG22,$AA:$AA,0)+15)+INDEX(AG:AG,MATCH(AG22,$AA:$AA,0)+16))</f>
        <v>185</v>
      </c>
      <c r="AH28" s="375"/>
      <c r="AI28" s="374">
        <f>ABS(INDEX(AI:AI,MATCH(AI22,$AA:$AA,0)+14)+INDEX(AI:AI,MATCH(AI22,$AA:$AA,0)+15)+INDEX(AI:AI,MATCH(AI22,$AA:$AA,0)+16))</f>
        <v>177</v>
      </c>
      <c r="AJ28" s="375"/>
      <c r="AK28" s="374">
        <f>ABS(INDEX(AK:AK,MATCH(AK22,$AA:$AA,0)+14)+INDEX(AK:AK,MATCH(AK22,$AA:$AA,0)+15)+INDEX(AK:AK,MATCH(AK22,$AA:$AA,0)+16))</f>
        <v>160</v>
      </c>
      <c r="AL28" s="375"/>
      <c r="AM28" s="374">
        <f>ABS(INDEX(AM:AM,MATCH(AM22,$AA:$AA,0)+14)+INDEX(AM:AM,MATCH(AM22,$AA:$AA,0)+15)+INDEX(AM:AM,MATCH(AM22,$AA:$AA,0)+16))</f>
        <v>161</v>
      </c>
      <c r="AN28" s="375"/>
      <c r="AO28" s="374">
        <f>ABS(INDEX(AO:AO,MATCH(AO22,$AA:$AA,0)+14)+INDEX(AO:AO,MATCH(AO22,$AA:$AA,0)+15)+INDEX(AO:AO,MATCH(AO22,$AA:$AA,0)+16))</f>
        <v>0</v>
      </c>
      <c r="AP28" s="375"/>
      <c r="AQ28" s="374">
        <f>ABS(INDEX(AQ:AQ,MATCH(AQ22,$AA:$AA,0)+14)+INDEX(AQ:AQ,MATCH(AQ22,$AA:$AA,0)+15)+INDEX(AQ:AQ,MATCH(AQ22,$AA:$AA,0)+16))</f>
        <v>235</v>
      </c>
      <c r="AR28" s="375"/>
      <c r="AS28" s="374">
        <f>ABS(INDEX(AS:AS,MATCH(AS22,$AA:$AA,0)+14)+INDEX(AS:AS,MATCH(AS22,$AA:$AA,0)+15)+INDEX(AS:AS,MATCH(AS22,$AA:$AA,0)+16))</f>
        <v>179</v>
      </c>
      <c r="AT28" s="37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6.05" customHeight="1" x14ac:dyDescent="0.35">
      <c r="B29" s="354" t="str">
        <f t="shared" si="34"/>
        <v>Gesamt</v>
      </c>
      <c r="C29" s="355" t="str">
        <f t="shared" si="34"/>
        <v/>
      </c>
      <c r="D29" s="338">
        <f>IF(AC29=1505,"",AC29)</f>
        <v>779</v>
      </c>
      <c r="E29" s="338" t="str">
        <f>IF(AD29=0,"",AD29)</f>
        <v/>
      </c>
      <c r="F29" s="338">
        <f>IF(AE29=1505,"",AE29)</f>
        <v>639</v>
      </c>
      <c r="G29" s="338" t="str">
        <f>IF(AF29=0,"",AF29)</f>
        <v/>
      </c>
      <c r="H29" s="338">
        <f>IF(AG29=1505,"",AG29)</f>
        <v>747</v>
      </c>
      <c r="I29" s="338" t="str">
        <f>IF(AH29=0,"",AH29)</f>
        <v/>
      </c>
      <c r="J29" s="338">
        <f>IF(AI29=1505,"",AI29)</f>
        <v>634</v>
      </c>
      <c r="K29" s="338" t="str">
        <f>IF(AJ29=0,"",AJ29)</f>
        <v/>
      </c>
      <c r="L29" s="338">
        <f>IF(AK29=1505,"",AK29)</f>
        <v>674</v>
      </c>
      <c r="M29" s="338" t="str">
        <f>IF(AL29=0,"",AL29)</f>
        <v/>
      </c>
      <c r="N29" s="338">
        <f>IF(AM29=1505,"",AM29)</f>
        <v>664</v>
      </c>
      <c r="O29" s="338" t="str">
        <f>IF(AN29=0,"",AN29)</f>
        <v/>
      </c>
      <c r="P29" s="338">
        <f>IF(AO29=1505,"",AO29)</f>
        <v>0</v>
      </c>
      <c r="Q29" s="338" t="str">
        <f>IF(AP29=0,"",AP29)</f>
        <v/>
      </c>
      <c r="R29" s="338">
        <f>IF(AQ29=1505,"",AQ29)</f>
        <v>812</v>
      </c>
      <c r="S29" s="338" t="str">
        <f>IF(AR29=0,"",AR29)</f>
        <v/>
      </c>
      <c r="T29" s="338">
        <f>IF(AS29=1505,"",AS29)</f>
        <v>767</v>
      </c>
      <c r="U29" s="338" t="str">
        <f>IF(AT29=0,"",AT29)</f>
        <v/>
      </c>
      <c r="V29" s="290"/>
      <c r="W29" s="290"/>
      <c r="AA29" s="93" t="s">
        <v>1799</v>
      </c>
      <c r="AB29" s="94"/>
      <c r="AC29" s="354">
        <f>SUM(AC25:AC28)</f>
        <v>779</v>
      </c>
      <c r="AD29" s="355"/>
      <c r="AE29" s="354">
        <f>SUM(AE25:AE28)</f>
        <v>639</v>
      </c>
      <c r="AF29" s="355"/>
      <c r="AG29" s="354">
        <f>SUM(AG25:AG28)</f>
        <v>747</v>
      </c>
      <c r="AH29" s="355"/>
      <c r="AI29" s="354">
        <f>SUM(AI25:AI28)</f>
        <v>634</v>
      </c>
      <c r="AJ29" s="355"/>
      <c r="AK29" s="354">
        <f>SUM(AK25:AK28)</f>
        <v>674</v>
      </c>
      <c r="AL29" s="355"/>
      <c r="AM29" s="354">
        <f>SUM(AM25:AM28)</f>
        <v>664</v>
      </c>
      <c r="AN29" s="355"/>
      <c r="AO29" s="354">
        <f>SUM(AO25:AO28)</f>
        <v>0</v>
      </c>
      <c r="AP29" s="355"/>
      <c r="AQ29" s="354">
        <f>SUM(AQ25:AQ28)</f>
        <v>812</v>
      </c>
      <c r="AR29" s="355"/>
      <c r="AS29" s="354">
        <f>SUM(AS25:AS28)</f>
        <v>767</v>
      </c>
      <c r="AT29" s="35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3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7">
      <c r="B31" s="44" t="str">
        <f>AA31</f>
        <v>Team-Nr.</v>
      </c>
      <c r="C31" s="45"/>
      <c r="D31" s="44" t="str">
        <f>AC31</f>
        <v>Liga:</v>
      </c>
      <c r="E31" s="47"/>
      <c r="F31" s="359" t="str">
        <f>AE31</f>
        <v>Bayernliga Frauen</v>
      </c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48"/>
      <c r="S31" s="49" t="s">
        <v>1794</v>
      </c>
      <c r="T31" s="50"/>
      <c r="U31" s="360" t="str">
        <f>AT31</f>
        <v>12.10./13.10.</v>
      </c>
      <c r="V31" s="361"/>
      <c r="W31" s="362"/>
      <c r="X31" s="363"/>
      <c r="Y31" s="364"/>
      <c r="Z31" s="364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0" t="str">
        <f>VLOOKUP(AS32,Spielorte!$A$1:$C$6,2)</f>
        <v>12.10./13.10.</v>
      </c>
      <c r="AU31" s="361"/>
      <c r="AV31" s="362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65">
      <c r="B32" s="53">
        <f>AA32</f>
        <v>2</v>
      </c>
      <c r="D32" s="46" t="s">
        <v>1793</v>
      </c>
      <c r="E32" s="54"/>
      <c r="F32" s="358" t="str">
        <f>AE32</f>
        <v>Unterföhring Dreambowl Palace</v>
      </c>
      <c r="G32" s="358"/>
      <c r="H32" s="358"/>
      <c r="I32" s="358"/>
      <c r="J32" s="358"/>
      <c r="K32" s="358"/>
      <c r="L32" s="358"/>
      <c r="M32" s="358"/>
      <c r="N32" s="358"/>
      <c r="O32" s="358"/>
      <c r="P32" s="55"/>
      <c r="Q32" s="55"/>
      <c r="S32" s="49" t="s">
        <v>1791</v>
      </c>
      <c r="T32" s="56">
        <f>AS32</f>
        <v>1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Unterföhring Dreambowl Palace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1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4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5" thickBot="1" x14ac:dyDescent="0.45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VLOOKUP($AA32,Schlüssel!$A$5:$DZ$14,13)</f>
        <v>1</v>
      </c>
      <c r="AE34" s="65" t="s">
        <v>10</v>
      </c>
      <c r="AF34" s="44">
        <f>VLOOKUP($AA32,Schlüssel!$A$5:$DZ$14,14)</f>
        <v>9</v>
      </c>
      <c r="AG34" s="65" t="s">
        <v>10</v>
      </c>
      <c r="AH34" s="44">
        <f>VLOOKUP($AA32,Schlüssel!$A$5:$DZ$14,15)</f>
        <v>6</v>
      </c>
      <c r="AI34" s="65" t="s">
        <v>10</v>
      </c>
      <c r="AJ34" s="44">
        <f>VLOOKUP($AA32,Schlüssel!$A$5:$DZ$14,16)</f>
        <v>4</v>
      </c>
      <c r="AK34" s="65" t="s">
        <v>10</v>
      </c>
      <c r="AL34" s="44">
        <f>VLOOKUP($AA32,Schlüssel!$A$5:$DZ$14,17)</f>
        <v>8</v>
      </c>
      <c r="AM34" s="65" t="s">
        <v>10</v>
      </c>
      <c r="AN34" s="44">
        <f>VLOOKUP($AA32,Schlüssel!$A$5:$DZ$14,18)</f>
        <v>2</v>
      </c>
      <c r="AO34" s="65" t="s">
        <v>10</v>
      </c>
      <c r="AP34" s="44">
        <f>VLOOKUP($AA32,Schlüssel!$A$5:$DZ$14,19)</f>
        <v>5</v>
      </c>
      <c r="AQ34" s="65" t="s">
        <v>10</v>
      </c>
      <c r="AR34" s="44">
        <f>VLOOKUP($AA32,Schlüssel!$A$5:$DZ$14,20)</f>
        <v>7</v>
      </c>
      <c r="AS34" s="65" t="s">
        <v>10</v>
      </c>
      <c r="AT34" s="44">
        <f>VLOOKUP($AA32,Schlüssel!$A$5:$DZ$14,21)</f>
        <v>3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35">
      <c r="B35" s="67" t="s">
        <v>1</v>
      </c>
      <c r="C35" s="68"/>
      <c r="D35" s="354" t="s">
        <v>1800</v>
      </c>
      <c r="E35" s="355"/>
      <c r="F35" s="354" t="s">
        <v>1801</v>
      </c>
      <c r="G35" s="355"/>
      <c r="H35" s="354" t="s">
        <v>1802</v>
      </c>
      <c r="I35" s="355"/>
      <c r="J35" s="354" t="s">
        <v>1803</v>
      </c>
      <c r="K35" s="355"/>
      <c r="L35" s="354" t="s">
        <v>1804</v>
      </c>
      <c r="M35" s="355"/>
      <c r="N35" s="354" t="s">
        <v>1805</v>
      </c>
      <c r="O35" s="355"/>
      <c r="P35" s="354" t="s">
        <v>1806</v>
      </c>
      <c r="Q35" s="355"/>
      <c r="R35" s="354" t="s">
        <v>1807</v>
      </c>
      <c r="S35" s="355"/>
      <c r="T35" s="354" t="s">
        <v>1808</v>
      </c>
      <c r="U35" s="355"/>
      <c r="V35" s="356" t="s">
        <v>1799</v>
      </c>
      <c r="W35" s="357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4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2" customHeight="1" x14ac:dyDescent="0.35">
      <c r="A37" s="367" t="s">
        <v>0</v>
      </c>
      <c r="B37" s="73" t="str">
        <f>IF(AA37=0,"",AA37)</f>
        <v>Hassforth, Lea</v>
      </c>
      <c r="C37" s="74">
        <f>IF(AB37=0,"",AB37)</f>
        <v>38438</v>
      </c>
      <c r="D37" s="75">
        <f>IF(AC37=0,"",AC37)</f>
        <v>199</v>
      </c>
      <c r="E37" s="348">
        <f>IF(AD37="","",AD37)</f>
        <v>0</v>
      </c>
      <c r="F37" s="75">
        <f t="shared" ref="F37:F50" si="35">IF(AE37=0,"",AE37)</f>
        <v>167</v>
      </c>
      <c r="G37" s="348">
        <f>IF(AF37="","",AF37)</f>
        <v>1</v>
      </c>
      <c r="H37" s="75">
        <f t="shared" ref="H37:H50" si="36">IF(AG37=0,"",AG37)</f>
        <v>201</v>
      </c>
      <c r="I37" s="348">
        <f>IF(AH37="","",AH37)</f>
        <v>1</v>
      </c>
      <c r="J37" s="75">
        <f t="shared" ref="J37:J50" si="37">IF(AI37=0,"",AI37)</f>
        <v>222</v>
      </c>
      <c r="K37" s="348">
        <f>IF(AJ37="","",AJ37)</f>
        <v>1</v>
      </c>
      <c r="L37" s="75">
        <f t="shared" ref="L37:L50" si="38">IF(AK37=0,"",AK37)</f>
        <v>196</v>
      </c>
      <c r="M37" s="348">
        <f>IF(AL37="","",AL37)</f>
        <v>0</v>
      </c>
      <c r="N37" s="75">
        <f>IF(AM37=0,"",AM37)</f>
        <v>269</v>
      </c>
      <c r="O37" s="348">
        <f>IF(AN37="","",AN37)</f>
        <v>1</v>
      </c>
      <c r="P37" s="75">
        <f t="shared" ref="P37:P50" si="39">IF(AO37=0,"",AO37)</f>
        <v>237</v>
      </c>
      <c r="Q37" s="348">
        <f>IF(AP37="","",AP37)</f>
        <v>1</v>
      </c>
      <c r="R37" s="75">
        <f t="shared" ref="R37:R50" si="40">IF(AQ37=0,"",AQ37)</f>
        <v>184</v>
      </c>
      <c r="S37" s="348">
        <f>IF(AR37="","",AR37)</f>
        <v>1</v>
      </c>
      <c r="T37" s="75">
        <f t="shared" ref="T37:T50" si="41">IF(AS37=0,"",AS37)</f>
        <v>223</v>
      </c>
      <c r="U37" s="348">
        <f>IF(AT37="","",AT37)</f>
        <v>1</v>
      </c>
      <c r="V37" s="75">
        <f t="shared" ref="V37:V50" si="42">IF(AU37=0,"",AU37)</f>
        <v>1898</v>
      </c>
      <c r="W37" s="348">
        <f>IF(AV37="","",AV37)</f>
        <v>7</v>
      </c>
      <c r="Z37" s="351" t="s">
        <v>0</v>
      </c>
      <c r="AA37" s="108" t="str">
        <f>IF(AB37=0,"",VLOOKUP(AB37,Starter!$A$1:$D$199,2,FALSE))</f>
        <v>Hassforth, Lea</v>
      </c>
      <c r="AB37" s="99">
        <v>38438</v>
      </c>
      <c r="AC37" s="185">
        <v>199</v>
      </c>
      <c r="AD37" s="109">
        <f>IF(SUM(AC37:AC39)+AC55=0,0,IF(SUM(ABS(AC37),ABS(AC38),ABS(AC39))=AC55,0.5,IF(SUM(ABS(AC37),ABS(AC38),ABS(AC39))&gt;AC55,1,0)))</f>
        <v>0</v>
      </c>
      <c r="AE37" s="185">
        <v>167</v>
      </c>
      <c r="AF37" s="109">
        <f>IF(SUM(AE37:AE39)+AE55=0,0,IF(SUM(ABS(AE37),ABS(AE38),ABS(AE39))=AE55,0.5,IF(SUM(ABS(AE37),ABS(AE38),ABS(AE39))&gt;AE55,1,0)))</f>
        <v>1</v>
      </c>
      <c r="AG37" s="185">
        <v>201</v>
      </c>
      <c r="AH37" s="109">
        <f>IF(SUM(AG37:AG39)+AG55=0,0,IF(SUM(ABS(AG37),ABS(AG38),ABS(AG39))=AG55,0.5,IF(SUM(ABS(AG37),ABS(AG38),ABS(AG39))&gt;AG55,1,0)))</f>
        <v>1</v>
      </c>
      <c r="AI37" s="185">
        <v>222</v>
      </c>
      <c r="AJ37" s="109">
        <f>IF(SUM(AI37:AI39)+AI55=0,0,IF(SUM(ABS(AI37),ABS(AI38),ABS(AI39))=AI55,0.5,IF(SUM(ABS(AI37),ABS(AI38),ABS(AI39))&gt;AI55,1,0)))</f>
        <v>1</v>
      </c>
      <c r="AK37" s="185">
        <v>196</v>
      </c>
      <c r="AL37" s="109">
        <f>IF(SUM(AK37:AK39)+AK55=0,0,IF(SUM(ABS(AK37),ABS(AK38),ABS(AK39))=AK55,0.5,IF(SUM(ABS(AK37),ABS(AK38),ABS(AK39))&gt;AK55,1,0)))</f>
        <v>0</v>
      </c>
      <c r="AM37" s="185">
        <v>269</v>
      </c>
      <c r="AN37" s="109">
        <f>IF(SUM(AM37:AM39)+AM55=0,0,IF(SUM(ABS(AM37),ABS(AM38),ABS(AM39))=AM55,0.5,IF(SUM(ABS(AM37),ABS(AM38),ABS(AM39))&gt;AM55,1,0)))</f>
        <v>1</v>
      </c>
      <c r="AO37" s="185">
        <v>237</v>
      </c>
      <c r="AP37" s="109">
        <f>IF(SUM(AO37:AO39)+AO55=0,0,IF(SUM(ABS(AO37),ABS(AO38),ABS(AO39))=AO55,0.5,IF(SUM(ABS(AO37),ABS(AO38),ABS(AO39))&gt;AO55,1,0)))</f>
        <v>1</v>
      </c>
      <c r="AQ37" s="185">
        <v>184</v>
      </c>
      <c r="AR37" s="109">
        <f>IF(SUM(AQ37:AQ39)+AQ55=0,0,IF(SUM(ABS(AQ37),ABS(AQ38),ABS(AQ39))=AQ55,0.5,IF(SUM(ABS(AQ37),ABS(AQ38),ABS(AQ39))&gt;AQ55,1,0)))</f>
        <v>1</v>
      </c>
      <c r="AS37" s="185">
        <v>223</v>
      </c>
      <c r="AT37" s="109">
        <f>IF(SUM(AS37:AS39)+AS55=0,0,IF(SUM(ABS(AS37),ABS(AS38),ABS(AS39))=AS55,0.5,IF(SUM(ABS(AS37),ABS(AS38),ABS(AS39))&gt;AS55,1,0)))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1898</v>
      </c>
      <c r="AV37" s="111">
        <f>SUM(AD37+AF37+AH37+AJ37+AL37+AN37+AP37+AR37+AT37)</f>
        <v>7</v>
      </c>
      <c r="AW37" s="101"/>
      <c r="AX37" s="102"/>
      <c r="AZ37" s="63"/>
      <c r="BA37" s="212"/>
      <c r="BB37" s="213"/>
      <c r="BC37" s="214"/>
      <c r="BD37" s="217">
        <f>+AB37</f>
        <v>38438</v>
      </c>
      <c r="BE37" s="213">
        <f>+AU37</f>
        <v>1898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199</v>
      </c>
      <c r="BI37" s="215">
        <f t="shared" ref="BI37:BI48" si="45">IF(AE37=0,"",AE37)</f>
        <v>167</v>
      </c>
      <c r="BJ37" s="215">
        <f t="shared" ref="BJ37:BJ48" si="46">IF(AG37=0,"",AG37)</f>
        <v>201</v>
      </c>
      <c r="BK37" s="215">
        <f t="shared" ref="BK37:BK48" si="47">IF(AI37=0,"",AI37)</f>
        <v>222</v>
      </c>
      <c r="BL37" s="215">
        <f t="shared" ref="BL37:BL48" si="48">IF(AK37=0,"",AK37)</f>
        <v>196</v>
      </c>
      <c r="BM37" s="215">
        <f t="shared" ref="BM37:BM48" si="49">IF(AM37=0,"",AM37)</f>
        <v>269</v>
      </c>
      <c r="BN37" s="215">
        <f t="shared" ref="BN37:BN48" si="50">IF(AO37=0,"",AO37)</f>
        <v>237</v>
      </c>
      <c r="BO37" s="215">
        <f t="shared" ref="BO37:BO48" si="51">IF(AQ37=0,"",AQ37)</f>
        <v>184</v>
      </c>
      <c r="BP37" s="215">
        <f t="shared" ref="BP37:BP48" si="52">IF(AS37=0,"",AS37)</f>
        <v>223</v>
      </c>
      <c r="BQ37" s="216"/>
      <c r="BR37" s="214"/>
      <c r="BS37" s="215">
        <f>MAX(BH37:BP37)</f>
        <v>269</v>
      </c>
      <c r="BT37" s="215">
        <f>IF(BS37&lt;MAX(BS:BS),0,BS37+ROW()/1000000000)</f>
        <v>269.00000003700001</v>
      </c>
      <c r="BU37" s="215" t="str">
        <f>+AA33</f>
        <v>BK München 2</v>
      </c>
      <c r="BV37" s="214">
        <f>RANK(BT37,BT:BT)</f>
        <v>1</v>
      </c>
      <c r="BW37" s="215">
        <f>SUMIF(BH37:BP37,"&gt;0")</f>
        <v>1898</v>
      </c>
      <c r="BX37" s="215">
        <f>IF(COUNTIF(BH37:BP37,"&gt;0")&lt;Spielorte!$A$23,0,BE37/Spielorte!$A$23)</f>
        <v>210.88888888888889</v>
      </c>
      <c r="BY37" s="215">
        <f>IF(BX37&lt;MAX(BX:BX),0,BX37+ROW()/1000000000)</f>
        <v>210.88888892588889</v>
      </c>
      <c r="BZ37" s="214">
        <f t="shared" ref="BZ37:BZ48" si="53">IF(BY37=0,0,RANK(BY37,BY:BY))</f>
        <v>1</v>
      </c>
    </row>
    <row r="38" spans="1:78" ht="17.2" customHeight="1" x14ac:dyDescent="0.35">
      <c r="A38" s="368"/>
      <c r="B38" s="76" t="str">
        <f t="shared" ref="B38:B45" si="54">IF(AA38=0,"",AA38)</f>
        <v/>
      </c>
      <c r="C38" s="77" t="str">
        <f t="shared" ref="C38:C50" si="55">IF(AB38=0,"",AB38)</f>
        <v/>
      </c>
      <c r="D38" s="78" t="str">
        <f t="shared" ref="D38:D50" si="56">IF(AC38=0,"",AC38)</f>
        <v/>
      </c>
      <c r="E38" s="349"/>
      <c r="F38" s="78" t="str">
        <f t="shared" si="35"/>
        <v/>
      </c>
      <c r="G38" s="349"/>
      <c r="H38" s="78" t="str">
        <f t="shared" si="36"/>
        <v/>
      </c>
      <c r="I38" s="349"/>
      <c r="J38" s="78" t="str">
        <f t="shared" si="37"/>
        <v/>
      </c>
      <c r="K38" s="349"/>
      <c r="L38" s="78" t="str">
        <f t="shared" si="38"/>
        <v/>
      </c>
      <c r="M38" s="349"/>
      <c r="N38" s="78" t="str">
        <f t="shared" ref="N38:N50" si="57">IF(AM38=0,"",AM38)</f>
        <v/>
      </c>
      <c r="O38" s="349"/>
      <c r="P38" s="78" t="str">
        <f t="shared" si="39"/>
        <v/>
      </c>
      <c r="Q38" s="349"/>
      <c r="R38" s="78" t="str">
        <f t="shared" si="40"/>
        <v/>
      </c>
      <c r="S38" s="349"/>
      <c r="T38" s="78" t="str">
        <f t="shared" si="41"/>
        <v/>
      </c>
      <c r="U38" s="349"/>
      <c r="V38" s="78" t="str">
        <f t="shared" si="42"/>
        <v/>
      </c>
      <c r="W38" s="349"/>
      <c r="Z38" s="352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8">+AB38</f>
        <v>0</v>
      </c>
      <c r="BE38" s="213">
        <f t="shared" ref="BE38:BE48" si="59">+AU38</f>
        <v>0</v>
      </c>
      <c r="BF38" s="215">
        <f t="shared" ref="BF38:BF48" si="60">COUNT(BH38:BP38)</f>
        <v>0</v>
      </c>
      <c r="BG38" s="215">
        <f t="shared" ref="BG38:BG48" si="61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2">MAX(BH38:BP38)</f>
        <v>0</v>
      </c>
      <c r="BT38" s="215">
        <f t="shared" ref="BT38:BT48" si="63">IF(BS38&lt;MAX(BS:BS),0,BS38+ROW()/1000000000)</f>
        <v>0</v>
      </c>
      <c r="BU38" s="215" t="str">
        <f t="shared" ref="BU38:BU48" si="64">+BU37</f>
        <v>BK München 2</v>
      </c>
      <c r="BV38" s="214">
        <f t="shared" ref="BV38:BV48" si="65">RANK(BT38,BT:BT)</f>
        <v>2</v>
      </c>
      <c r="BW38" s="215">
        <f t="shared" ref="BW38:BW48" si="66">SUMIF(BH38:BP38,"&gt;0")</f>
        <v>0</v>
      </c>
      <c r="BX38" s="215">
        <f>IF(COUNTIF(BH38:BP38,"&gt;0")&lt;Spielorte!$A$23,0,BE38/Spielorte!$A$23)</f>
        <v>0</v>
      </c>
      <c r="BY38" s="215">
        <f t="shared" ref="BY38:BY48" si="67">IF(BX38&lt;MAX(BX:BX),0,BX38+ROW()/1000000000)</f>
        <v>0</v>
      </c>
      <c r="BZ38" s="214">
        <f t="shared" si="53"/>
        <v>0</v>
      </c>
    </row>
    <row r="39" spans="1:78" ht="17.2" customHeight="1" thickBot="1" x14ac:dyDescent="0.4">
      <c r="A39" s="369"/>
      <c r="B39" s="79" t="str">
        <f t="shared" si="54"/>
        <v/>
      </c>
      <c r="C39" s="80" t="str">
        <f t="shared" si="55"/>
        <v/>
      </c>
      <c r="D39" s="69" t="str">
        <f t="shared" si="56"/>
        <v/>
      </c>
      <c r="E39" s="350"/>
      <c r="F39" s="69" t="str">
        <f t="shared" si="35"/>
        <v/>
      </c>
      <c r="G39" s="350"/>
      <c r="H39" s="69" t="str">
        <f t="shared" si="36"/>
        <v/>
      </c>
      <c r="I39" s="350"/>
      <c r="J39" s="69" t="str">
        <f t="shared" si="37"/>
        <v/>
      </c>
      <c r="K39" s="350"/>
      <c r="L39" s="69" t="str">
        <f t="shared" si="38"/>
        <v/>
      </c>
      <c r="M39" s="350"/>
      <c r="N39" s="69" t="str">
        <f t="shared" si="57"/>
        <v/>
      </c>
      <c r="O39" s="350"/>
      <c r="P39" s="69" t="str">
        <f t="shared" si="39"/>
        <v/>
      </c>
      <c r="Q39" s="350"/>
      <c r="R39" s="69" t="str">
        <f t="shared" si="40"/>
        <v/>
      </c>
      <c r="S39" s="350"/>
      <c r="T39" s="69" t="str">
        <f t="shared" si="41"/>
        <v/>
      </c>
      <c r="U39" s="350"/>
      <c r="V39" s="69" t="str">
        <f t="shared" si="42"/>
        <v/>
      </c>
      <c r="W39" s="350"/>
      <c r="Z39" s="353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8"/>
        <v>0</v>
      </c>
      <c r="BE39" s="213">
        <f t="shared" si="59"/>
        <v>0</v>
      </c>
      <c r="BF39" s="215">
        <f t="shared" si="60"/>
        <v>0</v>
      </c>
      <c r="BG39" s="215">
        <f t="shared" si="61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2"/>
        <v>0</v>
      </c>
      <c r="BT39" s="215">
        <f t="shared" si="63"/>
        <v>0</v>
      </c>
      <c r="BU39" s="215" t="str">
        <f t="shared" si="64"/>
        <v>BK München 2</v>
      </c>
      <c r="BV39" s="214">
        <f t="shared" si="65"/>
        <v>2</v>
      </c>
      <c r="BW39" s="215">
        <f t="shared" si="66"/>
        <v>0</v>
      </c>
      <c r="BX39" s="215">
        <f>IF(COUNTIF(BH39:BP39,"&gt;0")&lt;Spielorte!$A$23,0,BE39/Spielorte!$A$23)</f>
        <v>0</v>
      </c>
      <c r="BY39" s="215">
        <f t="shared" si="67"/>
        <v>0</v>
      </c>
      <c r="BZ39" s="214">
        <f t="shared" si="53"/>
        <v>0</v>
      </c>
    </row>
    <row r="40" spans="1:78" ht="17.2" customHeight="1" x14ac:dyDescent="0.35">
      <c r="A40" s="367" t="s">
        <v>2</v>
      </c>
      <c r="B40" s="73" t="str">
        <f t="shared" si="54"/>
        <v>Helmbrecht, Carolin</v>
      </c>
      <c r="C40" s="74">
        <f t="shared" si="55"/>
        <v>38222</v>
      </c>
      <c r="D40" s="75">
        <f t="shared" si="56"/>
        <v>146</v>
      </c>
      <c r="E40" s="348">
        <f>IF(AD40="","",AD40)</f>
        <v>0</v>
      </c>
      <c r="F40" s="75">
        <f t="shared" si="35"/>
        <v>166</v>
      </c>
      <c r="G40" s="348">
        <f>IF(AF40="","",AF40)</f>
        <v>1</v>
      </c>
      <c r="H40" s="75">
        <f t="shared" si="36"/>
        <v>181</v>
      </c>
      <c r="I40" s="348">
        <f>IF(AH40="","",AH40)</f>
        <v>0</v>
      </c>
      <c r="J40" s="75">
        <f t="shared" si="37"/>
        <v>132</v>
      </c>
      <c r="K40" s="348">
        <f>IF(AJ40="","",AJ40)</f>
        <v>0.5</v>
      </c>
      <c r="L40" s="75">
        <f t="shared" si="38"/>
        <v>175</v>
      </c>
      <c r="M40" s="348">
        <f>IF(AL40="","",AL40)</f>
        <v>0</v>
      </c>
      <c r="N40" s="75">
        <f t="shared" si="57"/>
        <v>160</v>
      </c>
      <c r="O40" s="348">
        <f>IF(AN40="","",AN40)</f>
        <v>0</v>
      </c>
      <c r="P40" s="75">
        <f t="shared" si="39"/>
        <v>155</v>
      </c>
      <c r="Q40" s="348">
        <f>IF(AP40="","",AP40)</f>
        <v>1</v>
      </c>
      <c r="R40" s="75">
        <f t="shared" si="40"/>
        <v>210</v>
      </c>
      <c r="S40" s="348">
        <f>IF(AR40="","",AR40)</f>
        <v>1</v>
      </c>
      <c r="T40" s="75">
        <f t="shared" si="41"/>
        <v>154</v>
      </c>
      <c r="U40" s="348">
        <f>IF(AT40="","",AT40)</f>
        <v>0</v>
      </c>
      <c r="V40" s="75">
        <f t="shared" si="42"/>
        <v>1479</v>
      </c>
      <c r="W40" s="348">
        <f>IF(AV40="","",AV40)</f>
        <v>3.5</v>
      </c>
      <c r="Z40" s="351" t="s">
        <v>2</v>
      </c>
      <c r="AA40" s="108" t="str">
        <f>IF(AB40=0,"",VLOOKUP(AB40,Starter!$A$1:$D$199,2,FALSE))</f>
        <v>Helmbrecht, Carolin</v>
      </c>
      <c r="AB40" s="99">
        <v>38222</v>
      </c>
      <c r="AC40" s="188">
        <v>146</v>
      </c>
      <c r="AD40" s="109">
        <f>IF(SUM(AC40:AC42)+AC56=0,0,IF(SUM(ABS(AC40),ABS(AC41),ABS(AC42))=AC56,0.5,IF(SUM(ABS(AC40),ABS(AC41),ABS(AC42))&gt;AC56,1,0)))</f>
        <v>0</v>
      </c>
      <c r="AE40" s="188">
        <v>166</v>
      </c>
      <c r="AF40" s="109">
        <f>IF(SUM(AE40:AE42)+AE56=0,0,IF(SUM(ABS(AE40),ABS(AE41),ABS(AE42))=AE56,0.5,IF(SUM(ABS(AE40),ABS(AE41),ABS(AE42))&gt;AE56,1,0)))</f>
        <v>1</v>
      </c>
      <c r="AG40" s="188">
        <v>181</v>
      </c>
      <c r="AH40" s="109">
        <f>IF(SUM(AG40:AG42)+AG56=0,0,IF(SUM(ABS(AG40),ABS(AG41),ABS(AG42))=AG56,0.5,IF(SUM(ABS(AG40),ABS(AG41),ABS(AG42))&gt;AG56,1,0)))</f>
        <v>0</v>
      </c>
      <c r="AI40" s="188">
        <v>132</v>
      </c>
      <c r="AJ40" s="109">
        <f>IF(SUM(AI40:AI42)+AI56=0,0,IF(SUM(ABS(AI40),ABS(AI41),ABS(AI42))=AI56,0.5,IF(SUM(ABS(AI40),ABS(AI41),ABS(AI42))&gt;AI56,1,0)))</f>
        <v>0.5</v>
      </c>
      <c r="AK40" s="188">
        <v>175</v>
      </c>
      <c r="AL40" s="109">
        <f>IF(SUM(AK40:AK42)+AK56=0,0,IF(SUM(ABS(AK40),ABS(AK41),ABS(AK42))=AK56,0.5,IF(SUM(ABS(AK40),ABS(AK41),ABS(AK42))&gt;AK56,1,0)))</f>
        <v>0</v>
      </c>
      <c r="AM40" s="188">
        <v>160</v>
      </c>
      <c r="AN40" s="109">
        <f>IF(SUM(AM40:AM42)+AM56=0,0,IF(SUM(ABS(AM40),ABS(AM41),ABS(AM42))=AM56,0.5,IF(SUM(ABS(AM40),ABS(AM41),ABS(AM42))&gt;AM56,1,0)))</f>
        <v>0</v>
      </c>
      <c r="AO40" s="188">
        <v>155</v>
      </c>
      <c r="AP40" s="109">
        <f>IF(SUM(AO40:AO42)+AO56=0,0,IF(SUM(ABS(AO40),ABS(AO41),ABS(AO42))=AO56,0.5,IF(SUM(ABS(AO40),ABS(AO41),ABS(AO42))&gt;AO56,1,0)))</f>
        <v>1</v>
      </c>
      <c r="AQ40" s="188">
        <v>210</v>
      </c>
      <c r="AR40" s="109">
        <f>IF(SUM(AQ40:AQ42)+AQ56=0,0,IF(SUM(ABS(AQ40),ABS(AQ41),ABS(AQ42))=AQ56,0.5,IF(SUM(ABS(AQ40),ABS(AQ41),ABS(AQ42))&gt;AQ56,1,0)))</f>
        <v>1</v>
      </c>
      <c r="AS40" s="188">
        <v>154</v>
      </c>
      <c r="AT40" s="109">
        <f>IF(SUM(AS40:AS42)+AS56=0,0,IF(SUM(ABS(AS40),ABS(AS41),ABS(AS42))=AS56,0.5,IF(SUM(ABS(AS40),ABS(AS41),ABS(AS42))&gt;AS56,1,0)))</f>
        <v>0</v>
      </c>
      <c r="AU40" s="110">
        <f t="shared" si="43"/>
        <v>1479</v>
      </c>
      <c r="AV40" s="111">
        <f>SUM(AD40+AF40+AH40+AJ40+AL40+AN40+AP40+AR40+AT40)</f>
        <v>3.5</v>
      </c>
      <c r="AW40" s="101"/>
      <c r="AX40" s="102"/>
      <c r="AZ40" s="63"/>
      <c r="BA40" s="212"/>
      <c r="BB40" s="213"/>
      <c r="BC40" s="214"/>
      <c r="BD40" s="217">
        <f t="shared" si="58"/>
        <v>38222</v>
      </c>
      <c r="BE40" s="213">
        <f t="shared" si="59"/>
        <v>1479</v>
      </c>
      <c r="BF40" s="215">
        <f t="shared" si="60"/>
        <v>9</v>
      </c>
      <c r="BG40" s="215">
        <f t="shared" si="61"/>
        <v>9</v>
      </c>
      <c r="BH40" s="215">
        <f t="shared" si="44"/>
        <v>146</v>
      </c>
      <c r="BI40" s="215">
        <f t="shared" si="45"/>
        <v>166</v>
      </c>
      <c r="BJ40" s="215">
        <f t="shared" si="46"/>
        <v>181</v>
      </c>
      <c r="BK40" s="215">
        <f t="shared" si="47"/>
        <v>132</v>
      </c>
      <c r="BL40" s="215">
        <f t="shared" si="48"/>
        <v>175</v>
      </c>
      <c r="BM40" s="215">
        <f t="shared" si="49"/>
        <v>160</v>
      </c>
      <c r="BN40" s="215">
        <f t="shared" si="50"/>
        <v>155</v>
      </c>
      <c r="BO40" s="215">
        <f t="shared" si="51"/>
        <v>210</v>
      </c>
      <c r="BP40" s="215">
        <f t="shared" si="52"/>
        <v>154</v>
      </c>
      <c r="BQ40" s="216"/>
      <c r="BR40" s="214"/>
      <c r="BS40" s="215">
        <f t="shared" si="62"/>
        <v>210</v>
      </c>
      <c r="BT40" s="215">
        <f t="shared" si="63"/>
        <v>0</v>
      </c>
      <c r="BU40" s="215" t="str">
        <f t="shared" si="64"/>
        <v>BK München 2</v>
      </c>
      <c r="BV40" s="214">
        <f t="shared" si="65"/>
        <v>2</v>
      </c>
      <c r="BW40" s="215">
        <f t="shared" si="66"/>
        <v>1479</v>
      </c>
      <c r="BX40" s="215">
        <f>IF(COUNTIF(BH40:BP40,"&gt;0")&lt;Spielorte!$A$23,0,BE40/Spielorte!$A$23)</f>
        <v>164.33333333333334</v>
      </c>
      <c r="BY40" s="215">
        <f t="shared" si="67"/>
        <v>0</v>
      </c>
      <c r="BZ40" s="214">
        <f t="shared" si="53"/>
        <v>0</v>
      </c>
    </row>
    <row r="41" spans="1:78" ht="17.2" customHeight="1" x14ac:dyDescent="0.35">
      <c r="A41" s="368"/>
      <c r="B41" s="76" t="str">
        <f t="shared" si="54"/>
        <v/>
      </c>
      <c r="C41" s="77" t="str">
        <f t="shared" si="55"/>
        <v/>
      </c>
      <c r="D41" s="78" t="str">
        <f t="shared" si="56"/>
        <v/>
      </c>
      <c r="E41" s="349"/>
      <c r="F41" s="78" t="str">
        <f t="shared" si="35"/>
        <v/>
      </c>
      <c r="G41" s="349"/>
      <c r="H41" s="78" t="str">
        <f t="shared" si="36"/>
        <v/>
      </c>
      <c r="I41" s="349"/>
      <c r="J41" s="78" t="str">
        <f t="shared" si="37"/>
        <v/>
      </c>
      <c r="K41" s="349"/>
      <c r="L41" s="78" t="str">
        <f t="shared" si="38"/>
        <v/>
      </c>
      <c r="M41" s="349"/>
      <c r="N41" s="78" t="str">
        <f t="shared" si="57"/>
        <v/>
      </c>
      <c r="O41" s="349"/>
      <c r="P41" s="78" t="str">
        <f t="shared" si="39"/>
        <v/>
      </c>
      <c r="Q41" s="349"/>
      <c r="R41" s="78" t="str">
        <f t="shared" si="40"/>
        <v/>
      </c>
      <c r="S41" s="349"/>
      <c r="T41" s="78" t="str">
        <f t="shared" si="41"/>
        <v/>
      </c>
      <c r="U41" s="349"/>
      <c r="V41" s="78" t="str">
        <f t="shared" si="42"/>
        <v/>
      </c>
      <c r="W41" s="349"/>
      <c r="Z41" s="352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3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8"/>
        <v>0</v>
      </c>
      <c r="BE41" s="213">
        <f t="shared" si="59"/>
        <v>0</v>
      </c>
      <c r="BF41" s="215">
        <f t="shared" si="60"/>
        <v>0</v>
      </c>
      <c r="BG41" s="215">
        <f t="shared" si="61"/>
        <v>0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 t="str">
        <f t="shared" si="48"/>
        <v/>
      </c>
      <c r="BM41" s="215" t="str">
        <f t="shared" si="49"/>
        <v/>
      </c>
      <c r="BN41" s="215" t="str">
        <f t="shared" si="50"/>
        <v/>
      </c>
      <c r="BO41" s="215" t="str">
        <f t="shared" si="51"/>
        <v/>
      </c>
      <c r="BP41" s="215" t="str">
        <f t="shared" si="52"/>
        <v/>
      </c>
      <c r="BQ41" s="216"/>
      <c r="BR41" s="214"/>
      <c r="BS41" s="215">
        <f t="shared" si="62"/>
        <v>0</v>
      </c>
      <c r="BT41" s="215">
        <f t="shared" si="63"/>
        <v>0</v>
      </c>
      <c r="BU41" s="215" t="str">
        <f t="shared" si="64"/>
        <v>BK München 2</v>
      </c>
      <c r="BV41" s="214">
        <f t="shared" si="65"/>
        <v>2</v>
      </c>
      <c r="BW41" s="215">
        <f t="shared" si="66"/>
        <v>0</v>
      </c>
      <c r="BX41" s="215">
        <f>IF(COUNTIF(BH41:BP41,"&gt;0")&lt;Spielorte!$A$23,0,BE41/Spielorte!$A$23)</f>
        <v>0</v>
      </c>
      <c r="BY41" s="215">
        <f t="shared" si="67"/>
        <v>0</v>
      </c>
      <c r="BZ41" s="214">
        <f t="shared" si="53"/>
        <v>0</v>
      </c>
    </row>
    <row r="42" spans="1:78" ht="17.2" customHeight="1" thickBot="1" x14ac:dyDescent="0.4">
      <c r="A42" s="369"/>
      <c r="B42" s="79" t="str">
        <f t="shared" si="54"/>
        <v/>
      </c>
      <c r="C42" s="80" t="str">
        <f t="shared" si="55"/>
        <v/>
      </c>
      <c r="D42" s="69" t="str">
        <f t="shared" si="56"/>
        <v/>
      </c>
      <c r="E42" s="350"/>
      <c r="F42" s="69" t="str">
        <f t="shared" si="35"/>
        <v/>
      </c>
      <c r="G42" s="350"/>
      <c r="H42" s="69" t="str">
        <f t="shared" si="36"/>
        <v/>
      </c>
      <c r="I42" s="350"/>
      <c r="J42" s="69" t="str">
        <f t="shared" si="37"/>
        <v/>
      </c>
      <c r="K42" s="350"/>
      <c r="L42" s="69" t="str">
        <f t="shared" si="38"/>
        <v/>
      </c>
      <c r="M42" s="350"/>
      <c r="N42" s="69" t="str">
        <f t="shared" si="57"/>
        <v/>
      </c>
      <c r="O42" s="350"/>
      <c r="P42" s="69" t="str">
        <f t="shared" si="39"/>
        <v/>
      </c>
      <c r="Q42" s="350"/>
      <c r="R42" s="69" t="str">
        <f t="shared" si="40"/>
        <v/>
      </c>
      <c r="S42" s="350"/>
      <c r="T42" s="69" t="str">
        <f t="shared" si="41"/>
        <v/>
      </c>
      <c r="U42" s="350"/>
      <c r="V42" s="69" t="str">
        <f t="shared" si="42"/>
        <v/>
      </c>
      <c r="W42" s="350"/>
      <c r="Z42" s="353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8"/>
        <v>0</v>
      </c>
      <c r="BE42" s="213">
        <f t="shared" si="59"/>
        <v>0</v>
      </c>
      <c r="BF42" s="215">
        <f t="shared" si="60"/>
        <v>0</v>
      </c>
      <c r="BG42" s="215">
        <f t="shared" si="61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2"/>
        <v>0</v>
      </c>
      <c r="BT42" s="215">
        <f t="shared" si="63"/>
        <v>0</v>
      </c>
      <c r="BU42" s="215" t="str">
        <f t="shared" si="64"/>
        <v>BK München 2</v>
      </c>
      <c r="BV42" s="214">
        <f t="shared" si="65"/>
        <v>2</v>
      </c>
      <c r="BW42" s="215">
        <f t="shared" si="66"/>
        <v>0</v>
      </c>
      <c r="BX42" s="215">
        <f>IF(COUNTIF(BH42:BP42,"&gt;0")&lt;Spielorte!$A$23,0,BE42/Spielorte!$A$23)</f>
        <v>0</v>
      </c>
      <c r="BY42" s="215">
        <f t="shared" si="67"/>
        <v>0</v>
      </c>
      <c r="BZ42" s="214">
        <f t="shared" si="53"/>
        <v>0</v>
      </c>
    </row>
    <row r="43" spans="1:78" ht="17.2" customHeight="1" x14ac:dyDescent="0.35">
      <c r="A43" s="367" t="s">
        <v>3</v>
      </c>
      <c r="B43" s="73" t="str">
        <f t="shared" si="54"/>
        <v>Seeger, Melanie</v>
      </c>
      <c r="C43" s="74">
        <f t="shared" si="55"/>
        <v>38350</v>
      </c>
      <c r="D43" s="75">
        <f t="shared" si="56"/>
        <v>143</v>
      </c>
      <c r="E43" s="348">
        <f>IF(AD43="","",AD43)</f>
        <v>0</v>
      </c>
      <c r="F43" s="75">
        <f t="shared" si="35"/>
        <v>157</v>
      </c>
      <c r="G43" s="348">
        <f>IF(AF43="","",AF43)</f>
        <v>1</v>
      </c>
      <c r="H43" s="75">
        <f t="shared" si="36"/>
        <v>162</v>
      </c>
      <c r="I43" s="348">
        <f>IF(AH43="","",AH43)</f>
        <v>0</v>
      </c>
      <c r="J43" s="75">
        <f t="shared" si="37"/>
        <v>134</v>
      </c>
      <c r="K43" s="348">
        <f>IF(AJ43="","",AJ43)</f>
        <v>0</v>
      </c>
      <c r="L43" s="75">
        <f t="shared" si="38"/>
        <v>213</v>
      </c>
      <c r="M43" s="348">
        <f>IF(AL43="","",AL43)</f>
        <v>0</v>
      </c>
      <c r="N43" s="75">
        <f t="shared" si="57"/>
        <v>235</v>
      </c>
      <c r="O43" s="348">
        <f>IF(AN43="","",AN43)</f>
        <v>1</v>
      </c>
      <c r="P43" s="75">
        <f t="shared" si="39"/>
        <v>182</v>
      </c>
      <c r="Q43" s="348">
        <f>IF(AP43="","",AP43)</f>
        <v>0</v>
      </c>
      <c r="R43" s="75">
        <f t="shared" si="40"/>
        <v>183</v>
      </c>
      <c r="S43" s="348">
        <f>IF(AR43="","",AR43)</f>
        <v>1</v>
      </c>
      <c r="T43" s="75">
        <f t="shared" si="41"/>
        <v>176</v>
      </c>
      <c r="U43" s="348">
        <f>IF(AT43="","",AT43)</f>
        <v>0</v>
      </c>
      <c r="V43" s="75">
        <f t="shared" si="42"/>
        <v>1585</v>
      </c>
      <c r="W43" s="348">
        <f>IF(AV43="","",AV43)</f>
        <v>3</v>
      </c>
      <c r="Z43" s="351" t="s">
        <v>3</v>
      </c>
      <c r="AA43" s="108" t="str">
        <f>IF(AB43=0,"",VLOOKUP(AB43,Starter!$A$1:$D$199,2,FALSE))</f>
        <v>Seeger, Melanie</v>
      </c>
      <c r="AB43" s="99">
        <v>38350</v>
      </c>
      <c r="AC43" s="188">
        <v>143</v>
      </c>
      <c r="AD43" s="109">
        <f>IF(SUM(AC43:AC45)+AC57=0,0,IF(SUM(ABS(AC43),ABS(AC44),ABS(AC45))=AC57,0.5,IF(SUM(ABS(AC43),ABS(AC44),ABS(AC45))&gt;AC57,1,0)))</f>
        <v>0</v>
      </c>
      <c r="AE43" s="188">
        <v>157</v>
      </c>
      <c r="AF43" s="109">
        <f>IF(SUM(AE43:AE45)+AE57=0,0,IF(SUM(ABS(AE43),ABS(AE44),ABS(AE45))=AE57,0.5,IF(SUM(ABS(AE43),ABS(AE44),ABS(AE45))&gt;AE57,1,0)))</f>
        <v>1</v>
      </c>
      <c r="AG43" s="188">
        <v>162</v>
      </c>
      <c r="AH43" s="109">
        <f>IF(SUM(AG43:AG45)+AG57=0,0,IF(SUM(ABS(AG43),ABS(AG44),ABS(AG45))=AG57,0.5,IF(SUM(ABS(AG43),ABS(AG44),ABS(AG45))&gt;AG57,1,0)))</f>
        <v>0</v>
      </c>
      <c r="AI43" s="188">
        <v>134</v>
      </c>
      <c r="AJ43" s="109">
        <f>IF(SUM(AI43:AI45)+AI57=0,0,IF(SUM(ABS(AI43),ABS(AI44),ABS(AI45))=AI57,0.5,IF(SUM(ABS(AI43),ABS(AI44),ABS(AI45))&gt;AI57,1,0)))</f>
        <v>0</v>
      </c>
      <c r="AK43" s="188">
        <v>213</v>
      </c>
      <c r="AL43" s="109">
        <f>IF(SUM(AK43:AK45)+AK57=0,0,IF(SUM(ABS(AK43),ABS(AK44),ABS(AK45))=AK57,0.5,IF(SUM(ABS(AK43),ABS(AK44),ABS(AK45))&gt;AK57,1,0)))</f>
        <v>0</v>
      </c>
      <c r="AM43" s="188">
        <v>235</v>
      </c>
      <c r="AN43" s="109">
        <f>IF(SUM(AM43:AM45)+AM57=0,0,IF(SUM(ABS(AM43),ABS(AM44),ABS(AM45))=AM57,0.5,IF(SUM(ABS(AM43),ABS(AM44),ABS(AM45))&gt;AM57,1,0)))</f>
        <v>1</v>
      </c>
      <c r="AO43" s="188">
        <v>182</v>
      </c>
      <c r="AP43" s="109">
        <f>IF(SUM(AO43:AO45)+AO57=0,0,IF(SUM(ABS(AO43),ABS(AO44),ABS(AO45))=AO57,0.5,IF(SUM(ABS(AO43),ABS(AO44),ABS(AO45))&gt;AO57,1,0)))</f>
        <v>0</v>
      </c>
      <c r="AQ43" s="188">
        <v>183</v>
      </c>
      <c r="AR43" s="109">
        <f>IF(SUM(AQ43:AQ45)+AQ57=0,0,IF(SUM(ABS(AQ43),ABS(AQ44),ABS(AQ45))=AQ57,0.5,IF(SUM(ABS(AQ43),ABS(AQ44),ABS(AQ45))&gt;AQ57,1,0)))</f>
        <v>1</v>
      </c>
      <c r="AS43" s="188">
        <v>176</v>
      </c>
      <c r="AT43" s="109">
        <f>IF(SUM(AS43:AS45)+AS57=0,0,IF(SUM(ABS(AS43),ABS(AS44),ABS(AS45))=AS57,0.5,IF(SUM(ABS(AS43),ABS(AS44),ABS(AS45))&gt;AS57,1,0)))</f>
        <v>0</v>
      </c>
      <c r="AU43" s="110">
        <f t="shared" si="43"/>
        <v>1585</v>
      </c>
      <c r="AV43" s="111">
        <f>SUM(AD43+AF43+AH43+AJ43+AL43+AN43+AP43+AR43+AT43)</f>
        <v>3</v>
      </c>
      <c r="AW43" s="101"/>
      <c r="AX43" s="102"/>
      <c r="AZ43" s="63"/>
      <c r="BA43" s="212"/>
      <c r="BB43" s="213"/>
      <c r="BC43" s="214"/>
      <c r="BD43" s="217">
        <f t="shared" si="58"/>
        <v>38350</v>
      </c>
      <c r="BE43" s="213">
        <f t="shared" si="59"/>
        <v>1585</v>
      </c>
      <c r="BF43" s="215">
        <f t="shared" si="60"/>
        <v>9</v>
      </c>
      <c r="BG43" s="215">
        <f t="shared" si="61"/>
        <v>9</v>
      </c>
      <c r="BH43" s="215">
        <f t="shared" si="44"/>
        <v>143</v>
      </c>
      <c r="BI43" s="215">
        <f t="shared" si="45"/>
        <v>157</v>
      </c>
      <c r="BJ43" s="215">
        <f t="shared" si="46"/>
        <v>162</v>
      </c>
      <c r="BK43" s="215">
        <f t="shared" si="47"/>
        <v>134</v>
      </c>
      <c r="BL43" s="215">
        <f t="shared" si="48"/>
        <v>213</v>
      </c>
      <c r="BM43" s="215">
        <f t="shared" si="49"/>
        <v>235</v>
      </c>
      <c r="BN43" s="215">
        <f t="shared" si="50"/>
        <v>182</v>
      </c>
      <c r="BO43" s="215">
        <f t="shared" si="51"/>
        <v>183</v>
      </c>
      <c r="BP43" s="215">
        <f t="shared" si="52"/>
        <v>176</v>
      </c>
      <c r="BQ43" s="216"/>
      <c r="BR43" s="214"/>
      <c r="BS43" s="215">
        <f t="shared" si="62"/>
        <v>235</v>
      </c>
      <c r="BT43" s="215">
        <f t="shared" si="63"/>
        <v>0</v>
      </c>
      <c r="BU43" s="215" t="str">
        <f t="shared" si="64"/>
        <v>BK München 2</v>
      </c>
      <c r="BV43" s="214">
        <f t="shared" si="65"/>
        <v>2</v>
      </c>
      <c r="BW43" s="215">
        <f t="shared" si="66"/>
        <v>1585</v>
      </c>
      <c r="BX43" s="215">
        <f>IF(COUNTIF(BH43:BP43,"&gt;0")&lt;Spielorte!$A$23,0,BE43/Spielorte!$A$23)</f>
        <v>176.11111111111111</v>
      </c>
      <c r="BY43" s="215">
        <f t="shared" si="67"/>
        <v>0</v>
      </c>
      <c r="BZ43" s="214">
        <f t="shared" si="53"/>
        <v>0</v>
      </c>
    </row>
    <row r="44" spans="1:78" ht="17.2" customHeight="1" x14ac:dyDescent="0.35">
      <c r="A44" s="368"/>
      <c r="B44" s="76" t="str">
        <f t="shared" si="54"/>
        <v/>
      </c>
      <c r="C44" s="77" t="str">
        <f t="shared" si="55"/>
        <v/>
      </c>
      <c r="D44" s="78" t="str">
        <f t="shared" si="56"/>
        <v/>
      </c>
      <c r="E44" s="349"/>
      <c r="F44" s="78" t="str">
        <f t="shared" si="35"/>
        <v/>
      </c>
      <c r="G44" s="349"/>
      <c r="H44" s="78" t="str">
        <f t="shared" si="36"/>
        <v/>
      </c>
      <c r="I44" s="349"/>
      <c r="J44" s="78" t="str">
        <f t="shared" si="37"/>
        <v/>
      </c>
      <c r="K44" s="349"/>
      <c r="L44" s="78" t="str">
        <f t="shared" si="38"/>
        <v/>
      </c>
      <c r="M44" s="349"/>
      <c r="N44" s="78" t="str">
        <f t="shared" si="57"/>
        <v/>
      </c>
      <c r="O44" s="349"/>
      <c r="P44" s="78" t="str">
        <f t="shared" si="39"/>
        <v/>
      </c>
      <c r="Q44" s="349"/>
      <c r="R44" s="78" t="str">
        <f t="shared" si="40"/>
        <v/>
      </c>
      <c r="S44" s="349"/>
      <c r="T44" s="78" t="str">
        <f t="shared" si="41"/>
        <v/>
      </c>
      <c r="U44" s="349"/>
      <c r="V44" s="78" t="str">
        <f t="shared" si="42"/>
        <v/>
      </c>
      <c r="W44" s="349"/>
      <c r="Z44" s="352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8"/>
        <v>0</v>
      </c>
      <c r="BE44" s="213">
        <f t="shared" si="59"/>
        <v>0</v>
      </c>
      <c r="BF44" s="215">
        <f t="shared" si="60"/>
        <v>0</v>
      </c>
      <c r="BG44" s="215">
        <f t="shared" si="61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2"/>
        <v>0</v>
      </c>
      <c r="BT44" s="215">
        <f t="shared" si="63"/>
        <v>0</v>
      </c>
      <c r="BU44" s="215" t="str">
        <f t="shared" si="64"/>
        <v>BK München 2</v>
      </c>
      <c r="BV44" s="214">
        <f t="shared" si="65"/>
        <v>2</v>
      </c>
      <c r="BW44" s="215">
        <f t="shared" si="66"/>
        <v>0</v>
      </c>
      <c r="BX44" s="215">
        <f>IF(COUNTIF(BH44:BP44,"&gt;0")&lt;Spielorte!$A$23,0,BE44/Spielorte!$A$23)</f>
        <v>0</v>
      </c>
      <c r="BY44" s="215">
        <f t="shared" si="67"/>
        <v>0</v>
      </c>
      <c r="BZ44" s="214">
        <f t="shared" si="53"/>
        <v>0</v>
      </c>
    </row>
    <row r="45" spans="1:78" ht="17.2" customHeight="1" thickBot="1" x14ac:dyDescent="0.4">
      <c r="A45" s="369"/>
      <c r="B45" s="79" t="str">
        <f t="shared" si="54"/>
        <v/>
      </c>
      <c r="C45" s="80" t="str">
        <f t="shared" si="55"/>
        <v/>
      </c>
      <c r="D45" s="69" t="str">
        <f t="shared" si="56"/>
        <v/>
      </c>
      <c r="E45" s="350"/>
      <c r="F45" s="69" t="str">
        <f t="shared" si="35"/>
        <v/>
      </c>
      <c r="G45" s="350"/>
      <c r="H45" s="69" t="str">
        <f t="shared" si="36"/>
        <v/>
      </c>
      <c r="I45" s="350"/>
      <c r="J45" s="69" t="str">
        <f t="shared" si="37"/>
        <v/>
      </c>
      <c r="K45" s="350"/>
      <c r="L45" s="69" t="str">
        <f t="shared" si="38"/>
        <v/>
      </c>
      <c r="M45" s="350"/>
      <c r="N45" s="69" t="str">
        <f t="shared" si="57"/>
        <v/>
      </c>
      <c r="O45" s="350"/>
      <c r="P45" s="69" t="str">
        <f t="shared" si="39"/>
        <v/>
      </c>
      <c r="Q45" s="350"/>
      <c r="R45" s="69" t="str">
        <f t="shared" si="40"/>
        <v/>
      </c>
      <c r="S45" s="350"/>
      <c r="T45" s="69" t="str">
        <f t="shared" si="41"/>
        <v/>
      </c>
      <c r="U45" s="350"/>
      <c r="V45" s="69" t="str">
        <f t="shared" si="42"/>
        <v/>
      </c>
      <c r="W45" s="350"/>
      <c r="Z45" s="353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8"/>
        <v>0</v>
      </c>
      <c r="BE45" s="213">
        <f t="shared" si="59"/>
        <v>0</v>
      </c>
      <c r="BF45" s="215">
        <f t="shared" si="60"/>
        <v>0</v>
      </c>
      <c r="BG45" s="215">
        <f t="shared" si="61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2"/>
        <v>0</v>
      </c>
      <c r="BT45" s="215">
        <f t="shared" si="63"/>
        <v>0</v>
      </c>
      <c r="BU45" s="215" t="str">
        <f t="shared" si="64"/>
        <v>BK München 2</v>
      </c>
      <c r="BV45" s="214">
        <f t="shared" si="65"/>
        <v>2</v>
      </c>
      <c r="BW45" s="215">
        <f t="shared" si="66"/>
        <v>0</v>
      </c>
      <c r="BX45" s="215">
        <f>IF(COUNTIF(BH45:BP45,"&gt;0")&lt;Spielorte!$A$23,0,BE45/Spielorte!$A$23)</f>
        <v>0</v>
      </c>
      <c r="BY45" s="215">
        <f t="shared" si="67"/>
        <v>0</v>
      </c>
      <c r="BZ45" s="214">
        <f t="shared" si="53"/>
        <v>0</v>
      </c>
    </row>
    <row r="46" spans="1:78" ht="17.2" customHeight="1" x14ac:dyDescent="0.35">
      <c r="A46" s="367" t="s">
        <v>11</v>
      </c>
      <c r="B46" s="73" t="str">
        <f>IF(AA46=0,"",AA46)</f>
        <v>Kirschke, Saskia</v>
      </c>
      <c r="C46" s="74">
        <f t="shared" si="55"/>
        <v>38553</v>
      </c>
      <c r="D46" s="75">
        <f t="shared" si="56"/>
        <v>171</v>
      </c>
      <c r="E46" s="348">
        <f>IF(AD46="","",AD46)</f>
        <v>0</v>
      </c>
      <c r="F46" s="75">
        <f t="shared" si="35"/>
        <v>159</v>
      </c>
      <c r="G46" s="348">
        <f>IF(AF46="","",AF46)</f>
        <v>1</v>
      </c>
      <c r="H46" s="75">
        <f t="shared" si="36"/>
        <v>147</v>
      </c>
      <c r="I46" s="348">
        <f>IF(AH46="","",AH46)</f>
        <v>0</v>
      </c>
      <c r="J46" s="75">
        <f t="shared" si="37"/>
        <v>180</v>
      </c>
      <c r="K46" s="348">
        <f>IF(AJ46="","",AJ46)</f>
        <v>1</v>
      </c>
      <c r="L46" s="75">
        <f t="shared" si="38"/>
        <v>179</v>
      </c>
      <c r="M46" s="348">
        <f>IF(AL46="","",AL46)</f>
        <v>0</v>
      </c>
      <c r="N46" s="75">
        <f t="shared" si="57"/>
        <v>183</v>
      </c>
      <c r="O46" s="348">
        <f>IF(AN46="","",AN46)</f>
        <v>1</v>
      </c>
      <c r="P46" s="75">
        <f t="shared" si="39"/>
        <v>211</v>
      </c>
      <c r="Q46" s="348">
        <f>IF(AP46="","",AP46)</f>
        <v>1</v>
      </c>
      <c r="R46" s="75">
        <f t="shared" si="40"/>
        <v>235</v>
      </c>
      <c r="S46" s="348">
        <f>IF(AR46="","",AR46)</f>
        <v>1</v>
      </c>
      <c r="T46" s="75">
        <f t="shared" si="41"/>
        <v>182</v>
      </c>
      <c r="U46" s="348">
        <f>IF(AT46="","",AT46)</f>
        <v>1</v>
      </c>
      <c r="V46" s="75">
        <f t="shared" si="42"/>
        <v>1647</v>
      </c>
      <c r="W46" s="348">
        <f>IF(AV46="","",AV46)</f>
        <v>6</v>
      </c>
      <c r="Z46" s="351" t="s">
        <v>11</v>
      </c>
      <c r="AA46" s="108" t="str">
        <f>IF(AB46=0,"",VLOOKUP(AB46,Starter!$A$1:$D$199,2,FALSE))</f>
        <v>Kirschke, Saskia</v>
      </c>
      <c r="AB46" s="99">
        <v>38553</v>
      </c>
      <c r="AC46" s="188">
        <v>171</v>
      </c>
      <c r="AD46" s="109">
        <f>IF(SUM(AC46:AC48)+AC58=0,0,IF(SUM(ABS(AC46),ABS(AC47),ABS(AC48))=AC58,0.5,IF(SUM(ABS(AC46),ABS(AC47),ABS(AC48))&gt;AC58,1,0)))</f>
        <v>0</v>
      </c>
      <c r="AE46" s="188">
        <v>159</v>
      </c>
      <c r="AF46" s="109">
        <f>IF(SUM(AE46:AE48)+AE58=0,0,IF(SUM(ABS(AE46),ABS(AE47),ABS(AE48))=AE58,0.5,IF(SUM(ABS(AE46),ABS(AE47),ABS(AE48))&gt;AE58,1,0)))</f>
        <v>1</v>
      </c>
      <c r="AG46" s="188">
        <v>147</v>
      </c>
      <c r="AH46" s="109">
        <f>IF(SUM(AG46:AG48)+AG58=0,0,IF(SUM(ABS(AG46),ABS(AG47),ABS(AG48))=AG58,0.5,IF(SUM(ABS(AG46),ABS(AG47),ABS(AG48))&gt;AG58,1,0)))</f>
        <v>0</v>
      </c>
      <c r="AI46" s="188">
        <v>180</v>
      </c>
      <c r="AJ46" s="109">
        <f>IF(SUM(AI46:AI48)+AI58=0,0,IF(SUM(ABS(AI46),ABS(AI47),ABS(AI48))=AI58,0.5,IF(SUM(ABS(AI46),ABS(AI47),ABS(AI48))&gt;AI58,1,0)))</f>
        <v>1</v>
      </c>
      <c r="AK46" s="188">
        <v>179</v>
      </c>
      <c r="AL46" s="109">
        <f>IF(SUM(AK46:AK48)+AK58=0,0,IF(SUM(ABS(AK46),ABS(AK47),ABS(AK48))=AK58,0.5,IF(SUM(ABS(AK46),ABS(AK47),ABS(AK48))&gt;AK58,1,0)))</f>
        <v>0</v>
      </c>
      <c r="AM46" s="188">
        <v>183</v>
      </c>
      <c r="AN46" s="109">
        <f>IF(SUM(AM46:AM48)+AM58=0,0,IF(SUM(ABS(AM46),ABS(AM47),ABS(AM48))=AM58,0.5,IF(SUM(ABS(AM46),ABS(AM47),ABS(AM48))&gt;AM58,1,0)))</f>
        <v>1</v>
      </c>
      <c r="AO46" s="188">
        <v>211</v>
      </c>
      <c r="AP46" s="109">
        <f>IF(SUM(AO46:AO48)+AO58=0,0,IF(SUM(ABS(AO46),ABS(AO47),ABS(AO48))=AO58,0.5,IF(SUM(ABS(AO46),ABS(AO47),ABS(AO48))&gt;AO58,1,0)))</f>
        <v>1</v>
      </c>
      <c r="AQ46" s="188">
        <v>235</v>
      </c>
      <c r="AR46" s="109">
        <f>IF(SUM(AQ46:AQ48)+AQ58=0,0,IF(SUM(ABS(AQ46),ABS(AQ47),ABS(AQ48))=AQ58,0.5,IF(SUM(ABS(AQ46),ABS(AQ47),ABS(AQ48))&gt;AQ58,1,0)))</f>
        <v>1</v>
      </c>
      <c r="AS46" s="188">
        <v>182</v>
      </c>
      <c r="AT46" s="109">
        <f>IF(SUM(AS46:AS48)+AS58=0,0,IF(SUM(ABS(AS46),ABS(AS47),ABS(AS48))=AS58,0.5,IF(SUM(ABS(AS46),ABS(AS47),ABS(AS48))&gt;AS58,1,0)))</f>
        <v>1</v>
      </c>
      <c r="AU46" s="110">
        <f t="shared" si="43"/>
        <v>1647</v>
      </c>
      <c r="AV46" s="111">
        <f>SUM(AD46+AF46+AH46+AJ46+AL46+AN46+AP46+AR46+AT46)</f>
        <v>6</v>
      </c>
      <c r="AW46" s="101"/>
      <c r="AX46" s="102"/>
      <c r="AZ46" s="63"/>
      <c r="BA46" s="212"/>
      <c r="BB46" s="213"/>
      <c r="BC46" s="214"/>
      <c r="BD46" s="217">
        <f t="shared" si="58"/>
        <v>38553</v>
      </c>
      <c r="BE46" s="213">
        <f t="shared" si="59"/>
        <v>1647</v>
      </c>
      <c r="BF46" s="215">
        <f t="shared" si="60"/>
        <v>9</v>
      </c>
      <c r="BG46" s="215">
        <f t="shared" si="61"/>
        <v>9</v>
      </c>
      <c r="BH46" s="215">
        <f t="shared" si="44"/>
        <v>171</v>
      </c>
      <c r="BI46" s="215">
        <f t="shared" si="45"/>
        <v>159</v>
      </c>
      <c r="BJ46" s="215">
        <f t="shared" si="46"/>
        <v>147</v>
      </c>
      <c r="BK46" s="215">
        <f t="shared" si="47"/>
        <v>180</v>
      </c>
      <c r="BL46" s="215">
        <f t="shared" si="48"/>
        <v>179</v>
      </c>
      <c r="BM46" s="215">
        <f t="shared" si="49"/>
        <v>183</v>
      </c>
      <c r="BN46" s="215">
        <f t="shared" si="50"/>
        <v>211</v>
      </c>
      <c r="BO46" s="215">
        <f t="shared" si="51"/>
        <v>235</v>
      </c>
      <c r="BP46" s="215">
        <f t="shared" si="52"/>
        <v>182</v>
      </c>
      <c r="BQ46" s="216"/>
      <c r="BR46" s="214"/>
      <c r="BS46" s="215">
        <f t="shared" si="62"/>
        <v>235</v>
      </c>
      <c r="BT46" s="215">
        <f t="shared" si="63"/>
        <v>0</v>
      </c>
      <c r="BU46" s="215" t="str">
        <f t="shared" si="64"/>
        <v>BK München 2</v>
      </c>
      <c r="BV46" s="214">
        <f t="shared" si="65"/>
        <v>2</v>
      </c>
      <c r="BW46" s="215">
        <f t="shared" si="66"/>
        <v>1647</v>
      </c>
      <c r="BX46" s="215">
        <f>IF(COUNTIF(BH46:BP46,"&gt;0")&lt;Spielorte!$A$23,0,BE46/Spielorte!$A$23)</f>
        <v>183</v>
      </c>
      <c r="BY46" s="215">
        <f t="shared" si="67"/>
        <v>0</v>
      </c>
      <c r="BZ46" s="214">
        <f t="shared" si="53"/>
        <v>0</v>
      </c>
    </row>
    <row r="47" spans="1:78" ht="17.2" customHeight="1" x14ac:dyDescent="0.35">
      <c r="A47" s="368"/>
      <c r="B47" s="76" t="str">
        <f>IF(AA47=0,"",AA47)</f>
        <v/>
      </c>
      <c r="C47" s="77" t="str">
        <f t="shared" si="55"/>
        <v/>
      </c>
      <c r="D47" s="78" t="str">
        <f t="shared" si="56"/>
        <v/>
      </c>
      <c r="E47" s="349"/>
      <c r="F47" s="78" t="str">
        <f t="shared" si="35"/>
        <v/>
      </c>
      <c r="G47" s="349"/>
      <c r="H47" s="78" t="str">
        <f t="shared" si="36"/>
        <v/>
      </c>
      <c r="I47" s="349"/>
      <c r="J47" s="78" t="str">
        <f t="shared" si="37"/>
        <v/>
      </c>
      <c r="K47" s="349"/>
      <c r="L47" s="78" t="str">
        <f t="shared" si="38"/>
        <v/>
      </c>
      <c r="M47" s="349"/>
      <c r="N47" s="78" t="str">
        <f t="shared" si="57"/>
        <v/>
      </c>
      <c r="O47" s="349"/>
      <c r="P47" s="78" t="str">
        <f t="shared" si="39"/>
        <v/>
      </c>
      <c r="Q47" s="349"/>
      <c r="R47" s="78" t="str">
        <f t="shared" si="40"/>
        <v/>
      </c>
      <c r="S47" s="349"/>
      <c r="T47" s="78" t="str">
        <f t="shared" si="41"/>
        <v/>
      </c>
      <c r="U47" s="349"/>
      <c r="V47" s="78" t="str">
        <f t="shared" si="42"/>
        <v/>
      </c>
      <c r="W47" s="349"/>
      <c r="Z47" s="352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3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8"/>
        <v>0</v>
      </c>
      <c r="BE47" s="213">
        <f t="shared" si="59"/>
        <v>0</v>
      </c>
      <c r="BF47" s="215">
        <f t="shared" si="60"/>
        <v>0</v>
      </c>
      <c r="BG47" s="215">
        <f t="shared" si="61"/>
        <v>0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 t="str">
        <f t="shared" si="48"/>
        <v/>
      </c>
      <c r="BM47" s="215" t="str">
        <f t="shared" si="49"/>
        <v/>
      </c>
      <c r="BN47" s="215" t="str">
        <f t="shared" si="50"/>
        <v/>
      </c>
      <c r="BO47" s="215" t="str">
        <f t="shared" si="51"/>
        <v/>
      </c>
      <c r="BP47" s="215" t="str">
        <f t="shared" si="52"/>
        <v/>
      </c>
      <c r="BQ47" s="216"/>
      <c r="BR47" s="214"/>
      <c r="BS47" s="215">
        <f t="shared" si="62"/>
        <v>0</v>
      </c>
      <c r="BT47" s="215">
        <f t="shared" si="63"/>
        <v>0</v>
      </c>
      <c r="BU47" s="215" t="str">
        <f t="shared" si="64"/>
        <v>BK München 2</v>
      </c>
      <c r="BV47" s="214">
        <f t="shared" si="65"/>
        <v>2</v>
      </c>
      <c r="BW47" s="215">
        <f t="shared" si="66"/>
        <v>0</v>
      </c>
      <c r="BX47" s="215">
        <f>IF(COUNTIF(BH47:BP47,"&gt;0")&lt;Spielorte!$A$23,0,BE47/Spielorte!$A$23)</f>
        <v>0</v>
      </c>
      <c r="BY47" s="215">
        <f t="shared" si="67"/>
        <v>0</v>
      </c>
      <c r="BZ47" s="214">
        <f t="shared" si="53"/>
        <v>0</v>
      </c>
    </row>
    <row r="48" spans="1:78" ht="17.2" customHeight="1" thickBot="1" x14ac:dyDescent="0.4">
      <c r="A48" s="369"/>
      <c r="B48" s="79" t="str">
        <f>IF(AA48=0,"",AA48)</f>
        <v/>
      </c>
      <c r="C48" s="80" t="str">
        <f t="shared" si="55"/>
        <v/>
      </c>
      <c r="D48" s="69" t="str">
        <f t="shared" si="56"/>
        <v/>
      </c>
      <c r="E48" s="350"/>
      <c r="F48" s="69" t="str">
        <f t="shared" si="35"/>
        <v/>
      </c>
      <c r="G48" s="350"/>
      <c r="H48" s="69" t="str">
        <f t="shared" si="36"/>
        <v/>
      </c>
      <c r="I48" s="350"/>
      <c r="J48" s="69" t="str">
        <f t="shared" si="37"/>
        <v/>
      </c>
      <c r="K48" s="350"/>
      <c r="L48" s="69" t="str">
        <f t="shared" si="38"/>
        <v/>
      </c>
      <c r="M48" s="350"/>
      <c r="N48" s="69" t="str">
        <f t="shared" si="57"/>
        <v/>
      </c>
      <c r="O48" s="350"/>
      <c r="P48" s="69" t="str">
        <f t="shared" si="39"/>
        <v/>
      </c>
      <c r="Q48" s="350"/>
      <c r="R48" s="69" t="str">
        <f t="shared" si="40"/>
        <v/>
      </c>
      <c r="S48" s="350"/>
      <c r="T48" s="69" t="str">
        <f t="shared" si="41"/>
        <v/>
      </c>
      <c r="U48" s="350"/>
      <c r="V48" s="69" t="str">
        <f t="shared" si="42"/>
        <v/>
      </c>
      <c r="W48" s="350"/>
      <c r="Z48" s="353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8"/>
        <v>0</v>
      </c>
      <c r="BE48" s="213">
        <f t="shared" si="59"/>
        <v>0</v>
      </c>
      <c r="BF48" s="215">
        <f t="shared" si="60"/>
        <v>0</v>
      </c>
      <c r="BG48" s="215">
        <f t="shared" si="61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2"/>
        <v>0</v>
      </c>
      <c r="BT48" s="215">
        <f t="shared" si="63"/>
        <v>0</v>
      </c>
      <c r="BU48" s="215" t="str">
        <f t="shared" si="64"/>
        <v>BK München 2</v>
      </c>
      <c r="BV48" s="214">
        <f t="shared" si="65"/>
        <v>2</v>
      </c>
      <c r="BW48" s="215">
        <f t="shared" si="66"/>
        <v>0</v>
      </c>
      <c r="BX48" s="215">
        <f>IF(COUNTIF(BH48:BP48,"&gt;0")&lt;Spielorte!$A$23,0,BE48/Spielorte!$A$23)</f>
        <v>0</v>
      </c>
      <c r="BY48" s="215">
        <f t="shared" si="67"/>
        <v>0</v>
      </c>
      <c r="BZ48" s="214">
        <f t="shared" si="53"/>
        <v>0</v>
      </c>
    </row>
    <row r="49" spans="1:78" ht="27.75" customHeight="1" thickBot="1" x14ac:dyDescent="0.4">
      <c r="B49" s="81" t="str">
        <f>IF(AA49=0,"",AA49)</f>
        <v>Gesamt</v>
      </c>
      <c r="C49" s="82" t="str">
        <f t="shared" si="55"/>
        <v/>
      </c>
      <c r="D49" s="83">
        <f t="shared" si="56"/>
        <v>659</v>
      </c>
      <c r="E49" s="84">
        <f>IF(AD49="","",AD49)</f>
        <v>0</v>
      </c>
      <c r="F49" s="83">
        <f t="shared" si="35"/>
        <v>649</v>
      </c>
      <c r="G49" s="84">
        <f>IF(AF49="","",AF49)</f>
        <v>2</v>
      </c>
      <c r="H49" s="83">
        <f t="shared" si="36"/>
        <v>691</v>
      </c>
      <c r="I49" s="84">
        <f>IF(AH49="","",AH49)</f>
        <v>0</v>
      </c>
      <c r="J49" s="83">
        <f t="shared" si="37"/>
        <v>668</v>
      </c>
      <c r="K49" s="84">
        <f>IF(AJ49="","",AJ49)</f>
        <v>2</v>
      </c>
      <c r="L49" s="83">
        <f t="shared" si="38"/>
        <v>763</v>
      </c>
      <c r="M49" s="84">
        <f>IF(AL49="","",AL49)</f>
        <v>0</v>
      </c>
      <c r="N49" s="83">
        <f t="shared" si="57"/>
        <v>847</v>
      </c>
      <c r="O49" s="84">
        <f>IF(AN49="","",AN49)</f>
        <v>2</v>
      </c>
      <c r="P49" s="83">
        <f t="shared" si="39"/>
        <v>785</v>
      </c>
      <c r="Q49" s="84">
        <f>IF(AP49="","",AP49)</f>
        <v>2</v>
      </c>
      <c r="R49" s="83">
        <f t="shared" si="40"/>
        <v>812</v>
      </c>
      <c r="S49" s="84">
        <f>IF(AR49="","",AR49)</f>
        <v>2</v>
      </c>
      <c r="T49" s="83">
        <f t="shared" si="41"/>
        <v>735</v>
      </c>
      <c r="U49" s="84">
        <f>IF(AT49="","",AT49)</f>
        <v>2</v>
      </c>
      <c r="V49" s="83">
        <f t="shared" si="42"/>
        <v>6609</v>
      </c>
      <c r="W49" s="84">
        <f>IF(AV49="","",AV49)</f>
        <v>12</v>
      </c>
      <c r="AA49" s="81" t="s">
        <v>1799</v>
      </c>
      <c r="AB49" s="120"/>
      <c r="AC49" s="211">
        <f>ABS(SUM(AC37:AC39))+ABS(SUM(AC40:AC42))+ABS(SUM(AC43:AC45))+ABS(SUM(AC46:AC48))</f>
        <v>659</v>
      </c>
      <c r="AD49" s="121">
        <f>IF(AC49+AC59=0,0,IF(AC49=AC59,1,IF(AC49&gt;AC59,2,0)))</f>
        <v>0</v>
      </c>
      <c r="AE49" s="211">
        <f>ABS(SUM(AE37:AE39))+ABS(SUM(AE40:AE42))+ABS(SUM(AE43:AE45))+ABS(SUM(AE46:AE48))</f>
        <v>649</v>
      </c>
      <c r="AF49" s="121">
        <f>IF(AE49+AE59=0,0,IF(AE49=AE59,1,IF(AE49&gt;AE59,2,0)))</f>
        <v>2</v>
      </c>
      <c r="AG49" s="211">
        <f>ABS(SUM(AG37:AG39))+ABS(SUM(AG40:AG42))+ABS(SUM(AG43:AG45))+ABS(SUM(AG46:AG48))</f>
        <v>691</v>
      </c>
      <c r="AH49" s="121">
        <f>IF(AG49+AG59=0,0,IF(AG49=AG59,1,IF(AG49&gt;AG59,2,0)))</f>
        <v>0</v>
      </c>
      <c r="AI49" s="211">
        <f>ABS(SUM(AI37:AI39))+ABS(SUM(AI40:AI42))+ABS(SUM(AI43:AI45))+ABS(SUM(AI46:AI48))</f>
        <v>668</v>
      </c>
      <c r="AJ49" s="121">
        <f>IF(AI49+AI59=0,0,IF(AI49=AI59,1,IF(AI49&gt;AI59,2,0)))</f>
        <v>2</v>
      </c>
      <c r="AK49" s="211">
        <f>ABS(SUM(AK37:AK39))+ABS(SUM(AK40:AK42))+ABS(SUM(AK43:AK45))+ABS(SUM(AK46:AK48))</f>
        <v>763</v>
      </c>
      <c r="AL49" s="121">
        <f>IF(AK49+AK59=0,0,IF(AK49=AK59,1,IF(AK49&gt;AK59,2,0)))</f>
        <v>0</v>
      </c>
      <c r="AM49" s="211">
        <f>ABS(SUM(AM37:AM39))+ABS(SUM(AM40:AM42))+ABS(SUM(AM43:AM45))+ABS(SUM(AM46:AM48))</f>
        <v>847</v>
      </c>
      <c r="AN49" s="121">
        <f>IF(AM49+AM59=0,0,IF(AM49=AM59,1,IF(AM49&gt;AM59,2,0)))</f>
        <v>2</v>
      </c>
      <c r="AO49" s="211">
        <f>ABS(SUM(AO37:AO39))+ABS(SUM(AO40:AO42))+ABS(SUM(AO43:AO45))+ABS(SUM(AO46:AO48))</f>
        <v>785</v>
      </c>
      <c r="AP49" s="121">
        <f>IF(AO49+AO59=0,0,IF(AO49=AO59,1,IF(AO49&gt;AO59,2,0)))</f>
        <v>2</v>
      </c>
      <c r="AQ49" s="211">
        <f>ABS(SUM(AQ37:AQ39))+ABS(SUM(AQ40:AQ42))+ABS(SUM(AQ43:AQ45))+ABS(SUM(AQ46:AQ48))</f>
        <v>812</v>
      </c>
      <c r="AR49" s="121">
        <f>IF(AQ49+AQ59=0,0,IF(AQ49=AQ59,1,IF(AQ49&gt;AQ59,2,0)))</f>
        <v>2</v>
      </c>
      <c r="AS49" s="211">
        <f>ABS(SUM(AS37:AS39))+ABS(SUM(AS40:AS42))+ABS(SUM(AS43:AS45))+ABS(SUM(AS46:AS48))</f>
        <v>735</v>
      </c>
      <c r="AT49" s="121">
        <f>IF(AS49+AS59=0,0,IF(AS49=AS59,1,IF(AS49&gt;AS59,2,0)))</f>
        <v>2</v>
      </c>
      <c r="AU49" s="122">
        <f>SUM(AC49+AE49+AG49+AI49+AK49+AM49+AO49+AQ49+AS49)</f>
        <v>6609</v>
      </c>
      <c r="AV49" s="123">
        <f>SUM(AD49+AF49+AH49+AJ49+AL49+AN49+AP49+AR49+AT49)</f>
        <v>12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4">
      <c r="B50" s="85" t="str">
        <f>IF(AA50=0,"",AA50)</f>
        <v>Gesamt - Punkte</v>
      </c>
      <c r="C50" s="86" t="str">
        <f t="shared" si="55"/>
        <v/>
      </c>
      <c r="D50" s="86" t="str">
        <f t="shared" si="56"/>
        <v/>
      </c>
      <c r="E50" s="87">
        <f>IF(AD50="","",AD50)</f>
        <v>0</v>
      </c>
      <c r="F50" s="86" t="str">
        <f t="shared" si="35"/>
        <v/>
      </c>
      <c r="G50" s="87">
        <f>IF(AF50="","",AF50)</f>
        <v>6</v>
      </c>
      <c r="H50" s="86" t="str">
        <f t="shared" si="36"/>
        <v/>
      </c>
      <c r="I50" s="87">
        <f>IF(AH50="","",AH50)</f>
        <v>1</v>
      </c>
      <c r="J50" s="86" t="str">
        <f t="shared" si="37"/>
        <v/>
      </c>
      <c r="K50" s="87">
        <f>IF(AJ50="","",AJ50)</f>
        <v>4.5</v>
      </c>
      <c r="L50" s="86" t="str">
        <f t="shared" si="38"/>
        <v/>
      </c>
      <c r="M50" s="87">
        <f>IF(AL50="","",AL50)</f>
        <v>0</v>
      </c>
      <c r="N50" s="86" t="str">
        <f t="shared" si="57"/>
        <v/>
      </c>
      <c r="O50" s="87">
        <f>IF(AN50="","",AN50)</f>
        <v>5</v>
      </c>
      <c r="P50" s="86" t="str">
        <f t="shared" si="39"/>
        <v/>
      </c>
      <c r="Q50" s="87">
        <f>IF(AP50="","",AP50)</f>
        <v>5</v>
      </c>
      <c r="R50" s="86" t="str">
        <f t="shared" si="40"/>
        <v/>
      </c>
      <c r="S50" s="87">
        <f>IF(AR50="","",AR50)</f>
        <v>6</v>
      </c>
      <c r="T50" s="86" t="str">
        <f t="shared" si="41"/>
        <v/>
      </c>
      <c r="U50" s="87">
        <f>IF(AT50="","",AT50)</f>
        <v>4</v>
      </c>
      <c r="V50" s="86" t="str">
        <f t="shared" si="42"/>
        <v/>
      </c>
      <c r="W50" s="87">
        <f>IF(AV50="","",AV50)</f>
        <v>31.5</v>
      </c>
      <c r="AA50" s="85" t="s">
        <v>1814</v>
      </c>
      <c r="AB50" s="86"/>
      <c r="AC50" s="86"/>
      <c r="AD50" s="124">
        <f>SUM(AD37:AD49)</f>
        <v>0</v>
      </c>
      <c r="AE50" s="86"/>
      <c r="AF50" s="124">
        <f>SUM(AF37:AF49)</f>
        <v>6</v>
      </c>
      <c r="AG50" s="86"/>
      <c r="AH50" s="124">
        <f>SUM(AH37:AH49)</f>
        <v>1</v>
      </c>
      <c r="AI50" s="86"/>
      <c r="AJ50" s="124">
        <f>SUM(AJ37:AJ49)</f>
        <v>4.5</v>
      </c>
      <c r="AK50" s="86"/>
      <c r="AL50" s="124">
        <f>SUM(AL37:AL49)</f>
        <v>0</v>
      </c>
      <c r="AM50" s="86"/>
      <c r="AN50" s="124">
        <f>SUM(AN37:AN49)</f>
        <v>5</v>
      </c>
      <c r="AO50" s="86"/>
      <c r="AP50" s="124">
        <f>SUM(AP37:AP49)</f>
        <v>5</v>
      </c>
      <c r="AQ50" s="86"/>
      <c r="AR50" s="124">
        <f>SUM(AR37:AR49)</f>
        <v>6</v>
      </c>
      <c r="AS50" s="86"/>
      <c r="AT50" s="124">
        <f>SUM(AT37:AT49)</f>
        <v>4</v>
      </c>
      <c r="AU50" s="86"/>
      <c r="AV50" s="125">
        <f>SUM(AV37:AV49)</f>
        <v>31.5</v>
      </c>
      <c r="AW50" s="101"/>
      <c r="AX50" s="102"/>
      <c r="BA50" s="212">
        <f>+AV50</f>
        <v>31.5</v>
      </c>
      <c r="BB50" s="213">
        <f>+AU49</f>
        <v>6609</v>
      </c>
      <c r="BC50" s="214">
        <f>+AA32</f>
        <v>2</v>
      </c>
      <c r="BF50" s="215">
        <f>SUM(BF31:BF49)</f>
        <v>36</v>
      </c>
      <c r="BQ50" s="212">
        <f>+BB50/1000000+BA50</f>
        <v>31.506609000000001</v>
      </c>
      <c r="BR50" s="214">
        <f>RANK(BQ50,BQ:BQ)</f>
        <v>4</v>
      </c>
      <c r="BV50" s="214"/>
      <c r="BZ50" s="214"/>
    </row>
    <row r="51" spans="1:78" ht="11.25" customHeight="1" x14ac:dyDescent="0.3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35">
      <c r="B52" s="88" t="str">
        <f t="shared" ref="B52:B59" si="68">IF(AA52=0,"",AA52)</f>
        <v>Gegner-Nr.:</v>
      </c>
      <c r="C52" s="89" t="str">
        <f t="shared" ref="C52:C59" si="69">IF(AB52=0,"",AB52)</f>
        <v>&gt;&gt;&gt;&gt;</v>
      </c>
      <c r="D52" s="346">
        <f t="shared" ref="D52:M54" si="70">IF(AC52=0,"",AC52)</f>
        <v>6</v>
      </c>
      <c r="E52" s="346" t="str">
        <f t="shared" si="70"/>
        <v/>
      </c>
      <c r="F52" s="346">
        <f t="shared" si="70"/>
        <v>4</v>
      </c>
      <c r="G52" s="346" t="str">
        <f t="shared" si="70"/>
        <v/>
      </c>
      <c r="H52" s="346">
        <f t="shared" si="70"/>
        <v>8</v>
      </c>
      <c r="I52" s="346" t="str">
        <f t="shared" si="70"/>
        <v/>
      </c>
      <c r="J52" s="346">
        <f t="shared" si="70"/>
        <v>7</v>
      </c>
      <c r="K52" s="346" t="str">
        <f t="shared" si="70"/>
        <v/>
      </c>
      <c r="L52" s="346">
        <f t="shared" si="70"/>
        <v>3</v>
      </c>
      <c r="M52" s="346" t="str">
        <f t="shared" si="70"/>
        <v/>
      </c>
      <c r="N52" s="346">
        <f t="shared" ref="N52:U54" si="71">IF(AM52=0,"",AM52)</f>
        <v>5</v>
      </c>
      <c r="O52" s="346" t="str">
        <f t="shared" si="71"/>
        <v/>
      </c>
      <c r="P52" s="346">
        <f t="shared" si="71"/>
        <v>10</v>
      </c>
      <c r="Q52" s="346" t="str">
        <f t="shared" si="71"/>
        <v/>
      </c>
      <c r="R52" s="346">
        <f t="shared" si="71"/>
        <v>1</v>
      </c>
      <c r="S52" s="346" t="str">
        <f t="shared" si="71"/>
        <v/>
      </c>
      <c r="T52" s="346">
        <f t="shared" si="71"/>
        <v>9</v>
      </c>
      <c r="U52" s="346" t="str">
        <f t="shared" si="71"/>
        <v/>
      </c>
      <c r="V52" s="347"/>
      <c r="W52" s="347"/>
      <c r="AA52" s="88" t="s">
        <v>1797</v>
      </c>
      <c r="AB52" s="89" t="s">
        <v>1798</v>
      </c>
      <c r="AC52" s="370">
        <f>VLOOKUP($AA32,Schlüssel!$A$5:$K$14,3)</f>
        <v>6</v>
      </c>
      <c r="AD52" s="371"/>
      <c r="AE52" s="370">
        <f>VLOOKUP($AA32,Schlüssel!$A$5:$K$14,4)</f>
        <v>4</v>
      </c>
      <c r="AF52" s="371"/>
      <c r="AG52" s="370">
        <f>VLOOKUP($AA32,Schlüssel!$A$5:$K$14,5)</f>
        <v>8</v>
      </c>
      <c r="AH52" s="371"/>
      <c r="AI52" s="370">
        <f>VLOOKUP($AA32,Schlüssel!$A$5:$K$14,6)</f>
        <v>7</v>
      </c>
      <c r="AJ52" s="371"/>
      <c r="AK52" s="370">
        <f>VLOOKUP($AA32,Schlüssel!$A$5:$K$14,7)</f>
        <v>3</v>
      </c>
      <c r="AL52" s="371"/>
      <c r="AM52" s="370">
        <f>VLOOKUP($AA32,Schlüssel!$A$5:$K$14,8)</f>
        <v>5</v>
      </c>
      <c r="AN52" s="371"/>
      <c r="AO52" s="370">
        <f>VLOOKUP($AA32,Schlüssel!$A$5:$K$14,9)</f>
        <v>10</v>
      </c>
      <c r="AP52" s="371"/>
      <c r="AQ52" s="370">
        <f>VLOOKUP($AA32,Schlüssel!$A$5:$K$14,10)</f>
        <v>1</v>
      </c>
      <c r="AR52" s="371"/>
      <c r="AS52" s="370">
        <f>VLOOKUP($AA32,Schlüssel!$A$5:$K$14,11)</f>
        <v>9</v>
      </c>
      <c r="AT52" s="371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35">
      <c r="B53" s="90" t="str">
        <f t="shared" si="68"/>
        <v/>
      </c>
      <c r="C53" s="86" t="str">
        <f t="shared" si="69"/>
        <v/>
      </c>
      <c r="D53" s="343" t="str">
        <f t="shared" si="70"/>
        <v>Phönix 03 Lauf</v>
      </c>
      <c r="E53" s="344" t="str">
        <f t="shared" si="70"/>
        <v/>
      </c>
      <c r="F53" s="343" t="str">
        <f t="shared" si="70"/>
        <v>BK München 3</v>
      </c>
      <c r="G53" s="344" t="str">
        <f t="shared" si="70"/>
        <v/>
      </c>
      <c r="H53" s="343" t="str">
        <f t="shared" si="70"/>
        <v>EPA München 1</v>
      </c>
      <c r="I53" s="344" t="str">
        <f t="shared" si="70"/>
        <v/>
      </c>
      <c r="J53" s="343" t="str">
        <f t="shared" si="70"/>
        <v>Frankenpower Nürnberg</v>
      </c>
      <c r="K53" s="344" t="str">
        <f t="shared" si="70"/>
        <v/>
      </c>
      <c r="L53" s="343" t="str">
        <f t="shared" si="70"/>
        <v>Highroller Rosenheim</v>
      </c>
      <c r="M53" s="344" t="str">
        <f t="shared" si="70"/>
        <v/>
      </c>
      <c r="N53" s="343" t="str">
        <f t="shared" si="71"/>
        <v xml:space="preserve">Weiß Blau Unterföhring </v>
      </c>
      <c r="O53" s="344" t="str">
        <f t="shared" si="71"/>
        <v/>
      </c>
      <c r="P53" s="343" t="str">
        <f t="shared" si="71"/>
        <v>BK München 4</v>
      </c>
      <c r="Q53" s="344" t="str">
        <f t="shared" si="71"/>
        <v/>
      </c>
      <c r="R53" s="343" t="str">
        <f t="shared" si="71"/>
        <v>Praetoria Regensburg</v>
      </c>
      <c r="S53" s="344" t="str">
        <f t="shared" si="71"/>
        <v/>
      </c>
      <c r="T53" s="343" t="str">
        <f t="shared" si="71"/>
        <v>RW Lichtenhof 69 Stein 2</v>
      </c>
      <c r="U53" s="344" t="str">
        <f t="shared" si="71"/>
        <v/>
      </c>
      <c r="V53" s="345"/>
      <c r="W53" s="345"/>
      <c r="AA53" s="90"/>
      <c r="AB53" s="86"/>
      <c r="AC53" s="343" t="str">
        <f>VLOOKUP(AC52,Schlüssel!$A$5:$K$14,2)</f>
        <v>Phönix 03 Lauf</v>
      </c>
      <c r="AD53" s="344"/>
      <c r="AE53" s="343" t="str">
        <f>VLOOKUP(AE52,Schlüssel!$A$5:$K$14,2)</f>
        <v>BK München 3</v>
      </c>
      <c r="AF53" s="344"/>
      <c r="AG53" s="343" t="str">
        <f>VLOOKUP(AG52,Schlüssel!$A$5:$K$14,2)</f>
        <v>EPA München 1</v>
      </c>
      <c r="AH53" s="344"/>
      <c r="AI53" s="343" t="str">
        <f>VLOOKUP(AI52,Schlüssel!$A$5:$K$14,2)</f>
        <v>Frankenpower Nürnberg</v>
      </c>
      <c r="AJ53" s="344"/>
      <c r="AK53" s="343" t="str">
        <f>VLOOKUP(AK52,Schlüssel!$A$5:$K$14,2)</f>
        <v>Highroller Rosenheim</v>
      </c>
      <c r="AL53" s="344"/>
      <c r="AM53" s="343" t="str">
        <f>VLOOKUP(AM52,Schlüssel!$A$5:$K$14,2)</f>
        <v xml:space="preserve">Weiß Blau Unterföhring </v>
      </c>
      <c r="AN53" s="344"/>
      <c r="AO53" s="343" t="str">
        <f>VLOOKUP(AO52,Schlüssel!$A$5:$K$14,2)</f>
        <v>BK München 4</v>
      </c>
      <c r="AP53" s="344"/>
      <c r="AQ53" s="343" t="str">
        <f>VLOOKUP(AQ52,Schlüssel!$A$5:$K$14,2)</f>
        <v>Praetoria Regensburg</v>
      </c>
      <c r="AR53" s="344"/>
      <c r="AS53" s="343" t="str">
        <f>VLOOKUP(AS52,Schlüssel!$A$5:$K$14,2)</f>
        <v>RW Lichtenhof 69 Stein 2</v>
      </c>
      <c r="AT53" s="344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35">
      <c r="B54" s="90" t="str">
        <f t="shared" si="68"/>
        <v/>
      </c>
      <c r="C54" s="86" t="str">
        <f t="shared" si="69"/>
        <v/>
      </c>
      <c r="D54" s="341" t="str">
        <f t="shared" si="70"/>
        <v/>
      </c>
      <c r="E54" s="341" t="str">
        <f t="shared" si="70"/>
        <v/>
      </c>
      <c r="F54" s="341" t="str">
        <f t="shared" si="70"/>
        <v/>
      </c>
      <c r="G54" s="341" t="str">
        <f t="shared" si="70"/>
        <v/>
      </c>
      <c r="H54" s="341" t="str">
        <f t="shared" si="70"/>
        <v/>
      </c>
      <c r="I54" s="341" t="str">
        <f t="shared" si="70"/>
        <v/>
      </c>
      <c r="J54" s="341" t="str">
        <f t="shared" si="70"/>
        <v/>
      </c>
      <c r="K54" s="341" t="str">
        <f t="shared" si="70"/>
        <v/>
      </c>
      <c r="L54" s="341" t="str">
        <f t="shared" si="70"/>
        <v/>
      </c>
      <c r="M54" s="341" t="str">
        <f t="shared" si="70"/>
        <v/>
      </c>
      <c r="N54" s="341" t="str">
        <f t="shared" si="71"/>
        <v/>
      </c>
      <c r="O54" s="341" t="str">
        <f t="shared" si="71"/>
        <v/>
      </c>
      <c r="P54" s="341" t="str">
        <f t="shared" si="71"/>
        <v/>
      </c>
      <c r="Q54" s="341" t="str">
        <f t="shared" si="71"/>
        <v/>
      </c>
      <c r="R54" s="341" t="str">
        <f t="shared" si="71"/>
        <v/>
      </c>
      <c r="S54" s="341" t="str">
        <f t="shared" si="71"/>
        <v/>
      </c>
      <c r="T54" s="341" t="str">
        <f t="shared" si="71"/>
        <v/>
      </c>
      <c r="U54" s="342" t="str">
        <f t="shared" si="71"/>
        <v/>
      </c>
      <c r="V54" s="301"/>
      <c r="W54" s="301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6.05" customHeight="1" x14ac:dyDescent="0.35">
      <c r="B55" s="365" t="str">
        <f t="shared" si="68"/>
        <v>Spieler 1</v>
      </c>
      <c r="C55" s="366" t="str">
        <f t="shared" si="69"/>
        <v/>
      </c>
      <c r="D55" s="339">
        <f>IF(AC55=301,"",AC55)</f>
        <v>214</v>
      </c>
      <c r="E55" s="339" t="str">
        <f>IF(AD55=0,"",AD55)</f>
        <v/>
      </c>
      <c r="F55" s="339">
        <f>IF(AE55=301,"",AE55)</f>
        <v>0</v>
      </c>
      <c r="G55" s="339" t="str">
        <f>IF(AF55=0,"",AF55)</f>
        <v/>
      </c>
      <c r="H55" s="339">
        <f>IF(AG55=301,"",AG55)</f>
        <v>157</v>
      </c>
      <c r="I55" s="339" t="str">
        <f>IF(AH55=0,"",AH55)</f>
        <v/>
      </c>
      <c r="J55" s="339">
        <f>IF(AI55=301,"",AI55)</f>
        <v>165</v>
      </c>
      <c r="K55" s="339" t="str">
        <f>IF(AJ55=0,"",AJ55)</f>
        <v/>
      </c>
      <c r="L55" s="339">
        <f>IF(AK55=301,"",AK55)</f>
        <v>213</v>
      </c>
      <c r="M55" s="339" t="str">
        <f>IF(AL55=0,"",AL55)</f>
        <v/>
      </c>
      <c r="N55" s="339">
        <f>IF(AM55=301,"",AM55)</f>
        <v>204</v>
      </c>
      <c r="O55" s="339" t="str">
        <f>IF(AN55=0,"",AN55)</f>
        <v/>
      </c>
      <c r="P55" s="339">
        <f>IF(AO55=301,"",AO55)</f>
        <v>194</v>
      </c>
      <c r="Q55" s="339" t="str">
        <f>IF(AP55=0,"",AP55)</f>
        <v/>
      </c>
      <c r="R55" s="339">
        <f>IF(AQ55=301,"",AQ55)</f>
        <v>174</v>
      </c>
      <c r="S55" s="339" t="str">
        <f>IF(AR55=0,"",AR55)</f>
        <v/>
      </c>
      <c r="T55" s="339">
        <f>IF(AS55=301,"",AS55)</f>
        <v>184</v>
      </c>
      <c r="U55" s="339" t="str">
        <f>IF(AT55=0,"",AT55)</f>
        <v/>
      </c>
      <c r="V55" s="340"/>
      <c r="W55" s="340"/>
      <c r="AA55" s="91" t="s">
        <v>0</v>
      </c>
      <c r="AB55" s="92"/>
      <c r="AC55" s="372">
        <f>ABS(INDEX(AC:AC,MATCH(AC52,$AA:$AA,0)+5)+INDEX(AC:AC,MATCH(AC52,$AA:$AA,0)+6)+INDEX(AC:AC,MATCH(AC52,$AA:$AA,0)+7))</f>
        <v>214</v>
      </c>
      <c r="AD55" s="373"/>
      <c r="AE55" s="372">
        <f>ABS(INDEX(AE:AE,MATCH(AE52,$AA:$AA,0)+5)+INDEX(AE:AE,MATCH(AE52,$AA:$AA,0)+6)+INDEX(AE:AE,MATCH(AE52,$AA:$AA,0)+7))</f>
        <v>0</v>
      </c>
      <c r="AF55" s="373"/>
      <c r="AG55" s="372">
        <f>ABS(INDEX(AG:AG,MATCH(AG52,$AA:$AA,0)+5)+INDEX(AG:AG,MATCH(AG52,$AA:$AA,0)+6)+INDEX(AG:AG,MATCH(AG52,$AA:$AA,0)+7))</f>
        <v>157</v>
      </c>
      <c r="AH55" s="373"/>
      <c r="AI55" s="372">
        <f>ABS(INDEX(AI:AI,MATCH(AI52,$AA:$AA,0)+5)+INDEX(AI:AI,MATCH(AI52,$AA:$AA,0)+6)+INDEX(AI:AI,MATCH(AI52,$AA:$AA,0)+7))</f>
        <v>165</v>
      </c>
      <c r="AJ55" s="373"/>
      <c r="AK55" s="372">
        <f>ABS(INDEX(AK:AK,MATCH(AK52,$AA:$AA,0)+5)+INDEX(AK:AK,MATCH(AK52,$AA:$AA,0)+6)+INDEX(AK:AK,MATCH(AK52,$AA:$AA,0)+7))</f>
        <v>213</v>
      </c>
      <c r="AL55" s="373"/>
      <c r="AM55" s="372">
        <f>ABS(INDEX(AM:AM,MATCH(AM52,$AA:$AA,0)+5)+INDEX(AM:AM,MATCH(AM52,$AA:$AA,0)+6)+INDEX(AM:AM,MATCH(AM52,$AA:$AA,0)+7))</f>
        <v>204</v>
      </c>
      <c r="AN55" s="373"/>
      <c r="AO55" s="372">
        <f>ABS(INDEX(AO:AO,MATCH(AO52,$AA:$AA,0)+5)+INDEX(AO:AO,MATCH(AO52,$AA:$AA,0)+6)+INDEX(AO:AO,MATCH(AO52,$AA:$AA,0)+7))</f>
        <v>194</v>
      </c>
      <c r="AP55" s="373"/>
      <c r="AQ55" s="372">
        <f>ABS(INDEX(AQ:AQ,MATCH(AQ52,$AA:$AA,0)+5)+INDEX(AQ:AQ,MATCH(AQ52,$AA:$AA,0)+6)+INDEX(AQ:AQ,MATCH(AQ52,$AA:$AA,0)+7))</f>
        <v>174</v>
      </c>
      <c r="AR55" s="373"/>
      <c r="AS55" s="372">
        <f>ABS(INDEX(AS:AS,MATCH(AS52,$AA:$AA,0)+5)+INDEX(AS:AS,MATCH(AS52,$AA:$AA,0)+6)+INDEX(AS:AS,MATCH(AS52,$AA:$AA,0)+7))</f>
        <v>184</v>
      </c>
      <c r="AT55" s="373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6.05" customHeight="1" x14ac:dyDescent="0.35">
      <c r="B56" s="365" t="str">
        <f t="shared" si="68"/>
        <v>Spieler 2</v>
      </c>
      <c r="C56" s="366" t="str">
        <f t="shared" si="69"/>
        <v/>
      </c>
      <c r="D56" s="339">
        <f>IF(AC56=301,"",AC56)</f>
        <v>163</v>
      </c>
      <c r="E56" s="339" t="str">
        <f>IF(AD56=0,"",AD56)</f>
        <v/>
      </c>
      <c r="F56" s="339">
        <f>IF(AE56=301,"",AE56)</f>
        <v>0</v>
      </c>
      <c r="G56" s="339" t="str">
        <f>IF(AF56=0,"",AF56)</f>
        <v/>
      </c>
      <c r="H56" s="339">
        <f>IF(AG56=301,"",AG56)</f>
        <v>224</v>
      </c>
      <c r="I56" s="339" t="str">
        <f>IF(AH56=0,"",AH56)</f>
        <v/>
      </c>
      <c r="J56" s="339">
        <f>IF(AI56=301,"",AI56)</f>
        <v>132</v>
      </c>
      <c r="K56" s="339" t="str">
        <f>IF(AJ56=0,"",AJ56)</f>
        <v/>
      </c>
      <c r="L56" s="339">
        <f>IF(AK56=301,"",AK56)</f>
        <v>182</v>
      </c>
      <c r="M56" s="339" t="str">
        <f>IF(AL56=0,"",AL56)</f>
        <v/>
      </c>
      <c r="N56" s="339">
        <f>IF(AM56=301,"",AM56)</f>
        <v>174</v>
      </c>
      <c r="O56" s="339" t="str">
        <f>IF(AN56=0,"",AN56)</f>
        <v/>
      </c>
      <c r="P56" s="339">
        <f>IF(AO56=301,"",AO56)</f>
        <v>147</v>
      </c>
      <c r="Q56" s="339" t="str">
        <f>IF(AP56=0,"",AP56)</f>
        <v/>
      </c>
      <c r="R56" s="339">
        <f>IF(AQ56=301,"",AQ56)</f>
        <v>182</v>
      </c>
      <c r="S56" s="339" t="str">
        <f>IF(AR56=0,"",AR56)</f>
        <v/>
      </c>
      <c r="T56" s="339">
        <f>IF(AS56=301,"",AS56)</f>
        <v>167</v>
      </c>
      <c r="U56" s="339" t="str">
        <f>IF(AT56=0,"",AT56)</f>
        <v/>
      </c>
      <c r="V56" s="340"/>
      <c r="W56" s="340"/>
      <c r="AA56" s="91" t="s">
        <v>2</v>
      </c>
      <c r="AB56" s="92"/>
      <c r="AC56" s="374">
        <f>ABS(INDEX(AC:AC,MATCH(AC52,$AA:$AA,0)+8)+INDEX(AC:AC,MATCH(AC52,$AA:$AA,0)+9)+INDEX(AC:AC,MATCH(AC52,$AA:$AA,0)+10))</f>
        <v>163</v>
      </c>
      <c r="AD56" s="375"/>
      <c r="AE56" s="374">
        <f>ABS(INDEX(AE:AE,MATCH(AE52,$AA:$AA,0)+8)+INDEX(AE:AE,MATCH(AE52,$AA:$AA,0)+9)+INDEX(AE:AE,MATCH(AE52,$AA:$AA,0)+10))</f>
        <v>0</v>
      </c>
      <c r="AF56" s="375"/>
      <c r="AG56" s="374">
        <f>ABS(INDEX(AG:AG,MATCH(AG52,$AA:$AA,0)+8)+INDEX(AG:AG,MATCH(AG52,$AA:$AA,0)+9)+INDEX(AG:AG,MATCH(AG52,$AA:$AA,0)+10))</f>
        <v>224</v>
      </c>
      <c r="AH56" s="375"/>
      <c r="AI56" s="374">
        <f>ABS(INDEX(AI:AI,MATCH(AI52,$AA:$AA,0)+8)+INDEX(AI:AI,MATCH(AI52,$AA:$AA,0)+9)+INDEX(AI:AI,MATCH(AI52,$AA:$AA,0)+10))</f>
        <v>132</v>
      </c>
      <c r="AJ56" s="375"/>
      <c r="AK56" s="374">
        <f>ABS(INDEX(AK:AK,MATCH(AK52,$AA:$AA,0)+8)+INDEX(AK:AK,MATCH(AK52,$AA:$AA,0)+9)+INDEX(AK:AK,MATCH(AK52,$AA:$AA,0)+10))</f>
        <v>182</v>
      </c>
      <c r="AL56" s="375"/>
      <c r="AM56" s="374">
        <f>ABS(INDEX(AM:AM,MATCH(AM52,$AA:$AA,0)+8)+INDEX(AM:AM,MATCH(AM52,$AA:$AA,0)+9)+INDEX(AM:AM,MATCH(AM52,$AA:$AA,0)+10))</f>
        <v>174</v>
      </c>
      <c r="AN56" s="375"/>
      <c r="AO56" s="374">
        <f>ABS(INDEX(AO:AO,MATCH(AO52,$AA:$AA,0)+8)+INDEX(AO:AO,MATCH(AO52,$AA:$AA,0)+9)+INDEX(AO:AO,MATCH(AO52,$AA:$AA,0)+10))</f>
        <v>147</v>
      </c>
      <c r="AP56" s="375"/>
      <c r="AQ56" s="374">
        <f>ABS(INDEX(AQ:AQ,MATCH(AQ52,$AA:$AA,0)+8)+INDEX(AQ:AQ,MATCH(AQ52,$AA:$AA,0)+9)+INDEX(AQ:AQ,MATCH(AQ52,$AA:$AA,0)+10))</f>
        <v>182</v>
      </c>
      <c r="AR56" s="375"/>
      <c r="AS56" s="374">
        <f>ABS(INDEX(AS:AS,MATCH(AS52,$AA:$AA,0)+8)+INDEX(AS:AS,MATCH(AS52,$AA:$AA,0)+9)+INDEX(AS:AS,MATCH(AS52,$AA:$AA,0)+10))</f>
        <v>167</v>
      </c>
      <c r="AT56" s="37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6.05" customHeight="1" x14ac:dyDescent="0.35">
      <c r="B57" s="365" t="str">
        <f t="shared" si="68"/>
        <v>Spieler 3</v>
      </c>
      <c r="C57" s="366" t="str">
        <f t="shared" si="69"/>
        <v/>
      </c>
      <c r="D57" s="339">
        <f>IF(AC57=301,"",AC57)</f>
        <v>145</v>
      </c>
      <c r="E57" s="339" t="str">
        <f>IF(AD57=0,"",AD57)</f>
        <v/>
      </c>
      <c r="F57" s="339">
        <f>IF(AE57=301,"",AE57)</f>
        <v>0</v>
      </c>
      <c r="G57" s="339" t="str">
        <f>IF(AF57=0,"",AF57)</f>
        <v/>
      </c>
      <c r="H57" s="339">
        <f>IF(AG57=301,"",AG57)</f>
        <v>179</v>
      </c>
      <c r="I57" s="339" t="str">
        <f>IF(AH57=0,"",AH57)</f>
        <v/>
      </c>
      <c r="J57" s="339">
        <f>IF(AI57=301,"",AI57)</f>
        <v>161</v>
      </c>
      <c r="K57" s="339" t="str">
        <f>IF(AJ57=0,"",AJ57)</f>
        <v/>
      </c>
      <c r="L57" s="339">
        <f>IF(AK57=301,"",AK57)</f>
        <v>257</v>
      </c>
      <c r="M57" s="339" t="str">
        <f>IF(AL57=0,"",AL57)</f>
        <v/>
      </c>
      <c r="N57" s="339">
        <f>IF(AM57=301,"",AM57)</f>
        <v>174</v>
      </c>
      <c r="O57" s="339" t="str">
        <f>IF(AN57=0,"",AN57)</f>
        <v/>
      </c>
      <c r="P57" s="339">
        <f>IF(AO57=301,"",AO57)</f>
        <v>187</v>
      </c>
      <c r="Q57" s="339" t="str">
        <f>IF(AP57=0,"",AP57)</f>
        <v/>
      </c>
      <c r="R57" s="339">
        <f>IF(AQ57=301,"",AQ57)</f>
        <v>169</v>
      </c>
      <c r="S57" s="339" t="str">
        <f>IF(AR57=0,"",AR57)</f>
        <v/>
      </c>
      <c r="T57" s="339">
        <f>IF(AS57=301,"",AS57)</f>
        <v>177</v>
      </c>
      <c r="U57" s="339" t="str">
        <f>IF(AT57=0,"",AT57)</f>
        <v/>
      </c>
      <c r="V57" s="340"/>
      <c r="W57" s="340"/>
      <c r="AA57" s="91" t="s">
        <v>3</v>
      </c>
      <c r="AB57" s="92"/>
      <c r="AC57" s="374">
        <f>ABS(INDEX(AC:AC,MATCH(AC52,$AA:$AA,0)+11)+INDEX(AC:AC,MATCH(AC52,$AA:$AA,0)+12)+INDEX(AC:AC,MATCH(AC52,$AA:$AA,0)+13))</f>
        <v>145</v>
      </c>
      <c r="AD57" s="375"/>
      <c r="AE57" s="374">
        <f>ABS(INDEX(AE:AE,MATCH(AE52,$AA:$AA,0)+11)+INDEX(AE:AE,MATCH(AE52,$AA:$AA,0)+12)+INDEX(AE:AE,MATCH(AE52,$AA:$AA,0)+13))</f>
        <v>0</v>
      </c>
      <c r="AF57" s="375"/>
      <c r="AG57" s="374">
        <f>ABS(INDEX(AG:AG,MATCH(AG52,$AA:$AA,0)+11)+INDEX(AG:AG,MATCH(AG52,$AA:$AA,0)+12)+INDEX(AG:AG,MATCH(AG52,$AA:$AA,0)+13))</f>
        <v>179</v>
      </c>
      <c r="AH57" s="375"/>
      <c r="AI57" s="374">
        <f>ABS(INDEX(AI:AI,MATCH(AI52,$AA:$AA,0)+11)+INDEX(AI:AI,MATCH(AI52,$AA:$AA,0)+12)+INDEX(AI:AI,MATCH(AI52,$AA:$AA,0)+13))</f>
        <v>161</v>
      </c>
      <c r="AJ57" s="375"/>
      <c r="AK57" s="374">
        <f>ABS(INDEX(AK:AK,MATCH(AK52,$AA:$AA,0)+11)+INDEX(AK:AK,MATCH(AK52,$AA:$AA,0)+12)+INDEX(AK:AK,MATCH(AK52,$AA:$AA,0)+13))</f>
        <v>257</v>
      </c>
      <c r="AL57" s="375"/>
      <c r="AM57" s="374">
        <f>ABS(INDEX(AM:AM,MATCH(AM52,$AA:$AA,0)+11)+INDEX(AM:AM,MATCH(AM52,$AA:$AA,0)+12)+INDEX(AM:AM,MATCH(AM52,$AA:$AA,0)+13))</f>
        <v>174</v>
      </c>
      <c r="AN57" s="375"/>
      <c r="AO57" s="374">
        <f>ABS(INDEX(AO:AO,MATCH(AO52,$AA:$AA,0)+11)+INDEX(AO:AO,MATCH(AO52,$AA:$AA,0)+12)+INDEX(AO:AO,MATCH(AO52,$AA:$AA,0)+13))</f>
        <v>187</v>
      </c>
      <c r="AP57" s="375"/>
      <c r="AQ57" s="374">
        <f>ABS(INDEX(AQ:AQ,MATCH(AQ52,$AA:$AA,0)+11)+INDEX(AQ:AQ,MATCH(AQ52,$AA:$AA,0)+12)+INDEX(AQ:AQ,MATCH(AQ52,$AA:$AA,0)+13))</f>
        <v>169</v>
      </c>
      <c r="AR57" s="375"/>
      <c r="AS57" s="374">
        <f>ABS(INDEX(AS:AS,MATCH(AS52,$AA:$AA,0)+11)+INDEX(AS:AS,MATCH(AS52,$AA:$AA,0)+12)+INDEX(AS:AS,MATCH(AS52,$AA:$AA,0)+13))</f>
        <v>177</v>
      </c>
      <c r="AT57" s="37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6.05" customHeight="1" x14ac:dyDescent="0.35">
      <c r="B58" s="365" t="str">
        <f t="shared" si="68"/>
        <v>Spieler 4</v>
      </c>
      <c r="C58" s="366" t="str">
        <f t="shared" si="69"/>
        <v/>
      </c>
      <c r="D58" s="339">
        <f>IF(AC58=301,"",AC58)</f>
        <v>210</v>
      </c>
      <c r="E58" s="339" t="str">
        <f>IF(AD58=0,"",AD58)</f>
        <v/>
      </c>
      <c r="F58" s="339">
        <f>IF(AE58=301,"",AE58)</f>
        <v>0</v>
      </c>
      <c r="G58" s="339" t="str">
        <f>IF(AF58=0,"",AF58)</f>
        <v/>
      </c>
      <c r="H58" s="339">
        <f>IF(AG58=301,"",AG58)</f>
        <v>181</v>
      </c>
      <c r="I58" s="339" t="str">
        <f>IF(AH58=0,"",AH58)</f>
        <v/>
      </c>
      <c r="J58" s="339">
        <f>IF(AI58=301,"",AI58)</f>
        <v>169</v>
      </c>
      <c r="K58" s="339" t="str">
        <f>IF(AJ58=0,"",AJ58)</f>
        <v/>
      </c>
      <c r="L58" s="339">
        <f>IF(AK58=301,"",AK58)</f>
        <v>193</v>
      </c>
      <c r="M58" s="339" t="str">
        <f>IF(AL58=0,"",AL58)</f>
        <v/>
      </c>
      <c r="N58" s="339">
        <f>IF(AM58=301,"",AM58)</f>
        <v>182</v>
      </c>
      <c r="O58" s="339" t="str">
        <f>IF(AN58=0,"",AN58)</f>
        <v/>
      </c>
      <c r="P58" s="339">
        <f>IF(AO58=301,"",AO58)</f>
        <v>190</v>
      </c>
      <c r="Q58" s="339" t="str">
        <f>IF(AP58=0,"",AP58)</f>
        <v/>
      </c>
      <c r="R58" s="339">
        <f>IF(AQ58=301,"",AQ58)</f>
        <v>202</v>
      </c>
      <c r="S58" s="339" t="str">
        <f>IF(AR58=0,"",AR58)</f>
        <v/>
      </c>
      <c r="T58" s="339">
        <f>IF(AS58=301,"",AS58)</f>
        <v>148</v>
      </c>
      <c r="U58" s="339" t="str">
        <f>IF(AT58=0,"",AT58)</f>
        <v/>
      </c>
      <c r="V58" s="340"/>
      <c r="W58" s="340"/>
      <c r="AA58" s="91" t="s">
        <v>11</v>
      </c>
      <c r="AB58" s="92"/>
      <c r="AC58" s="374">
        <f>ABS(INDEX(AC:AC,MATCH(AC52,$AA:$AA,0)+14)+INDEX(AC:AC,MATCH(AC52,$AA:$AA,0)+15)+INDEX(AC:AC,MATCH(AC52,$AA:$AA,0)+16))</f>
        <v>210</v>
      </c>
      <c r="AD58" s="375"/>
      <c r="AE58" s="374">
        <f>ABS(INDEX(AE:AE,MATCH(AE52,$AA:$AA,0)+14)+INDEX(AE:AE,MATCH(AE52,$AA:$AA,0)+15)+INDEX(AE:AE,MATCH(AE52,$AA:$AA,0)+16))</f>
        <v>0</v>
      </c>
      <c r="AF58" s="375"/>
      <c r="AG58" s="374">
        <f>ABS(INDEX(AG:AG,MATCH(AG52,$AA:$AA,0)+14)+INDEX(AG:AG,MATCH(AG52,$AA:$AA,0)+15)+INDEX(AG:AG,MATCH(AG52,$AA:$AA,0)+16))</f>
        <v>181</v>
      </c>
      <c r="AH58" s="375"/>
      <c r="AI58" s="374">
        <f>ABS(INDEX(AI:AI,MATCH(AI52,$AA:$AA,0)+14)+INDEX(AI:AI,MATCH(AI52,$AA:$AA,0)+15)+INDEX(AI:AI,MATCH(AI52,$AA:$AA,0)+16))</f>
        <v>169</v>
      </c>
      <c r="AJ58" s="375"/>
      <c r="AK58" s="374">
        <f>ABS(INDEX(AK:AK,MATCH(AK52,$AA:$AA,0)+14)+INDEX(AK:AK,MATCH(AK52,$AA:$AA,0)+15)+INDEX(AK:AK,MATCH(AK52,$AA:$AA,0)+16))</f>
        <v>193</v>
      </c>
      <c r="AL58" s="375"/>
      <c r="AM58" s="374">
        <f>ABS(INDEX(AM:AM,MATCH(AM52,$AA:$AA,0)+14)+INDEX(AM:AM,MATCH(AM52,$AA:$AA,0)+15)+INDEX(AM:AM,MATCH(AM52,$AA:$AA,0)+16))</f>
        <v>182</v>
      </c>
      <c r="AN58" s="375"/>
      <c r="AO58" s="374">
        <f>ABS(INDEX(AO:AO,MATCH(AO52,$AA:$AA,0)+14)+INDEX(AO:AO,MATCH(AO52,$AA:$AA,0)+15)+INDEX(AO:AO,MATCH(AO52,$AA:$AA,0)+16))</f>
        <v>190</v>
      </c>
      <c r="AP58" s="375"/>
      <c r="AQ58" s="374">
        <f>ABS(INDEX(AQ:AQ,MATCH(AQ52,$AA:$AA,0)+14)+INDEX(AQ:AQ,MATCH(AQ52,$AA:$AA,0)+15)+INDEX(AQ:AQ,MATCH(AQ52,$AA:$AA,0)+16))</f>
        <v>202</v>
      </c>
      <c r="AR58" s="375"/>
      <c r="AS58" s="374">
        <f>ABS(INDEX(AS:AS,MATCH(AS52,$AA:$AA,0)+14)+INDEX(AS:AS,MATCH(AS52,$AA:$AA,0)+15)+INDEX(AS:AS,MATCH(AS52,$AA:$AA,0)+16))</f>
        <v>148</v>
      </c>
      <c r="AT58" s="37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6.05" customHeight="1" x14ac:dyDescent="0.35">
      <c r="B59" s="354" t="str">
        <f t="shared" si="68"/>
        <v>Gesamt</v>
      </c>
      <c r="C59" s="355" t="str">
        <f t="shared" si="69"/>
        <v/>
      </c>
      <c r="D59" s="338">
        <f>IF(AC59=1505,"",AC59)</f>
        <v>732</v>
      </c>
      <c r="E59" s="338" t="str">
        <f>IF(AD59=0,"",AD59)</f>
        <v/>
      </c>
      <c r="F59" s="338">
        <f>IF(AE59=1505,"",AE59)</f>
        <v>0</v>
      </c>
      <c r="G59" s="338" t="str">
        <f>IF(AF59=0,"",AF59)</f>
        <v/>
      </c>
      <c r="H59" s="338">
        <f>IF(AG59=1505,"",AG59)</f>
        <v>741</v>
      </c>
      <c r="I59" s="338" t="str">
        <f>IF(AH59=0,"",AH59)</f>
        <v/>
      </c>
      <c r="J59" s="338">
        <f>IF(AI59=1505,"",AI59)</f>
        <v>627</v>
      </c>
      <c r="K59" s="338" t="str">
        <f>IF(AJ59=0,"",AJ59)</f>
        <v/>
      </c>
      <c r="L59" s="338">
        <f>IF(AK59=1505,"",AK59)</f>
        <v>845</v>
      </c>
      <c r="M59" s="338" t="str">
        <f>IF(AL59=0,"",AL59)</f>
        <v/>
      </c>
      <c r="N59" s="338">
        <f>IF(AM59=1505,"",AM59)</f>
        <v>734</v>
      </c>
      <c r="O59" s="338" t="str">
        <f>IF(AN59=0,"",AN59)</f>
        <v/>
      </c>
      <c r="P59" s="338">
        <f>IF(AO59=1505,"",AO59)</f>
        <v>718</v>
      </c>
      <c r="Q59" s="338" t="str">
        <f>IF(AP59=0,"",AP59)</f>
        <v/>
      </c>
      <c r="R59" s="338">
        <f>IF(AQ59=1505,"",AQ59)</f>
        <v>727</v>
      </c>
      <c r="S59" s="338" t="str">
        <f>IF(AR59=0,"",AR59)</f>
        <v/>
      </c>
      <c r="T59" s="338">
        <f>IF(AS59=1505,"",AS59)</f>
        <v>676</v>
      </c>
      <c r="U59" s="338" t="str">
        <f>IF(AT59=0,"",AT59)</f>
        <v/>
      </c>
      <c r="V59" s="290"/>
      <c r="W59" s="290"/>
      <c r="AA59" s="93" t="s">
        <v>1799</v>
      </c>
      <c r="AB59" s="94"/>
      <c r="AC59" s="354">
        <f>SUM(AC55:AC58)</f>
        <v>732</v>
      </c>
      <c r="AD59" s="355"/>
      <c r="AE59" s="354">
        <f>SUM(AE55:AE58)</f>
        <v>0</v>
      </c>
      <c r="AF59" s="355"/>
      <c r="AG59" s="354">
        <f>SUM(AG55:AG58)</f>
        <v>741</v>
      </c>
      <c r="AH59" s="355"/>
      <c r="AI59" s="354">
        <f>SUM(AI55:AI58)</f>
        <v>627</v>
      </c>
      <c r="AJ59" s="355"/>
      <c r="AK59" s="354">
        <f>SUM(AK55:AK58)</f>
        <v>845</v>
      </c>
      <c r="AL59" s="355"/>
      <c r="AM59" s="354">
        <f>SUM(AM55:AM58)</f>
        <v>734</v>
      </c>
      <c r="AN59" s="355"/>
      <c r="AO59" s="354">
        <f>SUM(AO55:AO58)</f>
        <v>718</v>
      </c>
      <c r="AP59" s="355"/>
      <c r="AQ59" s="354">
        <f>SUM(AQ55:AQ58)</f>
        <v>727</v>
      </c>
      <c r="AR59" s="355"/>
      <c r="AS59" s="354">
        <f>SUM(AS55:AS58)</f>
        <v>676</v>
      </c>
      <c r="AT59" s="35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3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7">
      <c r="B61" s="44" t="str">
        <f>AA61</f>
        <v>Team-Nr.</v>
      </c>
      <c r="C61" s="45"/>
      <c r="D61" s="44" t="str">
        <f>AC61</f>
        <v>Liga:</v>
      </c>
      <c r="E61" s="47"/>
      <c r="F61" s="359" t="str">
        <f>AE61</f>
        <v>Bayernliga Frauen</v>
      </c>
      <c r="G61" s="359"/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48"/>
      <c r="S61" s="49" t="s">
        <v>1794</v>
      </c>
      <c r="T61" s="50"/>
      <c r="U61" s="360" t="str">
        <f>AT61</f>
        <v>12.10./13.10.</v>
      </c>
      <c r="V61" s="361"/>
      <c r="W61" s="362"/>
      <c r="X61" s="363"/>
      <c r="Y61" s="364"/>
      <c r="Z61" s="364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0" t="str">
        <f>VLOOKUP(AS62,Spielorte!$A$1:$C$6,2)</f>
        <v>12.10./13.10.</v>
      </c>
      <c r="AU61" s="361"/>
      <c r="AV61" s="362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65">
      <c r="B62" s="53">
        <f>AA62</f>
        <v>3</v>
      </c>
      <c r="D62" s="46" t="s">
        <v>1793</v>
      </c>
      <c r="E62" s="54"/>
      <c r="F62" s="358" t="str">
        <f>AE62</f>
        <v>Unterföhring Dreambowl Palace</v>
      </c>
      <c r="G62" s="358"/>
      <c r="H62" s="358"/>
      <c r="I62" s="358"/>
      <c r="J62" s="358"/>
      <c r="K62" s="358"/>
      <c r="L62" s="358"/>
      <c r="M62" s="358"/>
      <c r="N62" s="358"/>
      <c r="O62" s="358"/>
      <c r="P62" s="55"/>
      <c r="Q62" s="55"/>
      <c r="S62" s="49" t="s">
        <v>1791</v>
      </c>
      <c r="T62" s="56">
        <f>AS62</f>
        <v>1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Unterföhring Dreambowl Palace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1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4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5" thickBot="1" x14ac:dyDescent="0.45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VLOOKUP($AA62,Schlüssel!$A$5:$DZ$14,13)</f>
        <v>6</v>
      </c>
      <c r="AE64" s="65" t="s">
        <v>10</v>
      </c>
      <c r="AF64" s="44">
        <f>VLOOKUP($AA62,Schlüssel!$A$5:$DZ$14,14)</f>
        <v>2</v>
      </c>
      <c r="AG64" s="65" t="s">
        <v>10</v>
      </c>
      <c r="AH64" s="44">
        <f>VLOOKUP($AA62,Schlüssel!$A$5:$DZ$14,15)</f>
        <v>4</v>
      </c>
      <c r="AI64" s="65" t="s">
        <v>10</v>
      </c>
      <c r="AJ64" s="44">
        <f>VLOOKUP($AA62,Schlüssel!$A$5:$DZ$14,16)</f>
        <v>5</v>
      </c>
      <c r="AK64" s="65" t="s">
        <v>10</v>
      </c>
      <c r="AL64" s="44">
        <f>VLOOKUP($AA62,Schlüssel!$A$5:$DZ$14,17)</f>
        <v>7</v>
      </c>
      <c r="AM64" s="65" t="s">
        <v>10</v>
      </c>
      <c r="AN64" s="44">
        <f>VLOOKUP($AA62,Schlüssel!$A$5:$DZ$14,18)</f>
        <v>10</v>
      </c>
      <c r="AO64" s="65" t="s">
        <v>10</v>
      </c>
      <c r="AP64" s="44">
        <f>VLOOKUP($AA62,Schlüssel!$A$5:$DZ$14,19)</f>
        <v>3</v>
      </c>
      <c r="AQ64" s="65" t="s">
        <v>10</v>
      </c>
      <c r="AR64" s="44">
        <f>VLOOKUP($AA62,Schlüssel!$A$5:$DZ$14,20)</f>
        <v>1</v>
      </c>
      <c r="AS64" s="65" t="s">
        <v>10</v>
      </c>
      <c r="AT64" s="44">
        <f>VLOOKUP($AA62,Schlüssel!$A$5:$DZ$14,21)</f>
        <v>8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35">
      <c r="B65" s="67" t="s">
        <v>1</v>
      </c>
      <c r="C65" s="68"/>
      <c r="D65" s="354" t="s">
        <v>1800</v>
      </c>
      <c r="E65" s="355"/>
      <c r="F65" s="354" t="s">
        <v>1801</v>
      </c>
      <c r="G65" s="355"/>
      <c r="H65" s="354" t="s">
        <v>1802</v>
      </c>
      <c r="I65" s="355"/>
      <c r="J65" s="354" t="s">
        <v>1803</v>
      </c>
      <c r="K65" s="355"/>
      <c r="L65" s="354" t="s">
        <v>1804</v>
      </c>
      <c r="M65" s="355"/>
      <c r="N65" s="354" t="s">
        <v>1805</v>
      </c>
      <c r="O65" s="355"/>
      <c r="P65" s="354" t="s">
        <v>1806</v>
      </c>
      <c r="Q65" s="355"/>
      <c r="R65" s="354" t="s">
        <v>1807</v>
      </c>
      <c r="S65" s="355"/>
      <c r="T65" s="354" t="s">
        <v>1808</v>
      </c>
      <c r="U65" s="355"/>
      <c r="V65" s="356" t="s">
        <v>1799</v>
      </c>
      <c r="W65" s="357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4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2" customHeight="1" x14ac:dyDescent="0.35">
      <c r="A67" s="367" t="s">
        <v>0</v>
      </c>
      <c r="B67" s="73" t="str">
        <f>IF(AA67=0,"",AA67)</f>
        <v>Auer, Cornelia</v>
      </c>
      <c r="C67" s="74">
        <f>IF(AB67=0,"",AB67)</f>
        <v>25298</v>
      </c>
      <c r="D67" s="75">
        <f>IF(AC67=0,"",AC67)</f>
        <v>191</v>
      </c>
      <c r="E67" s="348">
        <f>IF(AD67="","",AD67)</f>
        <v>1</v>
      </c>
      <c r="F67" s="75">
        <f t="shared" ref="F67:F80" si="72">IF(AE67=0,"",AE67)</f>
        <v>203</v>
      </c>
      <c r="G67" s="348">
        <f>IF(AF67="","",AF67)</f>
        <v>1</v>
      </c>
      <c r="H67" s="75">
        <f t="shared" ref="H67:H80" si="73">IF(AG67=0,"",AG67)</f>
        <v>214</v>
      </c>
      <c r="I67" s="348">
        <f>IF(AH67="","",AH67)</f>
        <v>1</v>
      </c>
      <c r="J67" s="75">
        <f t="shared" ref="J67:J80" si="74">IF(AI67=0,"",AI67)</f>
        <v>178</v>
      </c>
      <c r="K67" s="348">
        <f>IF(AJ67="","",AJ67)</f>
        <v>0</v>
      </c>
      <c r="L67" s="75">
        <f t="shared" ref="L67:L80" si="75">IF(AK67=0,"",AK67)</f>
        <v>213</v>
      </c>
      <c r="M67" s="348">
        <f>IF(AL67="","",AL67)</f>
        <v>1</v>
      </c>
      <c r="N67" s="75">
        <f>IF(AM67=0,"",AM67)</f>
        <v>172</v>
      </c>
      <c r="O67" s="348">
        <f>IF(AN67="","",AN67)</f>
        <v>1</v>
      </c>
      <c r="P67" s="75">
        <f t="shared" ref="P67:P80" si="76">IF(AO67=0,"",AO67)</f>
        <v>176</v>
      </c>
      <c r="Q67" s="348">
        <f>IF(AP67="","",AP67)</f>
        <v>1</v>
      </c>
      <c r="R67" s="75">
        <f t="shared" ref="R67:R80" si="77">IF(AQ67=0,"",AQ67)</f>
        <v>153</v>
      </c>
      <c r="S67" s="348">
        <f>IF(AR67="","",AR67)</f>
        <v>1</v>
      </c>
      <c r="T67" s="75">
        <f t="shared" ref="T67:T80" si="78">IF(AS67=0,"",AS67)</f>
        <v>191</v>
      </c>
      <c r="U67" s="348">
        <f>IF(AT67="","",AT67)</f>
        <v>1</v>
      </c>
      <c r="V67" s="75">
        <f t="shared" ref="V67:V80" si="79">IF(AU67=0,"",AU67)</f>
        <v>1691</v>
      </c>
      <c r="W67" s="348">
        <f>IF(AV67="","",AV67)</f>
        <v>8</v>
      </c>
      <c r="Z67" s="351" t="s">
        <v>0</v>
      </c>
      <c r="AA67" s="108" t="str">
        <f>IF(AB67=0,"",VLOOKUP(AB67,Starter!$A$1:$D$199,2,FALSE))</f>
        <v>Auer, Cornelia</v>
      </c>
      <c r="AB67" s="99">
        <v>25298</v>
      </c>
      <c r="AC67" s="185">
        <v>191</v>
      </c>
      <c r="AD67" s="109">
        <f>IF(SUM(AC67:AC69)+AC85=0,0,IF(SUM(ABS(AC67),ABS(AC68),ABS(AC69))=AC85,0.5,IF(SUM(ABS(AC67),ABS(AC68),ABS(AC69))&gt;AC85,1,0)))</f>
        <v>1</v>
      </c>
      <c r="AE67" s="185">
        <v>203</v>
      </c>
      <c r="AF67" s="109">
        <f>IF(SUM(AE67:AE69)+AE85=0,0,IF(SUM(ABS(AE67),ABS(AE68),ABS(AE69))=AE85,0.5,IF(SUM(ABS(AE67),ABS(AE68),ABS(AE69))&gt;AE85,1,0)))</f>
        <v>1</v>
      </c>
      <c r="AG67" s="185">
        <v>214</v>
      </c>
      <c r="AH67" s="109">
        <f>IF(SUM(AG67:AG69)+AG85=0,0,IF(SUM(ABS(AG67),ABS(AG68),ABS(AG69))=AG85,0.5,IF(SUM(ABS(AG67),ABS(AG68),ABS(AG69))&gt;AG85,1,0)))</f>
        <v>1</v>
      </c>
      <c r="AI67" s="185">
        <v>178</v>
      </c>
      <c r="AJ67" s="109">
        <f>IF(SUM(AI67:AI69)+AI85=0,0,IF(SUM(ABS(AI67),ABS(AI68),ABS(AI69))=AI85,0.5,IF(SUM(ABS(AI67),ABS(AI68),ABS(AI69))&gt;AI85,1,0)))</f>
        <v>0</v>
      </c>
      <c r="AK67" s="185">
        <v>213</v>
      </c>
      <c r="AL67" s="109">
        <f>IF(SUM(AK67:AK69)+AK85=0,0,IF(SUM(ABS(AK67),ABS(AK68),ABS(AK69))=AK85,0.5,IF(SUM(ABS(AK67),ABS(AK68),ABS(AK69))&gt;AK85,1,0)))</f>
        <v>1</v>
      </c>
      <c r="AM67" s="185">
        <v>172</v>
      </c>
      <c r="AN67" s="109">
        <f>IF(SUM(AM67:AM69)+AM85=0,0,IF(SUM(ABS(AM67),ABS(AM68),ABS(AM69))=AM85,0.5,IF(SUM(ABS(AM67),ABS(AM68),ABS(AM69))&gt;AM85,1,0)))</f>
        <v>1</v>
      </c>
      <c r="AO67" s="185">
        <v>176</v>
      </c>
      <c r="AP67" s="109">
        <f>IF(SUM(AO67:AO69)+AO85=0,0,IF(SUM(ABS(AO67),ABS(AO68),ABS(AO69))=AO85,0.5,IF(SUM(ABS(AO67),ABS(AO68),ABS(AO69))&gt;AO85,1,0)))</f>
        <v>1</v>
      </c>
      <c r="AQ67" s="185">
        <v>153</v>
      </c>
      <c r="AR67" s="109">
        <f>IF(SUM(AQ67:AQ69)+AQ85=0,0,IF(SUM(ABS(AQ67),ABS(AQ68),ABS(AQ69))=AQ85,0.5,IF(SUM(ABS(AQ67),ABS(AQ68),ABS(AQ69))&gt;AQ85,1,0)))</f>
        <v>1</v>
      </c>
      <c r="AS67" s="185">
        <v>191</v>
      </c>
      <c r="AT67" s="109">
        <f>IF(SUM(AS67:AS69)+AS85=0,0,IF(SUM(ABS(AS67),ABS(AS68),ABS(AS69))=AS85,0.5,IF(SUM(ABS(AS67),ABS(AS68),ABS(AS69))&gt;AS85,1,0)))</f>
        <v>1</v>
      </c>
      <c r="AU67" s="110">
        <f t="shared" ref="AU67:AU78" si="80">ABS(SUM(AC67:AC67))+ABS(SUM(AE67:AE67))+ABS(SUM(AG67:AG67))+ABS(SUM(AI67:AI67))+ABS(SUM(AK67:AK67))+ABS(SUM(AM67:AM67))+ABS(SUM(AO67:AO67))+ABS(SUM(AQ67:AQ67))+ABS(SUM(AS67:AS67))</f>
        <v>1691</v>
      </c>
      <c r="AV67" s="111">
        <f>SUM(AD67+AF67+AH67+AJ67+AL67+AN67+AP67+AR67+AT67)</f>
        <v>8</v>
      </c>
      <c r="AW67" s="101"/>
      <c r="AX67" s="102"/>
      <c r="AZ67" s="63"/>
      <c r="BA67" s="212"/>
      <c r="BB67" s="213"/>
      <c r="BC67" s="214"/>
      <c r="BD67" s="217">
        <f>+AB67</f>
        <v>25298</v>
      </c>
      <c r="BE67" s="213">
        <f>+AU67</f>
        <v>1691</v>
      </c>
      <c r="BF67" s="215">
        <f>COUNT(BH67:BP67)</f>
        <v>9</v>
      </c>
      <c r="BG67" s="215">
        <f>COUNTIF(BH67:BP67,"&gt;0")</f>
        <v>9</v>
      </c>
      <c r="BH67" s="215">
        <f t="shared" ref="BH67:BH78" si="81">IF(AC67=0,"",AC67)</f>
        <v>191</v>
      </c>
      <c r="BI67" s="215">
        <f t="shared" ref="BI67:BI78" si="82">IF(AE67=0,"",AE67)</f>
        <v>203</v>
      </c>
      <c r="BJ67" s="215">
        <f t="shared" ref="BJ67:BJ78" si="83">IF(AG67=0,"",AG67)</f>
        <v>214</v>
      </c>
      <c r="BK67" s="215">
        <f t="shared" ref="BK67:BK78" si="84">IF(AI67=0,"",AI67)</f>
        <v>178</v>
      </c>
      <c r="BL67" s="215">
        <f t="shared" ref="BL67:BL78" si="85">IF(AK67=0,"",AK67)</f>
        <v>213</v>
      </c>
      <c r="BM67" s="215">
        <f t="shared" ref="BM67:BM78" si="86">IF(AM67=0,"",AM67)</f>
        <v>172</v>
      </c>
      <c r="BN67" s="215">
        <f t="shared" ref="BN67:BN78" si="87">IF(AO67=0,"",AO67)</f>
        <v>176</v>
      </c>
      <c r="BO67" s="215">
        <f t="shared" ref="BO67:BO78" si="88">IF(AQ67=0,"",AQ67)</f>
        <v>153</v>
      </c>
      <c r="BP67" s="215">
        <f t="shared" ref="BP67:BP78" si="89">IF(AS67=0,"",AS67)</f>
        <v>191</v>
      </c>
      <c r="BQ67" s="216"/>
      <c r="BR67" s="214"/>
      <c r="BS67" s="215">
        <f>MAX(BH67:BP67)</f>
        <v>214</v>
      </c>
      <c r="BT67" s="215">
        <f>IF(BS67&lt;MAX(BS:BS),0,BS67+ROW()/1000000000)</f>
        <v>0</v>
      </c>
      <c r="BU67" s="215" t="str">
        <f>+AA63</f>
        <v>Highroller Rosenheim</v>
      </c>
      <c r="BV67" s="214">
        <f>RANK(BT67,BT:BT)</f>
        <v>2</v>
      </c>
      <c r="BW67" s="215">
        <f>SUMIF(BH67:BP67,"&gt;0")</f>
        <v>1691</v>
      </c>
      <c r="BX67" s="215">
        <f>IF(COUNTIF(BH67:BP67,"&gt;0")&lt;Spielorte!$A$23,0,BE67/Spielorte!$A$23)</f>
        <v>187.88888888888889</v>
      </c>
      <c r="BY67" s="215">
        <f>IF(BX67&lt;MAX(BX:BX),0,BX67+ROW()/1000000000)</f>
        <v>0</v>
      </c>
      <c r="BZ67" s="214">
        <f t="shared" ref="BZ67:BZ78" si="90">IF(BY67=0,0,RANK(BY67,BY:BY))</f>
        <v>0</v>
      </c>
    </row>
    <row r="68" spans="1:78" ht="17.2" customHeight="1" x14ac:dyDescent="0.35">
      <c r="A68" s="368"/>
      <c r="B68" s="76" t="str">
        <f t="shared" ref="B68:B75" si="91">IF(AA68=0,"",AA68)</f>
        <v/>
      </c>
      <c r="C68" s="77" t="str">
        <f t="shared" ref="C68:C80" si="92">IF(AB68=0,"",AB68)</f>
        <v/>
      </c>
      <c r="D68" s="78" t="str">
        <f t="shared" ref="D68:D80" si="93">IF(AC68=0,"",AC68)</f>
        <v/>
      </c>
      <c r="E68" s="349"/>
      <c r="F68" s="78" t="str">
        <f t="shared" si="72"/>
        <v/>
      </c>
      <c r="G68" s="349"/>
      <c r="H68" s="78" t="str">
        <f t="shared" si="73"/>
        <v/>
      </c>
      <c r="I68" s="349"/>
      <c r="J68" s="78" t="str">
        <f t="shared" si="74"/>
        <v/>
      </c>
      <c r="K68" s="349"/>
      <c r="L68" s="78" t="str">
        <f t="shared" si="75"/>
        <v/>
      </c>
      <c r="M68" s="349"/>
      <c r="N68" s="78" t="str">
        <f t="shared" ref="N68:N80" si="94">IF(AM68=0,"",AM68)</f>
        <v/>
      </c>
      <c r="O68" s="349"/>
      <c r="P68" s="78" t="str">
        <f t="shared" si="76"/>
        <v/>
      </c>
      <c r="Q68" s="349"/>
      <c r="R68" s="78" t="str">
        <f t="shared" si="77"/>
        <v/>
      </c>
      <c r="S68" s="349"/>
      <c r="T68" s="78" t="str">
        <f t="shared" si="78"/>
        <v/>
      </c>
      <c r="U68" s="349"/>
      <c r="V68" s="78" t="str">
        <f t="shared" si="79"/>
        <v/>
      </c>
      <c r="W68" s="349"/>
      <c r="Z68" s="352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80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5">+AB68</f>
        <v>0</v>
      </c>
      <c r="BE68" s="213">
        <f t="shared" ref="BE68:BE78" si="96">+AU68</f>
        <v>0</v>
      </c>
      <c r="BF68" s="215">
        <f t="shared" ref="BF68:BF78" si="97">COUNT(BH68:BP68)</f>
        <v>0</v>
      </c>
      <c r="BG68" s="215">
        <f t="shared" ref="BG68:BG78" si="98">COUNTIF(BH68:BP68,"&gt;0")</f>
        <v>0</v>
      </c>
      <c r="BH68" s="215" t="str">
        <f t="shared" si="81"/>
        <v/>
      </c>
      <c r="BI68" s="215" t="str">
        <f t="shared" si="82"/>
        <v/>
      </c>
      <c r="BJ68" s="215" t="str">
        <f t="shared" si="83"/>
        <v/>
      </c>
      <c r="BK68" s="215" t="str">
        <f t="shared" si="84"/>
        <v/>
      </c>
      <c r="BL68" s="215" t="str">
        <f t="shared" si="85"/>
        <v/>
      </c>
      <c r="BM68" s="215" t="str">
        <f t="shared" si="86"/>
        <v/>
      </c>
      <c r="BN68" s="215" t="str">
        <f t="shared" si="87"/>
        <v/>
      </c>
      <c r="BO68" s="215" t="str">
        <f t="shared" si="88"/>
        <v/>
      </c>
      <c r="BP68" s="215" t="str">
        <f t="shared" si="89"/>
        <v/>
      </c>
      <c r="BQ68" s="216"/>
      <c r="BR68" s="214"/>
      <c r="BS68" s="215">
        <f t="shared" ref="BS68:BS78" si="99">MAX(BH68:BP68)</f>
        <v>0</v>
      </c>
      <c r="BT68" s="215">
        <f t="shared" ref="BT68:BT78" si="100">IF(BS68&lt;MAX(BS:BS),0,BS68+ROW()/1000000000)</f>
        <v>0</v>
      </c>
      <c r="BU68" s="215" t="str">
        <f t="shared" ref="BU68:BU78" si="101">+BU67</f>
        <v>Highroller Rosenheim</v>
      </c>
      <c r="BV68" s="214">
        <f t="shared" ref="BV68:BV78" si="102">RANK(BT68,BT:BT)</f>
        <v>2</v>
      </c>
      <c r="BW68" s="215">
        <f t="shared" ref="BW68:BW78" si="103">SUMIF(BH68:BP68,"&gt;0")</f>
        <v>0</v>
      </c>
      <c r="BX68" s="215">
        <f>IF(COUNTIF(BH68:BP68,"&gt;0")&lt;Spielorte!$A$23,0,BE68/Spielorte!$A$23)</f>
        <v>0</v>
      </c>
      <c r="BY68" s="215">
        <f t="shared" ref="BY68:BY78" si="104">IF(BX68&lt;MAX(BX:BX),0,BX68+ROW()/1000000000)</f>
        <v>0</v>
      </c>
      <c r="BZ68" s="214">
        <f t="shared" si="90"/>
        <v>0</v>
      </c>
    </row>
    <row r="69" spans="1:78" ht="17.2" customHeight="1" thickBot="1" x14ac:dyDescent="0.4">
      <c r="A69" s="369"/>
      <c r="B69" s="79" t="str">
        <f t="shared" si="91"/>
        <v/>
      </c>
      <c r="C69" s="80" t="str">
        <f t="shared" si="92"/>
        <v/>
      </c>
      <c r="D69" s="69" t="str">
        <f t="shared" si="93"/>
        <v/>
      </c>
      <c r="E69" s="350"/>
      <c r="F69" s="69" t="str">
        <f t="shared" si="72"/>
        <v/>
      </c>
      <c r="G69" s="350"/>
      <c r="H69" s="69" t="str">
        <f t="shared" si="73"/>
        <v/>
      </c>
      <c r="I69" s="350"/>
      <c r="J69" s="69" t="str">
        <f t="shared" si="74"/>
        <v/>
      </c>
      <c r="K69" s="350"/>
      <c r="L69" s="69" t="str">
        <f t="shared" si="75"/>
        <v/>
      </c>
      <c r="M69" s="350"/>
      <c r="N69" s="69" t="str">
        <f t="shared" si="94"/>
        <v/>
      </c>
      <c r="O69" s="350"/>
      <c r="P69" s="69" t="str">
        <f t="shared" si="76"/>
        <v/>
      </c>
      <c r="Q69" s="350"/>
      <c r="R69" s="69" t="str">
        <f t="shared" si="77"/>
        <v/>
      </c>
      <c r="S69" s="350"/>
      <c r="T69" s="69" t="str">
        <f t="shared" si="78"/>
        <v/>
      </c>
      <c r="U69" s="350"/>
      <c r="V69" s="69" t="str">
        <f t="shared" si="79"/>
        <v/>
      </c>
      <c r="W69" s="350"/>
      <c r="Z69" s="353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80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5"/>
        <v>0</v>
      </c>
      <c r="BE69" s="213">
        <f t="shared" si="96"/>
        <v>0</v>
      </c>
      <c r="BF69" s="215">
        <f t="shared" si="97"/>
        <v>0</v>
      </c>
      <c r="BG69" s="215">
        <f t="shared" si="98"/>
        <v>0</v>
      </c>
      <c r="BH69" s="215" t="str">
        <f t="shared" si="81"/>
        <v/>
      </c>
      <c r="BI69" s="215" t="str">
        <f t="shared" si="82"/>
        <v/>
      </c>
      <c r="BJ69" s="215" t="str">
        <f t="shared" si="83"/>
        <v/>
      </c>
      <c r="BK69" s="215" t="str">
        <f t="shared" si="84"/>
        <v/>
      </c>
      <c r="BL69" s="215" t="str">
        <f t="shared" si="85"/>
        <v/>
      </c>
      <c r="BM69" s="215" t="str">
        <f t="shared" si="86"/>
        <v/>
      </c>
      <c r="BN69" s="215" t="str">
        <f t="shared" si="87"/>
        <v/>
      </c>
      <c r="BO69" s="215" t="str">
        <f t="shared" si="88"/>
        <v/>
      </c>
      <c r="BP69" s="215" t="str">
        <f t="shared" si="89"/>
        <v/>
      </c>
      <c r="BQ69" s="216"/>
      <c r="BR69" s="214"/>
      <c r="BS69" s="215">
        <f t="shared" si="99"/>
        <v>0</v>
      </c>
      <c r="BT69" s="215">
        <f t="shared" si="100"/>
        <v>0</v>
      </c>
      <c r="BU69" s="215" t="str">
        <f t="shared" si="101"/>
        <v>Highroller Rosenheim</v>
      </c>
      <c r="BV69" s="214">
        <f t="shared" si="102"/>
        <v>2</v>
      </c>
      <c r="BW69" s="215">
        <f t="shared" si="103"/>
        <v>0</v>
      </c>
      <c r="BX69" s="215">
        <f>IF(COUNTIF(BH69:BP69,"&gt;0")&lt;Spielorte!$A$23,0,BE69/Spielorte!$A$23)</f>
        <v>0</v>
      </c>
      <c r="BY69" s="215">
        <f t="shared" si="104"/>
        <v>0</v>
      </c>
      <c r="BZ69" s="214">
        <f t="shared" si="90"/>
        <v>0</v>
      </c>
    </row>
    <row r="70" spans="1:78" ht="17.2" customHeight="1" x14ac:dyDescent="0.35">
      <c r="A70" s="367" t="s">
        <v>2</v>
      </c>
      <c r="B70" s="73" t="str">
        <f t="shared" si="91"/>
        <v>Groll, Hanni</v>
      </c>
      <c r="C70" s="74">
        <f t="shared" si="92"/>
        <v>25630</v>
      </c>
      <c r="D70" s="75">
        <f t="shared" si="93"/>
        <v>162</v>
      </c>
      <c r="E70" s="348">
        <f>IF(AD70="","",AD70)</f>
        <v>0</v>
      </c>
      <c r="F70" s="75">
        <f t="shared" si="72"/>
        <v>156</v>
      </c>
      <c r="G70" s="348">
        <f>IF(AF70="","",AF70)</f>
        <v>1</v>
      </c>
      <c r="H70" s="75">
        <f t="shared" si="73"/>
        <v>193</v>
      </c>
      <c r="I70" s="348">
        <f>IF(AH70="","",AH70)</f>
        <v>1</v>
      </c>
      <c r="J70" s="75">
        <f t="shared" si="74"/>
        <v>147</v>
      </c>
      <c r="K70" s="348">
        <f>IF(AJ70="","",AJ70)</f>
        <v>0</v>
      </c>
      <c r="L70" s="75" t="str">
        <f t="shared" si="75"/>
        <v/>
      </c>
      <c r="M70" s="348">
        <f>IF(AL70="","",AL70)</f>
        <v>1</v>
      </c>
      <c r="N70" s="75" t="str">
        <f t="shared" si="94"/>
        <v/>
      </c>
      <c r="O70" s="348">
        <f>IF(AN70="","",AN70)</f>
        <v>1</v>
      </c>
      <c r="P70" s="75" t="str">
        <f t="shared" si="76"/>
        <v/>
      </c>
      <c r="Q70" s="348">
        <f>IF(AP70="","",AP70)</f>
        <v>0</v>
      </c>
      <c r="R70" s="75" t="str">
        <f t="shared" si="77"/>
        <v/>
      </c>
      <c r="S70" s="348">
        <f>IF(AR70="","",AR70)</f>
        <v>1</v>
      </c>
      <c r="T70" s="75" t="str">
        <f t="shared" si="78"/>
        <v/>
      </c>
      <c r="U70" s="348">
        <f>IF(AT70="","",AT70)</f>
        <v>0</v>
      </c>
      <c r="V70" s="75">
        <f t="shared" si="79"/>
        <v>658</v>
      </c>
      <c r="W70" s="348">
        <f>IF(AV70="","",AV70)</f>
        <v>5</v>
      </c>
      <c r="Z70" s="351" t="s">
        <v>2</v>
      </c>
      <c r="AA70" s="108" t="str">
        <f>IF(AB70=0,"",VLOOKUP(AB70,Starter!$A$1:$D$199,2,FALSE))</f>
        <v>Groll, Hanni</v>
      </c>
      <c r="AB70" s="99">
        <v>25630</v>
      </c>
      <c r="AC70" s="188">
        <v>162</v>
      </c>
      <c r="AD70" s="109">
        <f>IF(SUM(AC70:AC72)+AC86=0,0,IF(SUM(ABS(AC70),ABS(AC71),ABS(AC72))=AC86,0.5,IF(SUM(ABS(AC70),ABS(AC71),ABS(AC72))&gt;AC86,1,0)))</f>
        <v>0</v>
      </c>
      <c r="AE70" s="188">
        <v>156</v>
      </c>
      <c r="AF70" s="109">
        <f>IF(SUM(AE70:AE72)+AE86=0,0,IF(SUM(ABS(AE70),ABS(AE71),ABS(AE72))=AE86,0.5,IF(SUM(ABS(AE70),ABS(AE71),ABS(AE72))&gt;AE86,1,0)))</f>
        <v>1</v>
      </c>
      <c r="AG70" s="188">
        <v>193</v>
      </c>
      <c r="AH70" s="109">
        <f>IF(SUM(AG70:AG72)+AG86=0,0,IF(SUM(ABS(AG70),ABS(AG71),ABS(AG72))=AG86,0.5,IF(SUM(ABS(AG70),ABS(AG71),ABS(AG72))&gt;AG86,1,0)))</f>
        <v>1</v>
      </c>
      <c r="AI70" s="188">
        <v>147</v>
      </c>
      <c r="AJ70" s="109">
        <f>IF(SUM(AI70:AI72)+AI86=0,0,IF(SUM(ABS(AI70),ABS(AI71),ABS(AI72))=AI86,0.5,IF(SUM(ABS(AI70),ABS(AI71),ABS(AI72))&gt;AI86,1,0)))</f>
        <v>0</v>
      </c>
      <c r="AK70" s="188"/>
      <c r="AL70" s="109">
        <f>IF(SUM(AK70:AK72)+AK86=0,0,IF(SUM(ABS(AK70),ABS(AK71),ABS(AK72))=AK86,0.5,IF(SUM(ABS(AK70),ABS(AK71),ABS(AK72))&gt;AK86,1,0)))</f>
        <v>1</v>
      </c>
      <c r="AM70" s="188"/>
      <c r="AN70" s="109">
        <f>IF(SUM(AM70:AM72)+AM86=0,0,IF(SUM(ABS(AM70),ABS(AM71),ABS(AM72))=AM86,0.5,IF(SUM(ABS(AM70),ABS(AM71),ABS(AM72))&gt;AM86,1,0)))</f>
        <v>1</v>
      </c>
      <c r="AO70" s="188"/>
      <c r="AP70" s="109">
        <f>IF(SUM(AO70:AO72)+AO86=0,0,IF(SUM(ABS(AO70),ABS(AO71),ABS(AO72))=AO86,0.5,IF(SUM(ABS(AO70),ABS(AO71),ABS(AO72))&gt;AO86,1,0)))</f>
        <v>0</v>
      </c>
      <c r="AQ70" s="188"/>
      <c r="AR70" s="109">
        <f>IF(SUM(AQ70:AQ72)+AQ86=0,0,IF(SUM(ABS(AQ70),ABS(AQ71),ABS(AQ72))=AQ86,0.5,IF(SUM(ABS(AQ70),ABS(AQ71),ABS(AQ72))&gt;AQ86,1,0)))</f>
        <v>1</v>
      </c>
      <c r="AS70" s="188"/>
      <c r="AT70" s="109">
        <f>IF(SUM(AS70:AS72)+AS86=0,0,IF(SUM(ABS(AS70),ABS(AS71),ABS(AS72))=AS86,0.5,IF(SUM(ABS(AS70),ABS(AS71),ABS(AS72))&gt;AS86,1,0)))</f>
        <v>0</v>
      </c>
      <c r="AU70" s="110">
        <f t="shared" si="80"/>
        <v>658</v>
      </c>
      <c r="AV70" s="111">
        <f>SUM(AD70+AF70+AH70+AJ70+AL70+AN70+AP70+AR70+AT70)</f>
        <v>5</v>
      </c>
      <c r="AW70" s="101"/>
      <c r="AX70" s="102"/>
      <c r="AZ70" s="63"/>
      <c r="BA70" s="212"/>
      <c r="BB70" s="213"/>
      <c r="BC70" s="214"/>
      <c r="BD70" s="217">
        <f t="shared" si="95"/>
        <v>25630</v>
      </c>
      <c r="BE70" s="213">
        <f t="shared" si="96"/>
        <v>658</v>
      </c>
      <c r="BF70" s="215">
        <f t="shared" si="97"/>
        <v>4</v>
      </c>
      <c r="BG70" s="215">
        <f t="shared" si="98"/>
        <v>4</v>
      </c>
      <c r="BH70" s="215">
        <f t="shared" si="81"/>
        <v>162</v>
      </c>
      <c r="BI70" s="215">
        <f t="shared" si="82"/>
        <v>156</v>
      </c>
      <c r="BJ70" s="215">
        <f t="shared" si="83"/>
        <v>193</v>
      </c>
      <c r="BK70" s="215">
        <f t="shared" si="84"/>
        <v>147</v>
      </c>
      <c r="BL70" s="215" t="str">
        <f t="shared" si="85"/>
        <v/>
      </c>
      <c r="BM70" s="215" t="str">
        <f t="shared" si="86"/>
        <v/>
      </c>
      <c r="BN70" s="215" t="str">
        <f t="shared" si="87"/>
        <v/>
      </c>
      <c r="BO70" s="215" t="str">
        <f t="shared" si="88"/>
        <v/>
      </c>
      <c r="BP70" s="215" t="str">
        <f t="shared" si="89"/>
        <v/>
      </c>
      <c r="BQ70" s="216"/>
      <c r="BR70" s="214"/>
      <c r="BS70" s="215">
        <f t="shared" si="99"/>
        <v>193</v>
      </c>
      <c r="BT70" s="215">
        <f t="shared" si="100"/>
        <v>0</v>
      </c>
      <c r="BU70" s="215" t="str">
        <f t="shared" si="101"/>
        <v>Highroller Rosenheim</v>
      </c>
      <c r="BV70" s="214">
        <f t="shared" si="102"/>
        <v>2</v>
      </c>
      <c r="BW70" s="215">
        <f t="shared" si="103"/>
        <v>658</v>
      </c>
      <c r="BX70" s="215">
        <f>IF(COUNTIF(BH70:BP70,"&gt;0")&lt;Spielorte!$A$23,0,BE70/Spielorte!$A$23)</f>
        <v>0</v>
      </c>
      <c r="BY70" s="215">
        <f t="shared" si="104"/>
        <v>0</v>
      </c>
      <c r="BZ70" s="214">
        <f t="shared" si="90"/>
        <v>0</v>
      </c>
    </row>
    <row r="71" spans="1:78" ht="17.2" customHeight="1" x14ac:dyDescent="0.35">
      <c r="A71" s="368"/>
      <c r="B71" s="76" t="str">
        <f t="shared" si="91"/>
        <v>Rauscher, Julia</v>
      </c>
      <c r="C71" s="77">
        <f t="shared" si="92"/>
        <v>38758</v>
      </c>
      <c r="D71" s="78" t="str">
        <f t="shared" si="93"/>
        <v/>
      </c>
      <c r="E71" s="349"/>
      <c r="F71" s="78" t="str">
        <f t="shared" si="72"/>
        <v/>
      </c>
      <c r="G71" s="349"/>
      <c r="H71" s="78" t="str">
        <f t="shared" si="73"/>
        <v/>
      </c>
      <c r="I71" s="349"/>
      <c r="J71" s="78" t="str">
        <f t="shared" si="74"/>
        <v/>
      </c>
      <c r="K71" s="349"/>
      <c r="L71" s="78">
        <f t="shared" si="75"/>
        <v>182</v>
      </c>
      <c r="M71" s="349"/>
      <c r="N71" s="78">
        <f t="shared" si="94"/>
        <v>179</v>
      </c>
      <c r="O71" s="349"/>
      <c r="P71" s="78">
        <f t="shared" si="76"/>
        <v>171</v>
      </c>
      <c r="Q71" s="349"/>
      <c r="R71" s="78">
        <f t="shared" si="77"/>
        <v>155</v>
      </c>
      <c r="S71" s="349"/>
      <c r="T71" s="78">
        <f t="shared" si="78"/>
        <v>188</v>
      </c>
      <c r="U71" s="349"/>
      <c r="V71" s="78">
        <f t="shared" si="79"/>
        <v>875</v>
      </c>
      <c r="W71" s="349"/>
      <c r="Z71" s="352"/>
      <c r="AA71" s="108" t="str">
        <f>IF(AB71=0,"",VLOOKUP(AB71,Starter!$A$1:$D$199,2,FALSE))</f>
        <v>Rauscher, Julia</v>
      </c>
      <c r="AB71" s="98">
        <v>38758</v>
      </c>
      <c r="AC71" s="186"/>
      <c r="AD71" s="112"/>
      <c r="AE71" s="186"/>
      <c r="AF71" s="112"/>
      <c r="AG71" s="186"/>
      <c r="AH71" s="112"/>
      <c r="AI71" s="186"/>
      <c r="AJ71" s="112"/>
      <c r="AK71" s="186">
        <v>182</v>
      </c>
      <c r="AL71" s="112"/>
      <c r="AM71" s="186">
        <v>179</v>
      </c>
      <c r="AN71" s="112"/>
      <c r="AO71" s="190">
        <v>171</v>
      </c>
      <c r="AP71" s="112"/>
      <c r="AQ71" s="190">
        <v>155</v>
      </c>
      <c r="AR71" s="112"/>
      <c r="AS71" s="190">
        <v>188</v>
      </c>
      <c r="AT71" s="112"/>
      <c r="AU71" s="113">
        <f t="shared" si="80"/>
        <v>875</v>
      </c>
      <c r="AV71" s="114"/>
      <c r="AW71" s="101"/>
      <c r="AX71" s="102"/>
      <c r="AZ71" s="63"/>
      <c r="BA71" s="212"/>
      <c r="BB71" s="213"/>
      <c r="BC71" s="214"/>
      <c r="BD71" s="217">
        <f t="shared" si="95"/>
        <v>38758</v>
      </c>
      <c r="BE71" s="213">
        <f t="shared" si="96"/>
        <v>875</v>
      </c>
      <c r="BF71" s="215">
        <f t="shared" si="97"/>
        <v>5</v>
      </c>
      <c r="BG71" s="215">
        <f t="shared" si="98"/>
        <v>5</v>
      </c>
      <c r="BH71" s="215" t="str">
        <f t="shared" si="81"/>
        <v/>
      </c>
      <c r="BI71" s="215" t="str">
        <f t="shared" si="82"/>
        <v/>
      </c>
      <c r="BJ71" s="215" t="str">
        <f t="shared" si="83"/>
        <v/>
      </c>
      <c r="BK71" s="215" t="str">
        <f t="shared" si="84"/>
        <v/>
      </c>
      <c r="BL71" s="215">
        <f t="shared" si="85"/>
        <v>182</v>
      </c>
      <c r="BM71" s="215">
        <f t="shared" si="86"/>
        <v>179</v>
      </c>
      <c r="BN71" s="215">
        <f t="shared" si="87"/>
        <v>171</v>
      </c>
      <c r="BO71" s="215">
        <f t="shared" si="88"/>
        <v>155</v>
      </c>
      <c r="BP71" s="215">
        <f t="shared" si="89"/>
        <v>188</v>
      </c>
      <c r="BQ71" s="216"/>
      <c r="BR71" s="214"/>
      <c r="BS71" s="215">
        <f t="shared" si="99"/>
        <v>188</v>
      </c>
      <c r="BT71" s="215">
        <f t="shared" si="100"/>
        <v>0</v>
      </c>
      <c r="BU71" s="215" t="str">
        <f t="shared" si="101"/>
        <v>Highroller Rosenheim</v>
      </c>
      <c r="BV71" s="214">
        <f t="shared" si="102"/>
        <v>2</v>
      </c>
      <c r="BW71" s="215">
        <f t="shared" si="103"/>
        <v>875</v>
      </c>
      <c r="BX71" s="215">
        <f>IF(COUNTIF(BH71:BP71,"&gt;0")&lt;Spielorte!$A$23,0,BE71/Spielorte!$A$23)</f>
        <v>0</v>
      </c>
      <c r="BY71" s="215">
        <f t="shared" si="104"/>
        <v>0</v>
      </c>
      <c r="BZ71" s="214">
        <f t="shared" si="90"/>
        <v>0</v>
      </c>
    </row>
    <row r="72" spans="1:78" ht="17.2" customHeight="1" thickBot="1" x14ac:dyDescent="0.4">
      <c r="A72" s="369"/>
      <c r="B72" s="79" t="str">
        <f t="shared" si="91"/>
        <v/>
      </c>
      <c r="C72" s="80" t="str">
        <f t="shared" si="92"/>
        <v/>
      </c>
      <c r="D72" s="69" t="str">
        <f t="shared" si="93"/>
        <v/>
      </c>
      <c r="E72" s="350"/>
      <c r="F72" s="69" t="str">
        <f t="shared" si="72"/>
        <v/>
      </c>
      <c r="G72" s="350"/>
      <c r="H72" s="69" t="str">
        <f t="shared" si="73"/>
        <v/>
      </c>
      <c r="I72" s="350"/>
      <c r="J72" s="69" t="str">
        <f t="shared" si="74"/>
        <v/>
      </c>
      <c r="K72" s="350"/>
      <c r="L72" s="69" t="str">
        <f t="shared" si="75"/>
        <v/>
      </c>
      <c r="M72" s="350"/>
      <c r="N72" s="69" t="str">
        <f t="shared" si="94"/>
        <v/>
      </c>
      <c r="O72" s="350"/>
      <c r="P72" s="69" t="str">
        <f t="shared" si="76"/>
        <v/>
      </c>
      <c r="Q72" s="350"/>
      <c r="R72" s="69" t="str">
        <f t="shared" si="77"/>
        <v/>
      </c>
      <c r="S72" s="350"/>
      <c r="T72" s="69" t="str">
        <f t="shared" si="78"/>
        <v/>
      </c>
      <c r="U72" s="350"/>
      <c r="V72" s="69" t="str">
        <f t="shared" si="79"/>
        <v/>
      </c>
      <c r="W72" s="350"/>
      <c r="Z72" s="353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80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5"/>
        <v>0</v>
      </c>
      <c r="BE72" s="213">
        <f t="shared" si="96"/>
        <v>0</v>
      </c>
      <c r="BF72" s="215">
        <f t="shared" si="97"/>
        <v>0</v>
      </c>
      <c r="BG72" s="215">
        <f t="shared" si="98"/>
        <v>0</v>
      </c>
      <c r="BH72" s="215" t="str">
        <f t="shared" si="81"/>
        <v/>
      </c>
      <c r="BI72" s="215" t="str">
        <f t="shared" si="82"/>
        <v/>
      </c>
      <c r="BJ72" s="215" t="str">
        <f t="shared" si="83"/>
        <v/>
      </c>
      <c r="BK72" s="215" t="str">
        <f t="shared" si="84"/>
        <v/>
      </c>
      <c r="BL72" s="215" t="str">
        <f t="shared" si="85"/>
        <v/>
      </c>
      <c r="BM72" s="215" t="str">
        <f t="shared" si="86"/>
        <v/>
      </c>
      <c r="BN72" s="215" t="str">
        <f t="shared" si="87"/>
        <v/>
      </c>
      <c r="BO72" s="215" t="str">
        <f t="shared" si="88"/>
        <v/>
      </c>
      <c r="BP72" s="215" t="str">
        <f t="shared" si="89"/>
        <v/>
      </c>
      <c r="BQ72" s="216"/>
      <c r="BR72" s="214"/>
      <c r="BS72" s="215">
        <f t="shared" si="99"/>
        <v>0</v>
      </c>
      <c r="BT72" s="215">
        <f t="shared" si="100"/>
        <v>0</v>
      </c>
      <c r="BU72" s="215" t="str">
        <f t="shared" si="101"/>
        <v>Highroller Rosenheim</v>
      </c>
      <c r="BV72" s="214">
        <f t="shared" si="102"/>
        <v>2</v>
      </c>
      <c r="BW72" s="215">
        <f t="shared" si="103"/>
        <v>0</v>
      </c>
      <c r="BX72" s="215">
        <f>IF(COUNTIF(BH72:BP72,"&gt;0")&lt;Spielorte!$A$23,0,BE72/Spielorte!$A$23)</f>
        <v>0</v>
      </c>
      <c r="BY72" s="215">
        <f t="shared" si="104"/>
        <v>0</v>
      </c>
      <c r="BZ72" s="214">
        <f t="shared" si="90"/>
        <v>0</v>
      </c>
    </row>
    <row r="73" spans="1:78" ht="17.2" customHeight="1" x14ac:dyDescent="0.35">
      <c r="A73" s="367" t="s">
        <v>3</v>
      </c>
      <c r="B73" s="73" t="str">
        <f t="shared" si="91"/>
        <v>Lindner, Theresa</v>
      </c>
      <c r="C73" s="74">
        <f t="shared" si="92"/>
        <v>38458</v>
      </c>
      <c r="D73" s="75">
        <f t="shared" si="93"/>
        <v>235</v>
      </c>
      <c r="E73" s="348">
        <f>IF(AD73="","",AD73)</f>
        <v>1</v>
      </c>
      <c r="F73" s="75">
        <f t="shared" si="72"/>
        <v>216</v>
      </c>
      <c r="G73" s="348">
        <f>IF(AF73="","",AF73)</f>
        <v>1</v>
      </c>
      <c r="H73" s="75">
        <f t="shared" si="73"/>
        <v>176</v>
      </c>
      <c r="I73" s="348">
        <f>IF(AH73="","",AH73)</f>
        <v>1</v>
      </c>
      <c r="J73" s="75">
        <f t="shared" si="74"/>
        <v>203</v>
      </c>
      <c r="K73" s="348">
        <f>IF(AJ73="","",AJ73)</f>
        <v>1</v>
      </c>
      <c r="L73" s="75">
        <f t="shared" si="75"/>
        <v>257</v>
      </c>
      <c r="M73" s="348">
        <f>IF(AL73="","",AL73)</f>
        <v>1</v>
      </c>
      <c r="N73" s="75">
        <f t="shared" si="94"/>
        <v>212</v>
      </c>
      <c r="O73" s="348">
        <f>IF(AN73="","",AN73)</f>
        <v>1</v>
      </c>
      <c r="P73" s="75">
        <f t="shared" si="76"/>
        <v>127</v>
      </c>
      <c r="Q73" s="348">
        <f>IF(AP73="","",AP73)</f>
        <v>0</v>
      </c>
      <c r="R73" s="75">
        <f t="shared" si="77"/>
        <v>221</v>
      </c>
      <c r="S73" s="348">
        <f>IF(AR73="","",AR73)</f>
        <v>1</v>
      </c>
      <c r="T73" s="75">
        <f t="shared" si="78"/>
        <v>225</v>
      </c>
      <c r="U73" s="348">
        <f>IF(AT73="","",AT73)</f>
        <v>1</v>
      </c>
      <c r="V73" s="75">
        <f t="shared" si="79"/>
        <v>1872</v>
      </c>
      <c r="W73" s="348">
        <f>IF(AV73="","",AV73)</f>
        <v>8</v>
      </c>
      <c r="Z73" s="351" t="s">
        <v>3</v>
      </c>
      <c r="AA73" s="108" t="str">
        <f>IF(AB73=0,"",VLOOKUP(AB73,Starter!$A$1:$D$199,2,FALSE))</f>
        <v>Lindner, Theresa</v>
      </c>
      <c r="AB73" s="99">
        <v>38458</v>
      </c>
      <c r="AC73" s="188">
        <v>235</v>
      </c>
      <c r="AD73" s="109">
        <f>IF(SUM(AC73:AC75)+AC87=0,0,IF(SUM(ABS(AC73),ABS(AC74),ABS(AC75))=AC87,0.5,IF(SUM(ABS(AC73),ABS(AC74),ABS(AC75))&gt;AC87,1,0)))</f>
        <v>1</v>
      </c>
      <c r="AE73" s="188">
        <v>216</v>
      </c>
      <c r="AF73" s="109">
        <f>IF(SUM(AE73:AE75)+AE87=0,0,IF(SUM(ABS(AE73),ABS(AE74),ABS(AE75))=AE87,0.5,IF(SUM(ABS(AE73),ABS(AE74),ABS(AE75))&gt;AE87,1,0)))</f>
        <v>1</v>
      </c>
      <c r="AG73" s="188">
        <v>176</v>
      </c>
      <c r="AH73" s="109">
        <f>IF(SUM(AG73:AG75)+AG87=0,0,IF(SUM(ABS(AG73),ABS(AG74),ABS(AG75))=AG87,0.5,IF(SUM(ABS(AG73),ABS(AG74),ABS(AG75))&gt;AG87,1,0)))</f>
        <v>1</v>
      </c>
      <c r="AI73" s="188">
        <v>203</v>
      </c>
      <c r="AJ73" s="109">
        <f>IF(SUM(AI73:AI75)+AI87=0,0,IF(SUM(ABS(AI73),ABS(AI74),ABS(AI75))=AI87,0.5,IF(SUM(ABS(AI73),ABS(AI74),ABS(AI75))&gt;AI87,1,0)))</f>
        <v>1</v>
      </c>
      <c r="AK73" s="188">
        <v>257</v>
      </c>
      <c r="AL73" s="109">
        <f>IF(SUM(AK73:AK75)+AK87=0,0,IF(SUM(ABS(AK73),ABS(AK74),ABS(AK75))=AK87,0.5,IF(SUM(ABS(AK73),ABS(AK74),ABS(AK75))&gt;AK87,1,0)))</f>
        <v>1</v>
      </c>
      <c r="AM73" s="188">
        <v>212</v>
      </c>
      <c r="AN73" s="109">
        <f>IF(SUM(AM73:AM75)+AM87=0,0,IF(SUM(ABS(AM73),ABS(AM74),ABS(AM75))=AM87,0.5,IF(SUM(ABS(AM73),ABS(AM74),ABS(AM75))&gt;AM87,1,0)))</f>
        <v>1</v>
      </c>
      <c r="AO73" s="188">
        <v>127</v>
      </c>
      <c r="AP73" s="109">
        <f>IF(SUM(AO73:AO75)+AO87=0,0,IF(SUM(ABS(AO73),ABS(AO74),ABS(AO75))=AO87,0.5,IF(SUM(ABS(AO73),ABS(AO74),ABS(AO75))&gt;AO87,1,0)))</f>
        <v>0</v>
      </c>
      <c r="AQ73" s="188">
        <v>221</v>
      </c>
      <c r="AR73" s="109">
        <f>IF(SUM(AQ73:AQ75)+AQ87=0,0,IF(SUM(ABS(AQ73),ABS(AQ74),ABS(AQ75))=AQ87,0.5,IF(SUM(ABS(AQ73),ABS(AQ74),ABS(AQ75))&gt;AQ87,1,0)))</f>
        <v>1</v>
      </c>
      <c r="AS73" s="188">
        <v>225</v>
      </c>
      <c r="AT73" s="109">
        <f>IF(SUM(AS73:AS75)+AS87=0,0,IF(SUM(ABS(AS73),ABS(AS74),ABS(AS75))=AS87,0.5,IF(SUM(ABS(AS73),ABS(AS74),ABS(AS75))&gt;AS87,1,0)))</f>
        <v>1</v>
      </c>
      <c r="AU73" s="110">
        <f t="shared" si="80"/>
        <v>1872</v>
      </c>
      <c r="AV73" s="111">
        <f>SUM(AD73+AF73+AH73+AJ73+AL73+AN73+AP73+AR73+AT73)</f>
        <v>8</v>
      </c>
      <c r="AW73" s="101"/>
      <c r="AX73" s="102"/>
      <c r="AZ73" s="63"/>
      <c r="BA73" s="212"/>
      <c r="BB73" s="213"/>
      <c r="BC73" s="214"/>
      <c r="BD73" s="217">
        <f t="shared" si="95"/>
        <v>38458</v>
      </c>
      <c r="BE73" s="213">
        <f t="shared" si="96"/>
        <v>1872</v>
      </c>
      <c r="BF73" s="215">
        <f t="shared" si="97"/>
        <v>9</v>
      </c>
      <c r="BG73" s="215">
        <f t="shared" si="98"/>
        <v>9</v>
      </c>
      <c r="BH73" s="215">
        <f t="shared" si="81"/>
        <v>235</v>
      </c>
      <c r="BI73" s="215">
        <f t="shared" si="82"/>
        <v>216</v>
      </c>
      <c r="BJ73" s="215">
        <f t="shared" si="83"/>
        <v>176</v>
      </c>
      <c r="BK73" s="215">
        <f t="shared" si="84"/>
        <v>203</v>
      </c>
      <c r="BL73" s="215">
        <f t="shared" si="85"/>
        <v>257</v>
      </c>
      <c r="BM73" s="215">
        <f t="shared" si="86"/>
        <v>212</v>
      </c>
      <c r="BN73" s="215">
        <f t="shared" si="87"/>
        <v>127</v>
      </c>
      <c r="BO73" s="215">
        <f t="shared" si="88"/>
        <v>221</v>
      </c>
      <c r="BP73" s="215">
        <f t="shared" si="89"/>
        <v>225</v>
      </c>
      <c r="BQ73" s="216"/>
      <c r="BR73" s="214"/>
      <c r="BS73" s="215">
        <f t="shared" si="99"/>
        <v>257</v>
      </c>
      <c r="BT73" s="215">
        <f t="shared" si="100"/>
        <v>0</v>
      </c>
      <c r="BU73" s="215" t="str">
        <f t="shared" si="101"/>
        <v>Highroller Rosenheim</v>
      </c>
      <c r="BV73" s="214">
        <f t="shared" si="102"/>
        <v>2</v>
      </c>
      <c r="BW73" s="215">
        <f t="shared" si="103"/>
        <v>1872</v>
      </c>
      <c r="BX73" s="215">
        <f>IF(COUNTIF(BH73:BP73,"&gt;0")&lt;Spielorte!$A$23,0,BE73/Spielorte!$A$23)</f>
        <v>208</v>
      </c>
      <c r="BY73" s="215">
        <f t="shared" si="104"/>
        <v>0</v>
      </c>
      <c r="BZ73" s="214">
        <f t="shared" si="90"/>
        <v>0</v>
      </c>
    </row>
    <row r="74" spans="1:78" ht="17.2" customHeight="1" x14ac:dyDescent="0.35">
      <c r="A74" s="368"/>
      <c r="B74" s="76" t="str">
        <f t="shared" si="91"/>
        <v/>
      </c>
      <c r="C74" s="77" t="str">
        <f t="shared" si="92"/>
        <v/>
      </c>
      <c r="D74" s="78" t="str">
        <f t="shared" si="93"/>
        <v/>
      </c>
      <c r="E74" s="349"/>
      <c r="F74" s="78" t="str">
        <f t="shared" si="72"/>
        <v/>
      </c>
      <c r="G74" s="349"/>
      <c r="H74" s="78" t="str">
        <f t="shared" si="73"/>
        <v/>
      </c>
      <c r="I74" s="349"/>
      <c r="J74" s="78" t="str">
        <f t="shared" si="74"/>
        <v/>
      </c>
      <c r="K74" s="349"/>
      <c r="L74" s="78" t="str">
        <f t="shared" si="75"/>
        <v/>
      </c>
      <c r="M74" s="349"/>
      <c r="N74" s="78" t="str">
        <f t="shared" si="94"/>
        <v/>
      </c>
      <c r="O74" s="349"/>
      <c r="P74" s="78" t="str">
        <f t="shared" si="76"/>
        <v/>
      </c>
      <c r="Q74" s="349"/>
      <c r="R74" s="78" t="str">
        <f t="shared" si="77"/>
        <v/>
      </c>
      <c r="S74" s="349"/>
      <c r="T74" s="78" t="str">
        <f t="shared" si="78"/>
        <v/>
      </c>
      <c r="U74" s="349"/>
      <c r="V74" s="78" t="str">
        <f t="shared" si="79"/>
        <v/>
      </c>
      <c r="W74" s="349"/>
      <c r="Z74" s="352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80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5"/>
        <v>0</v>
      </c>
      <c r="BE74" s="213">
        <f t="shared" si="96"/>
        <v>0</v>
      </c>
      <c r="BF74" s="215">
        <f t="shared" si="97"/>
        <v>0</v>
      </c>
      <c r="BG74" s="215">
        <f t="shared" si="98"/>
        <v>0</v>
      </c>
      <c r="BH74" s="215" t="str">
        <f t="shared" si="81"/>
        <v/>
      </c>
      <c r="BI74" s="215" t="str">
        <f t="shared" si="82"/>
        <v/>
      </c>
      <c r="BJ74" s="215" t="str">
        <f t="shared" si="83"/>
        <v/>
      </c>
      <c r="BK74" s="215" t="str">
        <f t="shared" si="84"/>
        <v/>
      </c>
      <c r="BL74" s="215" t="str">
        <f t="shared" si="85"/>
        <v/>
      </c>
      <c r="BM74" s="215" t="str">
        <f t="shared" si="86"/>
        <v/>
      </c>
      <c r="BN74" s="215" t="str">
        <f t="shared" si="87"/>
        <v/>
      </c>
      <c r="BO74" s="215" t="str">
        <f t="shared" si="88"/>
        <v/>
      </c>
      <c r="BP74" s="215" t="str">
        <f t="shared" si="89"/>
        <v/>
      </c>
      <c r="BQ74" s="216"/>
      <c r="BR74" s="214"/>
      <c r="BS74" s="215">
        <f t="shared" si="99"/>
        <v>0</v>
      </c>
      <c r="BT74" s="215">
        <f t="shared" si="100"/>
        <v>0</v>
      </c>
      <c r="BU74" s="215" t="str">
        <f t="shared" si="101"/>
        <v>Highroller Rosenheim</v>
      </c>
      <c r="BV74" s="214">
        <f t="shared" si="102"/>
        <v>2</v>
      </c>
      <c r="BW74" s="215">
        <f t="shared" si="103"/>
        <v>0</v>
      </c>
      <c r="BX74" s="215">
        <f>IF(COUNTIF(BH74:BP74,"&gt;0")&lt;Spielorte!$A$23,0,BE74/Spielorte!$A$23)</f>
        <v>0</v>
      </c>
      <c r="BY74" s="215">
        <f t="shared" si="104"/>
        <v>0</v>
      </c>
      <c r="BZ74" s="214">
        <f t="shared" si="90"/>
        <v>0</v>
      </c>
    </row>
    <row r="75" spans="1:78" ht="17.2" customHeight="1" thickBot="1" x14ac:dyDescent="0.4">
      <c r="A75" s="369"/>
      <c r="B75" s="79" t="str">
        <f t="shared" si="91"/>
        <v/>
      </c>
      <c r="C75" s="80" t="str">
        <f t="shared" si="92"/>
        <v/>
      </c>
      <c r="D75" s="69" t="str">
        <f t="shared" si="93"/>
        <v/>
      </c>
      <c r="E75" s="350"/>
      <c r="F75" s="69" t="str">
        <f t="shared" si="72"/>
        <v/>
      </c>
      <c r="G75" s="350"/>
      <c r="H75" s="69" t="str">
        <f t="shared" si="73"/>
        <v/>
      </c>
      <c r="I75" s="350"/>
      <c r="J75" s="69" t="str">
        <f t="shared" si="74"/>
        <v/>
      </c>
      <c r="K75" s="350"/>
      <c r="L75" s="69" t="str">
        <f t="shared" si="75"/>
        <v/>
      </c>
      <c r="M75" s="350"/>
      <c r="N75" s="69" t="str">
        <f t="shared" si="94"/>
        <v/>
      </c>
      <c r="O75" s="350"/>
      <c r="P75" s="69" t="str">
        <f t="shared" si="76"/>
        <v/>
      </c>
      <c r="Q75" s="350"/>
      <c r="R75" s="69" t="str">
        <f t="shared" si="77"/>
        <v/>
      </c>
      <c r="S75" s="350"/>
      <c r="T75" s="69" t="str">
        <f t="shared" si="78"/>
        <v/>
      </c>
      <c r="U75" s="350"/>
      <c r="V75" s="69" t="str">
        <f t="shared" si="79"/>
        <v/>
      </c>
      <c r="W75" s="350"/>
      <c r="Z75" s="353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80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5"/>
        <v>0</v>
      </c>
      <c r="BE75" s="213">
        <f t="shared" si="96"/>
        <v>0</v>
      </c>
      <c r="BF75" s="215">
        <f t="shared" si="97"/>
        <v>0</v>
      </c>
      <c r="BG75" s="215">
        <f t="shared" si="98"/>
        <v>0</v>
      </c>
      <c r="BH75" s="215" t="str">
        <f t="shared" si="81"/>
        <v/>
      </c>
      <c r="BI75" s="215" t="str">
        <f t="shared" si="82"/>
        <v/>
      </c>
      <c r="BJ75" s="215" t="str">
        <f t="shared" si="83"/>
        <v/>
      </c>
      <c r="BK75" s="215" t="str">
        <f t="shared" si="84"/>
        <v/>
      </c>
      <c r="BL75" s="215" t="str">
        <f t="shared" si="85"/>
        <v/>
      </c>
      <c r="BM75" s="215" t="str">
        <f t="shared" si="86"/>
        <v/>
      </c>
      <c r="BN75" s="215" t="str">
        <f t="shared" si="87"/>
        <v/>
      </c>
      <c r="BO75" s="215" t="str">
        <f t="shared" si="88"/>
        <v/>
      </c>
      <c r="BP75" s="215" t="str">
        <f t="shared" si="89"/>
        <v/>
      </c>
      <c r="BQ75" s="216"/>
      <c r="BR75" s="214"/>
      <c r="BS75" s="215">
        <f t="shared" si="99"/>
        <v>0</v>
      </c>
      <c r="BT75" s="215">
        <f t="shared" si="100"/>
        <v>0</v>
      </c>
      <c r="BU75" s="215" t="str">
        <f t="shared" si="101"/>
        <v>Highroller Rosenheim</v>
      </c>
      <c r="BV75" s="214">
        <f t="shared" si="102"/>
        <v>2</v>
      </c>
      <c r="BW75" s="215">
        <f t="shared" si="103"/>
        <v>0</v>
      </c>
      <c r="BX75" s="215">
        <f>IF(COUNTIF(BH75:BP75,"&gt;0")&lt;Spielorte!$A$23,0,BE75/Spielorte!$A$23)</f>
        <v>0</v>
      </c>
      <c r="BY75" s="215">
        <f t="shared" si="104"/>
        <v>0</v>
      </c>
      <c r="BZ75" s="214">
        <f t="shared" si="90"/>
        <v>0</v>
      </c>
    </row>
    <row r="76" spans="1:78" ht="17.2" customHeight="1" x14ac:dyDescent="0.35">
      <c r="A76" s="367" t="s">
        <v>11</v>
      </c>
      <c r="B76" s="73" t="str">
        <f>IF(AA76=0,"",AA76)</f>
        <v>Schanze, Bianka</v>
      </c>
      <c r="C76" s="74">
        <f t="shared" si="92"/>
        <v>38757</v>
      </c>
      <c r="D76" s="75">
        <f t="shared" si="93"/>
        <v>191</v>
      </c>
      <c r="E76" s="348">
        <f>IF(AD76="","",AD76)</f>
        <v>1</v>
      </c>
      <c r="F76" s="75">
        <f t="shared" si="72"/>
        <v>165</v>
      </c>
      <c r="G76" s="348">
        <f>IF(AF76="","",AF76)</f>
        <v>0</v>
      </c>
      <c r="H76" s="75">
        <f t="shared" si="73"/>
        <v>182</v>
      </c>
      <c r="I76" s="348">
        <f>IF(AH76="","",AH76)</f>
        <v>1</v>
      </c>
      <c r="J76" s="75">
        <f t="shared" si="74"/>
        <v>201</v>
      </c>
      <c r="K76" s="348">
        <f>IF(AJ76="","",AJ76)</f>
        <v>1</v>
      </c>
      <c r="L76" s="75">
        <f t="shared" si="75"/>
        <v>193</v>
      </c>
      <c r="M76" s="348">
        <f>IF(AL76="","",AL76)</f>
        <v>1</v>
      </c>
      <c r="N76" s="75">
        <f t="shared" si="94"/>
        <v>196</v>
      </c>
      <c r="O76" s="348">
        <f>IF(AN76="","",AN76)</f>
        <v>0</v>
      </c>
      <c r="P76" s="75">
        <f t="shared" si="76"/>
        <v>170</v>
      </c>
      <c r="Q76" s="348">
        <f>IF(AP76="","",AP76)</f>
        <v>0</v>
      </c>
      <c r="R76" s="75">
        <f t="shared" si="77"/>
        <v>190</v>
      </c>
      <c r="S76" s="348">
        <f>IF(AR76="","",AR76)</f>
        <v>1</v>
      </c>
      <c r="T76" s="75">
        <f t="shared" si="78"/>
        <v>174</v>
      </c>
      <c r="U76" s="348">
        <f>IF(AT76="","",AT76)</f>
        <v>0</v>
      </c>
      <c r="V76" s="75">
        <f t="shared" si="79"/>
        <v>1662</v>
      </c>
      <c r="W76" s="348">
        <f>IF(AV76="","",AV76)</f>
        <v>5</v>
      </c>
      <c r="Z76" s="351" t="s">
        <v>11</v>
      </c>
      <c r="AA76" s="108" t="str">
        <f>IF(AB76=0,"",VLOOKUP(AB76,Starter!$A$1:$D$199,2,FALSE))</f>
        <v>Schanze, Bianka</v>
      </c>
      <c r="AB76" s="99">
        <v>38757</v>
      </c>
      <c r="AC76" s="188">
        <v>191</v>
      </c>
      <c r="AD76" s="109">
        <f>IF(SUM(AC76:AC78)+AC88=0,0,IF(SUM(ABS(AC76),ABS(AC77),ABS(AC78))=AC88,0.5,IF(SUM(ABS(AC76),ABS(AC77),ABS(AC78))&gt;AC88,1,0)))</f>
        <v>1</v>
      </c>
      <c r="AE76" s="188">
        <v>165</v>
      </c>
      <c r="AF76" s="109">
        <f>IF(SUM(AE76:AE78)+AE88=0,0,IF(SUM(ABS(AE76),ABS(AE77),ABS(AE78))=AE88,0.5,IF(SUM(ABS(AE76),ABS(AE77),ABS(AE78))&gt;AE88,1,0)))</f>
        <v>0</v>
      </c>
      <c r="AG76" s="188">
        <v>182</v>
      </c>
      <c r="AH76" s="109">
        <f>IF(SUM(AG76:AG78)+AG88=0,0,IF(SUM(ABS(AG76),ABS(AG77),ABS(AG78))=AG88,0.5,IF(SUM(ABS(AG76),ABS(AG77),ABS(AG78))&gt;AG88,1,0)))</f>
        <v>1</v>
      </c>
      <c r="AI76" s="188">
        <v>201</v>
      </c>
      <c r="AJ76" s="109">
        <f>IF(SUM(AI76:AI78)+AI88=0,0,IF(SUM(ABS(AI76),ABS(AI77),ABS(AI78))=AI88,0.5,IF(SUM(ABS(AI76),ABS(AI77),ABS(AI78))&gt;AI88,1,0)))</f>
        <v>1</v>
      </c>
      <c r="AK76" s="188">
        <v>193</v>
      </c>
      <c r="AL76" s="109">
        <f>IF(SUM(AK76:AK78)+AK88=0,0,IF(SUM(ABS(AK76),ABS(AK77),ABS(AK78))=AK88,0.5,IF(SUM(ABS(AK76),ABS(AK77),ABS(AK78))&gt;AK88,1,0)))</f>
        <v>1</v>
      </c>
      <c r="AM76" s="188">
        <v>196</v>
      </c>
      <c r="AN76" s="109">
        <f>IF(SUM(AM76:AM78)+AM88=0,0,IF(SUM(ABS(AM76),ABS(AM77),ABS(AM78))=AM88,0.5,IF(SUM(ABS(AM76),ABS(AM77),ABS(AM78))&gt;AM88,1,0)))</f>
        <v>0</v>
      </c>
      <c r="AO76" s="188">
        <v>170</v>
      </c>
      <c r="AP76" s="109">
        <f>IF(SUM(AO76:AO78)+AO88=0,0,IF(SUM(ABS(AO76),ABS(AO77),ABS(AO78))=AO88,0.5,IF(SUM(ABS(AO76),ABS(AO77),ABS(AO78))&gt;AO88,1,0)))</f>
        <v>0</v>
      </c>
      <c r="AQ76" s="188">
        <v>190</v>
      </c>
      <c r="AR76" s="109">
        <f>IF(SUM(AQ76:AQ78)+AQ88=0,0,IF(SUM(ABS(AQ76),ABS(AQ77),ABS(AQ78))=AQ88,0.5,IF(SUM(ABS(AQ76),ABS(AQ77),ABS(AQ78))&gt;AQ88,1,0)))</f>
        <v>1</v>
      </c>
      <c r="AS76" s="188">
        <v>174</v>
      </c>
      <c r="AT76" s="109">
        <f>IF(SUM(AS76:AS78)+AS88=0,0,IF(SUM(ABS(AS76),ABS(AS77),ABS(AS78))=AS88,0.5,IF(SUM(ABS(AS76),ABS(AS77),ABS(AS78))&gt;AS88,1,0)))</f>
        <v>0</v>
      </c>
      <c r="AU76" s="110">
        <f t="shared" si="80"/>
        <v>1662</v>
      </c>
      <c r="AV76" s="111">
        <f>SUM(AD76+AF76+AH76+AJ76+AL76+AN76+AP76+AR76+AT76)</f>
        <v>5</v>
      </c>
      <c r="AW76" s="101"/>
      <c r="AX76" s="102"/>
      <c r="AZ76" s="63"/>
      <c r="BA76" s="212"/>
      <c r="BB76" s="213"/>
      <c r="BC76" s="214"/>
      <c r="BD76" s="217">
        <f t="shared" si="95"/>
        <v>38757</v>
      </c>
      <c r="BE76" s="213">
        <f t="shared" si="96"/>
        <v>1662</v>
      </c>
      <c r="BF76" s="215">
        <f t="shared" si="97"/>
        <v>9</v>
      </c>
      <c r="BG76" s="215">
        <f t="shared" si="98"/>
        <v>9</v>
      </c>
      <c r="BH76" s="215">
        <f t="shared" si="81"/>
        <v>191</v>
      </c>
      <c r="BI76" s="215">
        <f t="shared" si="82"/>
        <v>165</v>
      </c>
      <c r="BJ76" s="215">
        <f t="shared" si="83"/>
        <v>182</v>
      </c>
      <c r="BK76" s="215">
        <f t="shared" si="84"/>
        <v>201</v>
      </c>
      <c r="BL76" s="215">
        <f t="shared" si="85"/>
        <v>193</v>
      </c>
      <c r="BM76" s="215">
        <f t="shared" si="86"/>
        <v>196</v>
      </c>
      <c r="BN76" s="215">
        <f t="shared" si="87"/>
        <v>170</v>
      </c>
      <c r="BO76" s="215">
        <f t="shared" si="88"/>
        <v>190</v>
      </c>
      <c r="BP76" s="215">
        <f t="shared" si="89"/>
        <v>174</v>
      </c>
      <c r="BQ76" s="216"/>
      <c r="BR76" s="214"/>
      <c r="BS76" s="215">
        <f t="shared" si="99"/>
        <v>201</v>
      </c>
      <c r="BT76" s="215">
        <f t="shared" si="100"/>
        <v>0</v>
      </c>
      <c r="BU76" s="215" t="str">
        <f t="shared" si="101"/>
        <v>Highroller Rosenheim</v>
      </c>
      <c r="BV76" s="214">
        <f t="shared" si="102"/>
        <v>2</v>
      </c>
      <c r="BW76" s="215">
        <f t="shared" si="103"/>
        <v>1662</v>
      </c>
      <c r="BX76" s="215">
        <f>IF(COUNTIF(BH76:BP76,"&gt;0")&lt;Spielorte!$A$23,0,BE76/Spielorte!$A$23)</f>
        <v>184.66666666666666</v>
      </c>
      <c r="BY76" s="215">
        <f t="shared" si="104"/>
        <v>0</v>
      </c>
      <c r="BZ76" s="214">
        <f t="shared" si="90"/>
        <v>0</v>
      </c>
    </row>
    <row r="77" spans="1:78" ht="17.2" customHeight="1" x14ac:dyDescent="0.35">
      <c r="A77" s="368"/>
      <c r="B77" s="76" t="str">
        <f>IF(AA77=0,"",AA77)</f>
        <v/>
      </c>
      <c r="C77" s="77" t="str">
        <f t="shared" si="92"/>
        <v/>
      </c>
      <c r="D77" s="78" t="str">
        <f t="shared" si="93"/>
        <v/>
      </c>
      <c r="E77" s="349"/>
      <c r="F77" s="78" t="str">
        <f t="shared" si="72"/>
        <v/>
      </c>
      <c r="G77" s="349"/>
      <c r="H77" s="78" t="str">
        <f t="shared" si="73"/>
        <v/>
      </c>
      <c r="I77" s="349"/>
      <c r="J77" s="78" t="str">
        <f t="shared" si="74"/>
        <v/>
      </c>
      <c r="K77" s="349"/>
      <c r="L77" s="78" t="str">
        <f t="shared" si="75"/>
        <v/>
      </c>
      <c r="M77" s="349"/>
      <c r="N77" s="78" t="str">
        <f t="shared" si="94"/>
        <v/>
      </c>
      <c r="O77" s="349"/>
      <c r="P77" s="78" t="str">
        <f t="shared" si="76"/>
        <v/>
      </c>
      <c r="Q77" s="349"/>
      <c r="R77" s="78" t="str">
        <f t="shared" si="77"/>
        <v/>
      </c>
      <c r="S77" s="349"/>
      <c r="T77" s="78" t="str">
        <f t="shared" si="78"/>
        <v/>
      </c>
      <c r="U77" s="349"/>
      <c r="V77" s="78" t="str">
        <f t="shared" si="79"/>
        <v/>
      </c>
      <c r="W77" s="349"/>
      <c r="Z77" s="352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80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5"/>
        <v>0</v>
      </c>
      <c r="BE77" s="213">
        <f t="shared" si="96"/>
        <v>0</v>
      </c>
      <c r="BF77" s="215">
        <f t="shared" si="97"/>
        <v>0</v>
      </c>
      <c r="BG77" s="215">
        <f t="shared" si="98"/>
        <v>0</v>
      </c>
      <c r="BH77" s="215" t="str">
        <f t="shared" si="81"/>
        <v/>
      </c>
      <c r="BI77" s="215" t="str">
        <f t="shared" si="82"/>
        <v/>
      </c>
      <c r="BJ77" s="215" t="str">
        <f t="shared" si="83"/>
        <v/>
      </c>
      <c r="BK77" s="215" t="str">
        <f t="shared" si="84"/>
        <v/>
      </c>
      <c r="BL77" s="215" t="str">
        <f t="shared" si="85"/>
        <v/>
      </c>
      <c r="BM77" s="215" t="str">
        <f t="shared" si="86"/>
        <v/>
      </c>
      <c r="BN77" s="215" t="str">
        <f t="shared" si="87"/>
        <v/>
      </c>
      <c r="BO77" s="215" t="str">
        <f t="shared" si="88"/>
        <v/>
      </c>
      <c r="BP77" s="215" t="str">
        <f t="shared" si="89"/>
        <v/>
      </c>
      <c r="BQ77" s="216"/>
      <c r="BR77" s="214"/>
      <c r="BS77" s="215">
        <f t="shared" si="99"/>
        <v>0</v>
      </c>
      <c r="BT77" s="215">
        <f t="shared" si="100"/>
        <v>0</v>
      </c>
      <c r="BU77" s="215" t="str">
        <f t="shared" si="101"/>
        <v>Highroller Rosenheim</v>
      </c>
      <c r="BV77" s="214">
        <f t="shared" si="102"/>
        <v>2</v>
      </c>
      <c r="BW77" s="215">
        <f t="shared" si="103"/>
        <v>0</v>
      </c>
      <c r="BX77" s="215">
        <f>IF(COUNTIF(BH77:BP77,"&gt;0")&lt;Spielorte!$A$23,0,BE77/Spielorte!$A$23)</f>
        <v>0</v>
      </c>
      <c r="BY77" s="215">
        <f t="shared" si="104"/>
        <v>0</v>
      </c>
      <c r="BZ77" s="214">
        <f t="shared" si="90"/>
        <v>0</v>
      </c>
    </row>
    <row r="78" spans="1:78" ht="17.2" customHeight="1" thickBot="1" x14ac:dyDescent="0.4">
      <c r="A78" s="369"/>
      <c r="B78" s="79" t="str">
        <f>IF(AA78=0,"",AA78)</f>
        <v/>
      </c>
      <c r="C78" s="80" t="str">
        <f t="shared" si="92"/>
        <v/>
      </c>
      <c r="D78" s="69" t="str">
        <f t="shared" si="93"/>
        <v/>
      </c>
      <c r="E78" s="350"/>
      <c r="F78" s="69" t="str">
        <f t="shared" si="72"/>
        <v/>
      </c>
      <c r="G78" s="350"/>
      <c r="H78" s="69" t="str">
        <f t="shared" si="73"/>
        <v/>
      </c>
      <c r="I78" s="350"/>
      <c r="J78" s="69" t="str">
        <f t="shared" si="74"/>
        <v/>
      </c>
      <c r="K78" s="350"/>
      <c r="L78" s="69" t="str">
        <f t="shared" si="75"/>
        <v/>
      </c>
      <c r="M78" s="350"/>
      <c r="N78" s="69" t="str">
        <f t="shared" si="94"/>
        <v/>
      </c>
      <c r="O78" s="350"/>
      <c r="P78" s="69" t="str">
        <f t="shared" si="76"/>
        <v/>
      </c>
      <c r="Q78" s="350"/>
      <c r="R78" s="69" t="str">
        <f t="shared" si="77"/>
        <v/>
      </c>
      <c r="S78" s="350"/>
      <c r="T78" s="69" t="str">
        <f t="shared" si="78"/>
        <v/>
      </c>
      <c r="U78" s="350"/>
      <c r="V78" s="69" t="str">
        <f t="shared" si="79"/>
        <v/>
      </c>
      <c r="W78" s="350"/>
      <c r="Z78" s="353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80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5"/>
        <v>0</v>
      </c>
      <c r="BE78" s="213">
        <f t="shared" si="96"/>
        <v>0</v>
      </c>
      <c r="BF78" s="215">
        <f t="shared" si="97"/>
        <v>0</v>
      </c>
      <c r="BG78" s="215">
        <f t="shared" si="98"/>
        <v>0</v>
      </c>
      <c r="BH78" s="215" t="str">
        <f t="shared" si="81"/>
        <v/>
      </c>
      <c r="BI78" s="215" t="str">
        <f t="shared" si="82"/>
        <v/>
      </c>
      <c r="BJ78" s="215" t="str">
        <f t="shared" si="83"/>
        <v/>
      </c>
      <c r="BK78" s="215" t="str">
        <f t="shared" si="84"/>
        <v/>
      </c>
      <c r="BL78" s="215" t="str">
        <f t="shared" si="85"/>
        <v/>
      </c>
      <c r="BM78" s="215" t="str">
        <f t="shared" si="86"/>
        <v/>
      </c>
      <c r="BN78" s="215" t="str">
        <f t="shared" si="87"/>
        <v/>
      </c>
      <c r="BO78" s="215" t="str">
        <f t="shared" si="88"/>
        <v/>
      </c>
      <c r="BP78" s="215" t="str">
        <f t="shared" si="89"/>
        <v/>
      </c>
      <c r="BQ78" s="216"/>
      <c r="BR78" s="214"/>
      <c r="BS78" s="215">
        <f t="shared" si="99"/>
        <v>0</v>
      </c>
      <c r="BT78" s="215">
        <f t="shared" si="100"/>
        <v>0</v>
      </c>
      <c r="BU78" s="215" t="str">
        <f t="shared" si="101"/>
        <v>Highroller Rosenheim</v>
      </c>
      <c r="BV78" s="214">
        <f t="shared" si="102"/>
        <v>2</v>
      </c>
      <c r="BW78" s="215">
        <f t="shared" si="103"/>
        <v>0</v>
      </c>
      <c r="BX78" s="215">
        <f>IF(COUNTIF(BH78:BP78,"&gt;0")&lt;Spielorte!$A$23,0,BE78/Spielorte!$A$23)</f>
        <v>0</v>
      </c>
      <c r="BY78" s="215">
        <f t="shared" si="104"/>
        <v>0</v>
      </c>
      <c r="BZ78" s="214">
        <f t="shared" si="90"/>
        <v>0</v>
      </c>
    </row>
    <row r="79" spans="1:78" ht="27.75" customHeight="1" thickBot="1" x14ac:dyDescent="0.4">
      <c r="B79" s="81" t="str">
        <f>IF(AA79=0,"",AA79)</f>
        <v>Gesamt</v>
      </c>
      <c r="C79" s="82" t="str">
        <f t="shared" si="92"/>
        <v/>
      </c>
      <c r="D79" s="83">
        <f t="shared" si="93"/>
        <v>779</v>
      </c>
      <c r="E79" s="84">
        <f>IF(AD79="","",AD79)</f>
        <v>2</v>
      </c>
      <c r="F79" s="83">
        <f t="shared" si="72"/>
        <v>740</v>
      </c>
      <c r="G79" s="84">
        <f>IF(AF79="","",AF79)</f>
        <v>2</v>
      </c>
      <c r="H79" s="83">
        <f t="shared" si="73"/>
        <v>765</v>
      </c>
      <c r="I79" s="84">
        <f>IF(AH79="","",AH79)</f>
        <v>2</v>
      </c>
      <c r="J79" s="83">
        <f t="shared" si="74"/>
        <v>729</v>
      </c>
      <c r="K79" s="84">
        <f>IF(AJ79="","",AJ79)</f>
        <v>2</v>
      </c>
      <c r="L79" s="83">
        <f t="shared" si="75"/>
        <v>845</v>
      </c>
      <c r="M79" s="84">
        <f>IF(AL79="","",AL79)</f>
        <v>2</v>
      </c>
      <c r="N79" s="83">
        <f t="shared" si="94"/>
        <v>759</v>
      </c>
      <c r="O79" s="84">
        <f>IF(AN79="","",AN79)</f>
        <v>2</v>
      </c>
      <c r="P79" s="83">
        <f t="shared" si="76"/>
        <v>644</v>
      </c>
      <c r="Q79" s="84">
        <f>IF(AP79="","",AP79)</f>
        <v>0</v>
      </c>
      <c r="R79" s="83">
        <f t="shared" si="77"/>
        <v>719</v>
      </c>
      <c r="S79" s="84">
        <f>IF(AR79="","",AR79)</f>
        <v>2</v>
      </c>
      <c r="T79" s="83">
        <f t="shared" si="78"/>
        <v>778</v>
      </c>
      <c r="U79" s="84">
        <f>IF(AT79="","",AT79)</f>
        <v>2</v>
      </c>
      <c r="V79" s="83">
        <f t="shared" si="79"/>
        <v>6758</v>
      </c>
      <c r="W79" s="84">
        <f>IF(AV79="","",AV79)</f>
        <v>16</v>
      </c>
      <c r="AA79" s="81" t="s">
        <v>1799</v>
      </c>
      <c r="AB79" s="120"/>
      <c r="AC79" s="211">
        <f>ABS(SUM(AC67:AC69))+ABS(SUM(AC70:AC72))+ABS(SUM(AC73:AC75))+ABS(SUM(AC76:AC78))</f>
        <v>779</v>
      </c>
      <c r="AD79" s="121">
        <f>IF(AC79+AC89=0,0,IF(AC79=AC89,1,IF(AC79&gt;AC89,2,0)))</f>
        <v>2</v>
      </c>
      <c r="AE79" s="211">
        <f>ABS(SUM(AE67:AE69))+ABS(SUM(AE70:AE72))+ABS(SUM(AE73:AE75))+ABS(SUM(AE76:AE78))</f>
        <v>740</v>
      </c>
      <c r="AF79" s="121">
        <f>IF(AE79+AE89=0,0,IF(AE79=AE89,1,IF(AE79&gt;AE89,2,0)))</f>
        <v>2</v>
      </c>
      <c r="AG79" s="211">
        <f>ABS(SUM(AG67:AG69))+ABS(SUM(AG70:AG72))+ABS(SUM(AG73:AG75))+ABS(SUM(AG76:AG78))</f>
        <v>765</v>
      </c>
      <c r="AH79" s="121">
        <f>IF(AG79+AG89=0,0,IF(AG79=AG89,1,IF(AG79&gt;AG89,2,0)))</f>
        <v>2</v>
      </c>
      <c r="AI79" s="211">
        <f>ABS(SUM(AI67:AI69))+ABS(SUM(AI70:AI72))+ABS(SUM(AI73:AI75))+ABS(SUM(AI76:AI78))</f>
        <v>729</v>
      </c>
      <c r="AJ79" s="121">
        <f>IF(AI79+AI89=0,0,IF(AI79=AI89,1,IF(AI79&gt;AI89,2,0)))</f>
        <v>2</v>
      </c>
      <c r="AK79" s="211">
        <f>ABS(SUM(AK67:AK69))+ABS(SUM(AK70:AK72))+ABS(SUM(AK73:AK75))+ABS(SUM(AK76:AK78))</f>
        <v>845</v>
      </c>
      <c r="AL79" s="121">
        <f>IF(AK79+AK89=0,0,IF(AK79=AK89,1,IF(AK79&gt;AK89,2,0)))</f>
        <v>2</v>
      </c>
      <c r="AM79" s="211">
        <f>ABS(SUM(AM67:AM69))+ABS(SUM(AM70:AM72))+ABS(SUM(AM73:AM75))+ABS(SUM(AM76:AM78))</f>
        <v>759</v>
      </c>
      <c r="AN79" s="121">
        <f>IF(AM79+AM89=0,0,IF(AM79=AM89,1,IF(AM79&gt;AM89,2,0)))</f>
        <v>2</v>
      </c>
      <c r="AO79" s="211">
        <f>ABS(SUM(AO67:AO69))+ABS(SUM(AO70:AO72))+ABS(SUM(AO73:AO75))+ABS(SUM(AO76:AO78))</f>
        <v>644</v>
      </c>
      <c r="AP79" s="121">
        <f>IF(AO79+AO89=0,0,IF(AO79=AO89,1,IF(AO79&gt;AO89,2,0)))</f>
        <v>0</v>
      </c>
      <c r="AQ79" s="211">
        <f>ABS(SUM(AQ67:AQ69))+ABS(SUM(AQ70:AQ72))+ABS(SUM(AQ73:AQ75))+ABS(SUM(AQ76:AQ78))</f>
        <v>719</v>
      </c>
      <c r="AR79" s="121">
        <f>IF(AQ79+AQ89=0,0,IF(AQ79=AQ89,1,IF(AQ79&gt;AQ89,2,0)))</f>
        <v>2</v>
      </c>
      <c r="AS79" s="211">
        <f>ABS(SUM(AS67:AS69))+ABS(SUM(AS70:AS72))+ABS(SUM(AS73:AS75))+ABS(SUM(AS76:AS78))</f>
        <v>778</v>
      </c>
      <c r="AT79" s="121">
        <f>IF(AS79+AS89=0,0,IF(AS79=AS89,1,IF(AS79&gt;AS89,2,0)))</f>
        <v>2</v>
      </c>
      <c r="AU79" s="122">
        <f>SUM(AC79+AE79+AG79+AI79+AK79+AM79+AO79+AQ79+AS79)</f>
        <v>6758</v>
      </c>
      <c r="AV79" s="123">
        <f>SUM(AD79+AF79+AH79+AJ79+AL79+AN79+AP79+AR79+AT79)</f>
        <v>16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4">
      <c r="B80" s="85" t="str">
        <f>IF(AA80=0,"",AA80)</f>
        <v>Gesamt - Punkte</v>
      </c>
      <c r="C80" s="86" t="str">
        <f t="shared" si="92"/>
        <v/>
      </c>
      <c r="D80" s="86" t="str">
        <f t="shared" si="93"/>
        <v/>
      </c>
      <c r="E80" s="87">
        <f>IF(AD80="","",AD80)</f>
        <v>5</v>
      </c>
      <c r="F80" s="86" t="str">
        <f t="shared" si="72"/>
        <v/>
      </c>
      <c r="G80" s="87">
        <f>IF(AF80="","",AF80)</f>
        <v>5</v>
      </c>
      <c r="H80" s="86" t="str">
        <f t="shared" si="73"/>
        <v/>
      </c>
      <c r="I80" s="87">
        <f>IF(AH80="","",AH80)</f>
        <v>6</v>
      </c>
      <c r="J80" s="86" t="str">
        <f t="shared" si="74"/>
        <v/>
      </c>
      <c r="K80" s="87">
        <f>IF(AJ80="","",AJ80)</f>
        <v>4</v>
      </c>
      <c r="L80" s="86" t="str">
        <f t="shared" si="75"/>
        <v/>
      </c>
      <c r="M80" s="87">
        <f>IF(AL80="","",AL80)</f>
        <v>6</v>
      </c>
      <c r="N80" s="86" t="str">
        <f t="shared" si="94"/>
        <v/>
      </c>
      <c r="O80" s="87">
        <f>IF(AN80="","",AN80)</f>
        <v>5</v>
      </c>
      <c r="P80" s="86" t="str">
        <f t="shared" si="76"/>
        <v/>
      </c>
      <c r="Q80" s="87">
        <f>IF(AP80="","",AP80)</f>
        <v>1</v>
      </c>
      <c r="R80" s="86" t="str">
        <f t="shared" si="77"/>
        <v/>
      </c>
      <c r="S80" s="87">
        <f>IF(AR80="","",AR80)</f>
        <v>6</v>
      </c>
      <c r="T80" s="86" t="str">
        <f t="shared" si="78"/>
        <v/>
      </c>
      <c r="U80" s="87">
        <f>IF(AT80="","",AT80)</f>
        <v>4</v>
      </c>
      <c r="V80" s="86" t="str">
        <f t="shared" si="79"/>
        <v/>
      </c>
      <c r="W80" s="87">
        <f>IF(AV80="","",AV80)</f>
        <v>42</v>
      </c>
      <c r="AA80" s="85" t="s">
        <v>1814</v>
      </c>
      <c r="AB80" s="86"/>
      <c r="AC80" s="86"/>
      <c r="AD80" s="124">
        <f>SUM(AD67:AD79)</f>
        <v>5</v>
      </c>
      <c r="AE80" s="86"/>
      <c r="AF80" s="124">
        <f>SUM(AF67:AF79)</f>
        <v>5</v>
      </c>
      <c r="AG80" s="86"/>
      <c r="AH80" s="124">
        <f>SUM(AH67:AH79)</f>
        <v>6</v>
      </c>
      <c r="AI80" s="86"/>
      <c r="AJ80" s="124">
        <f>SUM(AJ67:AJ79)</f>
        <v>4</v>
      </c>
      <c r="AK80" s="86"/>
      <c r="AL80" s="124">
        <f>SUM(AL67:AL79)</f>
        <v>6</v>
      </c>
      <c r="AM80" s="86"/>
      <c r="AN80" s="124">
        <f>SUM(AN67:AN79)</f>
        <v>5</v>
      </c>
      <c r="AO80" s="86"/>
      <c r="AP80" s="124">
        <f>SUM(AP67:AP79)</f>
        <v>1</v>
      </c>
      <c r="AQ80" s="86"/>
      <c r="AR80" s="124">
        <f>SUM(AR67:AR79)</f>
        <v>6</v>
      </c>
      <c r="AS80" s="86"/>
      <c r="AT80" s="124">
        <f>SUM(AT67:AT79)</f>
        <v>4</v>
      </c>
      <c r="AU80" s="86"/>
      <c r="AV80" s="125">
        <f>SUM(AV67:AV79)</f>
        <v>42</v>
      </c>
      <c r="AW80" s="101"/>
      <c r="AX80" s="102"/>
      <c r="BA80" s="212">
        <f>+AV80</f>
        <v>42</v>
      </c>
      <c r="BB80" s="213">
        <f>+AU79</f>
        <v>6758</v>
      </c>
      <c r="BC80" s="214">
        <f>+AA62</f>
        <v>3</v>
      </c>
      <c r="BF80" s="215">
        <f>SUM(BF61:BF79)</f>
        <v>36</v>
      </c>
      <c r="BQ80" s="212">
        <f>+BB80/1000000+BA80</f>
        <v>42.006757999999998</v>
      </c>
      <c r="BR80" s="214">
        <f>RANK(BQ80,BQ:BQ)</f>
        <v>1</v>
      </c>
      <c r="BV80" s="214"/>
      <c r="BZ80" s="214"/>
    </row>
    <row r="81" spans="1:78" ht="11.25" customHeight="1" x14ac:dyDescent="0.3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35">
      <c r="B82" s="88" t="str">
        <f t="shared" ref="B82:B89" si="105">IF(AA82=0,"",AA82)</f>
        <v>Gegner-Nr.:</v>
      </c>
      <c r="C82" s="89" t="str">
        <f t="shared" ref="C82:C89" si="106">IF(AB82=0,"",AB82)</f>
        <v>&gt;&gt;&gt;&gt;</v>
      </c>
      <c r="D82" s="346">
        <f t="shared" ref="D82:M84" si="107">IF(AC82=0,"",AC82)</f>
        <v>1</v>
      </c>
      <c r="E82" s="346" t="str">
        <f t="shared" si="107"/>
        <v/>
      </c>
      <c r="F82" s="346">
        <f t="shared" si="107"/>
        <v>10</v>
      </c>
      <c r="G82" s="346" t="str">
        <f t="shared" si="107"/>
        <v/>
      </c>
      <c r="H82" s="346">
        <f t="shared" si="107"/>
        <v>5</v>
      </c>
      <c r="I82" s="346" t="str">
        <f t="shared" si="107"/>
        <v/>
      </c>
      <c r="J82" s="346">
        <f t="shared" si="107"/>
        <v>9</v>
      </c>
      <c r="K82" s="346" t="str">
        <f t="shared" si="107"/>
        <v/>
      </c>
      <c r="L82" s="346">
        <f t="shared" si="107"/>
        <v>2</v>
      </c>
      <c r="M82" s="346" t="str">
        <f t="shared" si="107"/>
        <v/>
      </c>
      <c r="N82" s="346">
        <f t="shared" ref="N82:U84" si="108">IF(AM82=0,"",AM82)</f>
        <v>6</v>
      </c>
      <c r="O82" s="346" t="str">
        <f t="shared" si="108"/>
        <v/>
      </c>
      <c r="P82" s="346">
        <f t="shared" si="108"/>
        <v>8</v>
      </c>
      <c r="Q82" s="346" t="str">
        <f t="shared" si="108"/>
        <v/>
      </c>
      <c r="R82" s="346">
        <f t="shared" si="108"/>
        <v>4</v>
      </c>
      <c r="S82" s="346" t="str">
        <f t="shared" si="108"/>
        <v/>
      </c>
      <c r="T82" s="346">
        <f t="shared" si="108"/>
        <v>7</v>
      </c>
      <c r="U82" s="346" t="str">
        <f t="shared" si="108"/>
        <v/>
      </c>
      <c r="V82" s="347"/>
      <c r="W82" s="347"/>
      <c r="AA82" s="88" t="s">
        <v>1797</v>
      </c>
      <c r="AB82" s="89" t="s">
        <v>1798</v>
      </c>
      <c r="AC82" s="370">
        <f>VLOOKUP($AA62,Schlüssel!$A$5:$K$14,3)</f>
        <v>1</v>
      </c>
      <c r="AD82" s="371"/>
      <c r="AE82" s="370">
        <f>VLOOKUP($AA62,Schlüssel!$A$5:$K$14,4)</f>
        <v>10</v>
      </c>
      <c r="AF82" s="371"/>
      <c r="AG82" s="370">
        <f>VLOOKUP($AA62,Schlüssel!$A$5:$K$14,5)</f>
        <v>5</v>
      </c>
      <c r="AH82" s="371"/>
      <c r="AI82" s="370">
        <f>VLOOKUP($AA62,Schlüssel!$A$5:$K$14,6)</f>
        <v>9</v>
      </c>
      <c r="AJ82" s="371"/>
      <c r="AK82" s="370">
        <f>VLOOKUP($AA62,Schlüssel!$A$5:$K$14,7)</f>
        <v>2</v>
      </c>
      <c r="AL82" s="371"/>
      <c r="AM82" s="370">
        <f>VLOOKUP($AA62,Schlüssel!$A$5:$K$14,8)</f>
        <v>6</v>
      </c>
      <c r="AN82" s="371"/>
      <c r="AO82" s="370">
        <f>VLOOKUP($AA62,Schlüssel!$A$5:$K$14,9)</f>
        <v>8</v>
      </c>
      <c r="AP82" s="371"/>
      <c r="AQ82" s="370">
        <f>VLOOKUP($AA62,Schlüssel!$A$5:$K$14,10)</f>
        <v>4</v>
      </c>
      <c r="AR82" s="371"/>
      <c r="AS82" s="370">
        <f>VLOOKUP($AA62,Schlüssel!$A$5:$K$14,11)</f>
        <v>7</v>
      </c>
      <c r="AT82" s="371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35">
      <c r="B83" s="90" t="str">
        <f t="shared" si="105"/>
        <v/>
      </c>
      <c r="C83" s="86" t="str">
        <f t="shared" si="106"/>
        <v/>
      </c>
      <c r="D83" s="343" t="str">
        <f t="shared" si="107"/>
        <v>Praetoria Regensburg</v>
      </c>
      <c r="E83" s="344" t="str">
        <f t="shared" si="107"/>
        <v/>
      </c>
      <c r="F83" s="343" t="str">
        <f t="shared" si="107"/>
        <v>BK München 4</v>
      </c>
      <c r="G83" s="344" t="str">
        <f t="shared" si="107"/>
        <v/>
      </c>
      <c r="H83" s="343" t="str">
        <f t="shared" si="107"/>
        <v xml:space="preserve">Weiß Blau Unterföhring </v>
      </c>
      <c r="I83" s="344" t="str">
        <f t="shared" si="107"/>
        <v/>
      </c>
      <c r="J83" s="343" t="str">
        <f t="shared" si="107"/>
        <v>RW Lichtenhof 69 Stein 2</v>
      </c>
      <c r="K83" s="344" t="str">
        <f t="shared" si="107"/>
        <v/>
      </c>
      <c r="L83" s="343" t="str">
        <f t="shared" si="107"/>
        <v>BK München 2</v>
      </c>
      <c r="M83" s="344" t="str">
        <f t="shared" si="107"/>
        <v/>
      </c>
      <c r="N83" s="343" t="str">
        <f t="shared" si="108"/>
        <v>Phönix 03 Lauf</v>
      </c>
      <c r="O83" s="344" t="str">
        <f t="shared" si="108"/>
        <v/>
      </c>
      <c r="P83" s="343" t="str">
        <f t="shared" si="108"/>
        <v>EPA München 1</v>
      </c>
      <c r="Q83" s="344" t="str">
        <f t="shared" si="108"/>
        <v/>
      </c>
      <c r="R83" s="343" t="str">
        <f t="shared" si="108"/>
        <v>BK München 3</v>
      </c>
      <c r="S83" s="344" t="str">
        <f t="shared" si="108"/>
        <v/>
      </c>
      <c r="T83" s="343" t="str">
        <f t="shared" si="108"/>
        <v>Frankenpower Nürnberg</v>
      </c>
      <c r="U83" s="344" t="str">
        <f t="shared" si="108"/>
        <v/>
      </c>
      <c r="V83" s="345"/>
      <c r="W83" s="345"/>
      <c r="AA83" s="90"/>
      <c r="AB83" s="86"/>
      <c r="AC83" s="343" t="str">
        <f>VLOOKUP(AC82,Schlüssel!$A$5:$K$14,2)</f>
        <v>Praetoria Regensburg</v>
      </c>
      <c r="AD83" s="344"/>
      <c r="AE83" s="343" t="str">
        <f>VLOOKUP(AE82,Schlüssel!$A$5:$K$14,2)</f>
        <v>BK München 4</v>
      </c>
      <c r="AF83" s="344"/>
      <c r="AG83" s="343" t="str">
        <f>VLOOKUP(AG82,Schlüssel!$A$5:$K$14,2)</f>
        <v xml:space="preserve">Weiß Blau Unterföhring </v>
      </c>
      <c r="AH83" s="344"/>
      <c r="AI83" s="343" t="str">
        <f>VLOOKUP(AI82,Schlüssel!$A$5:$K$14,2)</f>
        <v>RW Lichtenhof 69 Stein 2</v>
      </c>
      <c r="AJ83" s="344"/>
      <c r="AK83" s="343" t="str">
        <f>VLOOKUP(AK82,Schlüssel!$A$5:$K$14,2)</f>
        <v>BK München 2</v>
      </c>
      <c r="AL83" s="344"/>
      <c r="AM83" s="343" t="str">
        <f>VLOOKUP(AM82,Schlüssel!$A$5:$K$14,2)</f>
        <v>Phönix 03 Lauf</v>
      </c>
      <c r="AN83" s="344"/>
      <c r="AO83" s="343" t="str">
        <f>VLOOKUP(AO82,Schlüssel!$A$5:$K$14,2)</f>
        <v>EPA München 1</v>
      </c>
      <c r="AP83" s="344"/>
      <c r="AQ83" s="343" t="str">
        <f>VLOOKUP(AQ82,Schlüssel!$A$5:$K$14,2)</f>
        <v>BK München 3</v>
      </c>
      <c r="AR83" s="344"/>
      <c r="AS83" s="343" t="str">
        <f>VLOOKUP(AS82,Schlüssel!$A$5:$K$14,2)</f>
        <v>Frankenpower Nürnberg</v>
      </c>
      <c r="AT83" s="344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35">
      <c r="B84" s="90" t="str">
        <f t="shared" si="105"/>
        <v/>
      </c>
      <c r="C84" s="86" t="str">
        <f t="shared" si="106"/>
        <v/>
      </c>
      <c r="D84" s="341" t="str">
        <f t="shared" si="107"/>
        <v/>
      </c>
      <c r="E84" s="341" t="str">
        <f t="shared" si="107"/>
        <v/>
      </c>
      <c r="F84" s="341" t="str">
        <f t="shared" si="107"/>
        <v/>
      </c>
      <c r="G84" s="341" t="str">
        <f t="shared" si="107"/>
        <v/>
      </c>
      <c r="H84" s="341" t="str">
        <f t="shared" si="107"/>
        <v/>
      </c>
      <c r="I84" s="341" t="str">
        <f t="shared" si="107"/>
        <v/>
      </c>
      <c r="J84" s="341" t="str">
        <f t="shared" si="107"/>
        <v/>
      </c>
      <c r="K84" s="341" t="str">
        <f t="shared" si="107"/>
        <v/>
      </c>
      <c r="L84" s="341" t="str">
        <f t="shared" si="107"/>
        <v/>
      </c>
      <c r="M84" s="341" t="str">
        <f t="shared" si="107"/>
        <v/>
      </c>
      <c r="N84" s="341" t="str">
        <f t="shared" si="108"/>
        <v/>
      </c>
      <c r="O84" s="341" t="str">
        <f t="shared" si="108"/>
        <v/>
      </c>
      <c r="P84" s="341" t="str">
        <f t="shared" si="108"/>
        <v/>
      </c>
      <c r="Q84" s="341" t="str">
        <f t="shared" si="108"/>
        <v/>
      </c>
      <c r="R84" s="341" t="str">
        <f t="shared" si="108"/>
        <v/>
      </c>
      <c r="S84" s="341" t="str">
        <f t="shared" si="108"/>
        <v/>
      </c>
      <c r="T84" s="341" t="str">
        <f t="shared" si="108"/>
        <v/>
      </c>
      <c r="U84" s="342" t="str">
        <f t="shared" si="108"/>
        <v/>
      </c>
      <c r="V84" s="301"/>
      <c r="W84" s="301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6.05" customHeight="1" x14ac:dyDescent="0.35">
      <c r="B85" s="365" t="str">
        <f t="shared" si="105"/>
        <v>Spieler 1</v>
      </c>
      <c r="C85" s="366" t="str">
        <f t="shared" si="106"/>
        <v/>
      </c>
      <c r="D85" s="339">
        <f>IF(AC85=301,"",AC85)</f>
        <v>148</v>
      </c>
      <c r="E85" s="339" t="str">
        <f>IF(AD85=0,"",AD85)</f>
        <v/>
      </c>
      <c r="F85" s="339">
        <f>IF(AE85=301,"",AE85)</f>
        <v>166</v>
      </c>
      <c r="G85" s="339" t="str">
        <f>IF(AF85=0,"",AF85)</f>
        <v/>
      </c>
      <c r="H85" s="339">
        <f>IF(AG85=301,"",AG85)</f>
        <v>171</v>
      </c>
      <c r="I85" s="339" t="str">
        <f>IF(AH85=0,"",AH85)</f>
        <v/>
      </c>
      <c r="J85" s="339">
        <f>IF(AI85=301,"",AI85)</f>
        <v>180</v>
      </c>
      <c r="K85" s="339" t="str">
        <f>IF(AJ85=0,"",AJ85)</f>
        <v/>
      </c>
      <c r="L85" s="339">
        <f>IF(AK85=301,"",AK85)</f>
        <v>196</v>
      </c>
      <c r="M85" s="339" t="str">
        <f>IF(AL85=0,"",AL85)</f>
        <v/>
      </c>
      <c r="N85" s="339">
        <f>IF(AM85=301,"",AM85)</f>
        <v>158</v>
      </c>
      <c r="O85" s="339" t="str">
        <f>IF(AN85=0,"",AN85)</f>
        <v/>
      </c>
      <c r="P85" s="339">
        <f>IF(AO85=301,"",AO85)</f>
        <v>147</v>
      </c>
      <c r="Q85" s="339" t="str">
        <f>IF(AP85=0,"",AP85)</f>
        <v/>
      </c>
      <c r="R85" s="339">
        <f>IF(AQ85=301,"",AQ85)</f>
        <v>0</v>
      </c>
      <c r="S85" s="339" t="str">
        <f>IF(AR85=0,"",AR85)</f>
        <v/>
      </c>
      <c r="T85" s="339">
        <f>IF(AS85=301,"",AS85)</f>
        <v>160</v>
      </c>
      <c r="U85" s="339" t="str">
        <f>IF(AT85=0,"",AT85)</f>
        <v/>
      </c>
      <c r="V85" s="340"/>
      <c r="W85" s="340"/>
      <c r="AA85" s="91" t="s">
        <v>0</v>
      </c>
      <c r="AB85" s="92"/>
      <c r="AC85" s="372">
        <f>ABS(INDEX(AC:AC,MATCH(AC82,$AA:$AA,0)+5)+INDEX(AC:AC,MATCH(AC82,$AA:$AA,0)+6)+INDEX(AC:AC,MATCH(AC82,$AA:$AA,0)+7))</f>
        <v>148</v>
      </c>
      <c r="AD85" s="373"/>
      <c r="AE85" s="372">
        <f>ABS(INDEX(AE:AE,MATCH(AE82,$AA:$AA,0)+5)+INDEX(AE:AE,MATCH(AE82,$AA:$AA,0)+6)+INDEX(AE:AE,MATCH(AE82,$AA:$AA,0)+7))</f>
        <v>166</v>
      </c>
      <c r="AF85" s="373"/>
      <c r="AG85" s="372">
        <f>ABS(INDEX(AG:AG,MATCH(AG82,$AA:$AA,0)+5)+INDEX(AG:AG,MATCH(AG82,$AA:$AA,0)+6)+INDEX(AG:AG,MATCH(AG82,$AA:$AA,0)+7))</f>
        <v>171</v>
      </c>
      <c r="AH85" s="373"/>
      <c r="AI85" s="372">
        <f>ABS(INDEX(AI:AI,MATCH(AI82,$AA:$AA,0)+5)+INDEX(AI:AI,MATCH(AI82,$AA:$AA,0)+6)+INDEX(AI:AI,MATCH(AI82,$AA:$AA,0)+7))</f>
        <v>180</v>
      </c>
      <c r="AJ85" s="373"/>
      <c r="AK85" s="372">
        <f>ABS(INDEX(AK:AK,MATCH(AK82,$AA:$AA,0)+5)+INDEX(AK:AK,MATCH(AK82,$AA:$AA,0)+6)+INDEX(AK:AK,MATCH(AK82,$AA:$AA,0)+7))</f>
        <v>196</v>
      </c>
      <c r="AL85" s="373"/>
      <c r="AM85" s="372">
        <f>ABS(INDEX(AM:AM,MATCH(AM82,$AA:$AA,0)+5)+INDEX(AM:AM,MATCH(AM82,$AA:$AA,0)+6)+INDEX(AM:AM,MATCH(AM82,$AA:$AA,0)+7))</f>
        <v>158</v>
      </c>
      <c r="AN85" s="373"/>
      <c r="AO85" s="372">
        <f>ABS(INDEX(AO:AO,MATCH(AO82,$AA:$AA,0)+5)+INDEX(AO:AO,MATCH(AO82,$AA:$AA,0)+6)+INDEX(AO:AO,MATCH(AO82,$AA:$AA,0)+7))</f>
        <v>147</v>
      </c>
      <c r="AP85" s="373"/>
      <c r="AQ85" s="372">
        <f>ABS(INDEX(AQ:AQ,MATCH(AQ82,$AA:$AA,0)+5)+INDEX(AQ:AQ,MATCH(AQ82,$AA:$AA,0)+6)+INDEX(AQ:AQ,MATCH(AQ82,$AA:$AA,0)+7))</f>
        <v>0</v>
      </c>
      <c r="AR85" s="373"/>
      <c r="AS85" s="372">
        <f>ABS(INDEX(AS:AS,MATCH(AS82,$AA:$AA,0)+5)+INDEX(AS:AS,MATCH(AS82,$AA:$AA,0)+6)+INDEX(AS:AS,MATCH(AS82,$AA:$AA,0)+7))</f>
        <v>160</v>
      </c>
      <c r="AT85" s="373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6.05" customHeight="1" x14ac:dyDescent="0.35">
      <c r="B86" s="365" t="str">
        <f t="shared" si="105"/>
        <v>Spieler 2</v>
      </c>
      <c r="C86" s="366" t="str">
        <f t="shared" si="106"/>
        <v/>
      </c>
      <c r="D86" s="339">
        <f>IF(AC86=301,"",AC86)</f>
        <v>192</v>
      </c>
      <c r="E86" s="339" t="str">
        <f>IF(AD86=0,"",AD86)</f>
        <v/>
      </c>
      <c r="F86" s="339">
        <f>IF(AE86=301,"",AE86)</f>
        <v>146</v>
      </c>
      <c r="G86" s="339" t="str">
        <f>IF(AF86=0,"",AF86)</f>
        <v/>
      </c>
      <c r="H86" s="339">
        <f>IF(AG86=301,"",AG86)</f>
        <v>114</v>
      </c>
      <c r="I86" s="339" t="str">
        <f>IF(AH86=0,"",AH86)</f>
        <v/>
      </c>
      <c r="J86" s="339">
        <f>IF(AI86=301,"",AI86)</f>
        <v>191</v>
      </c>
      <c r="K86" s="339" t="str">
        <f>IF(AJ86=0,"",AJ86)</f>
        <v/>
      </c>
      <c r="L86" s="339">
        <f>IF(AK86=301,"",AK86)</f>
        <v>175</v>
      </c>
      <c r="M86" s="339" t="str">
        <f>IF(AL86=0,"",AL86)</f>
        <v/>
      </c>
      <c r="N86" s="339">
        <f>IF(AM86=301,"",AM86)</f>
        <v>139</v>
      </c>
      <c r="O86" s="339" t="str">
        <f>IF(AN86=0,"",AN86)</f>
        <v/>
      </c>
      <c r="P86" s="339">
        <f>IF(AO86=301,"",AO86)</f>
        <v>196</v>
      </c>
      <c r="Q86" s="339" t="str">
        <f>IF(AP86=0,"",AP86)</f>
        <v/>
      </c>
      <c r="R86" s="339">
        <f>IF(AQ86=301,"",AQ86)</f>
        <v>0</v>
      </c>
      <c r="S86" s="339" t="str">
        <f>IF(AR86=0,"",AR86)</f>
        <v/>
      </c>
      <c r="T86" s="339">
        <f>IF(AS86=301,"",AS86)</f>
        <v>190</v>
      </c>
      <c r="U86" s="339" t="str">
        <f>IF(AT86=0,"",AT86)</f>
        <v/>
      </c>
      <c r="V86" s="340"/>
      <c r="W86" s="340"/>
      <c r="AA86" s="91" t="s">
        <v>2</v>
      </c>
      <c r="AB86" s="92"/>
      <c r="AC86" s="374">
        <f>ABS(INDEX(AC:AC,MATCH(AC82,$AA:$AA,0)+8)+INDEX(AC:AC,MATCH(AC82,$AA:$AA,0)+9)+INDEX(AC:AC,MATCH(AC82,$AA:$AA,0)+10))</f>
        <v>192</v>
      </c>
      <c r="AD86" s="375"/>
      <c r="AE86" s="374">
        <f>ABS(INDEX(AE:AE,MATCH(AE82,$AA:$AA,0)+8)+INDEX(AE:AE,MATCH(AE82,$AA:$AA,0)+9)+INDEX(AE:AE,MATCH(AE82,$AA:$AA,0)+10))</f>
        <v>146</v>
      </c>
      <c r="AF86" s="375"/>
      <c r="AG86" s="374">
        <f>ABS(INDEX(AG:AG,MATCH(AG82,$AA:$AA,0)+8)+INDEX(AG:AG,MATCH(AG82,$AA:$AA,0)+9)+INDEX(AG:AG,MATCH(AG82,$AA:$AA,0)+10))</f>
        <v>114</v>
      </c>
      <c r="AH86" s="375"/>
      <c r="AI86" s="374">
        <f>ABS(INDEX(AI:AI,MATCH(AI82,$AA:$AA,0)+8)+INDEX(AI:AI,MATCH(AI82,$AA:$AA,0)+9)+INDEX(AI:AI,MATCH(AI82,$AA:$AA,0)+10))</f>
        <v>191</v>
      </c>
      <c r="AJ86" s="375"/>
      <c r="AK86" s="374">
        <f>ABS(INDEX(AK:AK,MATCH(AK82,$AA:$AA,0)+8)+INDEX(AK:AK,MATCH(AK82,$AA:$AA,0)+9)+INDEX(AK:AK,MATCH(AK82,$AA:$AA,0)+10))</f>
        <v>175</v>
      </c>
      <c r="AL86" s="375"/>
      <c r="AM86" s="374">
        <f>ABS(INDEX(AM:AM,MATCH(AM82,$AA:$AA,0)+8)+INDEX(AM:AM,MATCH(AM82,$AA:$AA,0)+9)+INDEX(AM:AM,MATCH(AM82,$AA:$AA,0)+10))</f>
        <v>139</v>
      </c>
      <c r="AN86" s="375"/>
      <c r="AO86" s="374">
        <f>ABS(INDEX(AO:AO,MATCH(AO82,$AA:$AA,0)+8)+INDEX(AO:AO,MATCH(AO82,$AA:$AA,0)+9)+INDEX(AO:AO,MATCH(AO82,$AA:$AA,0)+10))</f>
        <v>196</v>
      </c>
      <c r="AP86" s="375"/>
      <c r="AQ86" s="374">
        <f>ABS(INDEX(AQ:AQ,MATCH(AQ82,$AA:$AA,0)+8)+INDEX(AQ:AQ,MATCH(AQ82,$AA:$AA,0)+9)+INDEX(AQ:AQ,MATCH(AQ82,$AA:$AA,0)+10))</f>
        <v>0</v>
      </c>
      <c r="AR86" s="375"/>
      <c r="AS86" s="374">
        <f>ABS(INDEX(AS:AS,MATCH(AS82,$AA:$AA,0)+8)+INDEX(AS:AS,MATCH(AS82,$AA:$AA,0)+9)+INDEX(AS:AS,MATCH(AS82,$AA:$AA,0)+10))</f>
        <v>190</v>
      </c>
      <c r="AT86" s="37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6.05" customHeight="1" x14ac:dyDescent="0.35">
      <c r="B87" s="365" t="str">
        <f t="shared" si="105"/>
        <v>Spieler 3</v>
      </c>
      <c r="C87" s="366" t="str">
        <f t="shared" si="106"/>
        <v/>
      </c>
      <c r="D87" s="339">
        <f>IF(AC87=301,"",AC87)</f>
        <v>177</v>
      </c>
      <c r="E87" s="339" t="str">
        <f>IF(AD87=0,"",AD87)</f>
        <v/>
      </c>
      <c r="F87" s="339">
        <f>IF(AE87=301,"",AE87)</f>
        <v>172</v>
      </c>
      <c r="G87" s="339" t="str">
        <f>IF(AF87=0,"",AF87)</f>
        <v/>
      </c>
      <c r="H87" s="339">
        <f>IF(AG87=301,"",AG87)</f>
        <v>163</v>
      </c>
      <c r="I87" s="339" t="str">
        <f>IF(AH87=0,"",AH87)</f>
        <v/>
      </c>
      <c r="J87" s="339">
        <f>IF(AI87=301,"",AI87)</f>
        <v>136</v>
      </c>
      <c r="K87" s="339" t="str">
        <f>IF(AJ87=0,"",AJ87)</f>
        <v/>
      </c>
      <c r="L87" s="339">
        <f>IF(AK87=301,"",AK87)</f>
        <v>213</v>
      </c>
      <c r="M87" s="339" t="str">
        <f>IF(AL87=0,"",AL87)</f>
        <v/>
      </c>
      <c r="N87" s="339">
        <f>IF(AM87=301,"",AM87)</f>
        <v>173</v>
      </c>
      <c r="O87" s="339" t="str">
        <f>IF(AN87=0,"",AN87)</f>
        <v/>
      </c>
      <c r="P87" s="339">
        <f>IF(AO87=301,"",AO87)</f>
        <v>201</v>
      </c>
      <c r="Q87" s="339" t="str">
        <f>IF(AP87=0,"",AP87)</f>
        <v/>
      </c>
      <c r="R87" s="339">
        <f>IF(AQ87=301,"",AQ87)</f>
        <v>0</v>
      </c>
      <c r="S87" s="339" t="str">
        <f>IF(AR87=0,"",AR87)</f>
        <v/>
      </c>
      <c r="T87" s="339">
        <f>IF(AS87=301,"",AS87)</f>
        <v>195</v>
      </c>
      <c r="U87" s="339" t="str">
        <f>IF(AT87=0,"",AT87)</f>
        <v/>
      </c>
      <c r="V87" s="340"/>
      <c r="W87" s="340"/>
      <c r="AA87" s="91" t="s">
        <v>3</v>
      </c>
      <c r="AB87" s="92"/>
      <c r="AC87" s="374">
        <f>ABS(INDEX(AC:AC,MATCH(AC82,$AA:$AA,0)+11)+INDEX(AC:AC,MATCH(AC82,$AA:$AA,0)+12)+INDEX(AC:AC,MATCH(AC82,$AA:$AA,0)+13))</f>
        <v>177</v>
      </c>
      <c r="AD87" s="375"/>
      <c r="AE87" s="374">
        <f>ABS(INDEX(AE:AE,MATCH(AE82,$AA:$AA,0)+11)+INDEX(AE:AE,MATCH(AE82,$AA:$AA,0)+12)+INDEX(AE:AE,MATCH(AE82,$AA:$AA,0)+13))</f>
        <v>172</v>
      </c>
      <c r="AF87" s="375"/>
      <c r="AG87" s="374">
        <f>ABS(INDEX(AG:AG,MATCH(AG82,$AA:$AA,0)+11)+INDEX(AG:AG,MATCH(AG82,$AA:$AA,0)+12)+INDEX(AG:AG,MATCH(AG82,$AA:$AA,0)+13))</f>
        <v>163</v>
      </c>
      <c r="AH87" s="375"/>
      <c r="AI87" s="374">
        <f>ABS(INDEX(AI:AI,MATCH(AI82,$AA:$AA,0)+11)+INDEX(AI:AI,MATCH(AI82,$AA:$AA,0)+12)+INDEX(AI:AI,MATCH(AI82,$AA:$AA,0)+13))</f>
        <v>136</v>
      </c>
      <c r="AJ87" s="375"/>
      <c r="AK87" s="374">
        <f>ABS(INDEX(AK:AK,MATCH(AK82,$AA:$AA,0)+11)+INDEX(AK:AK,MATCH(AK82,$AA:$AA,0)+12)+INDEX(AK:AK,MATCH(AK82,$AA:$AA,0)+13))</f>
        <v>213</v>
      </c>
      <c r="AL87" s="375"/>
      <c r="AM87" s="374">
        <f>ABS(INDEX(AM:AM,MATCH(AM82,$AA:$AA,0)+11)+INDEX(AM:AM,MATCH(AM82,$AA:$AA,0)+12)+INDEX(AM:AM,MATCH(AM82,$AA:$AA,0)+13))</f>
        <v>173</v>
      </c>
      <c r="AN87" s="375"/>
      <c r="AO87" s="374">
        <f>ABS(INDEX(AO:AO,MATCH(AO82,$AA:$AA,0)+11)+INDEX(AO:AO,MATCH(AO82,$AA:$AA,0)+12)+INDEX(AO:AO,MATCH(AO82,$AA:$AA,0)+13))</f>
        <v>201</v>
      </c>
      <c r="AP87" s="375"/>
      <c r="AQ87" s="374">
        <f>ABS(INDEX(AQ:AQ,MATCH(AQ82,$AA:$AA,0)+11)+INDEX(AQ:AQ,MATCH(AQ82,$AA:$AA,0)+12)+INDEX(AQ:AQ,MATCH(AQ82,$AA:$AA,0)+13))</f>
        <v>0</v>
      </c>
      <c r="AR87" s="375"/>
      <c r="AS87" s="374">
        <f>ABS(INDEX(AS:AS,MATCH(AS82,$AA:$AA,0)+11)+INDEX(AS:AS,MATCH(AS82,$AA:$AA,0)+12)+INDEX(AS:AS,MATCH(AS82,$AA:$AA,0)+13))</f>
        <v>195</v>
      </c>
      <c r="AT87" s="37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6.05" customHeight="1" x14ac:dyDescent="0.35">
      <c r="B88" s="365" t="str">
        <f t="shared" si="105"/>
        <v>Spieler 4</v>
      </c>
      <c r="C88" s="366" t="str">
        <f t="shared" si="106"/>
        <v/>
      </c>
      <c r="D88" s="339">
        <f>IF(AC88=301,"",AC88)</f>
        <v>170</v>
      </c>
      <c r="E88" s="339" t="str">
        <f>IF(AD88=0,"",AD88)</f>
        <v/>
      </c>
      <c r="F88" s="339">
        <f>IF(AE88=301,"",AE88)</f>
        <v>166</v>
      </c>
      <c r="G88" s="339" t="str">
        <f>IF(AF88=0,"",AF88)</f>
        <v/>
      </c>
      <c r="H88" s="339">
        <f>IF(AG88=301,"",AG88)</f>
        <v>156</v>
      </c>
      <c r="I88" s="339" t="str">
        <f>IF(AH88=0,"",AH88)</f>
        <v/>
      </c>
      <c r="J88" s="339">
        <f>IF(AI88=301,"",AI88)</f>
        <v>167</v>
      </c>
      <c r="K88" s="339" t="str">
        <f>IF(AJ88=0,"",AJ88)</f>
        <v/>
      </c>
      <c r="L88" s="339">
        <f>IF(AK88=301,"",AK88)</f>
        <v>179</v>
      </c>
      <c r="M88" s="339" t="str">
        <f>IF(AL88=0,"",AL88)</f>
        <v/>
      </c>
      <c r="N88" s="339">
        <f>IF(AM88=301,"",AM88)</f>
        <v>264</v>
      </c>
      <c r="O88" s="339" t="str">
        <f>IF(AN88=0,"",AN88)</f>
        <v/>
      </c>
      <c r="P88" s="339">
        <f>IF(AO88=301,"",AO88)</f>
        <v>220</v>
      </c>
      <c r="Q88" s="339" t="str">
        <f>IF(AP88=0,"",AP88)</f>
        <v/>
      </c>
      <c r="R88" s="339">
        <f>IF(AQ88=301,"",AQ88)</f>
        <v>0</v>
      </c>
      <c r="S88" s="339" t="str">
        <f>IF(AR88=0,"",AR88)</f>
        <v/>
      </c>
      <c r="T88" s="339">
        <f>IF(AS88=301,"",AS88)</f>
        <v>191</v>
      </c>
      <c r="U88" s="339" t="str">
        <f>IF(AT88=0,"",AT88)</f>
        <v/>
      </c>
      <c r="V88" s="340"/>
      <c r="W88" s="340"/>
      <c r="AA88" s="91" t="s">
        <v>11</v>
      </c>
      <c r="AB88" s="92"/>
      <c r="AC88" s="374">
        <f>ABS(INDEX(AC:AC,MATCH(AC82,$AA:$AA,0)+14)+INDEX(AC:AC,MATCH(AC82,$AA:$AA,0)+15)+INDEX(AC:AC,MATCH(AC82,$AA:$AA,0)+16))</f>
        <v>170</v>
      </c>
      <c r="AD88" s="375"/>
      <c r="AE88" s="374">
        <f>ABS(INDEX(AE:AE,MATCH(AE82,$AA:$AA,0)+14)+INDEX(AE:AE,MATCH(AE82,$AA:$AA,0)+15)+INDEX(AE:AE,MATCH(AE82,$AA:$AA,0)+16))</f>
        <v>166</v>
      </c>
      <c r="AF88" s="375"/>
      <c r="AG88" s="374">
        <f>ABS(INDEX(AG:AG,MATCH(AG82,$AA:$AA,0)+14)+INDEX(AG:AG,MATCH(AG82,$AA:$AA,0)+15)+INDEX(AG:AG,MATCH(AG82,$AA:$AA,0)+16))</f>
        <v>156</v>
      </c>
      <c r="AH88" s="375"/>
      <c r="AI88" s="374">
        <f>ABS(INDEX(AI:AI,MATCH(AI82,$AA:$AA,0)+14)+INDEX(AI:AI,MATCH(AI82,$AA:$AA,0)+15)+INDEX(AI:AI,MATCH(AI82,$AA:$AA,0)+16))</f>
        <v>167</v>
      </c>
      <c r="AJ88" s="375"/>
      <c r="AK88" s="374">
        <f>ABS(INDEX(AK:AK,MATCH(AK82,$AA:$AA,0)+14)+INDEX(AK:AK,MATCH(AK82,$AA:$AA,0)+15)+INDEX(AK:AK,MATCH(AK82,$AA:$AA,0)+16))</f>
        <v>179</v>
      </c>
      <c r="AL88" s="375"/>
      <c r="AM88" s="374">
        <f>ABS(INDEX(AM:AM,MATCH(AM82,$AA:$AA,0)+14)+INDEX(AM:AM,MATCH(AM82,$AA:$AA,0)+15)+INDEX(AM:AM,MATCH(AM82,$AA:$AA,0)+16))</f>
        <v>264</v>
      </c>
      <c r="AN88" s="375"/>
      <c r="AO88" s="374">
        <f>ABS(INDEX(AO:AO,MATCH(AO82,$AA:$AA,0)+14)+INDEX(AO:AO,MATCH(AO82,$AA:$AA,0)+15)+INDEX(AO:AO,MATCH(AO82,$AA:$AA,0)+16))</f>
        <v>220</v>
      </c>
      <c r="AP88" s="375"/>
      <c r="AQ88" s="374">
        <f>ABS(INDEX(AQ:AQ,MATCH(AQ82,$AA:$AA,0)+14)+INDEX(AQ:AQ,MATCH(AQ82,$AA:$AA,0)+15)+INDEX(AQ:AQ,MATCH(AQ82,$AA:$AA,0)+16))</f>
        <v>0</v>
      </c>
      <c r="AR88" s="375"/>
      <c r="AS88" s="374">
        <f>ABS(INDEX(AS:AS,MATCH(AS82,$AA:$AA,0)+14)+INDEX(AS:AS,MATCH(AS82,$AA:$AA,0)+15)+INDEX(AS:AS,MATCH(AS82,$AA:$AA,0)+16))</f>
        <v>191</v>
      </c>
      <c r="AT88" s="37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6.05" customHeight="1" x14ac:dyDescent="0.35">
      <c r="B89" s="354" t="str">
        <f t="shared" si="105"/>
        <v>Gesamt</v>
      </c>
      <c r="C89" s="355" t="str">
        <f t="shared" si="106"/>
        <v/>
      </c>
      <c r="D89" s="338">
        <f>IF(AC89=1505,"",AC89)</f>
        <v>687</v>
      </c>
      <c r="E89" s="338" t="str">
        <f>IF(AD89=0,"",AD89)</f>
        <v/>
      </c>
      <c r="F89" s="338">
        <f>IF(AE89=1505,"",AE89)</f>
        <v>650</v>
      </c>
      <c r="G89" s="338" t="str">
        <f>IF(AF89=0,"",AF89)</f>
        <v/>
      </c>
      <c r="H89" s="338">
        <f>IF(AG89=1505,"",AG89)</f>
        <v>604</v>
      </c>
      <c r="I89" s="338" t="str">
        <f>IF(AH89=0,"",AH89)</f>
        <v/>
      </c>
      <c r="J89" s="338">
        <f>IF(AI89=1505,"",AI89)</f>
        <v>674</v>
      </c>
      <c r="K89" s="338" t="str">
        <f>IF(AJ89=0,"",AJ89)</f>
        <v/>
      </c>
      <c r="L89" s="338">
        <f>IF(AK89=1505,"",AK89)</f>
        <v>763</v>
      </c>
      <c r="M89" s="338" t="str">
        <f>IF(AL89=0,"",AL89)</f>
        <v/>
      </c>
      <c r="N89" s="338">
        <f>IF(AM89=1505,"",AM89)</f>
        <v>734</v>
      </c>
      <c r="O89" s="338" t="str">
        <f>IF(AN89=0,"",AN89)</f>
        <v/>
      </c>
      <c r="P89" s="338">
        <f>IF(AO89=1505,"",AO89)</f>
        <v>764</v>
      </c>
      <c r="Q89" s="338" t="str">
        <f>IF(AP89=0,"",AP89)</f>
        <v/>
      </c>
      <c r="R89" s="338">
        <f>IF(AQ89=1505,"",AQ89)</f>
        <v>0</v>
      </c>
      <c r="S89" s="338" t="str">
        <f>IF(AR89=0,"",AR89)</f>
        <v/>
      </c>
      <c r="T89" s="338">
        <f>IF(AS89=1505,"",AS89)</f>
        <v>736</v>
      </c>
      <c r="U89" s="338" t="str">
        <f>IF(AT89=0,"",AT89)</f>
        <v/>
      </c>
      <c r="V89" s="290"/>
      <c r="W89" s="290"/>
      <c r="AA89" s="93" t="s">
        <v>1799</v>
      </c>
      <c r="AB89" s="94"/>
      <c r="AC89" s="354">
        <f>SUM(AC85:AC88)</f>
        <v>687</v>
      </c>
      <c r="AD89" s="355"/>
      <c r="AE89" s="354">
        <f>SUM(AE85:AE88)</f>
        <v>650</v>
      </c>
      <c r="AF89" s="355"/>
      <c r="AG89" s="354">
        <f>SUM(AG85:AG88)</f>
        <v>604</v>
      </c>
      <c r="AH89" s="355"/>
      <c r="AI89" s="354">
        <f>SUM(AI85:AI88)</f>
        <v>674</v>
      </c>
      <c r="AJ89" s="355"/>
      <c r="AK89" s="354">
        <f>SUM(AK85:AK88)</f>
        <v>763</v>
      </c>
      <c r="AL89" s="355"/>
      <c r="AM89" s="354">
        <f>SUM(AM85:AM88)</f>
        <v>734</v>
      </c>
      <c r="AN89" s="355"/>
      <c r="AO89" s="354">
        <f>SUM(AO85:AO88)</f>
        <v>764</v>
      </c>
      <c r="AP89" s="355"/>
      <c r="AQ89" s="354">
        <f>SUM(AQ85:AQ88)</f>
        <v>0</v>
      </c>
      <c r="AR89" s="355"/>
      <c r="AS89" s="354">
        <f>SUM(AS85:AS88)</f>
        <v>736</v>
      </c>
      <c r="AT89" s="35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3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7">
      <c r="B91" s="44" t="str">
        <f>AA91</f>
        <v>Team-Nr.</v>
      </c>
      <c r="C91" s="45"/>
      <c r="D91" s="44" t="str">
        <f>AC91</f>
        <v>Liga:</v>
      </c>
      <c r="E91" s="47"/>
      <c r="F91" s="359" t="str">
        <f>AE91</f>
        <v>Bayernliga Frauen</v>
      </c>
      <c r="G91" s="359"/>
      <c r="H91" s="359"/>
      <c r="I91" s="359"/>
      <c r="J91" s="359"/>
      <c r="K91" s="359"/>
      <c r="L91" s="359"/>
      <c r="M91" s="359"/>
      <c r="N91" s="359"/>
      <c r="O91" s="359"/>
      <c r="P91" s="359"/>
      <c r="Q91" s="359"/>
      <c r="R91" s="48"/>
      <c r="S91" s="49" t="s">
        <v>1794</v>
      </c>
      <c r="T91" s="50"/>
      <c r="U91" s="360" t="str">
        <f>AT91</f>
        <v>12.10./13.10.</v>
      </c>
      <c r="V91" s="361"/>
      <c r="W91" s="362"/>
      <c r="X91" s="363"/>
      <c r="Y91" s="364"/>
      <c r="Z91" s="364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0" t="str">
        <f>VLOOKUP(AS92,Spielorte!$A$1:$C$6,2)</f>
        <v>12.10./13.10.</v>
      </c>
      <c r="AU91" s="361"/>
      <c r="AV91" s="362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65">
      <c r="B92" s="53">
        <f>AA92</f>
        <v>4</v>
      </c>
      <c r="D92" s="46" t="s">
        <v>1793</v>
      </c>
      <c r="E92" s="54"/>
      <c r="F92" s="358" t="str">
        <f>AE92</f>
        <v>Unterföhring Dreambowl Palace</v>
      </c>
      <c r="G92" s="358"/>
      <c r="H92" s="358"/>
      <c r="I92" s="358"/>
      <c r="J92" s="358"/>
      <c r="K92" s="358"/>
      <c r="L92" s="358"/>
      <c r="M92" s="358"/>
      <c r="N92" s="358"/>
      <c r="O92" s="358"/>
      <c r="P92" s="55"/>
      <c r="Q92" s="55"/>
      <c r="S92" s="49" t="s">
        <v>1791</v>
      </c>
      <c r="T92" s="56">
        <f>AS92</f>
        <v>1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Unterföhring Dreambowl Palace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1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4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5" thickBot="1" x14ac:dyDescent="0.45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VLOOKUP($AA92,Schlüssel!$A$5:$DZ$14,13)</f>
        <v>7</v>
      </c>
      <c r="AE94" s="65" t="s">
        <v>10</v>
      </c>
      <c r="AF94" s="44">
        <f>VLOOKUP($AA92,Schlüssel!$A$5:$DZ$14,14)</f>
        <v>10</v>
      </c>
      <c r="AG94" s="65" t="s">
        <v>10</v>
      </c>
      <c r="AH94" s="44">
        <f>VLOOKUP($AA92,Schlüssel!$A$5:$DZ$14,15)</f>
        <v>1</v>
      </c>
      <c r="AI94" s="65" t="s">
        <v>10</v>
      </c>
      <c r="AJ94" s="44">
        <f>VLOOKUP($AA92,Schlüssel!$A$5:$DZ$14,16)</f>
        <v>8</v>
      </c>
      <c r="AK94" s="65" t="s">
        <v>10</v>
      </c>
      <c r="AL94" s="44">
        <f>VLOOKUP($AA92,Schlüssel!$A$5:$DZ$14,17)</f>
        <v>3</v>
      </c>
      <c r="AM94" s="65" t="s">
        <v>10</v>
      </c>
      <c r="AN94" s="44">
        <f>VLOOKUP($AA92,Schlüssel!$A$5:$DZ$14,18)</f>
        <v>5</v>
      </c>
      <c r="AO94" s="65" t="s">
        <v>10</v>
      </c>
      <c r="AP94" s="44">
        <f>VLOOKUP($AA92,Schlüssel!$A$5:$DZ$14,19)</f>
        <v>9</v>
      </c>
      <c r="AQ94" s="65" t="s">
        <v>10</v>
      </c>
      <c r="AR94" s="44">
        <f>VLOOKUP($AA92,Schlüssel!$A$5:$DZ$14,20)</f>
        <v>2</v>
      </c>
      <c r="AS94" s="65" t="s">
        <v>10</v>
      </c>
      <c r="AT94" s="44">
        <f>VLOOKUP($AA92,Schlüssel!$A$5:$DZ$14,21)</f>
        <v>6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35">
      <c r="B95" s="67" t="s">
        <v>1</v>
      </c>
      <c r="C95" s="68"/>
      <c r="D95" s="354" t="s">
        <v>1800</v>
      </c>
      <c r="E95" s="355"/>
      <c r="F95" s="354" t="s">
        <v>1801</v>
      </c>
      <c r="G95" s="355"/>
      <c r="H95" s="354" t="s">
        <v>1802</v>
      </c>
      <c r="I95" s="355"/>
      <c r="J95" s="354" t="s">
        <v>1803</v>
      </c>
      <c r="K95" s="355"/>
      <c r="L95" s="354" t="s">
        <v>1804</v>
      </c>
      <c r="M95" s="355"/>
      <c r="N95" s="354" t="s">
        <v>1805</v>
      </c>
      <c r="O95" s="355"/>
      <c r="P95" s="354" t="s">
        <v>1806</v>
      </c>
      <c r="Q95" s="355"/>
      <c r="R95" s="354" t="s">
        <v>1807</v>
      </c>
      <c r="S95" s="355"/>
      <c r="T95" s="354" t="s">
        <v>1808</v>
      </c>
      <c r="U95" s="355"/>
      <c r="V95" s="356" t="s">
        <v>1799</v>
      </c>
      <c r="W95" s="357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4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2" customHeight="1" x14ac:dyDescent="0.35">
      <c r="A97" s="367" t="s">
        <v>0</v>
      </c>
      <c r="B97" s="73" t="str">
        <f>IF(AA97=0,"",AA97)</f>
        <v>Schott, Monika</v>
      </c>
      <c r="C97" s="74">
        <f>IF(AB97=0,"",AB97)</f>
        <v>16594</v>
      </c>
      <c r="D97" s="75" t="str">
        <f>IF(AC97=0,"",AC97)</f>
        <v/>
      </c>
      <c r="E97" s="348">
        <f>IF(AD97="","",AD97)</f>
        <v>0</v>
      </c>
      <c r="F97" s="75" t="str">
        <f t="shared" ref="F97:F110" si="109">IF(AE97=0,"",AE97)</f>
        <v/>
      </c>
      <c r="G97" s="348">
        <f>IF(AF97="","",AF97)</f>
        <v>0</v>
      </c>
      <c r="H97" s="75" t="str">
        <f t="shared" ref="H97:H110" si="110">IF(AG97=0,"",AG97)</f>
        <v/>
      </c>
      <c r="I97" s="348">
        <f>IF(AH97="","",AH97)</f>
        <v>0</v>
      </c>
      <c r="J97" s="75" t="str">
        <f t="shared" ref="J97:J110" si="111">IF(AI97=0,"",AI97)</f>
        <v/>
      </c>
      <c r="K97" s="348">
        <f>IF(AJ97="","",AJ97)</f>
        <v>0</v>
      </c>
      <c r="L97" s="75" t="str">
        <f t="shared" ref="L97:L110" si="112">IF(AK97=0,"",AK97)</f>
        <v/>
      </c>
      <c r="M97" s="348">
        <f>IF(AL97="","",AL97)</f>
        <v>0</v>
      </c>
      <c r="N97" s="75" t="str">
        <f>IF(AM97=0,"",AM97)</f>
        <v/>
      </c>
      <c r="O97" s="348">
        <f>IF(AN97="","",AN97)</f>
        <v>0</v>
      </c>
      <c r="P97" s="75" t="str">
        <f t="shared" ref="P97:P110" si="113">IF(AO97=0,"",AO97)</f>
        <v/>
      </c>
      <c r="Q97" s="348">
        <f>IF(AP97="","",AP97)</f>
        <v>0</v>
      </c>
      <c r="R97" s="75" t="str">
        <f t="shared" ref="R97:R110" si="114">IF(AQ97=0,"",AQ97)</f>
        <v/>
      </c>
      <c r="S97" s="348">
        <f>IF(AR97="","",AR97)</f>
        <v>0</v>
      </c>
      <c r="T97" s="75" t="str">
        <f t="shared" ref="T97:T110" si="115">IF(AS97=0,"",AS97)</f>
        <v/>
      </c>
      <c r="U97" s="348">
        <f>IF(AT97="","",AT97)</f>
        <v>0</v>
      </c>
      <c r="V97" s="75" t="str">
        <f t="shared" ref="V97:V110" si="116">IF(AU97=0,"",AU97)</f>
        <v/>
      </c>
      <c r="W97" s="348">
        <f>IF(AV97="","",AV97)</f>
        <v>0</v>
      </c>
      <c r="Z97" s="351" t="s">
        <v>0</v>
      </c>
      <c r="AA97" s="108" t="str">
        <f>IF(AB97=0,"",VLOOKUP(AB97,Starter!$A$1:$D$199,2,FALSE))</f>
        <v>Schott, Monika</v>
      </c>
      <c r="AB97" s="99">
        <v>16594</v>
      </c>
      <c r="AC97" s="185"/>
      <c r="AD97" s="109">
        <f>IF(SUM(AC97:AC99)+AC115=0,0,IF(SUM(ABS(AC97),ABS(AC98),ABS(AC99))=AC115,0.5,IF(SUM(ABS(AC97),ABS(AC98),ABS(AC99))&gt;AC115,1,0)))</f>
        <v>0</v>
      </c>
      <c r="AE97" s="185"/>
      <c r="AF97" s="109">
        <f>IF(SUM(AE97:AE99)+AE115=0,0,IF(SUM(ABS(AE97),ABS(AE98),ABS(AE99))=AE115,0.5,IF(SUM(ABS(AE97),ABS(AE98),ABS(AE99))&gt;AE115,1,0)))</f>
        <v>0</v>
      </c>
      <c r="AG97" s="185"/>
      <c r="AH97" s="109">
        <f>IF(SUM(AG97:AG99)+AG115=0,0,IF(SUM(ABS(AG97),ABS(AG98),ABS(AG99))=AG115,0.5,IF(SUM(ABS(AG97),ABS(AG98),ABS(AG99))&gt;AG115,1,0)))</f>
        <v>0</v>
      </c>
      <c r="AI97" s="185"/>
      <c r="AJ97" s="109">
        <f>IF(SUM(AI97:AI99)+AI115=0,0,IF(SUM(ABS(AI97),ABS(AI98),ABS(AI99))=AI115,0.5,IF(SUM(ABS(AI97),ABS(AI98),ABS(AI99))&gt;AI115,1,0)))</f>
        <v>0</v>
      </c>
      <c r="AK97" s="185"/>
      <c r="AL97" s="109">
        <f>IF(SUM(AK97:AK99)+AK115=0,0,IF(SUM(ABS(AK97),ABS(AK98),ABS(AK99))=AK115,0.5,IF(SUM(ABS(AK97),ABS(AK98),ABS(AK99))&gt;AK115,1,0)))</f>
        <v>0</v>
      </c>
      <c r="AM97" s="185"/>
      <c r="AN97" s="109">
        <f>IF(SUM(AM97:AM99)+AM115=0,0,IF(SUM(ABS(AM97),ABS(AM98),ABS(AM99))=AM115,0.5,IF(SUM(ABS(AM97),ABS(AM98),ABS(AM99))&gt;AM115,1,0)))</f>
        <v>0</v>
      </c>
      <c r="AO97" s="185"/>
      <c r="AP97" s="109">
        <f>IF(SUM(AO97:AO99)+AO115=0,0,IF(SUM(ABS(AO97),ABS(AO98),ABS(AO99))=AO115,0.5,IF(SUM(ABS(AO97),ABS(AO98),ABS(AO99))&gt;AO115,1,0)))</f>
        <v>0</v>
      </c>
      <c r="AQ97" s="185"/>
      <c r="AR97" s="109">
        <f>IF(SUM(AQ97:AQ99)+AQ115=0,0,IF(SUM(ABS(AQ97),ABS(AQ98),ABS(AQ99))=AQ115,0.5,IF(SUM(ABS(AQ97),ABS(AQ98),ABS(AQ99))&gt;AQ115,1,0)))</f>
        <v>0</v>
      </c>
      <c r="AS97" s="185"/>
      <c r="AT97" s="109">
        <f>IF(SUM(AS97:AS99)+AS115=0,0,IF(SUM(ABS(AS97),ABS(AS98),ABS(AS99))=AS115,0.5,IF(SUM(ABS(AS97),ABS(AS98),ABS(AS99))&gt;AS115,1,0)))</f>
        <v>0</v>
      </c>
      <c r="AU97" s="110">
        <f t="shared" ref="AU97:AU108" si="117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16594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8">IF(AC97=0,"",AC97)</f>
        <v/>
      </c>
      <c r="BI97" s="215" t="str">
        <f t="shared" ref="BI97:BI108" si="119">IF(AE97=0,"",AE97)</f>
        <v/>
      </c>
      <c r="BJ97" s="215" t="str">
        <f t="shared" ref="BJ97:BJ108" si="120">IF(AG97=0,"",AG97)</f>
        <v/>
      </c>
      <c r="BK97" s="215" t="str">
        <f t="shared" ref="BK97:BK108" si="121">IF(AI97=0,"",AI97)</f>
        <v/>
      </c>
      <c r="BL97" s="215" t="str">
        <f t="shared" ref="BL97:BL108" si="122">IF(AK97=0,"",AK97)</f>
        <v/>
      </c>
      <c r="BM97" s="215" t="str">
        <f t="shared" ref="BM97:BM108" si="123">IF(AM97=0,"",AM97)</f>
        <v/>
      </c>
      <c r="BN97" s="215" t="str">
        <f t="shared" ref="BN97:BN108" si="124">IF(AO97=0,"",AO97)</f>
        <v/>
      </c>
      <c r="BO97" s="215" t="str">
        <f t="shared" ref="BO97:BO108" si="125">IF(AQ97=0,"",AQ97)</f>
        <v/>
      </c>
      <c r="BP97" s="215" t="str">
        <f t="shared" ref="BP97:BP108" si="126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0</v>
      </c>
      <c r="BU97" s="215" t="str">
        <f>+AA93</f>
        <v>BK München 3</v>
      </c>
      <c r="BV97" s="214">
        <f>RANK(BT97,BT:BT)</f>
        <v>2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0</v>
      </c>
      <c r="BZ97" s="214">
        <f t="shared" ref="BZ97:BZ108" si="127">IF(BY97=0,0,RANK(BY97,BY:BY))</f>
        <v>0</v>
      </c>
    </row>
    <row r="98" spans="1:78" ht="17.2" customHeight="1" x14ac:dyDescent="0.35">
      <c r="A98" s="368"/>
      <c r="B98" s="76" t="str">
        <f t="shared" ref="B98:B105" si="128">IF(AA98=0,"",AA98)</f>
        <v/>
      </c>
      <c r="C98" s="77" t="str">
        <f t="shared" ref="C98:C110" si="129">IF(AB98=0,"",AB98)</f>
        <v/>
      </c>
      <c r="D98" s="78" t="str">
        <f t="shared" ref="D98:D110" si="130">IF(AC98=0,"",AC98)</f>
        <v/>
      </c>
      <c r="E98" s="349"/>
      <c r="F98" s="78" t="str">
        <f t="shared" si="109"/>
        <v/>
      </c>
      <c r="G98" s="349"/>
      <c r="H98" s="78" t="str">
        <f t="shared" si="110"/>
        <v/>
      </c>
      <c r="I98" s="349"/>
      <c r="J98" s="78" t="str">
        <f t="shared" si="111"/>
        <v/>
      </c>
      <c r="K98" s="349"/>
      <c r="L98" s="78" t="str">
        <f t="shared" si="112"/>
        <v/>
      </c>
      <c r="M98" s="349"/>
      <c r="N98" s="78" t="str">
        <f t="shared" ref="N98:N110" si="131">IF(AM98=0,"",AM98)</f>
        <v/>
      </c>
      <c r="O98" s="349"/>
      <c r="P98" s="78" t="str">
        <f t="shared" si="113"/>
        <v/>
      </c>
      <c r="Q98" s="349"/>
      <c r="R98" s="78" t="str">
        <f t="shared" si="114"/>
        <v/>
      </c>
      <c r="S98" s="349"/>
      <c r="T98" s="78" t="str">
        <f t="shared" si="115"/>
        <v/>
      </c>
      <c r="U98" s="349"/>
      <c r="V98" s="78" t="str">
        <f t="shared" si="116"/>
        <v/>
      </c>
      <c r="W98" s="349"/>
      <c r="Z98" s="352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7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32">+AB98</f>
        <v>0</v>
      </c>
      <c r="BE98" s="213">
        <f t="shared" ref="BE98:BE108" si="133">+AU98</f>
        <v>0</v>
      </c>
      <c r="BF98" s="215">
        <f t="shared" ref="BF98:BF108" si="134">COUNT(BH98:BP98)</f>
        <v>0</v>
      </c>
      <c r="BG98" s="215">
        <f t="shared" ref="BG98:BG108" si="135">COUNTIF(BH98:BP98,"&gt;0")</f>
        <v>0</v>
      </c>
      <c r="BH98" s="215" t="str">
        <f t="shared" si="118"/>
        <v/>
      </c>
      <c r="BI98" s="215" t="str">
        <f t="shared" si="119"/>
        <v/>
      </c>
      <c r="BJ98" s="215" t="str">
        <f t="shared" si="120"/>
        <v/>
      </c>
      <c r="BK98" s="215" t="str">
        <f t="shared" si="121"/>
        <v/>
      </c>
      <c r="BL98" s="215" t="str">
        <f t="shared" si="122"/>
        <v/>
      </c>
      <c r="BM98" s="215" t="str">
        <f t="shared" si="123"/>
        <v/>
      </c>
      <c r="BN98" s="215" t="str">
        <f t="shared" si="124"/>
        <v/>
      </c>
      <c r="BO98" s="215" t="str">
        <f t="shared" si="125"/>
        <v/>
      </c>
      <c r="BP98" s="215" t="str">
        <f t="shared" si="126"/>
        <v/>
      </c>
      <c r="BQ98" s="216"/>
      <c r="BR98" s="214"/>
      <c r="BS98" s="215">
        <f t="shared" ref="BS98:BS108" si="136">MAX(BH98:BP98)</f>
        <v>0</v>
      </c>
      <c r="BT98" s="215">
        <f t="shared" ref="BT98:BT108" si="137">IF(BS98&lt;MAX(BS:BS),0,BS98+ROW()/1000000000)</f>
        <v>0</v>
      </c>
      <c r="BU98" s="215" t="str">
        <f t="shared" ref="BU98:BU108" si="138">+BU97</f>
        <v>BK München 3</v>
      </c>
      <c r="BV98" s="214">
        <f t="shared" ref="BV98:BV108" si="139">RANK(BT98,BT:BT)</f>
        <v>2</v>
      </c>
      <c r="BW98" s="215">
        <f t="shared" ref="BW98:BW108" si="140">SUMIF(BH98:BP98,"&gt;0")</f>
        <v>0</v>
      </c>
      <c r="BX98" s="215">
        <f>IF(COUNTIF(BH98:BP98,"&gt;0")&lt;Spielorte!$A$23,0,BE98/Spielorte!$A$23)</f>
        <v>0</v>
      </c>
      <c r="BY98" s="215">
        <f t="shared" ref="BY98:BY108" si="141">IF(BX98&lt;MAX(BX:BX),0,BX98+ROW()/1000000000)</f>
        <v>0</v>
      </c>
      <c r="BZ98" s="214">
        <f t="shared" si="127"/>
        <v>0</v>
      </c>
    </row>
    <row r="99" spans="1:78" ht="17.2" customHeight="1" thickBot="1" x14ac:dyDescent="0.4">
      <c r="A99" s="369"/>
      <c r="B99" s="79" t="str">
        <f t="shared" si="128"/>
        <v/>
      </c>
      <c r="C99" s="80" t="str">
        <f t="shared" si="129"/>
        <v/>
      </c>
      <c r="D99" s="69" t="str">
        <f t="shared" si="130"/>
        <v/>
      </c>
      <c r="E99" s="350"/>
      <c r="F99" s="69" t="str">
        <f t="shared" si="109"/>
        <v/>
      </c>
      <c r="G99" s="350"/>
      <c r="H99" s="69" t="str">
        <f t="shared" si="110"/>
        <v/>
      </c>
      <c r="I99" s="350"/>
      <c r="J99" s="69" t="str">
        <f t="shared" si="111"/>
        <v/>
      </c>
      <c r="K99" s="350"/>
      <c r="L99" s="69" t="str">
        <f t="shared" si="112"/>
        <v/>
      </c>
      <c r="M99" s="350"/>
      <c r="N99" s="69" t="str">
        <f t="shared" si="131"/>
        <v/>
      </c>
      <c r="O99" s="350"/>
      <c r="P99" s="69" t="str">
        <f t="shared" si="113"/>
        <v/>
      </c>
      <c r="Q99" s="350"/>
      <c r="R99" s="69" t="str">
        <f t="shared" si="114"/>
        <v/>
      </c>
      <c r="S99" s="350"/>
      <c r="T99" s="69" t="str">
        <f t="shared" si="115"/>
        <v/>
      </c>
      <c r="U99" s="350"/>
      <c r="V99" s="69" t="str">
        <f t="shared" si="116"/>
        <v/>
      </c>
      <c r="W99" s="350"/>
      <c r="Z99" s="353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7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32"/>
        <v>0</v>
      </c>
      <c r="BE99" s="213">
        <f t="shared" si="133"/>
        <v>0</v>
      </c>
      <c r="BF99" s="215">
        <f t="shared" si="134"/>
        <v>0</v>
      </c>
      <c r="BG99" s="215">
        <f t="shared" si="135"/>
        <v>0</v>
      </c>
      <c r="BH99" s="215" t="str">
        <f t="shared" si="118"/>
        <v/>
      </c>
      <c r="BI99" s="215" t="str">
        <f t="shared" si="119"/>
        <v/>
      </c>
      <c r="BJ99" s="215" t="str">
        <f t="shared" si="120"/>
        <v/>
      </c>
      <c r="BK99" s="215" t="str">
        <f t="shared" si="121"/>
        <v/>
      </c>
      <c r="BL99" s="215" t="str">
        <f t="shared" si="122"/>
        <v/>
      </c>
      <c r="BM99" s="215" t="str">
        <f t="shared" si="123"/>
        <v/>
      </c>
      <c r="BN99" s="215" t="str">
        <f t="shared" si="124"/>
        <v/>
      </c>
      <c r="BO99" s="215" t="str">
        <f t="shared" si="125"/>
        <v/>
      </c>
      <c r="BP99" s="215" t="str">
        <f t="shared" si="126"/>
        <v/>
      </c>
      <c r="BQ99" s="216"/>
      <c r="BR99" s="214"/>
      <c r="BS99" s="215">
        <f t="shared" si="136"/>
        <v>0</v>
      </c>
      <c r="BT99" s="215">
        <f t="shared" si="137"/>
        <v>0</v>
      </c>
      <c r="BU99" s="215" t="str">
        <f t="shared" si="138"/>
        <v>BK München 3</v>
      </c>
      <c r="BV99" s="214">
        <f t="shared" si="139"/>
        <v>2</v>
      </c>
      <c r="BW99" s="215">
        <f t="shared" si="140"/>
        <v>0</v>
      </c>
      <c r="BX99" s="215">
        <f>IF(COUNTIF(BH99:BP99,"&gt;0")&lt;Spielorte!$A$23,0,BE99/Spielorte!$A$23)</f>
        <v>0</v>
      </c>
      <c r="BY99" s="215">
        <f t="shared" si="141"/>
        <v>0</v>
      </c>
      <c r="BZ99" s="214">
        <f t="shared" si="127"/>
        <v>0</v>
      </c>
    </row>
    <row r="100" spans="1:78" ht="17.2" customHeight="1" x14ac:dyDescent="0.35">
      <c r="A100" s="367" t="s">
        <v>2</v>
      </c>
      <c r="B100" s="73" t="str">
        <f t="shared" si="128"/>
        <v>Waigel, Petra</v>
      </c>
      <c r="C100" s="74">
        <f t="shared" si="129"/>
        <v>7061</v>
      </c>
      <c r="D100" s="75" t="str">
        <f t="shared" si="130"/>
        <v/>
      </c>
      <c r="E100" s="348">
        <f>IF(AD100="","",AD100)</f>
        <v>0</v>
      </c>
      <c r="F100" s="75" t="str">
        <f t="shared" si="109"/>
        <v/>
      </c>
      <c r="G100" s="348">
        <f>IF(AF100="","",AF100)</f>
        <v>0</v>
      </c>
      <c r="H100" s="75" t="str">
        <f t="shared" si="110"/>
        <v/>
      </c>
      <c r="I100" s="348">
        <f>IF(AH100="","",AH100)</f>
        <v>0</v>
      </c>
      <c r="J100" s="75" t="str">
        <f t="shared" si="111"/>
        <v/>
      </c>
      <c r="K100" s="348">
        <f>IF(AJ100="","",AJ100)</f>
        <v>0</v>
      </c>
      <c r="L100" s="75" t="str">
        <f t="shared" si="112"/>
        <v/>
      </c>
      <c r="M100" s="348">
        <f>IF(AL100="","",AL100)</f>
        <v>0</v>
      </c>
      <c r="N100" s="75" t="str">
        <f t="shared" si="131"/>
        <v/>
      </c>
      <c r="O100" s="348">
        <f>IF(AN100="","",AN100)</f>
        <v>0</v>
      </c>
      <c r="P100" s="75" t="str">
        <f t="shared" si="113"/>
        <v/>
      </c>
      <c r="Q100" s="348">
        <f>IF(AP100="","",AP100)</f>
        <v>0</v>
      </c>
      <c r="R100" s="75" t="str">
        <f t="shared" si="114"/>
        <v/>
      </c>
      <c r="S100" s="348">
        <f>IF(AR100="","",AR100)</f>
        <v>0</v>
      </c>
      <c r="T100" s="75" t="str">
        <f t="shared" si="115"/>
        <v/>
      </c>
      <c r="U100" s="348">
        <f>IF(AT100="","",AT100)</f>
        <v>0</v>
      </c>
      <c r="V100" s="75" t="str">
        <f t="shared" si="116"/>
        <v/>
      </c>
      <c r="W100" s="348">
        <f>IF(AV100="","",AV100)</f>
        <v>0</v>
      </c>
      <c r="Z100" s="351" t="s">
        <v>2</v>
      </c>
      <c r="AA100" s="108" t="str">
        <f>IF(AB100=0,"",VLOOKUP(AB100,Starter!$A$1:$D$199,2,FALSE))</f>
        <v>Waigel, Petra</v>
      </c>
      <c r="AB100" s="99">
        <v>7061</v>
      </c>
      <c r="AC100" s="188"/>
      <c r="AD100" s="109">
        <f>IF(SUM(AC100:AC102)+AC116=0,0,IF(SUM(ABS(AC100),ABS(AC101),ABS(AC102))=AC116,0.5,IF(SUM(ABS(AC100),ABS(AC101),ABS(AC102))&gt;AC116,1,0)))</f>
        <v>0</v>
      </c>
      <c r="AE100" s="188"/>
      <c r="AF100" s="109">
        <f>IF(SUM(AE100:AE102)+AE116=0,0,IF(SUM(ABS(AE100),ABS(AE101),ABS(AE102))=AE116,0.5,IF(SUM(ABS(AE100),ABS(AE101),ABS(AE102))&gt;AE116,1,0)))</f>
        <v>0</v>
      </c>
      <c r="AG100" s="188"/>
      <c r="AH100" s="109">
        <f>IF(SUM(AG100:AG102)+AG116=0,0,IF(SUM(ABS(AG100),ABS(AG101),ABS(AG102))=AG116,0.5,IF(SUM(ABS(AG100),ABS(AG101),ABS(AG102))&gt;AG116,1,0)))</f>
        <v>0</v>
      </c>
      <c r="AI100" s="188"/>
      <c r="AJ100" s="109">
        <f>IF(SUM(AI100:AI102)+AI116=0,0,IF(SUM(ABS(AI100),ABS(AI101),ABS(AI102))=AI116,0.5,IF(SUM(ABS(AI100),ABS(AI101),ABS(AI102))&gt;AI116,1,0)))</f>
        <v>0</v>
      </c>
      <c r="AK100" s="188"/>
      <c r="AL100" s="109">
        <f>IF(SUM(AK100:AK102)+AK116=0,0,IF(SUM(ABS(AK100),ABS(AK101),ABS(AK102))=AK116,0.5,IF(SUM(ABS(AK100),ABS(AK101),ABS(AK102))&gt;AK116,1,0)))</f>
        <v>0</v>
      </c>
      <c r="AM100" s="188"/>
      <c r="AN100" s="109">
        <f>IF(SUM(AM100:AM102)+AM116=0,0,IF(SUM(ABS(AM100),ABS(AM101),ABS(AM102))=AM116,0.5,IF(SUM(ABS(AM100),ABS(AM101),ABS(AM102))&gt;AM116,1,0)))</f>
        <v>0</v>
      </c>
      <c r="AO100" s="188"/>
      <c r="AP100" s="109">
        <f>IF(SUM(AO100:AO102)+AO116=0,0,IF(SUM(ABS(AO100),ABS(AO101),ABS(AO102))=AO116,0.5,IF(SUM(ABS(AO100),ABS(AO101),ABS(AO102))&gt;AO116,1,0)))</f>
        <v>0</v>
      </c>
      <c r="AQ100" s="188"/>
      <c r="AR100" s="109">
        <f>IF(SUM(AQ100:AQ102)+AQ116=0,0,IF(SUM(ABS(AQ100),ABS(AQ101),ABS(AQ102))=AQ116,0.5,IF(SUM(ABS(AQ100),ABS(AQ101),ABS(AQ102))&gt;AQ116,1,0)))</f>
        <v>0</v>
      </c>
      <c r="AS100" s="188"/>
      <c r="AT100" s="109">
        <f>IF(SUM(AS100:AS102)+AS116=0,0,IF(SUM(ABS(AS100),ABS(AS101),ABS(AS102))=AS116,0.5,IF(SUM(ABS(AS100),ABS(AS101),ABS(AS102))&gt;AS116,1,0)))</f>
        <v>0</v>
      </c>
      <c r="AU100" s="110">
        <f t="shared" si="117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32"/>
        <v>7061</v>
      </c>
      <c r="BE100" s="213">
        <f t="shared" si="133"/>
        <v>0</v>
      </c>
      <c r="BF100" s="215">
        <f t="shared" si="134"/>
        <v>0</v>
      </c>
      <c r="BG100" s="215">
        <f t="shared" si="135"/>
        <v>0</v>
      </c>
      <c r="BH100" s="215" t="str">
        <f t="shared" si="118"/>
        <v/>
      </c>
      <c r="BI100" s="215" t="str">
        <f t="shared" si="119"/>
        <v/>
      </c>
      <c r="BJ100" s="215" t="str">
        <f t="shared" si="120"/>
        <v/>
      </c>
      <c r="BK100" s="215" t="str">
        <f t="shared" si="121"/>
        <v/>
      </c>
      <c r="BL100" s="215" t="str">
        <f t="shared" si="122"/>
        <v/>
      </c>
      <c r="BM100" s="215" t="str">
        <f t="shared" si="123"/>
        <v/>
      </c>
      <c r="BN100" s="215" t="str">
        <f t="shared" si="124"/>
        <v/>
      </c>
      <c r="BO100" s="215" t="str">
        <f t="shared" si="125"/>
        <v/>
      </c>
      <c r="BP100" s="215" t="str">
        <f t="shared" si="126"/>
        <v/>
      </c>
      <c r="BQ100" s="216"/>
      <c r="BR100" s="214"/>
      <c r="BS100" s="215">
        <f t="shared" si="136"/>
        <v>0</v>
      </c>
      <c r="BT100" s="215">
        <f t="shared" si="137"/>
        <v>0</v>
      </c>
      <c r="BU100" s="215" t="str">
        <f t="shared" si="138"/>
        <v>BK München 3</v>
      </c>
      <c r="BV100" s="214">
        <f t="shared" si="139"/>
        <v>2</v>
      </c>
      <c r="BW100" s="215">
        <f t="shared" si="140"/>
        <v>0</v>
      </c>
      <c r="BX100" s="215">
        <f>IF(COUNTIF(BH100:BP100,"&gt;0")&lt;Spielorte!$A$23,0,BE100/Spielorte!$A$23)</f>
        <v>0</v>
      </c>
      <c r="BY100" s="215">
        <f t="shared" si="141"/>
        <v>0</v>
      </c>
      <c r="BZ100" s="214">
        <f t="shared" si="127"/>
        <v>0</v>
      </c>
    </row>
    <row r="101" spans="1:78" ht="17.2" customHeight="1" x14ac:dyDescent="0.35">
      <c r="A101" s="368"/>
      <c r="B101" s="76" t="str">
        <f t="shared" si="128"/>
        <v/>
      </c>
      <c r="C101" s="77" t="str">
        <f t="shared" si="129"/>
        <v/>
      </c>
      <c r="D101" s="78" t="str">
        <f t="shared" si="130"/>
        <v/>
      </c>
      <c r="E101" s="349"/>
      <c r="F101" s="78" t="str">
        <f t="shared" si="109"/>
        <v/>
      </c>
      <c r="G101" s="349"/>
      <c r="H101" s="78" t="str">
        <f t="shared" si="110"/>
        <v/>
      </c>
      <c r="I101" s="349"/>
      <c r="J101" s="78" t="str">
        <f t="shared" si="111"/>
        <v/>
      </c>
      <c r="K101" s="349"/>
      <c r="L101" s="78" t="str">
        <f t="shared" si="112"/>
        <v/>
      </c>
      <c r="M101" s="349"/>
      <c r="N101" s="78" t="str">
        <f t="shared" si="131"/>
        <v/>
      </c>
      <c r="O101" s="349"/>
      <c r="P101" s="78" t="str">
        <f t="shared" si="113"/>
        <v/>
      </c>
      <c r="Q101" s="349"/>
      <c r="R101" s="78" t="str">
        <f t="shared" si="114"/>
        <v/>
      </c>
      <c r="S101" s="349"/>
      <c r="T101" s="78" t="str">
        <f t="shared" si="115"/>
        <v/>
      </c>
      <c r="U101" s="349"/>
      <c r="V101" s="78" t="str">
        <f t="shared" si="116"/>
        <v/>
      </c>
      <c r="W101" s="349"/>
      <c r="Z101" s="352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7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32"/>
        <v>0</v>
      </c>
      <c r="BE101" s="213">
        <f t="shared" si="133"/>
        <v>0</v>
      </c>
      <c r="BF101" s="215">
        <f t="shared" si="134"/>
        <v>0</v>
      </c>
      <c r="BG101" s="215">
        <f t="shared" si="135"/>
        <v>0</v>
      </c>
      <c r="BH101" s="215" t="str">
        <f t="shared" si="118"/>
        <v/>
      </c>
      <c r="BI101" s="215" t="str">
        <f t="shared" si="119"/>
        <v/>
      </c>
      <c r="BJ101" s="215" t="str">
        <f t="shared" si="120"/>
        <v/>
      </c>
      <c r="BK101" s="215" t="str">
        <f t="shared" si="121"/>
        <v/>
      </c>
      <c r="BL101" s="215" t="str">
        <f t="shared" si="122"/>
        <v/>
      </c>
      <c r="BM101" s="215" t="str">
        <f t="shared" si="123"/>
        <v/>
      </c>
      <c r="BN101" s="215" t="str">
        <f t="shared" si="124"/>
        <v/>
      </c>
      <c r="BO101" s="215" t="str">
        <f t="shared" si="125"/>
        <v/>
      </c>
      <c r="BP101" s="215" t="str">
        <f t="shared" si="126"/>
        <v/>
      </c>
      <c r="BQ101" s="216"/>
      <c r="BR101" s="214"/>
      <c r="BS101" s="215">
        <f t="shared" si="136"/>
        <v>0</v>
      </c>
      <c r="BT101" s="215">
        <f t="shared" si="137"/>
        <v>0</v>
      </c>
      <c r="BU101" s="215" t="str">
        <f t="shared" si="138"/>
        <v>BK München 3</v>
      </c>
      <c r="BV101" s="214">
        <f t="shared" si="139"/>
        <v>2</v>
      </c>
      <c r="BW101" s="215">
        <f t="shared" si="140"/>
        <v>0</v>
      </c>
      <c r="BX101" s="215">
        <f>IF(COUNTIF(BH101:BP101,"&gt;0")&lt;Spielorte!$A$23,0,BE101/Spielorte!$A$23)</f>
        <v>0</v>
      </c>
      <c r="BY101" s="215">
        <f t="shared" si="141"/>
        <v>0</v>
      </c>
      <c r="BZ101" s="214">
        <f t="shared" si="127"/>
        <v>0</v>
      </c>
    </row>
    <row r="102" spans="1:78" ht="17.2" customHeight="1" thickBot="1" x14ac:dyDescent="0.4">
      <c r="A102" s="369"/>
      <c r="B102" s="79" t="str">
        <f t="shared" si="128"/>
        <v/>
      </c>
      <c r="C102" s="80" t="str">
        <f t="shared" si="129"/>
        <v/>
      </c>
      <c r="D102" s="69" t="str">
        <f t="shared" si="130"/>
        <v/>
      </c>
      <c r="E102" s="350"/>
      <c r="F102" s="69" t="str">
        <f t="shared" si="109"/>
        <v/>
      </c>
      <c r="G102" s="350"/>
      <c r="H102" s="69" t="str">
        <f t="shared" si="110"/>
        <v/>
      </c>
      <c r="I102" s="350"/>
      <c r="J102" s="69" t="str">
        <f t="shared" si="111"/>
        <v/>
      </c>
      <c r="K102" s="350"/>
      <c r="L102" s="69" t="str">
        <f t="shared" si="112"/>
        <v/>
      </c>
      <c r="M102" s="350"/>
      <c r="N102" s="69" t="str">
        <f t="shared" si="131"/>
        <v/>
      </c>
      <c r="O102" s="350"/>
      <c r="P102" s="69" t="str">
        <f t="shared" si="113"/>
        <v/>
      </c>
      <c r="Q102" s="350"/>
      <c r="R102" s="69" t="str">
        <f t="shared" si="114"/>
        <v/>
      </c>
      <c r="S102" s="350"/>
      <c r="T102" s="69" t="str">
        <f t="shared" si="115"/>
        <v/>
      </c>
      <c r="U102" s="350"/>
      <c r="V102" s="69" t="str">
        <f t="shared" si="116"/>
        <v/>
      </c>
      <c r="W102" s="350"/>
      <c r="Z102" s="353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7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32"/>
        <v>0</v>
      </c>
      <c r="BE102" s="213">
        <f t="shared" si="133"/>
        <v>0</v>
      </c>
      <c r="BF102" s="215">
        <f t="shared" si="134"/>
        <v>0</v>
      </c>
      <c r="BG102" s="215">
        <f t="shared" si="135"/>
        <v>0</v>
      </c>
      <c r="BH102" s="215" t="str">
        <f t="shared" si="118"/>
        <v/>
      </c>
      <c r="BI102" s="215" t="str">
        <f t="shared" si="119"/>
        <v/>
      </c>
      <c r="BJ102" s="215" t="str">
        <f t="shared" si="120"/>
        <v/>
      </c>
      <c r="BK102" s="215" t="str">
        <f t="shared" si="121"/>
        <v/>
      </c>
      <c r="BL102" s="215" t="str">
        <f t="shared" si="122"/>
        <v/>
      </c>
      <c r="BM102" s="215" t="str">
        <f t="shared" si="123"/>
        <v/>
      </c>
      <c r="BN102" s="215" t="str">
        <f t="shared" si="124"/>
        <v/>
      </c>
      <c r="BO102" s="215" t="str">
        <f t="shared" si="125"/>
        <v/>
      </c>
      <c r="BP102" s="215" t="str">
        <f t="shared" si="126"/>
        <v/>
      </c>
      <c r="BQ102" s="216"/>
      <c r="BR102" s="214"/>
      <c r="BS102" s="215">
        <f t="shared" si="136"/>
        <v>0</v>
      </c>
      <c r="BT102" s="215">
        <f t="shared" si="137"/>
        <v>0</v>
      </c>
      <c r="BU102" s="215" t="str">
        <f t="shared" si="138"/>
        <v>BK München 3</v>
      </c>
      <c r="BV102" s="214">
        <f t="shared" si="139"/>
        <v>2</v>
      </c>
      <c r="BW102" s="215">
        <f t="shared" si="140"/>
        <v>0</v>
      </c>
      <c r="BX102" s="215">
        <f>IF(COUNTIF(BH102:BP102,"&gt;0")&lt;Spielorte!$A$23,0,BE102/Spielorte!$A$23)</f>
        <v>0</v>
      </c>
      <c r="BY102" s="215">
        <f t="shared" si="141"/>
        <v>0</v>
      </c>
      <c r="BZ102" s="214">
        <f t="shared" si="127"/>
        <v>0</v>
      </c>
    </row>
    <row r="103" spans="1:78" ht="17.2" customHeight="1" x14ac:dyDescent="0.35">
      <c r="A103" s="367" t="s">
        <v>3</v>
      </c>
      <c r="B103" s="73" t="str">
        <f t="shared" si="128"/>
        <v>Hueber, Claudia</v>
      </c>
      <c r="C103" s="74">
        <f t="shared" si="129"/>
        <v>25550</v>
      </c>
      <c r="D103" s="75" t="str">
        <f t="shared" si="130"/>
        <v/>
      </c>
      <c r="E103" s="348">
        <f>IF(AD103="","",AD103)</f>
        <v>0</v>
      </c>
      <c r="F103" s="75" t="str">
        <f t="shared" si="109"/>
        <v/>
      </c>
      <c r="G103" s="348">
        <f>IF(AF103="","",AF103)</f>
        <v>0</v>
      </c>
      <c r="H103" s="75" t="str">
        <f t="shared" si="110"/>
        <v/>
      </c>
      <c r="I103" s="348">
        <f>IF(AH103="","",AH103)</f>
        <v>0</v>
      </c>
      <c r="J103" s="75" t="str">
        <f t="shared" si="111"/>
        <v/>
      </c>
      <c r="K103" s="348">
        <f>IF(AJ103="","",AJ103)</f>
        <v>0</v>
      </c>
      <c r="L103" s="75" t="str">
        <f t="shared" si="112"/>
        <v/>
      </c>
      <c r="M103" s="348">
        <f>IF(AL103="","",AL103)</f>
        <v>0</v>
      </c>
      <c r="N103" s="75" t="str">
        <f t="shared" si="131"/>
        <v/>
      </c>
      <c r="O103" s="348">
        <f>IF(AN103="","",AN103)</f>
        <v>0</v>
      </c>
      <c r="P103" s="75" t="str">
        <f t="shared" si="113"/>
        <v/>
      </c>
      <c r="Q103" s="348">
        <f>IF(AP103="","",AP103)</f>
        <v>0</v>
      </c>
      <c r="R103" s="75" t="str">
        <f t="shared" si="114"/>
        <v/>
      </c>
      <c r="S103" s="348">
        <f>IF(AR103="","",AR103)</f>
        <v>0</v>
      </c>
      <c r="T103" s="75" t="str">
        <f t="shared" si="115"/>
        <v/>
      </c>
      <c r="U103" s="348">
        <f>IF(AT103="","",AT103)</f>
        <v>0</v>
      </c>
      <c r="V103" s="75" t="str">
        <f t="shared" si="116"/>
        <v/>
      </c>
      <c r="W103" s="348">
        <f>IF(AV103="","",AV103)</f>
        <v>0</v>
      </c>
      <c r="Z103" s="351" t="s">
        <v>3</v>
      </c>
      <c r="AA103" s="108" t="str">
        <f>IF(AB103=0,"",VLOOKUP(AB103,Starter!$A$1:$D$199,2,FALSE))</f>
        <v>Hueber, Claudia</v>
      </c>
      <c r="AB103" s="99">
        <v>25550</v>
      </c>
      <c r="AC103" s="188"/>
      <c r="AD103" s="109">
        <f>IF(SUM(AC103:AC105)+AC117=0,0,IF(SUM(ABS(AC103),ABS(AC104),ABS(AC105))=AC117,0.5,IF(SUM(ABS(AC103),ABS(AC104),ABS(AC105))&gt;AC117,1,0)))</f>
        <v>0</v>
      </c>
      <c r="AE103" s="188"/>
      <c r="AF103" s="109">
        <f>IF(SUM(AE103:AE105)+AE117=0,0,IF(SUM(ABS(AE103),ABS(AE104),ABS(AE105))=AE117,0.5,IF(SUM(ABS(AE103),ABS(AE104),ABS(AE105))&gt;AE117,1,0)))</f>
        <v>0</v>
      </c>
      <c r="AG103" s="188"/>
      <c r="AH103" s="109">
        <f>IF(SUM(AG103:AG105)+AG117=0,0,IF(SUM(ABS(AG103),ABS(AG104),ABS(AG105))=AG117,0.5,IF(SUM(ABS(AG103),ABS(AG104),ABS(AG105))&gt;AG117,1,0)))</f>
        <v>0</v>
      </c>
      <c r="AI103" s="188"/>
      <c r="AJ103" s="109">
        <f>IF(SUM(AI103:AI105)+AI117=0,0,IF(SUM(ABS(AI103),ABS(AI104),ABS(AI105))=AI117,0.5,IF(SUM(ABS(AI103),ABS(AI104),ABS(AI105))&gt;AI117,1,0)))</f>
        <v>0</v>
      </c>
      <c r="AK103" s="188"/>
      <c r="AL103" s="109">
        <f>IF(SUM(AK103:AK105)+AK117=0,0,IF(SUM(ABS(AK103),ABS(AK104),ABS(AK105))=AK117,0.5,IF(SUM(ABS(AK103),ABS(AK104),ABS(AK105))&gt;AK117,1,0)))</f>
        <v>0</v>
      </c>
      <c r="AM103" s="188"/>
      <c r="AN103" s="109">
        <f>IF(SUM(AM103:AM105)+AM117=0,0,IF(SUM(ABS(AM103),ABS(AM104),ABS(AM105))=AM117,0.5,IF(SUM(ABS(AM103),ABS(AM104),ABS(AM105))&gt;AM117,1,0)))</f>
        <v>0</v>
      </c>
      <c r="AO103" s="188"/>
      <c r="AP103" s="109">
        <f>IF(SUM(AO103:AO105)+AO117=0,0,IF(SUM(ABS(AO103),ABS(AO104),ABS(AO105))=AO117,0.5,IF(SUM(ABS(AO103),ABS(AO104),ABS(AO105))&gt;AO117,1,0)))</f>
        <v>0</v>
      </c>
      <c r="AQ103" s="188"/>
      <c r="AR103" s="109">
        <f>IF(SUM(AQ103:AQ105)+AQ117=0,0,IF(SUM(ABS(AQ103),ABS(AQ104),ABS(AQ105))=AQ117,0.5,IF(SUM(ABS(AQ103),ABS(AQ104),ABS(AQ105))&gt;AQ117,1,0)))</f>
        <v>0</v>
      </c>
      <c r="AS103" s="188"/>
      <c r="AT103" s="109">
        <f>IF(SUM(AS103:AS105)+AS117=0,0,IF(SUM(ABS(AS103),ABS(AS104),ABS(AS105))=AS117,0.5,IF(SUM(ABS(AS103),ABS(AS104),ABS(AS105))&gt;AS117,1,0)))</f>
        <v>0</v>
      </c>
      <c r="AU103" s="110">
        <f t="shared" si="117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32"/>
        <v>25550</v>
      </c>
      <c r="BE103" s="213">
        <f t="shared" si="133"/>
        <v>0</v>
      </c>
      <c r="BF103" s="215">
        <f t="shared" si="134"/>
        <v>0</v>
      </c>
      <c r="BG103" s="215">
        <f t="shared" si="135"/>
        <v>0</v>
      </c>
      <c r="BH103" s="215" t="str">
        <f t="shared" si="118"/>
        <v/>
      </c>
      <c r="BI103" s="215" t="str">
        <f t="shared" si="119"/>
        <v/>
      </c>
      <c r="BJ103" s="215" t="str">
        <f t="shared" si="120"/>
        <v/>
      </c>
      <c r="BK103" s="215" t="str">
        <f t="shared" si="121"/>
        <v/>
      </c>
      <c r="BL103" s="215" t="str">
        <f t="shared" si="122"/>
        <v/>
      </c>
      <c r="BM103" s="215" t="str">
        <f t="shared" si="123"/>
        <v/>
      </c>
      <c r="BN103" s="215" t="str">
        <f t="shared" si="124"/>
        <v/>
      </c>
      <c r="BO103" s="215" t="str">
        <f t="shared" si="125"/>
        <v/>
      </c>
      <c r="BP103" s="215" t="str">
        <f t="shared" si="126"/>
        <v/>
      </c>
      <c r="BQ103" s="216"/>
      <c r="BR103" s="214"/>
      <c r="BS103" s="215">
        <f t="shared" si="136"/>
        <v>0</v>
      </c>
      <c r="BT103" s="215">
        <f t="shared" si="137"/>
        <v>0</v>
      </c>
      <c r="BU103" s="215" t="str">
        <f t="shared" si="138"/>
        <v>BK München 3</v>
      </c>
      <c r="BV103" s="214">
        <f t="shared" si="139"/>
        <v>2</v>
      </c>
      <c r="BW103" s="215">
        <f t="shared" si="140"/>
        <v>0</v>
      </c>
      <c r="BX103" s="215">
        <f>IF(COUNTIF(BH103:BP103,"&gt;0")&lt;Spielorte!$A$23,0,BE103/Spielorte!$A$23)</f>
        <v>0</v>
      </c>
      <c r="BY103" s="215">
        <f t="shared" si="141"/>
        <v>0</v>
      </c>
      <c r="BZ103" s="214">
        <f t="shared" si="127"/>
        <v>0</v>
      </c>
    </row>
    <row r="104" spans="1:78" ht="17.2" customHeight="1" x14ac:dyDescent="0.35">
      <c r="A104" s="368"/>
      <c r="B104" s="76" t="str">
        <f t="shared" si="128"/>
        <v>Dietrich, Ulrike</v>
      </c>
      <c r="C104" s="77">
        <f t="shared" si="129"/>
        <v>25808</v>
      </c>
      <c r="D104" s="78" t="str">
        <f t="shared" si="130"/>
        <v/>
      </c>
      <c r="E104" s="349"/>
      <c r="F104" s="78" t="str">
        <f t="shared" si="109"/>
        <v/>
      </c>
      <c r="G104" s="349"/>
      <c r="H104" s="78" t="str">
        <f t="shared" si="110"/>
        <v/>
      </c>
      <c r="I104" s="349"/>
      <c r="J104" s="78" t="str">
        <f t="shared" si="111"/>
        <v/>
      </c>
      <c r="K104" s="349"/>
      <c r="L104" s="78" t="str">
        <f t="shared" si="112"/>
        <v/>
      </c>
      <c r="M104" s="349"/>
      <c r="N104" s="78" t="str">
        <f t="shared" si="131"/>
        <v/>
      </c>
      <c r="O104" s="349"/>
      <c r="P104" s="78" t="str">
        <f t="shared" si="113"/>
        <v/>
      </c>
      <c r="Q104" s="349"/>
      <c r="R104" s="78" t="str">
        <f t="shared" si="114"/>
        <v/>
      </c>
      <c r="S104" s="349"/>
      <c r="T104" s="78" t="str">
        <f t="shared" si="115"/>
        <v/>
      </c>
      <c r="U104" s="349"/>
      <c r="V104" s="78" t="str">
        <f t="shared" si="116"/>
        <v/>
      </c>
      <c r="W104" s="349"/>
      <c r="Z104" s="352"/>
      <c r="AA104" s="108" t="str">
        <f>IF(AB104=0,"",VLOOKUP(AB104,Starter!$A$1:$D$199,2,FALSE))</f>
        <v>Dietrich, Ulrike</v>
      </c>
      <c r="AB104" s="98">
        <v>25808</v>
      </c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7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32"/>
        <v>25808</v>
      </c>
      <c r="BE104" s="213">
        <f t="shared" si="133"/>
        <v>0</v>
      </c>
      <c r="BF104" s="215">
        <f t="shared" si="134"/>
        <v>0</v>
      </c>
      <c r="BG104" s="215">
        <f t="shared" si="135"/>
        <v>0</v>
      </c>
      <c r="BH104" s="215" t="str">
        <f t="shared" si="118"/>
        <v/>
      </c>
      <c r="BI104" s="215" t="str">
        <f t="shared" si="119"/>
        <v/>
      </c>
      <c r="BJ104" s="215" t="str">
        <f t="shared" si="120"/>
        <v/>
      </c>
      <c r="BK104" s="215" t="str">
        <f t="shared" si="121"/>
        <v/>
      </c>
      <c r="BL104" s="215" t="str">
        <f t="shared" si="122"/>
        <v/>
      </c>
      <c r="BM104" s="215" t="str">
        <f t="shared" si="123"/>
        <v/>
      </c>
      <c r="BN104" s="215" t="str">
        <f t="shared" si="124"/>
        <v/>
      </c>
      <c r="BO104" s="215" t="str">
        <f t="shared" si="125"/>
        <v/>
      </c>
      <c r="BP104" s="215" t="str">
        <f t="shared" si="126"/>
        <v/>
      </c>
      <c r="BQ104" s="216"/>
      <c r="BR104" s="214"/>
      <c r="BS104" s="215">
        <f t="shared" si="136"/>
        <v>0</v>
      </c>
      <c r="BT104" s="215">
        <f t="shared" si="137"/>
        <v>0</v>
      </c>
      <c r="BU104" s="215" t="str">
        <f t="shared" si="138"/>
        <v>BK München 3</v>
      </c>
      <c r="BV104" s="214">
        <f t="shared" si="139"/>
        <v>2</v>
      </c>
      <c r="BW104" s="215">
        <f t="shared" si="140"/>
        <v>0</v>
      </c>
      <c r="BX104" s="215">
        <f>IF(COUNTIF(BH104:BP104,"&gt;0")&lt;Spielorte!$A$23,0,BE104/Spielorte!$A$23)</f>
        <v>0</v>
      </c>
      <c r="BY104" s="215">
        <f t="shared" si="141"/>
        <v>0</v>
      </c>
      <c r="BZ104" s="214">
        <f t="shared" si="127"/>
        <v>0</v>
      </c>
    </row>
    <row r="105" spans="1:78" ht="17.2" customHeight="1" thickBot="1" x14ac:dyDescent="0.4">
      <c r="A105" s="369"/>
      <c r="B105" s="79" t="str">
        <f t="shared" si="128"/>
        <v/>
      </c>
      <c r="C105" s="80" t="str">
        <f t="shared" si="129"/>
        <v/>
      </c>
      <c r="D105" s="69" t="str">
        <f t="shared" si="130"/>
        <v/>
      </c>
      <c r="E105" s="350"/>
      <c r="F105" s="69" t="str">
        <f t="shared" si="109"/>
        <v/>
      </c>
      <c r="G105" s="350"/>
      <c r="H105" s="69" t="str">
        <f t="shared" si="110"/>
        <v/>
      </c>
      <c r="I105" s="350"/>
      <c r="J105" s="69" t="str">
        <f t="shared" si="111"/>
        <v/>
      </c>
      <c r="K105" s="350"/>
      <c r="L105" s="69" t="str">
        <f t="shared" si="112"/>
        <v/>
      </c>
      <c r="M105" s="350"/>
      <c r="N105" s="69" t="str">
        <f t="shared" si="131"/>
        <v/>
      </c>
      <c r="O105" s="350"/>
      <c r="P105" s="69" t="str">
        <f t="shared" si="113"/>
        <v/>
      </c>
      <c r="Q105" s="350"/>
      <c r="R105" s="69" t="str">
        <f t="shared" si="114"/>
        <v/>
      </c>
      <c r="S105" s="350"/>
      <c r="T105" s="69" t="str">
        <f t="shared" si="115"/>
        <v/>
      </c>
      <c r="U105" s="350"/>
      <c r="V105" s="69" t="str">
        <f t="shared" si="116"/>
        <v/>
      </c>
      <c r="W105" s="350"/>
      <c r="Z105" s="353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7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32"/>
        <v>0</v>
      </c>
      <c r="BE105" s="213">
        <f t="shared" si="133"/>
        <v>0</v>
      </c>
      <c r="BF105" s="215">
        <f t="shared" si="134"/>
        <v>0</v>
      </c>
      <c r="BG105" s="215">
        <f t="shared" si="135"/>
        <v>0</v>
      </c>
      <c r="BH105" s="215" t="str">
        <f t="shared" si="118"/>
        <v/>
      </c>
      <c r="BI105" s="215" t="str">
        <f t="shared" si="119"/>
        <v/>
      </c>
      <c r="BJ105" s="215" t="str">
        <f t="shared" si="120"/>
        <v/>
      </c>
      <c r="BK105" s="215" t="str">
        <f t="shared" si="121"/>
        <v/>
      </c>
      <c r="BL105" s="215" t="str">
        <f t="shared" si="122"/>
        <v/>
      </c>
      <c r="BM105" s="215" t="str">
        <f t="shared" si="123"/>
        <v/>
      </c>
      <c r="BN105" s="215" t="str">
        <f t="shared" si="124"/>
        <v/>
      </c>
      <c r="BO105" s="215" t="str">
        <f t="shared" si="125"/>
        <v/>
      </c>
      <c r="BP105" s="215" t="str">
        <f t="shared" si="126"/>
        <v/>
      </c>
      <c r="BQ105" s="216"/>
      <c r="BR105" s="214"/>
      <c r="BS105" s="215">
        <f t="shared" si="136"/>
        <v>0</v>
      </c>
      <c r="BT105" s="215">
        <f t="shared" si="137"/>
        <v>0</v>
      </c>
      <c r="BU105" s="215" t="str">
        <f t="shared" si="138"/>
        <v>BK München 3</v>
      </c>
      <c r="BV105" s="214">
        <f t="shared" si="139"/>
        <v>2</v>
      </c>
      <c r="BW105" s="215">
        <f t="shared" si="140"/>
        <v>0</v>
      </c>
      <c r="BX105" s="215">
        <f>IF(COUNTIF(BH105:BP105,"&gt;0")&lt;Spielorte!$A$23,0,BE105/Spielorte!$A$23)</f>
        <v>0</v>
      </c>
      <c r="BY105" s="215">
        <f t="shared" si="141"/>
        <v>0</v>
      </c>
      <c r="BZ105" s="214">
        <f t="shared" si="127"/>
        <v>0</v>
      </c>
    </row>
    <row r="106" spans="1:78" ht="17.2" customHeight="1" x14ac:dyDescent="0.35">
      <c r="A106" s="367" t="s">
        <v>11</v>
      </c>
      <c r="B106" s="73" t="str">
        <f>IF(AA106=0,"",AA106)</f>
        <v>Schott, Nicole</v>
      </c>
      <c r="C106" s="74">
        <f t="shared" si="129"/>
        <v>16595</v>
      </c>
      <c r="D106" s="75" t="str">
        <f t="shared" si="130"/>
        <v/>
      </c>
      <c r="E106" s="348">
        <f>IF(AD106="","",AD106)</f>
        <v>0</v>
      </c>
      <c r="F106" s="75" t="str">
        <f t="shared" si="109"/>
        <v/>
      </c>
      <c r="G106" s="348">
        <f>IF(AF106="","",AF106)</f>
        <v>0</v>
      </c>
      <c r="H106" s="75" t="str">
        <f t="shared" si="110"/>
        <v/>
      </c>
      <c r="I106" s="348">
        <f>IF(AH106="","",AH106)</f>
        <v>0</v>
      </c>
      <c r="J106" s="75" t="str">
        <f t="shared" si="111"/>
        <v/>
      </c>
      <c r="K106" s="348">
        <f>IF(AJ106="","",AJ106)</f>
        <v>0</v>
      </c>
      <c r="L106" s="75" t="str">
        <f t="shared" si="112"/>
        <v/>
      </c>
      <c r="M106" s="348">
        <f>IF(AL106="","",AL106)</f>
        <v>0</v>
      </c>
      <c r="N106" s="75" t="str">
        <f t="shared" si="131"/>
        <v/>
      </c>
      <c r="O106" s="348">
        <f>IF(AN106="","",AN106)</f>
        <v>0</v>
      </c>
      <c r="P106" s="75" t="str">
        <f t="shared" si="113"/>
        <v/>
      </c>
      <c r="Q106" s="348">
        <f>IF(AP106="","",AP106)</f>
        <v>0</v>
      </c>
      <c r="R106" s="75" t="str">
        <f t="shared" si="114"/>
        <v/>
      </c>
      <c r="S106" s="348">
        <f>IF(AR106="","",AR106)</f>
        <v>0</v>
      </c>
      <c r="T106" s="75" t="str">
        <f t="shared" si="115"/>
        <v/>
      </c>
      <c r="U106" s="348">
        <f>IF(AT106="","",AT106)</f>
        <v>0</v>
      </c>
      <c r="V106" s="75" t="str">
        <f t="shared" si="116"/>
        <v/>
      </c>
      <c r="W106" s="348">
        <f>IF(AV106="","",AV106)</f>
        <v>0</v>
      </c>
      <c r="Z106" s="351" t="s">
        <v>11</v>
      </c>
      <c r="AA106" s="108" t="str">
        <f>IF(AB106=0,"",VLOOKUP(AB106,Starter!$A$1:$D$199,2,FALSE))</f>
        <v>Schott, Nicole</v>
      </c>
      <c r="AB106" s="99">
        <v>16595</v>
      </c>
      <c r="AC106" s="188"/>
      <c r="AD106" s="109">
        <f>IF(SUM(AC106:AC108)+AC118=0,0,IF(SUM(ABS(AC106),ABS(AC107),ABS(AC108))=AC118,0.5,IF(SUM(ABS(AC106),ABS(AC107),ABS(AC108))&gt;AC118,1,0)))</f>
        <v>0</v>
      </c>
      <c r="AE106" s="188"/>
      <c r="AF106" s="109">
        <f>IF(SUM(AE106:AE108)+AE118=0,0,IF(SUM(ABS(AE106),ABS(AE107),ABS(AE108))=AE118,0.5,IF(SUM(ABS(AE106),ABS(AE107),ABS(AE108))&gt;AE118,1,0)))</f>
        <v>0</v>
      </c>
      <c r="AG106" s="188"/>
      <c r="AH106" s="109">
        <f>IF(SUM(AG106:AG108)+AG118=0,0,IF(SUM(ABS(AG106),ABS(AG107),ABS(AG108))=AG118,0.5,IF(SUM(ABS(AG106),ABS(AG107),ABS(AG108))&gt;AG118,1,0)))</f>
        <v>0</v>
      </c>
      <c r="AI106" s="188"/>
      <c r="AJ106" s="109">
        <f>IF(SUM(AI106:AI108)+AI118=0,0,IF(SUM(ABS(AI106),ABS(AI107),ABS(AI108))=AI118,0.5,IF(SUM(ABS(AI106),ABS(AI107),ABS(AI108))&gt;AI118,1,0)))</f>
        <v>0</v>
      </c>
      <c r="AK106" s="188"/>
      <c r="AL106" s="109">
        <f>IF(SUM(AK106:AK108)+AK118=0,0,IF(SUM(ABS(AK106),ABS(AK107),ABS(AK108))=AK118,0.5,IF(SUM(ABS(AK106),ABS(AK107),ABS(AK108))&gt;AK118,1,0)))</f>
        <v>0</v>
      </c>
      <c r="AM106" s="188"/>
      <c r="AN106" s="109">
        <f>IF(SUM(AM106:AM108)+AM118=0,0,IF(SUM(ABS(AM106),ABS(AM107),ABS(AM108))=AM118,0.5,IF(SUM(ABS(AM106),ABS(AM107),ABS(AM108))&gt;AM118,1,0)))</f>
        <v>0</v>
      </c>
      <c r="AO106" s="188"/>
      <c r="AP106" s="109">
        <f>IF(SUM(AO106:AO108)+AO118=0,0,IF(SUM(ABS(AO106),ABS(AO107),ABS(AO108))=AO118,0.5,IF(SUM(ABS(AO106),ABS(AO107),ABS(AO108))&gt;AO118,1,0)))</f>
        <v>0</v>
      </c>
      <c r="AQ106" s="188"/>
      <c r="AR106" s="109">
        <f>IF(SUM(AQ106:AQ108)+AQ118=0,0,IF(SUM(ABS(AQ106),ABS(AQ107),ABS(AQ108))=AQ118,0.5,IF(SUM(ABS(AQ106),ABS(AQ107),ABS(AQ108))&gt;AQ118,1,0)))</f>
        <v>0</v>
      </c>
      <c r="AS106" s="188"/>
      <c r="AT106" s="109">
        <f>IF(SUM(AS106:AS108)+AS118=0,0,IF(SUM(ABS(AS106),ABS(AS107),ABS(AS108))=AS118,0.5,IF(SUM(ABS(AS106),ABS(AS107),ABS(AS108))&gt;AS118,1,0)))</f>
        <v>0</v>
      </c>
      <c r="AU106" s="110">
        <f t="shared" si="117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32"/>
        <v>16595</v>
      </c>
      <c r="BE106" s="213">
        <f t="shared" si="133"/>
        <v>0</v>
      </c>
      <c r="BF106" s="215">
        <f t="shared" si="134"/>
        <v>0</v>
      </c>
      <c r="BG106" s="215">
        <f t="shared" si="135"/>
        <v>0</v>
      </c>
      <c r="BH106" s="215" t="str">
        <f t="shared" si="118"/>
        <v/>
      </c>
      <c r="BI106" s="215" t="str">
        <f t="shared" si="119"/>
        <v/>
      </c>
      <c r="BJ106" s="215" t="str">
        <f t="shared" si="120"/>
        <v/>
      </c>
      <c r="BK106" s="215" t="str">
        <f t="shared" si="121"/>
        <v/>
      </c>
      <c r="BL106" s="215" t="str">
        <f t="shared" si="122"/>
        <v/>
      </c>
      <c r="BM106" s="215" t="str">
        <f t="shared" si="123"/>
        <v/>
      </c>
      <c r="BN106" s="215" t="str">
        <f t="shared" si="124"/>
        <v/>
      </c>
      <c r="BO106" s="215" t="str">
        <f t="shared" si="125"/>
        <v/>
      </c>
      <c r="BP106" s="215" t="str">
        <f t="shared" si="126"/>
        <v/>
      </c>
      <c r="BQ106" s="216"/>
      <c r="BR106" s="214"/>
      <c r="BS106" s="215">
        <f t="shared" si="136"/>
        <v>0</v>
      </c>
      <c r="BT106" s="215">
        <f t="shared" si="137"/>
        <v>0</v>
      </c>
      <c r="BU106" s="215" t="str">
        <f t="shared" si="138"/>
        <v>BK München 3</v>
      </c>
      <c r="BV106" s="214">
        <f t="shared" si="139"/>
        <v>2</v>
      </c>
      <c r="BW106" s="215">
        <f t="shared" si="140"/>
        <v>0</v>
      </c>
      <c r="BX106" s="215">
        <f>IF(COUNTIF(BH106:BP106,"&gt;0")&lt;Spielorte!$A$23,0,BE106/Spielorte!$A$23)</f>
        <v>0</v>
      </c>
      <c r="BY106" s="215">
        <f t="shared" si="141"/>
        <v>0</v>
      </c>
      <c r="BZ106" s="214">
        <f t="shared" si="127"/>
        <v>0</v>
      </c>
    </row>
    <row r="107" spans="1:78" ht="17.2" customHeight="1" x14ac:dyDescent="0.35">
      <c r="A107" s="368"/>
      <c r="B107" s="76" t="str">
        <f>IF(AA107=0,"",AA107)</f>
        <v>Hueber, Claudia</v>
      </c>
      <c r="C107" s="77">
        <f t="shared" si="129"/>
        <v>25550</v>
      </c>
      <c r="D107" s="78" t="str">
        <f t="shared" si="130"/>
        <v/>
      </c>
      <c r="E107" s="349"/>
      <c r="F107" s="78" t="str">
        <f t="shared" si="109"/>
        <v/>
      </c>
      <c r="G107" s="349"/>
      <c r="H107" s="78" t="str">
        <f t="shared" si="110"/>
        <v/>
      </c>
      <c r="I107" s="349"/>
      <c r="J107" s="78" t="str">
        <f t="shared" si="111"/>
        <v/>
      </c>
      <c r="K107" s="349"/>
      <c r="L107" s="78" t="str">
        <f t="shared" si="112"/>
        <v/>
      </c>
      <c r="M107" s="349"/>
      <c r="N107" s="78" t="str">
        <f t="shared" si="131"/>
        <v/>
      </c>
      <c r="O107" s="349"/>
      <c r="P107" s="78" t="str">
        <f t="shared" si="113"/>
        <v/>
      </c>
      <c r="Q107" s="349"/>
      <c r="R107" s="78" t="str">
        <f t="shared" si="114"/>
        <v/>
      </c>
      <c r="S107" s="349"/>
      <c r="T107" s="78" t="str">
        <f t="shared" si="115"/>
        <v/>
      </c>
      <c r="U107" s="349"/>
      <c r="V107" s="78" t="str">
        <f t="shared" si="116"/>
        <v/>
      </c>
      <c r="W107" s="349"/>
      <c r="Z107" s="352"/>
      <c r="AA107" s="108" t="str">
        <f>IF(AB107=0,"",VLOOKUP(AB107,Starter!$A$1:$D$199,2,FALSE))</f>
        <v>Hueber, Claudia</v>
      </c>
      <c r="AB107" s="98">
        <v>25550</v>
      </c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7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32"/>
        <v>25550</v>
      </c>
      <c r="BE107" s="213">
        <f t="shared" si="133"/>
        <v>0</v>
      </c>
      <c r="BF107" s="215">
        <f t="shared" si="134"/>
        <v>0</v>
      </c>
      <c r="BG107" s="215">
        <f t="shared" si="135"/>
        <v>0</v>
      </c>
      <c r="BH107" s="215" t="str">
        <f t="shared" si="118"/>
        <v/>
      </c>
      <c r="BI107" s="215" t="str">
        <f t="shared" si="119"/>
        <v/>
      </c>
      <c r="BJ107" s="215" t="str">
        <f t="shared" si="120"/>
        <v/>
      </c>
      <c r="BK107" s="215" t="str">
        <f t="shared" si="121"/>
        <v/>
      </c>
      <c r="BL107" s="215" t="str">
        <f t="shared" si="122"/>
        <v/>
      </c>
      <c r="BM107" s="215" t="str">
        <f t="shared" si="123"/>
        <v/>
      </c>
      <c r="BN107" s="215" t="str">
        <f t="shared" si="124"/>
        <v/>
      </c>
      <c r="BO107" s="215" t="str">
        <f t="shared" si="125"/>
        <v/>
      </c>
      <c r="BP107" s="215" t="str">
        <f t="shared" si="126"/>
        <v/>
      </c>
      <c r="BQ107" s="216"/>
      <c r="BR107" s="214"/>
      <c r="BS107" s="215">
        <f t="shared" si="136"/>
        <v>0</v>
      </c>
      <c r="BT107" s="215">
        <f t="shared" si="137"/>
        <v>0</v>
      </c>
      <c r="BU107" s="215" t="str">
        <f t="shared" si="138"/>
        <v>BK München 3</v>
      </c>
      <c r="BV107" s="214">
        <f t="shared" si="139"/>
        <v>2</v>
      </c>
      <c r="BW107" s="215">
        <f t="shared" si="140"/>
        <v>0</v>
      </c>
      <c r="BX107" s="215">
        <f>IF(COUNTIF(BH107:BP107,"&gt;0")&lt;Spielorte!$A$23,0,BE107/Spielorte!$A$23)</f>
        <v>0</v>
      </c>
      <c r="BY107" s="215">
        <f t="shared" si="141"/>
        <v>0</v>
      </c>
      <c r="BZ107" s="214">
        <f t="shared" si="127"/>
        <v>0</v>
      </c>
    </row>
    <row r="108" spans="1:78" ht="17.2" customHeight="1" thickBot="1" x14ac:dyDescent="0.4">
      <c r="A108" s="369"/>
      <c r="B108" s="79" t="str">
        <f>IF(AA108=0,"",AA108)</f>
        <v/>
      </c>
      <c r="C108" s="80" t="str">
        <f t="shared" si="129"/>
        <v/>
      </c>
      <c r="D108" s="69" t="str">
        <f t="shared" si="130"/>
        <v/>
      </c>
      <c r="E108" s="350"/>
      <c r="F108" s="69" t="str">
        <f t="shared" si="109"/>
        <v/>
      </c>
      <c r="G108" s="350"/>
      <c r="H108" s="69" t="str">
        <f t="shared" si="110"/>
        <v/>
      </c>
      <c r="I108" s="350"/>
      <c r="J108" s="69" t="str">
        <f t="shared" si="111"/>
        <v/>
      </c>
      <c r="K108" s="350"/>
      <c r="L108" s="69" t="str">
        <f t="shared" si="112"/>
        <v/>
      </c>
      <c r="M108" s="350"/>
      <c r="N108" s="69" t="str">
        <f t="shared" si="131"/>
        <v/>
      </c>
      <c r="O108" s="350"/>
      <c r="P108" s="69" t="str">
        <f t="shared" si="113"/>
        <v/>
      </c>
      <c r="Q108" s="350"/>
      <c r="R108" s="69" t="str">
        <f t="shared" si="114"/>
        <v/>
      </c>
      <c r="S108" s="350"/>
      <c r="T108" s="69" t="str">
        <f t="shared" si="115"/>
        <v/>
      </c>
      <c r="U108" s="350"/>
      <c r="V108" s="69" t="str">
        <f t="shared" si="116"/>
        <v/>
      </c>
      <c r="W108" s="350"/>
      <c r="Z108" s="353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7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32"/>
        <v>0</v>
      </c>
      <c r="BE108" s="213">
        <f t="shared" si="133"/>
        <v>0</v>
      </c>
      <c r="BF108" s="215">
        <f t="shared" si="134"/>
        <v>0</v>
      </c>
      <c r="BG108" s="215">
        <f t="shared" si="135"/>
        <v>0</v>
      </c>
      <c r="BH108" s="215" t="str">
        <f t="shared" si="118"/>
        <v/>
      </c>
      <c r="BI108" s="215" t="str">
        <f t="shared" si="119"/>
        <v/>
      </c>
      <c r="BJ108" s="215" t="str">
        <f t="shared" si="120"/>
        <v/>
      </c>
      <c r="BK108" s="215" t="str">
        <f t="shared" si="121"/>
        <v/>
      </c>
      <c r="BL108" s="215" t="str">
        <f t="shared" si="122"/>
        <v/>
      </c>
      <c r="BM108" s="215" t="str">
        <f t="shared" si="123"/>
        <v/>
      </c>
      <c r="BN108" s="215" t="str">
        <f t="shared" si="124"/>
        <v/>
      </c>
      <c r="BO108" s="215" t="str">
        <f t="shared" si="125"/>
        <v/>
      </c>
      <c r="BP108" s="215" t="str">
        <f t="shared" si="126"/>
        <v/>
      </c>
      <c r="BQ108" s="216"/>
      <c r="BR108" s="214"/>
      <c r="BS108" s="215">
        <f t="shared" si="136"/>
        <v>0</v>
      </c>
      <c r="BT108" s="215">
        <f t="shared" si="137"/>
        <v>0</v>
      </c>
      <c r="BU108" s="215" t="str">
        <f t="shared" si="138"/>
        <v>BK München 3</v>
      </c>
      <c r="BV108" s="214">
        <f t="shared" si="139"/>
        <v>2</v>
      </c>
      <c r="BW108" s="215">
        <f t="shared" si="140"/>
        <v>0</v>
      </c>
      <c r="BX108" s="215">
        <f>IF(COUNTIF(BH108:BP108,"&gt;0")&lt;Spielorte!$A$23,0,BE108/Spielorte!$A$23)</f>
        <v>0</v>
      </c>
      <c r="BY108" s="215">
        <f t="shared" si="141"/>
        <v>0</v>
      </c>
      <c r="BZ108" s="214">
        <f t="shared" si="127"/>
        <v>0</v>
      </c>
    </row>
    <row r="109" spans="1:78" ht="27.75" customHeight="1" thickBot="1" x14ac:dyDescent="0.4">
      <c r="B109" s="81" t="str">
        <f>IF(AA109=0,"",AA109)</f>
        <v>Gesamt</v>
      </c>
      <c r="C109" s="82" t="str">
        <f t="shared" si="129"/>
        <v/>
      </c>
      <c r="D109" s="83" t="str">
        <f t="shared" si="130"/>
        <v/>
      </c>
      <c r="E109" s="84">
        <f>IF(AD109="","",AD109)</f>
        <v>0</v>
      </c>
      <c r="F109" s="83" t="str">
        <f t="shared" si="109"/>
        <v/>
      </c>
      <c r="G109" s="84">
        <f>IF(AF109="","",AF109)</f>
        <v>0</v>
      </c>
      <c r="H109" s="83" t="str">
        <f t="shared" si="110"/>
        <v/>
      </c>
      <c r="I109" s="84">
        <f>IF(AH109="","",AH109)</f>
        <v>0</v>
      </c>
      <c r="J109" s="83" t="str">
        <f t="shared" si="111"/>
        <v/>
      </c>
      <c r="K109" s="84">
        <f>IF(AJ109="","",AJ109)</f>
        <v>0</v>
      </c>
      <c r="L109" s="83" t="str">
        <f t="shared" si="112"/>
        <v/>
      </c>
      <c r="M109" s="84">
        <f>IF(AL109="","",AL109)</f>
        <v>0</v>
      </c>
      <c r="N109" s="83" t="str">
        <f t="shared" si="131"/>
        <v/>
      </c>
      <c r="O109" s="84">
        <f>IF(AN109="","",AN109)</f>
        <v>0</v>
      </c>
      <c r="P109" s="83" t="str">
        <f t="shared" si="113"/>
        <v/>
      </c>
      <c r="Q109" s="84">
        <f>IF(AP109="","",AP109)</f>
        <v>0</v>
      </c>
      <c r="R109" s="83" t="str">
        <f t="shared" si="114"/>
        <v/>
      </c>
      <c r="S109" s="84">
        <f>IF(AR109="","",AR109)</f>
        <v>0</v>
      </c>
      <c r="T109" s="83" t="str">
        <f t="shared" si="115"/>
        <v/>
      </c>
      <c r="U109" s="84">
        <f>IF(AT109="","",AT109)</f>
        <v>0</v>
      </c>
      <c r="V109" s="83" t="str">
        <f t="shared" si="116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4">
      <c r="B110" s="85" t="str">
        <f>IF(AA110=0,"",AA110)</f>
        <v>Gesamt - Punkte</v>
      </c>
      <c r="C110" s="86" t="str">
        <f t="shared" si="129"/>
        <v/>
      </c>
      <c r="D110" s="86" t="str">
        <f t="shared" si="130"/>
        <v/>
      </c>
      <c r="E110" s="87">
        <f>IF(AD110="","",AD110)</f>
        <v>0</v>
      </c>
      <c r="F110" s="86" t="str">
        <f t="shared" si="109"/>
        <v/>
      </c>
      <c r="G110" s="87">
        <f>IF(AF110="","",AF110)</f>
        <v>0</v>
      </c>
      <c r="H110" s="86" t="str">
        <f t="shared" si="110"/>
        <v/>
      </c>
      <c r="I110" s="87">
        <f>IF(AH110="","",AH110)</f>
        <v>0</v>
      </c>
      <c r="J110" s="86" t="str">
        <f t="shared" si="111"/>
        <v/>
      </c>
      <c r="K110" s="87">
        <f>IF(AJ110="","",AJ110)</f>
        <v>0</v>
      </c>
      <c r="L110" s="86" t="str">
        <f t="shared" si="112"/>
        <v/>
      </c>
      <c r="M110" s="87">
        <f>IF(AL110="","",AL110)</f>
        <v>0</v>
      </c>
      <c r="N110" s="86" t="str">
        <f t="shared" si="131"/>
        <v/>
      </c>
      <c r="O110" s="87">
        <f>IF(AN110="","",AN110)</f>
        <v>0</v>
      </c>
      <c r="P110" s="86" t="str">
        <f t="shared" si="113"/>
        <v/>
      </c>
      <c r="Q110" s="87">
        <f>IF(AP110="","",AP110)</f>
        <v>0</v>
      </c>
      <c r="R110" s="86" t="str">
        <f t="shared" si="114"/>
        <v/>
      </c>
      <c r="S110" s="87">
        <f>IF(AR110="","",AR110)</f>
        <v>0</v>
      </c>
      <c r="T110" s="86" t="str">
        <f t="shared" si="115"/>
        <v/>
      </c>
      <c r="U110" s="87">
        <f>IF(AT110="","",AT110)</f>
        <v>0</v>
      </c>
      <c r="V110" s="86" t="str">
        <f t="shared" si="116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10</v>
      </c>
      <c r="BV110" s="214"/>
      <c r="BZ110" s="214"/>
    </row>
    <row r="111" spans="1:78" ht="11.25" customHeight="1" x14ac:dyDescent="0.3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35">
      <c r="B112" s="88" t="str">
        <f t="shared" ref="B112:B119" si="142">IF(AA112=0,"",AA112)</f>
        <v>Gegner-Nr.:</v>
      </c>
      <c r="C112" s="89" t="str">
        <f t="shared" ref="C112:C119" si="143">IF(AB112=0,"",AB112)</f>
        <v>&gt;&gt;&gt;&gt;</v>
      </c>
      <c r="D112" s="346">
        <f t="shared" ref="D112:M114" si="144">IF(AC112=0,"",AC112)</f>
        <v>7</v>
      </c>
      <c r="E112" s="346" t="str">
        <f t="shared" si="144"/>
        <v/>
      </c>
      <c r="F112" s="346">
        <f t="shared" si="144"/>
        <v>2</v>
      </c>
      <c r="G112" s="346" t="str">
        <f t="shared" si="144"/>
        <v/>
      </c>
      <c r="H112" s="346">
        <f t="shared" si="144"/>
        <v>9</v>
      </c>
      <c r="I112" s="346" t="str">
        <f t="shared" si="144"/>
        <v/>
      </c>
      <c r="J112" s="346">
        <f t="shared" si="144"/>
        <v>10</v>
      </c>
      <c r="K112" s="346" t="str">
        <f t="shared" si="144"/>
        <v/>
      </c>
      <c r="L112" s="346">
        <f t="shared" si="144"/>
        <v>6</v>
      </c>
      <c r="M112" s="346" t="str">
        <f t="shared" si="144"/>
        <v/>
      </c>
      <c r="N112" s="346">
        <f t="shared" ref="N112:U114" si="145">IF(AM112=0,"",AM112)</f>
        <v>8</v>
      </c>
      <c r="O112" s="346" t="str">
        <f t="shared" si="145"/>
        <v/>
      </c>
      <c r="P112" s="346">
        <f t="shared" si="145"/>
        <v>1</v>
      </c>
      <c r="Q112" s="346" t="str">
        <f t="shared" si="145"/>
        <v/>
      </c>
      <c r="R112" s="346">
        <f t="shared" si="145"/>
        <v>3</v>
      </c>
      <c r="S112" s="346" t="str">
        <f t="shared" si="145"/>
        <v/>
      </c>
      <c r="T112" s="346">
        <f t="shared" si="145"/>
        <v>5</v>
      </c>
      <c r="U112" s="346" t="str">
        <f t="shared" si="145"/>
        <v/>
      </c>
      <c r="V112" s="347"/>
      <c r="W112" s="347"/>
      <c r="AA112" s="88" t="s">
        <v>1797</v>
      </c>
      <c r="AB112" s="89" t="s">
        <v>1798</v>
      </c>
      <c r="AC112" s="370">
        <f>VLOOKUP($AA92,Schlüssel!$A$5:$K$14,3)</f>
        <v>7</v>
      </c>
      <c r="AD112" s="371"/>
      <c r="AE112" s="370">
        <f>VLOOKUP($AA92,Schlüssel!$A$5:$K$14,4)</f>
        <v>2</v>
      </c>
      <c r="AF112" s="371"/>
      <c r="AG112" s="370">
        <f>VLOOKUP($AA92,Schlüssel!$A$5:$K$14,5)</f>
        <v>9</v>
      </c>
      <c r="AH112" s="371"/>
      <c r="AI112" s="370">
        <f>VLOOKUP($AA92,Schlüssel!$A$5:$K$14,6)</f>
        <v>10</v>
      </c>
      <c r="AJ112" s="371"/>
      <c r="AK112" s="370">
        <f>VLOOKUP($AA92,Schlüssel!$A$5:$K$14,7)</f>
        <v>6</v>
      </c>
      <c r="AL112" s="371"/>
      <c r="AM112" s="370">
        <f>VLOOKUP($AA92,Schlüssel!$A$5:$K$14,8)</f>
        <v>8</v>
      </c>
      <c r="AN112" s="371"/>
      <c r="AO112" s="370">
        <f>VLOOKUP($AA92,Schlüssel!$A$5:$K$14,9)</f>
        <v>1</v>
      </c>
      <c r="AP112" s="371"/>
      <c r="AQ112" s="370">
        <f>VLOOKUP($AA92,Schlüssel!$A$5:$K$14,10)</f>
        <v>3</v>
      </c>
      <c r="AR112" s="371"/>
      <c r="AS112" s="370">
        <f>VLOOKUP($AA92,Schlüssel!$A$5:$K$14,11)</f>
        <v>5</v>
      </c>
      <c r="AT112" s="371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35">
      <c r="B113" s="90" t="str">
        <f t="shared" si="142"/>
        <v/>
      </c>
      <c r="C113" s="86" t="str">
        <f t="shared" si="143"/>
        <v/>
      </c>
      <c r="D113" s="343" t="str">
        <f t="shared" si="144"/>
        <v>Frankenpower Nürnberg</v>
      </c>
      <c r="E113" s="344" t="str">
        <f t="shared" si="144"/>
        <v/>
      </c>
      <c r="F113" s="343" t="str">
        <f t="shared" si="144"/>
        <v>BK München 2</v>
      </c>
      <c r="G113" s="344" t="str">
        <f t="shared" si="144"/>
        <v/>
      </c>
      <c r="H113" s="343" t="str">
        <f t="shared" si="144"/>
        <v>RW Lichtenhof 69 Stein 2</v>
      </c>
      <c r="I113" s="344" t="str">
        <f t="shared" si="144"/>
        <v/>
      </c>
      <c r="J113" s="343" t="str">
        <f t="shared" si="144"/>
        <v>BK München 4</v>
      </c>
      <c r="K113" s="344" t="str">
        <f t="shared" si="144"/>
        <v/>
      </c>
      <c r="L113" s="343" t="str">
        <f t="shared" si="144"/>
        <v>Phönix 03 Lauf</v>
      </c>
      <c r="M113" s="344" t="str">
        <f t="shared" si="144"/>
        <v/>
      </c>
      <c r="N113" s="343" t="str">
        <f t="shared" si="145"/>
        <v>EPA München 1</v>
      </c>
      <c r="O113" s="344" t="str">
        <f t="shared" si="145"/>
        <v/>
      </c>
      <c r="P113" s="343" t="str">
        <f t="shared" si="145"/>
        <v>Praetoria Regensburg</v>
      </c>
      <c r="Q113" s="344" t="str">
        <f t="shared" si="145"/>
        <v/>
      </c>
      <c r="R113" s="343" t="str">
        <f t="shared" si="145"/>
        <v>Highroller Rosenheim</v>
      </c>
      <c r="S113" s="344" t="str">
        <f t="shared" si="145"/>
        <v/>
      </c>
      <c r="T113" s="343" t="str">
        <f t="shared" si="145"/>
        <v xml:space="preserve">Weiß Blau Unterföhring </v>
      </c>
      <c r="U113" s="344" t="str">
        <f t="shared" si="145"/>
        <v/>
      </c>
      <c r="V113" s="345"/>
      <c r="W113" s="345"/>
      <c r="AA113" s="90"/>
      <c r="AB113" s="86"/>
      <c r="AC113" s="343" t="str">
        <f>VLOOKUP(AC112,Schlüssel!$A$5:$K$14,2)</f>
        <v>Frankenpower Nürnberg</v>
      </c>
      <c r="AD113" s="344"/>
      <c r="AE113" s="343" t="str">
        <f>VLOOKUP(AE112,Schlüssel!$A$5:$K$14,2)</f>
        <v>BK München 2</v>
      </c>
      <c r="AF113" s="344"/>
      <c r="AG113" s="343" t="str">
        <f>VLOOKUP(AG112,Schlüssel!$A$5:$K$14,2)</f>
        <v>RW Lichtenhof 69 Stein 2</v>
      </c>
      <c r="AH113" s="344"/>
      <c r="AI113" s="343" t="str">
        <f>VLOOKUP(AI112,Schlüssel!$A$5:$K$14,2)</f>
        <v>BK München 4</v>
      </c>
      <c r="AJ113" s="344"/>
      <c r="AK113" s="343" t="str">
        <f>VLOOKUP(AK112,Schlüssel!$A$5:$K$14,2)</f>
        <v>Phönix 03 Lauf</v>
      </c>
      <c r="AL113" s="344"/>
      <c r="AM113" s="343" t="str">
        <f>VLOOKUP(AM112,Schlüssel!$A$5:$K$14,2)</f>
        <v>EPA München 1</v>
      </c>
      <c r="AN113" s="344"/>
      <c r="AO113" s="343" t="str">
        <f>VLOOKUP(AO112,Schlüssel!$A$5:$K$14,2)</f>
        <v>Praetoria Regensburg</v>
      </c>
      <c r="AP113" s="344"/>
      <c r="AQ113" s="343" t="str">
        <f>VLOOKUP(AQ112,Schlüssel!$A$5:$K$14,2)</f>
        <v>Highroller Rosenheim</v>
      </c>
      <c r="AR113" s="344"/>
      <c r="AS113" s="343" t="str">
        <f>VLOOKUP(AS112,Schlüssel!$A$5:$EK$14,2)</f>
        <v xml:space="preserve">Weiß Blau Unterföhring </v>
      </c>
      <c r="AT113" s="344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35">
      <c r="B114" s="90" t="str">
        <f t="shared" si="142"/>
        <v/>
      </c>
      <c r="C114" s="86" t="str">
        <f t="shared" si="143"/>
        <v/>
      </c>
      <c r="D114" s="341" t="str">
        <f t="shared" si="144"/>
        <v/>
      </c>
      <c r="E114" s="341" t="str">
        <f t="shared" si="144"/>
        <v/>
      </c>
      <c r="F114" s="341" t="str">
        <f t="shared" si="144"/>
        <v/>
      </c>
      <c r="G114" s="341" t="str">
        <f t="shared" si="144"/>
        <v/>
      </c>
      <c r="H114" s="341" t="str">
        <f t="shared" si="144"/>
        <v/>
      </c>
      <c r="I114" s="341" t="str">
        <f t="shared" si="144"/>
        <v/>
      </c>
      <c r="J114" s="341" t="str">
        <f t="shared" si="144"/>
        <v/>
      </c>
      <c r="K114" s="341" t="str">
        <f t="shared" si="144"/>
        <v/>
      </c>
      <c r="L114" s="341" t="str">
        <f t="shared" si="144"/>
        <v/>
      </c>
      <c r="M114" s="341" t="str">
        <f t="shared" si="144"/>
        <v/>
      </c>
      <c r="N114" s="341" t="str">
        <f t="shared" si="145"/>
        <v/>
      </c>
      <c r="O114" s="341" t="str">
        <f t="shared" si="145"/>
        <v/>
      </c>
      <c r="P114" s="341" t="str">
        <f t="shared" si="145"/>
        <v/>
      </c>
      <c r="Q114" s="341" t="str">
        <f t="shared" si="145"/>
        <v/>
      </c>
      <c r="R114" s="341" t="str">
        <f t="shared" si="145"/>
        <v/>
      </c>
      <c r="S114" s="341" t="str">
        <f t="shared" si="145"/>
        <v/>
      </c>
      <c r="T114" s="341" t="str">
        <f t="shared" si="145"/>
        <v/>
      </c>
      <c r="U114" s="342" t="str">
        <f t="shared" si="145"/>
        <v/>
      </c>
      <c r="V114" s="301"/>
      <c r="W114" s="301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6.05" customHeight="1" x14ac:dyDescent="0.35">
      <c r="B115" s="365" t="str">
        <f t="shared" si="142"/>
        <v>Spieler 1</v>
      </c>
      <c r="C115" s="366" t="str">
        <f t="shared" si="143"/>
        <v/>
      </c>
      <c r="D115" s="339">
        <f>IF(AC115=301,"",AC115)</f>
        <v>188</v>
      </c>
      <c r="E115" s="339" t="str">
        <f>IF(AD115=0,"",AD115)</f>
        <v/>
      </c>
      <c r="F115" s="339">
        <f>IF(AE115=301,"",AE115)</f>
        <v>167</v>
      </c>
      <c r="G115" s="339" t="str">
        <f>IF(AF115=0,"",AF115)</f>
        <v/>
      </c>
      <c r="H115" s="339">
        <f>IF(AG115=301,"",AG115)</f>
        <v>180</v>
      </c>
      <c r="I115" s="339" t="str">
        <f>IF(AH115=0,"",AH115)</f>
        <v/>
      </c>
      <c r="J115" s="339">
        <f>IF(AI115=301,"",AI115)</f>
        <v>168</v>
      </c>
      <c r="K115" s="339" t="str">
        <f>IF(AJ115=0,"",AJ115)</f>
        <v/>
      </c>
      <c r="L115" s="339">
        <f>IF(AK115=301,"",AK115)</f>
        <v>135</v>
      </c>
      <c r="M115" s="339" t="str">
        <f>IF(AL115=0,"",AL115)</f>
        <v/>
      </c>
      <c r="N115" s="339">
        <f>IF(AM115=301,"",AM115)</f>
        <v>203</v>
      </c>
      <c r="O115" s="339" t="str">
        <f>IF(AN115=0,"",AN115)</f>
        <v/>
      </c>
      <c r="P115" s="339">
        <f>IF(AO115=301,"",AO115)</f>
        <v>194</v>
      </c>
      <c r="Q115" s="339" t="str">
        <f>IF(AP115=0,"",AP115)</f>
        <v/>
      </c>
      <c r="R115" s="339">
        <f>IF(AQ115=301,"",AQ115)</f>
        <v>153</v>
      </c>
      <c r="S115" s="339" t="str">
        <f>IF(AR115=0,"",AR115)</f>
        <v/>
      </c>
      <c r="T115" s="339">
        <f>IF(AS115=301,"",AS115)</f>
        <v>178</v>
      </c>
      <c r="U115" s="339" t="str">
        <f>IF(AT115=0,"",AT115)</f>
        <v/>
      </c>
      <c r="V115" s="340"/>
      <c r="W115" s="340"/>
      <c r="AA115" s="91" t="s">
        <v>0</v>
      </c>
      <c r="AB115" s="92"/>
      <c r="AC115" s="372">
        <f>ABS(INDEX(AC:AC,MATCH(AC112,$AA:$AA,0)+5)+INDEX(AC:AC,MATCH(AC112,$AA:$AA,0)+6)+INDEX(AC:AC,MATCH(AC112,$AA:$AA,0)+7))</f>
        <v>188</v>
      </c>
      <c r="AD115" s="373"/>
      <c r="AE115" s="372">
        <f>ABS(INDEX(AE:AE,MATCH(AE112,$AA:$AA,0)+5)+INDEX(AE:AE,MATCH(AE112,$AA:$AA,0)+6)+INDEX(AE:AE,MATCH(AE112,$AA:$AA,0)+7))</f>
        <v>167</v>
      </c>
      <c r="AF115" s="373"/>
      <c r="AG115" s="372">
        <f>ABS(INDEX(AG:AG,MATCH(AG112,$AA:$AA,0)+5)+INDEX(AG:AG,MATCH(AG112,$AA:$AA,0)+6)+INDEX(AG:AG,MATCH(AG112,$AA:$AA,0)+7))</f>
        <v>180</v>
      </c>
      <c r="AH115" s="373"/>
      <c r="AI115" s="372">
        <f>ABS(INDEX(AI:AI,MATCH(AI112,$AA:$AA,0)+5)+INDEX(AI:AI,MATCH(AI112,$AA:$AA,0)+6)+INDEX(AI:AI,MATCH(AI112,$AA:$AA,0)+7))</f>
        <v>168</v>
      </c>
      <c r="AJ115" s="373"/>
      <c r="AK115" s="372">
        <f>ABS(INDEX(AK:AK,MATCH(AK112,$AA:$AA,0)+5)+INDEX(AK:AK,MATCH(AK112,$AA:$AA,0)+6)+INDEX(AK:AK,MATCH(AK112,$AA:$AA,0)+7))</f>
        <v>135</v>
      </c>
      <c r="AL115" s="373"/>
      <c r="AM115" s="372">
        <f>ABS(INDEX(AM:AM,MATCH(AM112,$AA:$AA,0)+5)+INDEX(AM:AM,MATCH(AM112,$AA:$AA,0)+6)+INDEX(AM:AM,MATCH(AM112,$AA:$AA,0)+7))</f>
        <v>203</v>
      </c>
      <c r="AN115" s="373"/>
      <c r="AO115" s="372">
        <f>ABS(INDEX(AO:AO,MATCH(AO112,$AA:$AA,0)+5)+INDEX(AO:AO,MATCH(AO112,$AA:$AA,0)+6)+INDEX(AO:AO,MATCH(AO112,$AA:$AA,0)+7))</f>
        <v>194</v>
      </c>
      <c r="AP115" s="373"/>
      <c r="AQ115" s="372">
        <f>ABS(INDEX(AQ:AQ,MATCH(AQ112,$AA:$AA,0)+5)+INDEX(AQ:AQ,MATCH(AQ112,$AA:$AA,0)+6)+INDEX(AQ:AQ,MATCH(AQ112,$AA:$AA,0)+7))</f>
        <v>153</v>
      </c>
      <c r="AR115" s="373"/>
      <c r="AS115" s="372">
        <f>ABS(INDEX(AS:AS,MATCH(AS112,$AA:$AA,0)+5)+INDEX(AS:AS,MATCH(AS112,$AA:$AA,0)+6)+INDEX(AS:AS,MATCH(AS112,$AA:$AA,0)+7))</f>
        <v>178</v>
      </c>
      <c r="AT115" s="373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6.05" customHeight="1" x14ac:dyDescent="0.35">
      <c r="B116" s="365" t="str">
        <f t="shared" si="142"/>
        <v>Spieler 2</v>
      </c>
      <c r="C116" s="366" t="str">
        <f t="shared" si="143"/>
        <v/>
      </c>
      <c r="D116" s="339">
        <f>IF(AC116=301,"",AC116)</f>
        <v>119</v>
      </c>
      <c r="E116" s="339" t="str">
        <f>IF(AD116=0,"",AD116)</f>
        <v/>
      </c>
      <c r="F116" s="339">
        <f>IF(AE116=301,"",AE116)</f>
        <v>166</v>
      </c>
      <c r="G116" s="339" t="str">
        <f>IF(AF116=0,"",AF116)</f>
        <v/>
      </c>
      <c r="H116" s="339">
        <f>IF(AG116=301,"",AG116)</f>
        <v>119</v>
      </c>
      <c r="I116" s="339" t="str">
        <f>IF(AH116=0,"",AH116)</f>
        <v/>
      </c>
      <c r="J116" s="339">
        <f>IF(AI116=301,"",AI116)</f>
        <v>151</v>
      </c>
      <c r="K116" s="339" t="str">
        <f>IF(AJ116=0,"",AJ116)</f>
        <v/>
      </c>
      <c r="L116" s="339">
        <f>IF(AK116=301,"",AK116)</f>
        <v>186</v>
      </c>
      <c r="M116" s="339" t="str">
        <f>IF(AL116=0,"",AL116)</f>
        <v/>
      </c>
      <c r="N116" s="339">
        <f>IF(AM116=301,"",AM116)</f>
        <v>205</v>
      </c>
      <c r="O116" s="339" t="str">
        <f>IF(AN116=0,"",AN116)</f>
        <v/>
      </c>
      <c r="P116" s="339">
        <f>IF(AO116=301,"",AO116)</f>
        <v>216</v>
      </c>
      <c r="Q116" s="339" t="str">
        <f>IF(AP116=0,"",AP116)</f>
        <v/>
      </c>
      <c r="R116" s="339">
        <f>IF(AQ116=301,"",AQ116)</f>
        <v>155</v>
      </c>
      <c r="S116" s="339" t="str">
        <f>IF(AR116=0,"",AR116)</f>
        <v/>
      </c>
      <c r="T116" s="339">
        <f>IF(AS116=301,"",AS116)</f>
        <v>162</v>
      </c>
      <c r="U116" s="339" t="str">
        <f>IF(AT116=0,"",AT116)</f>
        <v/>
      </c>
      <c r="V116" s="340"/>
      <c r="W116" s="340"/>
      <c r="AA116" s="91" t="s">
        <v>2</v>
      </c>
      <c r="AB116" s="92"/>
      <c r="AC116" s="374">
        <f>ABS(INDEX(AC:AC,MATCH(AC112,$AA:$AA,0)+8)+INDEX(AC:AC,MATCH(AC112,$AA:$AA,0)+9)+INDEX(AC:AC,MATCH(AC112,$AA:$AA,0)+10))</f>
        <v>119</v>
      </c>
      <c r="AD116" s="375"/>
      <c r="AE116" s="374">
        <f>ABS(INDEX(AE:AE,MATCH(AE112,$AA:$AA,0)+8)+INDEX(AE:AE,MATCH(AE112,$AA:$AA,0)+9)+INDEX(AE:AE,MATCH(AE112,$AA:$AA,0)+10))</f>
        <v>166</v>
      </c>
      <c r="AF116" s="375"/>
      <c r="AG116" s="374">
        <f>ABS(INDEX(AG:AG,MATCH(AG112,$AA:$AA,0)+8)+INDEX(AG:AG,MATCH(AG112,$AA:$AA,0)+9)+INDEX(AG:AG,MATCH(AG112,$AA:$AA,0)+10))</f>
        <v>119</v>
      </c>
      <c r="AH116" s="375"/>
      <c r="AI116" s="374">
        <f>ABS(INDEX(AI:AI,MATCH(AI112,$AA:$AA,0)+8)+INDEX(AI:AI,MATCH(AI112,$AA:$AA,0)+9)+INDEX(AI:AI,MATCH(AI112,$AA:$AA,0)+10))</f>
        <v>151</v>
      </c>
      <c r="AJ116" s="375"/>
      <c r="AK116" s="374">
        <f>ABS(INDEX(AK:AK,MATCH(AK112,$AA:$AA,0)+8)+INDEX(AK:AK,MATCH(AK112,$AA:$AA,0)+9)+INDEX(AK:AK,MATCH(AK112,$AA:$AA,0)+10))</f>
        <v>186</v>
      </c>
      <c r="AL116" s="375"/>
      <c r="AM116" s="374">
        <f>ABS(INDEX(AM:AM,MATCH(AM112,$AA:$AA,0)+8)+INDEX(AM:AM,MATCH(AM112,$AA:$AA,0)+9)+INDEX(AM:AM,MATCH(AM112,$AA:$AA,0)+10))</f>
        <v>205</v>
      </c>
      <c r="AN116" s="375"/>
      <c r="AO116" s="374">
        <f>ABS(INDEX(AO:AO,MATCH(AO112,$AA:$AA,0)+8)+INDEX(AO:AO,MATCH(AO112,$AA:$AA,0)+9)+INDEX(AO:AO,MATCH(AO112,$AA:$AA,0)+10))</f>
        <v>216</v>
      </c>
      <c r="AP116" s="375"/>
      <c r="AQ116" s="374">
        <f>ABS(INDEX(AQ:AQ,MATCH(AQ112,$AA:$AA,0)+8)+INDEX(AQ:AQ,MATCH(AQ112,$AA:$AA,0)+9)+INDEX(AQ:AQ,MATCH(AQ112,$AA:$AA,0)+10))</f>
        <v>155</v>
      </c>
      <c r="AR116" s="375"/>
      <c r="AS116" s="374">
        <f>ABS(INDEX(AS:AS,MATCH(AS112,$AA:$AA,0)+8)+INDEX(AS:AS,MATCH(AS112,$AA:$AA,0)+9)+INDEX(AS:AS,MATCH(AS112,$AA:$AA,0)+10))</f>
        <v>162</v>
      </c>
      <c r="AT116" s="37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6.05" customHeight="1" x14ac:dyDescent="0.35">
      <c r="B117" s="365" t="str">
        <f t="shared" si="142"/>
        <v>Spieler 3</v>
      </c>
      <c r="C117" s="366" t="str">
        <f t="shared" si="143"/>
        <v/>
      </c>
      <c r="D117" s="339">
        <f>IF(AC117=301,"",AC117)</f>
        <v>207</v>
      </c>
      <c r="E117" s="339" t="str">
        <f>IF(AD117=0,"",AD117)</f>
        <v/>
      </c>
      <c r="F117" s="339">
        <f>IF(AE117=301,"",AE117)</f>
        <v>157</v>
      </c>
      <c r="G117" s="339" t="str">
        <f>IF(AF117=0,"",AF117)</f>
        <v/>
      </c>
      <c r="H117" s="339">
        <f>IF(AG117=301,"",AG117)</f>
        <v>156</v>
      </c>
      <c r="I117" s="339" t="str">
        <f>IF(AH117=0,"",AH117)</f>
        <v/>
      </c>
      <c r="J117" s="339">
        <f>IF(AI117=301,"",AI117)</f>
        <v>157</v>
      </c>
      <c r="K117" s="339" t="str">
        <f>IF(AJ117=0,"",AJ117)</f>
        <v/>
      </c>
      <c r="L117" s="339">
        <f>IF(AK117=301,"",AK117)</f>
        <v>201</v>
      </c>
      <c r="M117" s="339" t="str">
        <f>IF(AL117=0,"",AL117)</f>
        <v/>
      </c>
      <c r="N117" s="339">
        <f>IF(AM117=301,"",AM117)</f>
        <v>193</v>
      </c>
      <c r="O117" s="339" t="str">
        <f>IF(AN117=0,"",AN117)</f>
        <v/>
      </c>
      <c r="P117" s="339">
        <f>IF(AO117=301,"",AO117)</f>
        <v>182</v>
      </c>
      <c r="Q117" s="339" t="str">
        <f>IF(AP117=0,"",AP117)</f>
        <v/>
      </c>
      <c r="R117" s="339">
        <f>IF(AQ117=301,"",AQ117)</f>
        <v>221</v>
      </c>
      <c r="S117" s="339" t="str">
        <f>IF(AR117=0,"",AR117)</f>
        <v/>
      </c>
      <c r="T117" s="339">
        <f>IF(AS117=301,"",AS117)</f>
        <v>128</v>
      </c>
      <c r="U117" s="339" t="str">
        <f>IF(AT117=0,"",AT117)</f>
        <v/>
      </c>
      <c r="V117" s="340"/>
      <c r="W117" s="340"/>
      <c r="AA117" s="91" t="s">
        <v>3</v>
      </c>
      <c r="AB117" s="92"/>
      <c r="AC117" s="374">
        <f>ABS(INDEX(AC:AC,MATCH(AC112,$AA:$AA,0)+11)+INDEX(AC:AC,MATCH(AC112,$AA:$AA,0)+12)+INDEX(AC:AC,MATCH(AC112,$AA:$AA,0)+13))</f>
        <v>207</v>
      </c>
      <c r="AD117" s="375"/>
      <c r="AE117" s="374">
        <f>ABS(INDEX(AE:AE,MATCH(AE112,$AA:$AA,0)+11)+INDEX(AE:AE,MATCH(AE112,$AA:$AA,0)+12)+INDEX(AE:AE,MATCH(AE112,$AA:$AA,0)+13))</f>
        <v>157</v>
      </c>
      <c r="AF117" s="375"/>
      <c r="AG117" s="374">
        <f>ABS(INDEX(AG:AG,MATCH(AG112,$AA:$AA,0)+11)+INDEX(AG:AG,MATCH(AG112,$AA:$AA,0)+12)+INDEX(AG:AG,MATCH(AG112,$AA:$AA,0)+13))</f>
        <v>156</v>
      </c>
      <c r="AH117" s="375"/>
      <c r="AI117" s="374">
        <f>ABS(INDEX(AI:AI,MATCH(AI112,$AA:$AA,0)+11)+INDEX(AI:AI,MATCH(AI112,$AA:$AA,0)+12)+INDEX(AI:AI,MATCH(AI112,$AA:$AA,0)+13))</f>
        <v>157</v>
      </c>
      <c r="AJ117" s="375"/>
      <c r="AK117" s="374">
        <f>ABS(INDEX(AK:AK,MATCH(AK112,$AA:$AA,0)+11)+INDEX(AK:AK,MATCH(AK112,$AA:$AA,0)+12)+INDEX(AK:AK,MATCH(AK112,$AA:$AA,0)+13))</f>
        <v>201</v>
      </c>
      <c r="AL117" s="375"/>
      <c r="AM117" s="374">
        <f>ABS(INDEX(AM:AM,MATCH(AM112,$AA:$AA,0)+11)+INDEX(AM:AM,MATCH(AM112,$AA:$AA,0)+12)+INDEX(AM:AM,MATCH(AM112,$AA:$AA,0)+13))</f>
        <v>193</v>
      </c>
      <c r="AN117" s="375"/>
      <c r="AO117" s="374">
        <f>ABS(INDEX(AO:AO,MATCH(AO112,$AA:$AA,0)+11)+INDEX(AO:AO,MATCH(AO112,$AA:$AA,0)+12)+INDEX(AO:AO,MATCH(AO112,$AA:$AA,0)+13))</f>
        <v>182</v>
      </c>
      <c r="AP117" s="375"/>
      <c r="AQ117" s="374">
        <f>ABS(INDEX(AQ:AQ,MATCH(AQ112,$AA:$AA,0)+11)+INDEX(AQ:AQ,MATCH(AQ112,$AA:$AA,0)+12)+INDEX(AQ:AQ,MATCH(AQ112,$AA:$AA,0)+13))</f>
        <v>221</v>
      </c>
      <c r="AR117" s="375"/>
      <c r="AS117" s="374">
        <f>ABS(INDEX(AS:AS,MATCH(AS112,$AA:$AA,0)+11)+INDEX(AS:AS,MATCH(AS112,$AA:$AA,0)+12)+INDEX(AS:AS,MATCH(AS112,$AA:$AA,0)+13))</f>
        <v>128</v>
      </c>
      <c r="AT117" s="37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6.05" customHeight="1" x14ac:dyDescent="0.35">
      <c r="B118" s="365" t="str">
        <f t="shared" si="142"/>
        <v>Spieler 4</v>
      </c>
      <c r="C118" s="366" t="str">
        <f t="shared" si="143"/>
        <v/>
      </c>
      <c r="D118" s="339">
        <f>IF(AC118=301,"",AC118)</f>
        <v>171</v>
      </c>
      <c r="E118" s="339" t="str">
        <f>IF(AD118=0,"",AD118)</f>
        <v/>
      </c>
      <c r="F118" s="339">
        <f>IF(AE118=301,"",AE118)</f>
        <v>159</v>
      </c>
      <c r="G118" s="339" t="str">
        <f>IF(AF118=0,"",AF118)</f>
        <v/>
      </c>
      <c r="H118" s="339">
        <f>IF(AG118=301,"",AG118)</f>
        <v>165</v>
      </c>
      <c r="I118" s="339" t="str">
        <f>IF(AH118=0,"",AH118)</f>
        <v/>
      </c>
      <c r="J118" s="339">
        <f>IF(AI118=301,"",AI118)</f>
        <v>189</v>
      </c>
      <c r="K118" s="339" t="str">
        <f>IF(AJ118=0,"",AJ118)</f>
        <v/>
      </c>
      <c r="L118" s="339">
        <f>IF(AK118=301,"",AK118)</f>
        <v>260</v>
      </c>
      <c r="M118" s="339" t="str">
        <f>IF(AL118=0,"",AL118)</f>
        <v/>
      </c>
      <c r="N118" s="339">
        <f>IF(AM118=301,"",AM118)</f>
        <v>209</v>
      </c>
      <c r="O118" s="339" t="str">
        <f>IF(AN118=0,"",AN118)</f>
        <v/>
      </c>
      <c r="P118" s="339">
        <f>IF(AO118=301,"",AO118)</f>
        <v>136</v>
      </c>
      <c r="Q118" s="339" t="str">
        <f>IF(AP118=0,"",AP118)</f>
        <v/>
      </c>
      <c r="R118" s="339">
        <f>IF(AQ118=301,"",AQ118)</f>
        <v>190</v>
      </c>
      <c r="S118" s="339" t="str">
        <f>IF(AR118=0,"",AR118)</f>
        <v/>
      </c>
      <c r="T118" s="339">
        <f>IF(AS118=301,"",AS118)</f>
        <v>117</v>
      </c>
      <c r="U118" s="339" t="str">
        <f>IF(AT118=0,"",AT118)</f>
        <v/>
      </c>
      <c r="V118" s="340"/>
      <c r="W118" s="340"/>
      <c r="AA118" s="91" t="s">
        <v>11</v>
      </c>
      <c r="AB118" s="92"/>
      <c r="AC118" s="374">
        <f>ABS(INDEX(AC:AC,MATCH(AC112,$AA:$AA,0)+14)+INDEX(AC:AC,MATCH(AC112,$AA:$AA,0)+15)+INDEX(AC:AC,MATCH(AC112,$AA:$AA,0)+16))</f>
        <v>171</v>
      </c>
      <c r="AD118" s="375"/>
      <c r="AE118" s="374">
        <f>ABS(INDEX(AE:AE,MATCH(AE112,$AA:$AA,0)+14)+INDEX(AE:AE,MATCH(AE112,$AA:$AA,0)+15)+INDEX(AE:AE,MATCH(AE112,$AA:$AA,0)+16))</f>
        <v>159</v>
      </c>
      <c r="AF118" s="375"/>
      <c r="AG118" s="374">
        <f>ABS(INDEX(AG:AG,MATCH(AG112,$AA:$AA,0)+14)+INDEX(AG:AG,MATCH(AG112,$AA:$AA,0)+15)+INDEX(AG:AG,MATCH(AG112,$AA:$AA,0)+16))</f>
        <v>165</v>
      </c>
      <c r="AH118" s="375"/>
      <c r="AI118" s="374">
        <f>ABS(INDEX(AI:AI,MATCH(AI112,$AA:$AA,0)+14)+INDEX(AI:AI,MATCH(AI112,$AA:$AA,0)+15)+INDEX(AI:AI,MATCH(AI112,$AA:$AA,0)+16))</f>
        <v>189</v>
      </c>
      <c r="AJ118" s="375"/>
      <c r="AK118" s="374">
        <f>ABS(INDEX(AK:AK,MATCH(AK112,$AA:$AA,0)+14)+INDEX(AK:AK,MATCH(AK112,$AA:$AA,0)+15)+INDEX(AK:AK,MATCH(AK112,$AA:$AA,0)+16))</f>
        <v>260</v>
      </c>
      <c r="AL118" s="375"/>
      <c r="AM118" s="374">
        <f>ABS(INDEX(AM:AM,MATCH(AM112,$AA:$AA,0)+14)+INDEX(AM:AM,MATCH(AM112,$AA:$AA,0)+15)+INDEX(AM:AM,MATCH(AM112,$AA:$AA,0)+16))</f>
        <v>209</v>
      </c>
      <c r="AN118" s="375"/>
      <c r="AO118" s="374">
        <f>ABS(INDEX(AO:AO,MATCH(AO112,$AA:$AA,0)+14)+INDEX(AO:AO,MATCH(AO112,$AA:$AA,0)+15)+INDEX(AO:AO,MATCH(AO112,$AA:$AA,0)+16))</f>
        <v>136</v>
      </c>
      <c r="AP118" s="375"/>
      <c r="AQ118" s="374">
        <f>ABS(INDEX(AQ:AQ,MATCH(AQ112,$AA:$AA,0)+14)+INDEX(AQ:AQ,MATCH(AQ112,$AA:$AA,0)+15)+INDEX(AQ:AQ,MATCH(AQ112,$AA:$AA,0)+16))</f>
        <v>190</v>
      </c>
      <c r="AR118" s="375"/>
      <c r="AS118" s="374">
        <f>ABS(INDEX(AS:AS,MATCH(AS112,$AA:$AA,0)+14)+INDEX(AS:AS,MATCH(AS112,$AA:$AA,0)+15)+INDEX(AS:AS,MATCH(AS112,$AA:$AA,0)+16))</f>
        <v>117</v>
      </c>
      <c r="AT118" s="37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6.05" customHeight="1" x14ac:dyDescent="0.35">
      <c r="B119" s="354" t="str">
        <f t="shared" si="142"/>
        <v>Gesamt</v>
      </c>
      <c r="C119" s="355" t="str">
        <f t="shared" si="143"/>
        <v/>
      </c>
      <c r="D119" s="338">
        <f>IF(AC119=1505,"",AC119)</f>
        <v>685</v>
      </c>
      <c r="E119" s="338" t="str">
        <f>IF(AD119=0,"",AD119)</f>
        <v/>
      </c>
      <c r="F119" s="338">
        <f>IF(AE119=1505,"",AE119)</f>
        <v>649</v>
      </c>
      <c r="G119" s="338" t="str">
        <f>IF(AF119=0,"",AF119)</f>
        <v/>
      </c>
      <c r="H119" s="338">
        <f>IF(AG119=1505,"",AG119)</f>
        <v>620</v>
      </c>
      <c r="I119" s="338" t="str">
        <f>IF(AH119=0,"",AH119)</f>
        <v/>
      </c>
      <c r="J119" s="338">
        <f>IF(AI119=1505,"",AI119)</f>
        <v>665</v>
      </c>
      <c r="K119" s="338" t="str">
        <f>IF(AJ119=0,"",AJ119)</f>
        <v/>
      </c>
      <c r="L119" s="338">
        <f>IF(AK119=1505,"",AK119)</f>
        <v>782</v>
      </c>
      <c r="M119" s="338" t="str">
        <f>IF(AL119=0,"",AL119)</f>
        <v/>
      </c>
      <c r="N119" s="338">
        <f>IF(AM119=1505,"",AM119)</f>
        <v>810</v>
      </c>
      <c r="O119" s="338" t="str">
        <f>IF(AN119=0,"",AN119)</f>
        <v/>
      </c>
      <c r="P119" s="338">
        <f>IF(AO119=1505,"",AO119)</f>
        <v>728</v>
      </c>
      <c r="Q119" s="338" t="str">
        <f>IF(AP119=0,"",AP119)</f>
        <v/>
      </c>
      <c r="R119" s="338">
        <f>IF(AQ119=1505,"",AQ119)</f>
        <v>719</v>
      </c>
      <c r="S119" s="338" t="str">
        <f>IF(AR119=0,"",AR119)</f>
        <v/>
      </c>
      <c r="T119" s="338">
        <f>IF(AS119=1505,"",AS119)</f>
        <v>585</v>
      </c>
      <c r="U119" s="338" t="str">
        <f>IF(AT119=0,"",AT119)</f>
        <v/>
      </c>
      <c r="V119" s="290"/>
      <c r="W119" s="290"/>
      <c r="AA119" s="93" t="s">
        <v>1799</v>
      </c>
      <c r="AB119" s="94"/>
      <c r="AC119" s="354">
        <f>SUM(AC115:AC118)</f>
        <v>685</v>
      </c>
      <c r="AD119" s="355"/>
      <c r="AE119" s="354">
        <f>SUM(AE115:AE118)</f>
        <v>649</v>
      </c>
      <c r="AF119" s="355"/>
      <c r="AG119" s="354">
        <f>SUM(AG115:AG118)</f>
        <v>620</v>
      </c>
      <c r="AH119" s="355"/>
      <c r="AI119" s="354">
        <f>SUM(AI115:AI118)</f>
        <v>665</v>
      </c>
      <c r="AJ119" s="355"/>
      <c r="AK119" s="354">
        <f>SUM(AK115:AK118)</f>
        <v>782</v>
      </c>
      <c r="AL119" s="355"/>
      <c r="AM119" s="354">
        <f>SUM(AM115:AM118)</f>
        <v>810</v>
      </c>
      <c r="AN119" s="355"/>
      <c r="AO119" s="354">
        <f>SUM(AO115:AO118)</f>
        <v>728</v>
      </c>
      <c r="AP119" s="355"/>
      <c r="AQ119" s="354">
        <f>SUM(AQ115:AQ118)</f>
        <v>719</v>
      </c>
      <c r="AR119" s="355"/>
      <c r="AS119" s="354">
        <f>SUM(AS115:AS118)</f>
        <v>585</v>
      </c>
      <c r="AT119" s="35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3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7">
      <c r="B121" s="44" t="str">
        <f>AA121</f>
        <v>Team-Nr.</v>
      </c>
      <c r="C121" s="45"/>
      <c r="D121" s="44" t="str">
        <f>AC121</f>
        <v>Liga:</v>
      </c>
      <c r="E121" s="47"/>
      <c r="F121" s="359" t="str">
        <f>AE121</f>
        <v>Bayernliga Frauen</v>
      </c>
      <c r="G121" s="359"/>
      <c r="H121" s="359"/>
      <c r="I121" s="359"/>
      <c r="J121" s="359"/>
      <c r="K121" s="359"/>
      <c r="L121" s="359"/>
      <c r="M121" s="359"/>
      <c r="N121" s="359"/>
      <c r="O121" s="359"/>
      <c r="P121" s="359"/>
      <c r="Q121" s="359"/>
      <c r="R121" s="48"/>
      <c r="S121" s="49" t="s">
        <v>1794</v>
      </c>
      <c r="T121" s="50"/>
      <c r="U121" s="360" t="str">
        <f>AT121</f>
        <v>12.10./13.10.</v>
      </c>
      <c r="V121" s="361"/>
      <c r="W121" s="362"/>
      <c r="X121" s="363"/>
      <c r="Y121" s="364"/>
      <c r="Z121" s="364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0" t="str">
        <f>VLOOKUP(AS122,Spielorte!$A$1:$C$6,2)</f>
        <v>12.10./13.10.</v>
      </c>
      <c r="AU121" s="361"/>
      <c r="AV121" s="362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65">
      <c r="B122" s="53">
        <f>AA122</f>
        <v>5</v>
      </c>
      <c r="D122" s="46" t="s">
        <v>1793</v>
      </c>
      <c r="E122" s="54"/>
      <c r="F122" s="358" t="str">
        <f>AE122</f>
        <v>Unterföhring Dreambowl Palace</v>
      </c>
      <c r="G122" s="358"/>
      <c r="H122" s="358"/>
      <c r="I122" s="358"/>
      <c r="J122" s="358"/>
      <c r="K122" s="358"/>
      <c r="L122" s="358"/>
      <c r="M122" s="358"/>
      <c r="N122" s="358"/>
      <c r="O122" s="358"/>
      <c r="P122" s="55"/>
      <c r="Q122" s="55"/>
      <c r="S122" s="49" t="s">
        <v>1791</v>
      </c>
      <c r="T122" s="56">
        <f>AS122</f>
        <v>1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Unterföhring Dreambowl Palace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1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4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5" thickBot="1" x14ac:dyDescent="0.45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VLOOKUP($AA122,Schlüssel!$A$5:$DZ$14,13)</f>
        <v>9</v>
      </c>
      <c r="AE124" s="65" t="s">
        <v>10</v>
      </c>
      <c r="AF124" s="44">
        <f>VLOOKUP($AA122,Schlüssel!$A$5:$DZ$14,14)</f>
        <v>7</v>
      </c>
      <c r="AG124" s="65" t="s">
        <v>10</v>
      </c>
      <c r="AH124" s="44">
        <f>VLOOKUP($AA122,Schlüssel!$A$5:$DZ$14,15)</f>
        <v>3</v>
      </c>
      <c r="AI124" s="65" t="s">
        <v>10</v>
      </c>
      <c r="AJ124" s="44">
        <f>VLOOKUP($AA122,Schlüssel!$A$5:$DZ$14,16)</f>
        <v>10</v>
      </c>
      <c r="AK124" s="65" t="s">
        <v>10</v>
      </c>
      <c r="AL124" s="44">
        <f>VLOOKUP($AA122,Schlüssel!$A$5:$DZ$14,17)</f>
        <v>6</v>
      </c>
      <c r="AM124" s="65" t="s">
        <v>10</v>
      </c>
      <c r="AN124" s="44">
        <f>VLOOKUP($AA122,Schlüssel!$A$5:$DZ$14,18)</f>
        <v>1</v>
      </c>
      <c r="AO124" s="65" t="s">
        <v>10</v>
      </c>
      <c r="AP124" s="44">
        <f>VLOOKUP($AA122,Schlüssel!$A$5:$DZ$14,19)</f>
        <v>8</v>
      </c>
      <c r="AQ124" s="65" t="s">
        <v>10</v>
      </c>
      <c r="AR124" s="44">
        <f>VLOOKUP($AA122,Schlüssel!$A$5:$DZ$14,20)</f>
        <v>4</v>
      </c>
      <c r="AS124" s="65" t="s">
        <v>10</v>
      </c>
      <c r="AT124" s="44">
        <f>VLOOKUP($AA122,Schlüssel!$A$5:$DZ$14,21)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35">
      <c r="B125" s="67" t="s">
        <v>1</v>
      </c>
      <c r="C125" s="68"/>
      <c r="D125" s="354" t="s">
        <v>1800</v>
      </c>
      <c r="E125" s="355"/>
      <c r="F125" s="354" t="s">
        <v>1801</v>
      </c>
      <c r="G125" s="355"/>
      <c r="H125" s="354" t="s">
        <v>1802</v>
      </c>
      <c r="I125" s="355"/>
      <c r="J125" s="354" t="s">
        <v>1803</v>
      </c>
      <c r="K125" s="355"/>
      <c r="L125" s="354" t="s">
        <v>1804</v>
      </c>
      <c r="M125" s="355"/>
      <c r="N125" s="354" t="s">
        <v>1805</v>
      </c>
      <c r="O125" s="355"/>
      <c r="P125" s="354" t="s">
        <v>1806</v>
      </c>
      <c r="Q125" s="355"/>
      <c r="R125" s="354" t="s">
        <v>1807</v>
      </c>
      <c r="S125" s="355"/>
      <c r="T125" s="354" t="s">
        <v>1808</v>
      </c>
      <c r="U125" s="355"/>
      <c r="V125" s="356" t="s">
        <v>1799</v>
      </c>
      <c r="W125" s="357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4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2" customHeight="1" x14ac:dyDescent="0.35">
      <c r="A127" s="367" t="s">
        <v>0</v>
      </c>
      <c r="B127" s="73" t="str">
        <f>IF(AA127=0,"",AA127)</f>
        <v>Denz, Angelika</v>
      </c>
      <c r="C127" s="74">
        <f>IF(AB127=0,"",AB127)</f>
        <v>7431</v>
      </c>
      <c r="D127" s="75">
        <f>IF(AC127=0,"",AC127)</f>
        <v>184</v>
      </c>
      <c r="E127" s="348">
        <f>IF(AD127="","",AD127)</f>
        <v>0</v>
      </c>
      <c r="F127" s="75">
        <f t="shared" ref="F127:F140" si="146">IF(AE127=0,"",AE127)</f>
        <v>192</v>
      </c>
      <c r="G127" s="348">
        <f>IF(AF127="","",AF127)</f>
        <v>0</v>
      </c>
      <c r="H127" s="75">
        <f t="shared" ref="H127:H140" si="147">IF(AG127=0,"",AG127)</f>
        <v>171</v>
      </c>
      <c r="I127" s="348">
        <f>IF(AH127="","",AH127)</f>
        <v>0</v>
      </c>
      <c r="J127" s="75">
        <f t="shared" ref="J127:J140" si="148">IF(AI127=0,"",AI127)</f>
        <v>157</v>
      </c>
      <c r="K127" s="348">
        <f>IF(AJ127="","",AJ127)</f>
        <v>0</v>
      </c>
      <c r="L127" s="75">
        <f t="shared" ref="L127:L140" si="149">IF(AK127=0,"",AK127)</f>
        <v>194</v>
      </c>
      <c r="M127" s="348">
        <f>IF(AL127="","",AL127)</f>
        <v>1</v>
      </c>
      <c r="N127" s="75">
        <f>IF(AM127=0,"",AM127)</f>
        <v>204</v>
      </c>
      <c r="O127" s="348">
        <f>IF(AN127="","",AN127)</f>
        <v>0</v>
      </c>
      <c r="P127" s="75">
        <f t="shared" ref="P127:P140" si="150">IF(AO127=0,"",AO127)</f>
        <v>157</v>
      </c>
      <c r="Q127" s="348">
        <f>IF(AP127="","",AP127)</f>
        <v>0</v>
      </c>
      <c r="R127" s="75">
        <f t="shared" ref="R127:R140" si="151">IF(AQ127=0,"",AQ127)</f>
        <v>171</v>
      </c>
      <c r="S127" s="348">
        <f>IF(AR127="","",AR127)</f>
        <v>1</v>
      </c>
      <c r="T127" s="75">
        <f t="shared" ref="T127:T140" si="152">IF(AS127=0,"",AS127)</f>
        <v>178</v>
      </c>
      <c r="U127" s="348">
        <f>IF(AT127="","",AT127)</f>
        <v>1</v>
      </c>
      <c r="V127" s="75">
        <f t="shared" ref="V127:V140" si="153">IF(AU127=0,"",AU127)</f>
        <v>1608</v>
      </c>
      <c r="W127" s="348">
        <f>IF(AV127="","",AV127)</f>
        <v>3</v>
      </c>
      <c r="Z127" s="351" t="s">
        <v>0</v>
      </c>
      <c r="AA127" s="108" t="str">
        <f>IF(AB127=0,"",VLOOKUP(AB127,Starter!$A$1:$D$199,2,FALSE))</f>
        <v>Denz, Angelika</v>
      </c>
      <c r="AB127" s="99">
        <v>7431</v>
      </c>
      <c r="AC127" s="185">
        <v>184</v>
      </c>
      <c r="AD127" s="109">
        <f>IF(SUM(AC127:AC129)+AC145=0,0,IF(SUM(ABS(AC127),ABS(AC128),ABS(AC129))=AC145,0.5,IF(SUM(ABS(AC127),ABS(AC128),ABS(AC129))&gt;AC145,1,0)))</f>
        <v>0</v>
      </c>
      <c r="AE127" s="185">
        <v>192</v>
      </c>
      <c r="AF127" s="109">
        <f>IF(SUM(AE127:AE129)+AE145=0,0,IF(SUM(ABS(AE127),ABS(AE128),ABS(AE129))=AE145,0.5,IF(SUM(ABS(AE127),ABS(AE128),ABS(AE129))&gt;AE145,1,0)))</f>
        <v>0</v>
      </c>
      <c r="AG127" s="185">
        <v>171</v>
      </c>
      <c r="AH127" s="109">
        <f>IF(SUM(AG127:AG129)+AG145=0,0,IF(SUM(ABS(AG127),ABS(AG128),ABS(AG129))=AG145,0.5,IF(SUM(ABS(AG127),ABS(AG128),ABS(AG129))&gt;AG145,1,0)))</f>
        <v>0</v>
      </c>
      <c r="AI127" s="185">
        <v>157</v>
      </c>
      <c r="AJ127" s="109">
        <f>IF(SUM(AI127:AI129)+AI145=0,0,IF(SUM(ABS(AI127),ABS(AI128),ABS(AI129))=AI145,0.5,IF(SUM(ABS(AI127),ABS(AI128),ABS(AI129))&gt;AI145,1,0)))</f>
        <v>0</v>
      </c>
      <c r="AK127" s="185">
        <v>194</v>
      </c>
      <c r="AL127" s="109">
        <f>IF(SUM(AK127:AK129)+AK145=0,0,IF(SUM(ABS(AK127),ABS(AK128),ABS(AK129))=AK145,0.5,IF(SUM(ABS(AK127),ABS(AK128),ABS(AK129))&gt;AK145,1,0)))</f>
        <v>1</v>
      </c>
      <c r="AM127" s="185">
        <v>204</v>
      </c>
      <c r="AN127" s="109">
        <f>IF(SUM(AM127:AM129)+AM145=0,0,IF(SUM(ABS(AM127),ABS(AM128),ABS(AM129))=AM145,0.5,IF(SUM(ABS(AM127),ABS(AM128),ABS(AM129))&gt;AM145,1,0)))</f>
        <v>0</v>
      </c>
      <c r="AO127" s="185">
        <v>157</v>
      </c>
      <c r="AP127" s="109">
        <f>IF(SUM(AO127:AO129)+AO145=0,0,IF(SUM(ABS(AO127),ABS(AO128),ABS(AO129))=AO145,0.5,IF(SUM(ABS(AO127),ABS(AO128),ABS(AO129))&gt;AO145,1,0)))</f>
        <v>0</v>
      </c>
      <c r="AQ127" s="185">
        <v>171</v>
      </c>
      <c r="AR127" s="109">
        <f>IF(SUM(AQ127:AQ129)+AQ145=0,0,IF(SUM(ABS(AQ127),ABS(AQ128),ABS(AQ129))=AQ145,0.5,IF(SUM(ABS(AQ127),ABS(AQ128),ABS(AQ129))&gt;AQ145,1,0)))</f>
        <v>1</v>
      </c>
      <c r="AS127" s="185">
        <v>178</v>
      </c>
      <c r="AT127" s="109">
        <f>IF(SUM(AS127:AS129)+AS145=0,0,IF(SUM(ABS(AS127),ABS(AS128),ABS(AS129))=AS145,0.5,IF(SUM(ABS(AS127),ABS(AS128),ABS(AS129))&gt;AS145,1,0)))</f>
        <v>1</v>
      </c>
      <c r="AU127" s="110">
        <f t="shared" ref="AU127:AU138" si="154">ABS(SUM(AC127:AC127))+ABS(SUM(AE127:AE127))+ABS(SUM(AG127:AG127))+ABS(SUM(AI127:AI127))+ABS(SUM(AK127:AK127))+ABS(SUM(AM127:AM127))+ABS(SUM(AO127:AO127))+ABS(SUM(AQ127:AQ127))+ABS(SUM(AS127:AS127))</f>
        <v>1608</v>
      </c>
      <c r="AV127" s="111">
        <f>SUM(AD127+AF127+AH127+AJ127+AL127+AN127+AP127+AR127+AT127)</f>
        <v>3</v>
      </c>
      <c r="AW127" s="101"/>
      <c r="AX127" s="102"/>
      <c r="AZ127" s="63"/>
      <c r="BA127" s="212"/>
      <c r="BB127" s="213"/>
      <c r="BC127" s="214"/>
      <c r="BD127" s="217">
        <f>+AB127</f>
        <v>7431</v>
      </c>
      <c r="BE127" s="213">
        <f>+AU127</f>
        <v>1608</v>
      </c>
      <c r="BF127" s="215">
        <f>COUNT(BH127:BP127)</f>
        <v>9</v>
      </c>
      <c r="BG127" s="215">
        <f>COUNTIF(BH127:BP127,"&gt;0")</f>
        <v>9</v>
      </c>
      <c r="BH127" s="215">
        <f t="shared" ref="BH127:BH138" si="155">IF(AC127=0,"",AC127)</f>
        <v>184</v>
      </c>
      <c r="BI127" s="215">
        <f t="shared" ref="BI127:BI138" si="156">IF(AE127=0,"",AE127)</f>
        <v>192</v>
      </c>
      <c r="BJ127" s="215">
        <f t="shared" ref="BJ127:BJ138" si="157">IF(AG127=0,"",AG127)</f>
        <v>171</v>
      </c>
      <c r="BK127" s="215">
        <f t="shared" ref="BK127:BK138" si="158">IF(AI127=0,"",AI127)</f>
        <v>157</v>
      </c>
      <c r="BL127" s="215">
        <f t="shared" ref="BL127:BL138" si="159">IF(AK127=0,"",AK127)</f>
        <v>194</v>
      </c>
      <c r="BM127" s="215">
        <f t="shared" ref="BM127:BM138" si="160">IF(AM127=0,"",AM127)</f>
        <v>204</v>
      </c>
      <c r="BN127" s="215">
        <f t="shared" ref="BN127:BN138" si="161">IF(AO127=0,"",AO127)</f>
        <v>157</v>
      </c>
      <c r="BO127" s="215">
        <f t="shared" ref="BO127:BO138" si="162">IF(AQ127=0,"",AQ127)</f>
        <v>171</v>
      </c>
      <c r="BP127" s="215">
        <f t="shared" ref="BP127:BP138" si="163">IF(AS127=0,"",AS127)</f>
        <v>178</v>
      </c>
      <c r="BQ127" s="216"/>
      <c r="BR127" s="214"/>
      <c r="BS127" s="215">
        <f>MAX(BH127:BP127)</f>
        <v>204</v>
      </c>
      <c r="BT127" s="215">
        <f>IF(BS127&lt;MAX(BS:BS),0,BS127+ROW()/1000000000)</f>
        <v>0</v>
      </c>
      <c r="BU127" s="215" t="str">
        <f>+AA123</f>
        <v xml:space="preserve">Weiß Blau Unterföhring </v>
      </c>
      <c r="BV127" s="214">
        <f>RANK(BT127,BT:BT)</f>
        <v>2</v>
      </c>
      <c r="BW127" s="215">
        <f>SUMIF(BH127:BP127,"&gt;0")</f>
        <v>1608</v>
      </c>
      <c r="BX127" s="215">
        <f>IF(COUNTIF(BH127:BP127,"&gt;0")&lt;Spielorte!$A$23,0,BE127/Spielorte!$A$23)</f>
        <v>178.66666666666666</v>
      </c>
      <c r="BY127" s="215">
        <f>IF(BX127&lt;MAX(BX:BX),0,BX127+ROW()/1000000000)</f>
        <v>0</v>
      </c>
      <c r="BZ127" s="214">
        <f t="shared" ref="BZ127:BZ138" si="164">IF(BY127=0,0,RANK(BY127,BY:BY))</f>
        <v>0</v>
      </c>
    </row>
    <row r="128" spans="1:78" ht="17.2" customHeight="1" x14ac:dyDescent="0.35">
      <c r="A128" s="368"/>
      <c r="B128" s="76" t="str">
        <f t="shared" ref="B128:B135" si="165">IF(AA128=0,"",AA128)</f>
        <v/>
      </c>
      <c r="C128" s="77" t="str">
        <f t="shared" ref="C128:C140" si="166">IF(AB128=0,"",AB128)</f>
        <v/>
      </c>
      <c r="D128" s="78" t="str">
        <f t="shared" ref="D128:D140" si="167">IF(AC128=0,"",AC128)</f>
        <v/>
      </c>
      <c r="E128" s="349"/>
      <c r="F128" s="78" t="str">
        <f t="shared" si="146"/>
        <v/>
      </c>
      <c r="G128" s="349"/>
      <c r="H128" s="78" t="str">
        <f t="shared" si="147"/>
        <v/>
      </c>
      <c r="I128" s="349"/>
      <c r="J128" s="78" t="str">
        <f t="shared" si="148"/>
        <v/>
      </c>
      <c r="K128" s="349"/>
      <c r="L128" s="78" t="str">
        <f t="shared" si="149"/>
        <v/>
      </c>
      <c r="M128" s="349"/>
      <c r="N128" s="78" t="str">
        <f t="shared" ref="N128:N140" si="168">IF(AM128=0,"",AM128)</f>
        <v/>
      </c>
      <c r="O128" s="349"/>
      <c r="P128" s="78" t="str">
        <f t="shared" si="150"/>
        <v/>
      </c>
      <c r="Q128" s="349"/>
      <c r="R128" s="78" t="str">
        <f t="shared" si="151"/>
        <v/>
      </c>
      <c r="S128" s="349"/>
      <c r="T128" s="78" t="str">
        <f t="shared" si="152"/>
        <v/>
      </c>
      <c r="U128" s="349"/>
      <c r="V128" s="78" t="str">
        <f t="shared" si="153"/>
        <v/>
      </c>
      <c r="W128" s="349"/>
      <c r="Z128" s="352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54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9">+AB128</f>
        <v>0</v>
      </c>
      <c r="BE128" s="213">
        <f t="shared" ref="BE128:BE138" si="170">+AU128</f>
        <v>0</v>
      </c>
      <c r="BF128" s="215">
        <f t="shared" ref="BF128:BF138" si="171">COUNT(BH128:BP128)</f>
        <v>0</v>
      </c>
      <c r="BG128" s="215">
        <f t="shared" ref="BG128:BG138" si="172">COUNTIF(BH128:BP128,"&gt;0")</f>
        <v>0</v>
      </c>
      <c r="BH128" s="215" t="str">
        <f t="shared" si="155"/>
        <v/>
      </c>
      <c r="BI128" s="215" t="str">
        <f t="shared" si="156"/>
        <v/>
      </c>
      <c r="BJ128" s="215" t="str">
        <f t="shared" si="157"/>
        <v/>
      </c>
      <c r="BK128" s="215" t="str">
        <f t="shared" si="158"/>
        <v/>
      </c>
      <c r="BL128" s="215" t="str">
        <f t="shared" si="159"/>
        <v/>
      </c>
      <c r="BM128" s="215" t="str">
        <f t="shared" si="160"/>
        <v/>
      </c>
      <c r="BN128" s="215" t="str">
        <f t="shared" si="161"/>
        <v/>
      </c>
      <c r="BO128" s="215" t="str">
        <f t="shared" si="162"/>
        <v/>
      </c>
      <c r="BP128" s="215" t="str">
        <f t="shared" si="163"/>
        <v/>
      </c>
      <c r="BQ128" s="216"/>
      <c r="BR128" s="214"/>
      <c r="BS128" s="215">
        <f t="shared" ref="BS128:BS138" si="173">MAX(BH128:BP128)</f>
        <v>0</v>
      </c>
      <c r="BT128" s="215">
        <f t="shared" ref="BT128:BT138" si="174">IF(BS128&lt;MAX(BS:BS),0,BS128+ROW()/1000000000)</f>
        <v>0</v>
      </c>
      <c r="BU128" s="215" t="str">
        <f t="shared" ref="BU128:BU138" si="175">+BU127</f>
        <v xml:space="preserve">Weiß Blau Unterföhring </v>
      </c>
      <c r="BV128" s="214">
        <f t="shared" ref="BV128:BV138" si="176">RANK(BT128,BT:BT)</f>
        <v>2</v>
      </c>
      <c r="BW128" s="215">
        <f t="shared" ref="BW128:BW138" si="177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78">IF(BX128&lt;MAX(BX:BX),0,BX128+ROW()/1000000000)</f>
        <v>0</v>
      </c>
      <c r="BZ128" s="214">
        <f t="shared" si="164"/>
        <v>0</v>
      </c>
    </row>
    <row r="129" spans="1:78" ht="17.2" customHeight="1" thickBot="1" x14ac:dyDescent="0.4">
      <c r="A129" s="369"/>
      <c r="B129" s="79" t="str">
        <f t="shared" si="165"/>
        <v/>
      </c>
      <c r="C129" s="80" t="str">
        <f t="shared" si="166"/>
        <v/>
      </c>
      <c r="D129" s="69" t="str">
        <f t="shared" si="167"/>
        <v/>
      </c>
      <c r="E129" s="350"/>
      <c r="F129" s="69" t="str">
        <f t="shared" si="146"/>
        <v/>
      </c>
      <c r="G129" s="350"/>
      <c r="H129" s="69" t="str">
        <f t="shared" si="147"/>
        <v/>
      </c>
      <c r="I129" s="350"/>
      <c r="J129" s="69" t="str">
        <f t="shared" si="148"/>
        <v/>
      </c>
      <c r="K129" s="350"/>
      <c r="L129" s="69" t="str">
        <f t="shared" si="149"/>
        <v/>
      </c>
      <c r="M129" s="350"/>
      <c r="N129" s="69" t="str">
        <f t="shared" si="168"/>
        <v/>
      </c>
      <c r="O129" s="350"/>
      <c r="P129" s="69" t="str">
        <f t="shared" si="150"/>
        <v/>
      </c>
      <c r="Q129" s="350"/>
      <c r="R129" s="69" t="str">
        <f t="shared" si="151"/>
        <v/>
      </c>
      <c r="S129" s="350"/>
      <c r="T129" s="69" t="str">
        <f t="shared" si="152"/>
        <v/>
      </c>
      <c r="U129" s="350"/>
      <c r="V129" s="69" t="str">
        <f t="shared" si="153"/>
        <v/>
      </c>
      <c r="W129" s="350"/>
      <c r="Z129" s="353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54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9"/>
        <v>0</v>
      </c>
      <c r="BE129" s="213">
        <f t="shared" si="170"/>
        <v>0</v>
      </c>
      <c r="BF129" s="215">
        <f t="shared" si="171"/>
        <v>0</v>
      </c>
      <c r="BG129" s="215">
        <f t="shared" si="172"/>
        <v>0</v>
      </c>
      <c r="BH129" s="215" t="str">
        <f t="shared" si="155"/>
        <v/>
      </c>
      <c r="BI129" s="215" t="str">
        <f t="shared" si="156"/>
        <v/>
      </c>
      <c r="BJ129" s="215" t="str">
        <f t="shared" si="157"/>
        <v/>
      </c>
      <c r="BK129" s="215" t="str">
        <f t="shared" si="158"/>
        <v/>
      </c>
      <c r="BL129" s="215" t="str">
        <f t="shared" si="159"/>
        <v/>
      </c>
      <c r="BM129" s="215" t="str">
        <f t="shared" si="160"/>
        <v/>
      </c>
      <c r="BN129" s="215" t="str">
        <f t="shared" si="161"/>
        <v/>
      </c>
      <c r="BO129" s="215" t="str">
        <f t="shared" si="162"/>
        <v/>
      </c>
      <c r="BP129" s="215" t="str">
        <f t="shared" si="163"/>
        <v/>
      </c>
      <c r="BQ129" s="216"/>
      <c r="BR129" s="214"/>
      <c r="BS129" s="215">
        <f t="shared" si="173"/>
        <v>0</v>
      </c>
      <c r="BT129" s="215">
        <f t="shared" si="174"/>
        <v>0</v>
      </c>
      <c r="BU129" s="215" t="str">
        <f t="shared" si="175"/>
        <v xml:space="preserve">Weiß Blau Unterföhring </v>
      </c>
      <c r="BV129" s="214">
        <f t="shared" si="176"/>
        <v>2</v>
      </c>
      <c r="BW129" s="215">
        <f t="shared" si="177"/>
        <v>0</v>
      </c>
      <c r="BX129" s="215">
        <f>IF(COUNTIF(BH129:BP129,"&gt;0")&lt;Spielorte!$A$23,0,BE129/Spielorte!$A$23)</f>
        <v>0</v>
      </c>
      <c r="BY129" s="215">
        <f t="shared" si="178"/>
        <v>0</v>
      </c>
      <c r="BZ129" s="214">
        <f t="shared" si="164"/>
        <v>0</v>
      </c>
    </row>
    <row r="130" spans="1:78" ht="17.2" customHeight="1" x14ac:dyDescent="0.35">
      <c r="A130" s="367" t="s">
        <v>2</v>
      </c>
      <c r="B130" s="73" t="str">
        <f t="shared" si="165"/>
        <v>Zehner, Gabriele</v>
      </c>
      <c r="C130" s="74">
        <f t="shared" si="166"/>
        <v>7551</v>
      </c>
      <c r="D130" s="75">
        <f t="shared" si="167"/>
        <v>156</v>
      </c>
      <c r="E130" s="348">
        <f>IF(AD130="","",AD130)</f>
        <v>1</v>
      </c>
      <c r="F130" s="75">
        <f t="shared" si="146"/>
        <v>177</v>
      </c>
      <c r="G130" s="348">
        <f>IF(AF130="","",AF130)</f>
        <v>0</v>
      </c>
      <c r="H130" s="75">
        <f t="shared" si="147"/>
        <v>114</v>
      </c>
      <c r="I130" s="348">
        <f>IF(AH130="","",AH130)</f>
        <v>0</v>
      </c>
      <c r="J130" s="75" t="str">
        <f t="shared" si="148"/>
        <v/>
      </c>
      <c r="K130" s="348">
        <f>IF(AJ130="","",AJ130)</f>
        <v>0</v>
      </c>
      <c r="L130" s="75">
        <f t="shared" si="149"/>
        <v>158</v>
      </c>
      <c r="M130" s="348">
        <f>IF(AL130="","",AL130)</f>
        <v>0</v>
      </c>
      <c r="N130" s="75">
        <f t="shared" si="168"/>
        <v>174</v>
      </c>
      <c r="O130" s="348">
        <f>IF(AN130="","",AN130)</f>
        <v>1</v>
      </c>
      <c r="P130" s="75" t="str">
        <f t="shared" si="150"/>
        <v/>
      </c>
      <c r="Q130" s="348">
        <f>IF(AP130="","",AP130)</f>
        <v>0</v>
      </c>
      <c r="R130" s="75">
        <f t="shared" si="151"/>
        <v>161</v>
      </c>
      <c r="S130" s="348">
        <f>IF(AR130="","",AR130)</f>
        <v>1</v>
      </c>
      <c r="T130" s="75">
        <f t="shared" si="152"/>
        <v>162</v>
      </c>
      <c r="U130" s="348">
        <f>IF(AT130="","",AT130)</f>
        <v>1</v>
      </c>
      <c r="V130" s="75">
        <f t="shared" si="153"/>
        <v>1102</v>
      </c>
      <c r="W130" s="348">
        <f>IF(AV130="","",AV130)</f>
        <v>4</v>
      </c>
      <c r="Z130" s="351" t="s">
        <v>2</v>
      </c>
      <c r="AA130" s="108" t="str">
        <f>IF(AB130=0,"",VLOOKUP(AB130,Starter!$A$1:$D$199,2,FALSE))</f>
        <v>Zehner, Gabriele</v>
      </c>
      <c r="AB130" s="99">
        <v>7551</v>
      </c>
      <c r="AC130" s="188">
        <v>156</v>
      </c>
      <c r="AD130" s="109">
        <f>IF(SUM(AC130:AC132)+AC146=0,0,IF(SUM(ABS(AC130),ABS(AC131),ABS(AC132))=AC146,0.5,IF(SUM(ABS(AC130),ABS(AC131),ABS(AC132))&gt;AC146,1,0)))</f>
        <v>1</v>
      </c>
      <c r="AE130" s="188">
        <v>177</v>
      </c>
      <c r="AF130" s="109">
        <f>IF(SUM(AE130:AE132)+AE146=0,0,IF(SUM(ABS(AE130),ABS(AE131),ABS(AE132))=AE146,0.5,IF(SUM(ABS(AE130),ABS(AE131),ABS(AE132))&gt;AE146,1,0)))</f>
        <v>0</v>
      </c>
      <c r="AG130" s="188">
        <v>114</v>
      </c>
      <c r="AH130" s="109">
        <f>IF(SUM(AG130:AG132)+AG146=0,0,IF(SUM(ABS(AG130),ABS(AG131),ABS(AG132))=AG146,0.5,IF(SUM(ABS(AG130),ABS(AG131),ABS(AG132))&gt;AG146,1,0)))</f>
        <v>0</v>
      </c>
      <c r="AI130" s="188"/>
      <c r="AJ130" s="109">
        <f>IF(SUM(AI130:AI132)+AI146=0,0,IF(SUM(ABS(AI130),ABS(AI131),ABS(AI132))=AI146,0.5,IF(SUM(ABS(AI130),ABS(AI131),ABS(AI132))&gt;AI146,1,0)))</f>
        <v>0</v>
      </c>
      <c r="AK130" s="188">
        <v>158</v>
      </c>
      <c r="AL130" s="109">
        <f>IF(SUM(AK130:AK132)+AK146=0,0,IF(SUM(ABS(AK130),ABS(AK131),ABS(AK132))=AK146,0.5,IF(SUM(ABS(AK130),ABS(AK131),ABS(AK132))&gt;AK146,1,0)))</f>
        <v>0</v>
      </c>
      <c r="AM130" s="188">
        <v>174</v>
      </c>
      <c r="AN130" s="109">
        <f>IF(SUM(AM130:AM132)+AM146=0,0,IF(SUM(ABS(AM130),ABS(AM131),ABS(AM132))=AM146,0.5,IF(SUM(ABS(AM130),ABS(AM131),ABS(AM132))&gt;AM146,1,0)))</f>
        <v>1</v>
      </c>
      <c r="AO130" s="188"/>
      <c r="AP130" s="109">
        <f>IF(SUM(AO130:AO132)+AO146=0,0,IF(SUM(ABS(AO130),ABS(AO131),ABS(AO132))=AO146,0.5,IF(SUM(ABS(AO130),ABS(AO131),ABS(AO132))&gt;AO146,1,0)))</f>
        <v>0</v>
      </c>
      <c r="AQ130" s="188">
        <v>161</v>
      </c>
      <c r="AR130" s="109">
        <f>IF(SUM(AQ130:AQ132)+AQ146=0,0,IF(SUM(ABS(AQ130),ABS(AQ131),ABS(AQ132))=AQ146,0.5,IF(SUM(ABS(AQ130),ABS(AQ131),ABS(AQ132))&gt;AQ146,1,0)))</f>
        <v>1</v>
      </c>
      <c r="AS130" s="188">
        <v>162</v>
      </c>
      <c r="AT130" s="109">
        <f>IF(SUM(AS130:AS132)+AS146=0,0,IF(SUM(ABS(AS130),ABS(AS131),ABS(AS132))=AS146,0.5,IF(SUM(ABS(AS130),ABS(AS131),ABS(AS132))&gt;AS146,1,0)))</f>
        <v>1</v>
      </c>
      <c r="AU130" s="110">
        <f t="shared" si="154"/>
        <v>1102</v>
      </c>
      <c r="AV130" s="111">
        <f>SUM(AD130+AF130+AH130+AJ130+AL130+AN130+AP130+AR130+AT130)</f>
        <v>4</v>
      </c>
      <c r="AW130" s="101"/>
      <c r="AX130" s="102"/>
      <c r="AZ130" s="63"/>
      <c r="BA130" s="212"/>
      <c r="BB130" s="213"/>
      <c r="BC130" s="214"/>
      <c r="BD130" s="217">
        <f t="shared" si="169"/>
        <v>7551</v>
      </c>
      <c r="BE130" s="213">
        <f t="shared" si="170"/>
        <v>1102</v>
      </c>
      <c r="BF130" s="215">
        <f t="shared" si="171"/>
        <v>7</v>
      </c>
      <c r="BG130" s="215">
        <f t="shared" si="172"/>
        <v>7</v>
      </c>
      <c r="BH130" s="215">
        <f t="shared" si="155"/>
        <v>156</v>
      </c>
      <c r="BI130" s="215">
        <f t="shared" si="156"/>
        <v>177</v>
      </c>
      <c r="BJ130" s="215">
        <f t="shared" si="157"/>
        <v>114</v>
      </c>
      <c r="BK130" s="215" t="str">
        <f t="shared" si="158"/>
        <v/>
      </c>
      <c r="BL130" s="215">
        <f t="shared" si="159"/>
        <v>158</v>
      </c>
      <c r="BM130" s="215">
        <f t="shared" si="160"/>
        <v>174</v>
      </c>
      <c r="BN130" s="215" t="str">
        <f t="shared" si="161"/>
        <v/>
      </c>
      <c r="BO130" s="215">
        <f t="shared" si="162"/>
        <v>161</v>
      </c>
      <c r="BP130" s="215">
        <f t="shared" si="163"/>
        <v>162</v>
      </c>
      <c r="BQ130" s="216"/>
      <c r="BR130" s="214"/>
      <c r="BS130" s="215">
        <f t="shared" si="173"/>
        <v>177</v>
      </c>
      <c r="BT130" s="215">
        <f t="shared" si="174"/>
        <v>0</v>
      </c>
      <c r="BU130" s="215" t="str">
        <f t="shared" si="175"/>
        <v xml:space="preserve">Weiß Blau Unterföhring </v>
      </c>
      <c r="BV130" s="214">
        <f t="shared" si="176"/>
        <v>2</v>
      </c>
      <c r="BW130" s="215">
        <f t="shared" si="177"/>
        <v>1102</v>
      </c>
      <c r="BX130" s="215">
        <f>IF(COUNTIF(BH130:BP130,"&gt;0")&lt;Spielorte!$A$23,0,BE130/Spielorte!$A$23)</f>
        <v>0</v>
      </c>
      <c r="BY130" s="215">
        <f t="shared" si="178"/>
        <v>0</v>
      </c>
      <c r="BZ130" s="214">
        <f t="shared" si="164"/>
        <v>0</v>
      </c>
    </row>
    <row r="131" spans="1:78" ht="17.2" customHeight="1" x14ac:dyDescent="0.35">
      <c r="A131" s="368"/>
      <c r="B131" s="76" t="str">
        <f t="shared" si="165"/>
        <v>Mc Fadden, Brigitte</v>
      </c>
      <c r="C131" s="77">
        <f t="shared" si="166"/>
        <v>7546</v>
      </c>
      <c r="D131" s="78" t="str">
        <f t="shared" si="167"/>
        <v/>
      </c>
      <c r="E131" s="349"/>
      <c r="F131" s="78" t="str">
        <f t="shared" si="146"/>
        <v/>
      </c>
      <c r="G131" s="349"/>
      <c r="H131" s="78" t="str">
        <f t="shared" si="147"/>
        <v/>
      </c>
      <c r="I131" s="349"/>
      <c r="J131" s="78">
        <f t="shared" si="148"/>
        <v>139</v>
      </c>
      <c r="K131" s="349"/>
      <c r="L131" s="78" t="str">
        <f t="shared" si="149"/>
        <v/>
      </c>
      <c r="M131" s="349"/>
      <c r="N131" s="78" t="str">
        <f t="shared" si="168"/>
        <v/>
      </c>
      <c r="O131" s="349"/>
      <c r="P131" s="78">
        <f t="shared" si="150"/>
        <v>146</v>
      </c>
      <c r="Q131" s="349"/>
      <c r="R131" s="78" t="str">
        <f t="shared" si="151"/>
        <v/>
      </c>
      <c r="S131" s="349"/>
      <c r="T131" s="78" t="str">
        <f t="shared" si="152"/>
        <v/>
      </c>
      <c r="U131" s="349"/>
      <c r="V131" s="78">
        <f t="shared" si="153"/>
        <v>285</v>
      </c>
      <c r="W131" s="349"/>
      <c r="Z131" s="352"/>
      <c r="AA131" s="108" t="str">
        <f>IF(AB131=0,"",VLOOKUP(AB131,Starter!$A$1:$D$199,2,FALSE))</f>
        <v>Mc Fadden, Brigitte</v>
      </c>
      <c r="AB131" s="98">
        <v>7546</v>
      </c>
      <c r="AC131" s="186"/>
      <c r="AD131" s="112"/>
      <c r="AE131" s="186"/>
      <c r="AF131" s="112"/>
      <c r="AG131" s="186"/>
      <c r="AH131" s="112"/>
      <c r="AI131" s="186">
        <v>139</v>
      </c>
      <c r="AJ131" s="112"/>
      <c r="AK131" s="186"/>
      <c r="AL131" s="112"/>
      <c r="AM131" s="186"/>
      <c r="AN131" s="112"/>
      <c r="AO131" s="190">
        <v>146</v>
      </c>
      <c r="AP131" s="112"/>
      <c r="AQ131" s="190"/>
      <c r="AR131" s="112"/>
      <c r="AS131" s="190"/>
      <c r="AT131" s="112"/>
      <c r="AU131" s="113">
        <f t="shared" si="154"/>
        <v>285</v>
      </c>
      <c r="AV131" s="114"/>
      <c r="AW131" s="101"/>
      <c r="AX131" s="102"/>
      <c r="AZ131" s="63"/>
      <c r="BA131" s="212"/>
      <c r="BB131" s="213"/>
      <c r="BC131" s="214"/>
      <c r="BD131" s="217">
        <f t="shared" si="169"/>
        <v>7546</v>
      </c>
      <c r="BE131" s="213">
        <f t="shared" si="170"/>
        <v>285</v>
      </c>
      <c r="BF131" s="215">
        <f t="shared" si="171"/>
        <v>2</v>
      </c>
      <c r="BG131" s="215">
        <f t="shared" si="172"/>
        <v>2</v>
      </c>
      <c r="BH131" s="215" t="str">
        <f t="shared" si="155"/>
        <v/>
      </c>
      <c r="BI131" s="215" t="str">
        <f t="shared" si="156"/>
        <v/>
      </c>
      <c r="BJ131" s="215" t="str">
        <f t="shared" si="157"/>
        <v/>
      </c>
      <c r="BK131" s="215">
        <f t="shared" si="158"/>
        <v>139</v>
      </c>
      <c r="BL131" s="215" t="str">
        <f t="shared" si="159"/>
        <v/>
      </c>
      <c r="BM131" s="215" t="str">
        <f t="shared" si="160"/>
        <v/>
      </c>
      <c r="BN131" s="215">
        <f t="shared" si="161"/>
        <v>146</v>
      </c>
      <c r="BO131" s="215" t="str">
        <f t="shared" si="162"/>
        <v/>
      </c>
      <c r="BP131" s="215" t="str">
        <f t="shared" si="163"/>
        <v/>
      </c>
      <c r="BQ131" s="216"/>
      <c r="BR131" s="214"/>
      <c r="BS131" s="215">
        <f t="shared" si="173"/>
        <v>146</v>
      </c>
      <c r="BT131" s="215">
        <f t="shared" si="174"/>
        <v>0</v>
      </c>
      <c r="BU131" s="215" t="str">
        <f t="shared" si="175"/>
        <v xml:space="preserve">Weiß Blau Unterföhring </v>
      </c>
      <c r="BV131" s="214">
        <f t="shared" si="176"/>
        <v>2</v>
      </c>
      <c r="BW131" s="215">
        <f t="shared" si="177"/>
        <v>285</v>
      </c>
      <c r="BX131" s="215">
        <f>IF(COUNTIF(BH131:BP131,"&gt;0")&lt;Spielorte!$A$23,0,BE131/Spielorte!$A$23)</f>
        <v>0</v>
      </c>
      <c r="BY131" s="215">
        <f t="shared" si="178"/>
        <v>0</v>
      </c>
      <c r="BZ131" s="214">
        <f t="shared" si="164"/>
        <v>0</v>
      </c>
    </row>
    <row r="132" spans="1:78" ht="17.2" customHeight="1" thickBot="1" x14ac:dyDescent="0.4">
      <c r="A132" s="369"/>
      <c r="B132" s="79" t="str">
        <f t="shared" si="165"/>
        <v/>
      </c>
      <c r="C132" s="80" t="str">
        <f t="shared" si="166"/>
        <v/>
      </c>
      <c r="D132" s="69" t="str">
        <f t="shared" si="167"/>
        <v/>
      </c>
      <c r="E132" s="350"/>
      <c r="F132" s="69" t="str">
        <f t="shared" si="146"/>
        <v/>
      </c>
      <c r="G132" s="350"/>
      <c r="H132" s="69" t="str">
        <f t="shared" si="147"/>
        <v/>
      </c>
      <c r="I132" s="350"/>
      <c r="J132" s="69" t="str">
        <f t="shared" si="148"/>
        <v/>
      </c>
      <c r="K132" s="350"/>
      <c r="L132" s="69" t="str">
        <f t="shared" si="149"/>
        <v/>
      </c>
      <c r="M132" s="350"/>
      <c r="N132" s="69" t="str">
        <f t="shared" si="168"/>
        <v/>
      </c>
      <c r="O132" s="350"/>
      <c r="P132" s="69" t="str">
        <f t="shared" si="150"/>
        <v/>
      </c>
      <c r="Q132" s="350"/>
      <c r="R132" s="69" t="str">
        <f t="shared" si="151"/>
        <v/>
      </c>
      <c r="S132" s="350"/>
      <c r="T132" s="69" t="str">
        <f t="shared" si="152"/>
        <v/>
      </c>
      <c r="U132" s="350"/>
      <c r="V132" s="69" t="str">
        <f t="shared" si="153"/>
        <v/>
      </c>
      <c r="W132" s="350"/>
      <c r="Z132" s="353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54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9"/>
        <v>0</v>
      </c>
      <c r="BE132" s="213">
        <f t="shared" si="170"/>
        <v>0</v>
      </c>
      <c r="BF132" s="215">
        <f t="shared" si="171"/>
        <v>0</v>
      </c>
      <c r="BG132" s="215">
        <f t="shared" si="172"/>
        <v>0</v>
      </c>
      <c r="BH132" s="215" t="str">
        <f t="shared" si="155"/>
        <v/>
      </c>
      <c r="BI132" s="215" t="str">
        <f t="shared" si="156"/>
        <v/>
      </c>
      <c r="BJ132" s="215" t="str">
        <f t="shared" si="157"/>
        <v/>
      </c>
      <c r="BK132" s="215" t="str">
        <f t="shared" si="158"/>
        <v/>
      </c>
      <c r="BL132" s="215" t="str">
        <f t="shared" si="159"/>
        <v/>
      </c>
      <c r="BM132" s="215" t="str">
        <f t="shared" si="160"/>
        <v/>
      </c>
      <c r="BN132" s="215" t="str">
        <f t="shared" si="161"/>
        <v/>
      </c>
      <c r="BO132" s="215" t="str">
        <f t="shared" si="162"/>
        <v/>
      </c>
      <c r="BP132" s="215" t="str">
        <f t="shared" si="163"/>
        <v/>
      </c>
      <c r="BQ132" s="216"/>
      <c r="BR132" s="214"/>
      <c r="BS132" s="215">
        <f t="shared" si="173"/>
        <v>0</v>
      </c>
      <c r="BT132" s="215">
        <f t="shared" si="174"/>
        <v>0</v>
      </c>
      <c r="BU132" s="215" t="str">
        <f t="shared" si="175"/>
        <v xml:space="preserve">Weiß Blau Unterföhring </v>
      </c>
      <c r="BV132" s="214">
        <f t="shared" si="176"/>
        <v>2</v>
      </c>
      <c r="BW132" s="215">
        <f t="shared" si="177"/>
        <v>0</v>
      </c>
      <c r="BX132" s="215">
        <f>IF(COUNTIF(BH132:BP132,"&gt;0")&lt;Spielorte!$A$23,0,BE132/Spielorte!$A$23)</f>
        <v>0</v>
      </c>
      <c r="BY132" s="215">
        <f t="shared" si="178"/>
        <v>0</v>
      </c>
      <c r="BZ132" s="214">
        <f t="shared" si="164"/>
        <v>0</v>
      </c>
    </row>
    <row r="133" spans="1:78" ht="17.2" customHeight="1" x14ac:dyDescent="0.35">
      <c r="A133" s="367" t="s">
        <v>3</v>
      </c>
      <c r="B133" s="73" t="str">
        <f t="shared" si="165"/>
        <v>Mc Fadden, Brigitte</v>
      </c>
      <c r="C133" s="74">
        <f t="shared" si="166"/>
        <v>7546</v>
      </c>
      <c r="D133" s="75">
        <f t="shared" si="167"/>
        <v>149</v>
      </c>
      <c r="E133" s="348">
        <f>IF(AD133="","",AD133)</f>
        <v>1</v>
      </c>
      <c r="F133" s="75">
        <f t="shared" si="146"/>
        <v>141</v>
      </c>
      <c r="G133" s="348">
        <f>IF(AF133="","",AF133)</f>
        <v>0</v>
      </c>
      <c r="H133" s="75" t="str">
        <f t="shared" si="147"/>
        <v/>
      </c>
      <c r="I133" s="348">
        <f>IF(AH133="","",AH133)</f>
        <v>0</v>
      </c>
      <c r="J133" s="75" t="str">
        <f t="shared" si="148"/>
        <v/>
      </c>
      <c r="K133" s="348">
        <f>IF(AJ133="","",AJ133)</f>
        <v>0</v>
      </c>
      <c r="L133" s="75" t="str">
        <f t="shared" si="149"/>
        <v/>
      </c>
      <c r="M133" s="348">
        <f>IF(AL133="","",AL133)</f>
        <v>0</v>
      </c>
      <c r="N133" s="75" t="str">
        <f t="shared" si="168"/>
        <v/>
      </c>
      <c r="O133" s="348">
        <f>IF(AN133="","",AN133)</f>
        <v>0</v>
      </c>
      <c r="P133" s="75" t="str">
        <f t="shared" si="150"/>
        <v/>
      </c>
      <c r="Q133" s="348">
        <f>IF(AP133="","",AP133)</f>
        <v>0</v>
      </c>
      <c r="R133" s="75" t="str">
        <f t="shared" si="151"/>
        <v/>
      </c>
      <c r="S133" s="348">
        <f>IF(AR133="","",AR133)</f>
        <v>0</v>
      </c>
      <c r="T133" s="75" t="str">
        <f t="shared" si="152"/>
        <v/>
      </c>
      <c r="U133" s="348">
        <f>IF(AT133="","",AT133)</f>
        <v>1</v>
      </c>
      <c r="V133" s="75">
        <f t="shared" si="153"/>
        <v>290</v>
      </c>
      <c r="W133" s="348">
        <f>IF(AV133="","",AV133)</f>
        <v>2</v>
      </c>
      <c r="Z133" s="351" t="s">
        <v>3</v>
      </c>
      <c r="AA133" s="108" t="str">
        <f>IF(AB133=0,"",VLOOKUP(AB133,Starter!$A$1:$D$199,2,FALSE))</f>
        <v>Mc Fadden, Brigitte</v>
      </c>
      <c r="AB133" s="99">
        <v>7546</v>
      </c>
      <c r="AC133" s="188">
        <v>149</v>
      </c>
      <c r="AD133" s="109">
        <f>IF(SUM(AC133:AC135)+AC147=0,0,IF(SUM(ABS(AC133),ABS(AC134),ABS(AC135))=AC147,0.5,IF(SUM(ABS(AC133),ABS(AC134),ABS(AC135))&gt;AC147,1,0)))</f>
        <v>1</v>
      </c>
      <c r="AE133" s="188">
        <v>141</v>
      </c>
      <c r="AF133" s="109">
        <f>IF(SUM(AE133:AE135)+AE147=0,0,IF(SUM(ABS(AE133),ABS(AE134),ABS(AE135))=AE147,0.5,IF(SUM(ABS(AE133),ABS(AE134),ABS(AE135))&gt;AE147,1,0)))</f>
        <v>0</v>
      </c>
      <c r="AG133" s="188"/>
      <c r="AH133" s="109">
        <f>IF(SUM(AG133:AG135)+AG147=0,0,IF(SUM(ABS(AG133),ABS(AG134),ABS(AG135))=AG147,0.5,IF(SUM(ABS(AG133),ABS(AG134),ABS(AG135))&gt;AG147,1,0)))</f>
        <v>0</v>
      </c>
      <c r="AI133" s="188"/>
      <c r="AJ133" s="109">
        <f>IF(SUM(AI133:AI135)+AI147=0,0,IF(SUM(ABS(AI133),ABS(AI134),ABS(AI135))=AI147,0.5,IF(SUM(ABS(AI133),ABS(AI134),ABS(AI135))&gt;AI147,1,0)))</f>
        <v>0</v>
      </c>
      <c r="AK133" s="188"/>
      <c r="AL133" s="109">
        <f>IF(SUM(AK133:AK135)+AK147=0,0,IF(SUM(ABS(AK133),ABS(AK134),ABS(AK135))=AK147,0.5,IF(SUM(ABS(AK133),ABS(AK134),ABS(AK135))&gt;AK147,1,0)))</f>
        <v>0</v>
      </c>
      <c r="AM133" s="188"/>
      <c r="AN133" s="109">
        <f>IF(SUM(AM133:AM135)+AM147=0,0,IF(SUM(ABS(AM133),ABS(AM134),ABS(AM135))=AM147,0.5,IF(SUM(ABS(AM133),ABS(AM134),ABS(AM135))&gt;AM147,1,0)))</f>
        <v>0</v>
      </c>
      <c r="AO133" s="188"/>
      <c r="AP133" s="109">
        <f>IF(SUM(AO133:AO135)+AO147=0,0,IF(SUM(ABS(AO133),ABS(AO134),ABS(AO135))=AO147,0.5,IF(SUM(ABS(AO133),ABS(AO134),ABS(AO135))&gt;AO147,1,0)))</f>
        <v>0</v>
      </c>
      <c r="AQ133" s="188"/>
      <c r="AR133" s="109">
        <f>IF(SUM(AQ133:AQ135)+AQ147=0,0,IF(SUM(ABS(AQ133),ABS(AQ134),ABS(AQ135))=AQ147,0.5,IF(SUM(ABS(AQ133),ABS(AQ134),ABS(AQ135))&gt;AQ147,1,0)))</f>
        <v>0</v>
      </c>
      <c r="AS133" s="188"/>
      <c r="AT133" s="109">
        <f>IF(SUM(AS133:AS135)+AS147=0,0,IF(SUM(ABS(AS133),ABS(AS134),ABS(AS135))=AS147,0.5,IF(SUM(ABS(AS133),ABS(AS134),ABS(AS135))&gt;AS147,1,0)))</f>
        <v>1</v>
      </c>
      <c r="AU133" s="110">
        <f t="shared" si="154"/>
        <v>290</v>
      </c>
      <c r="AV133" s="111">
        <f>SUM(AD133+AF133+AH133+AJ133+AL133+AN133+AP133+AR133+AT133)</f>
        <v>2</v>
      </c>
      <c r="AW133" s="101"/>
      <c r="AX133" s="102"/>
      <c r="AZ133" s="63"/>
      <c r="BA133" s="212"/>
      <c r="BB133" s="213"/>
      <c r="BC133" s="214"/>
      <c r="BD133" s="217">
        <f t="shared" si="169"/>
        <v>7546</v>
      </c>
      <c r="BE133" s="213">
        <f t="shared" si="170"/>
        <v>290</v>
      </c>
      <c r="BF133" s="215">
        <f t="shared" si="171"/>
        <v>2</v>
      </c>
      <c r="BG133" s="215">
        <f t="shared" si="172"/>
        <v>2</v>
      </c>
      <c r="BH133" s="215">
        <f t="shared" si="155"/>
        <v>149</v>
      </c>
      <c r="BI133" s="215">
        <f t="shared" si="156"/>
        <v>141</v>
      </c>
      <c r="BJ133" s="215" t="str">
        <f t="shared" si="157"/>
        <v/>
      </c>
      <c r="BK133" s="215" t="str">
        <f t="shared" si="158"/>
        <v/>
      </c>
      <c r="BL133" s="215" t="str">
        <f t="shared" si="159"/>
        <v/>
      </c>
      <c r="BM133" s="215" t="str">
        <f t="shared" si="160"/>
        <v/>
      </c>
      <c r="BN133" s="215" t="str">
        <f t="shared" si="161"/>
        <v/>
      </c>
      <c r="BO133" s="215" t="str">
        <f t="shared" si="162"/>
        <v/>
      </c>
      <c r="BP133" s="215" t="str">
        <f t="shared" si="163"/>
        <v/>
      </c>
      <c r="BQ133" s="216"/>
      <c r="BR133" s="214"/>
      <c r="BS133" s="215">
        <f t="shared" si="173"/>
        <v>149</v>
      </c>
      <c r="BT133" s="215">
        <f t="shared" si="174"/>
        <v>0</v>
      </c>
      <c r="BU133" s="215" t="str">
        <f t="shared" si="175"/>
        <v xml:space="preserve">Weiß Blau Unterföhring </v>
      </c>
      <c r="BV133" s="214">
        <f t="shared" si="176"/>
        <v>2</v>
      </c>
      <c r="BW133" s="215">
        <f t="shared" si="177"/>
        <v>290</v>
      </c>
      <c r="BX133" s="215">
        <f>IF(COUNTIF(BH133:BP133,"&gt;0")&lt;Spielorte!$A$23,0,BE133/Spielorte!$A$23)</f>
        <v>0</v>
      </c>
      <c r="BY133" s="215">
        <f t="shared" si="178"/>
        <v>0</v>
      </c>
      <c r="BZ133" s="214">
        <f t="shared" si="164"/>
        <v>0</v>
      </c>
    </row>
    <row r="134" spans="1:78" ht="17.2" customHeight="1" x14ac:dyDescent="0.35">
      <c r="A134" s="368"/>
      <c r="B134" s="76" t="str">
        <f t="shared" si="165"/>
        <v>Dornacher, Hannelore</v>
      </c>
      <c r="C134" s="77">
        <f t="shared" si="166"/>
        <v>16414</v>
      </c>
      <c r="D134" s="78" t="str">
        <f t="shared" si="167"/>
        <v/>
      </c>
      <c r="E134" s="349"/>
      <c r="F134" s="78" t="str">
        <f t="shared" si="146"/>
        <v/>
      </c>
      <c r="G134" s="349"/>
      <c r="H134" s="78">
        <f t="shared" si="147"/>
        <v>163</v>
      </c>
      <c r="I134" s="349"/>
      <c r="J134" s="78">
        <f t="shared" si="148"/>
        <v>161</v>
      </c>
      <c r="K134" s="349"/>
      <c r="L134" s="78">
        <f t="shared" si="149"/>
        <v>145</v>
      </c>
      <c r="M134" s="349"/>
      <c r="N134" s="78">
        <f t="shared" si="168"/>
        <v>174</v>
      </c>
      <c r="O134" s="349"/>
      <c r="P134" s="78">
        <f t="shared" si="150"/>
        <v>174</v>
      </c>
      <c r="Q134" s="349"/>
      <c r="R134" s="78">
        <f t="shared" si="151"/>
        <v>147</v>
      </c>
      <c r="S134" s="349"/>
      <c r="T134" s="78">
        <f t="shared" si="152"/>
        <v>128</v>
      </c>
      <c r="U134" s="349"/>
      <c r="V134" s="78">
        <f t="shared" si="153"/>
        <v>1092</v>
      </c>
      <c r="W134" s="349"/>
      <c r="Z134" s="352"/>
      <c r="AA134" s="108" t="str">
        <f>IF(AB134=0,"",VLOOKUP(AB134,Starter!$A$1:$D$199,2,FALSE))</f>
        <v>Dornacher, Hannelore</v>
      </c>
      <c r="AB134" s="98">
        <v>16414</v>
      </c>
      <c r="AC134" s="186"/>
      <c r="AD134" s="112"/>
      <c r="AE134" s="186"/>
      <c r="AF134" s="112"/>
      <c r="AG134" s="186">
        <v>163</v>
      </c>
      <c r="AH134" s="112"/>
      <c r="AI134" s="186">
        <v>161</v>
      </c>
      <c r="AJ134" s="112"/>
      <c r="AK134" s="186">
        <v>145</v>
      </c>
      <c r="AL134" s="112"/>
      <c r="AM134" s="186">
        <v>174</v>
      </c>
      <c r="AN134" s="112"/>
      <c r="AO134" s="186">
        <v>174</v>
      </c>
      <c r="AP134" s="112"/>
      <c r="AQ134" s="186">
        <v>147</v>
      </c>
      <c r="AR134" s="112"/>
      <c r="AS134" s="186">
        <v>128</v>
      </c>
      <c r="AT134" s="112"/>
      <c r="AU134" s="113">
        <f t="shared" si="154"/>
        <v>1092</v>
      </c>
      <c r="AV134" s="114"/>
      <c r="AW134" s="101"/>
      <c r="AX134" s="102"/>
      <c r="AZ134" s="63"/>
      <c r="BA134" s="212"/>
      <c r="BB134" s="213"/>
      <c r="BC134" s="214"/>
      <c r="BD134" s="217">
        <f t="shared" si="169"/>
        <v>16414</v>
      </c>
      <c r="BE134" s="213">
        <f t="shared" si="170"/>
        <v>1092</v>
      </c>
      <c r="BF134" s="215">
        <f t="shared" si="171"/>
        <v>7</v>
      </c>
      <c r="BG134" s="215">
        <f t="shared" si="172"/>
        <v>7</v>
      </c>
      <c r="BH134" s="215" t="str">
        <f t="shared" si="155"/>
        <v/>
      </c>
      <c r="BI134" s="215" t="str">
        <f t="shared" si="156"/>
        <v/>
      </c>
      <c r="BJ134" s="215">
        <f t="shared" si="157"/>
        <v>163</v>
      </c>
      <c r="BK134" s="215">
        <f t="shared" si="158"/>
        <v>161</v>
      </c>
      <c r="BL134" s="215">
        <f t="shared" si="159"/>
        <v>145</v>
      </c>
      <c r="BM134" s="215">
        <f t="shared" si="160"/>
        <v>174</v>
      </c>
      <c r="BN134" s="215">
        <f t="shared" si="161"/>
        <v>174</v>
      </c>
      <c r="BO134" s="215">
        <f t="shared" si="162"/>
        <v>147</v>
      </c>
      <c r="BP134" s="215">
        <f t="shared" si="163"/>
        <v>128</v>
      </c>
      <c r="BQ134" s="216"/>
      <c r="BR134" s="214"/>
      <c r="BS134" s="215">
        <f t="shared" si="173"/>
        <v>174</v>
      </c>
      <c r="BT134" s="215">
        <f t="shared" si="174"/>
        <v>0</v>
      </c>
      <c r="BU134" s="215" t="str">
        <f t="shared" si="175"/>
        <v xml:space="preserve">Weiß Blau Unterföhring </v>
      </c>
      <c r="BV134" s="214">
        <f t="shared" si="176"/>
        <v>2</v>
      </c>
      <c r="BW134" s="215">
        <f t="shared" si="177"/>
        <v>1092</v>
      </c>
      <c r="BX134" s="215">
        <f>IF(COUNTIF(BH134:BP134,"&gt;0")&lt;Spielorte!$A$23,0,BE134/Spielorte!$A$23)</f>
        <v>0</v>
      </c>
      <c r="BY134" s="215">
        <f t="shared" si="178"/>
        <v>0</v>
      </c>
      <c r="BZ134" s="214">
        <f t="shared" si="164"/>
        <v>0</v>
      </c>
    </row>
    <row r="135" spans="1:78" ht="17.2" customHeight="1" thickBot="1" x14ac:dyDescent="0.4">
      <c r="A135" s="369"/>
      <c r="B135" s="79" t="str">
        <f t="shared" si="165"/>
        <v/>
      </c>
      <c r="C135" s="80" t="str">
        <f t="shared" si="166"/>
        <v/>
      </c>
      <c r="D135" s="69" t="str">
        <f t="shared" si="167"/>
        <v/>
      </c>
      <c r="E135" s="350"/>
      <c r="F135" s="69" t="str">
        <f t="shared" si="146"/>
        <v/>
      </c>
      <c r="G135" s="350"/>
      <c r="H135" s="69" t="str">
        <f t="shared" si="147"/>
        <v/>
      </c>
      <c r="I135" s="350"/>
      <c r="J135" s="69" t="str">
        <f t="shared" si="148"/>
        <v/>
      </c>
      <c r="K135" s="350"/>
      <c r="L135" s="69" t="str">
        <f t="shared" si="149"/>
        <v/>
      </c>
      <c r="M135" s="350"/>
      <c r="N135" s="69" t="str">
        <f t="shared" si="168"/>
        <v/>
      </c>
      <c r="O135" s="350"/>
      <c r="P135" s="69" t="str">
        <f t="shared" si="150"/>
        <v/>
      </c>
      <c r="Q135" s="350"/>
      <c r="R135" s="69" t="str">
        <f t="shared" si="151"/>
        <v/>
      </c>
      <c r="S135" s="350"/>
      <c r="T135" s="69" t="str">
        <f t="shared" si="152"/>
        <v/>
      </c>
      <c r="U135" s="350"/>
      <c r="V135" s="69" t="str">
        <f t="shared" si="153"/>
        <v/>
      </c>
      <c r="W135" s="350"/>
      <c r="Z135" s="353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54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9"/>
        <v>0</v>
      </c>
      <c r="BE135" s="213">
        <f t="shared" si="170"/>
        <v>0</v>
      </c>
      <c r="BF135" s="215">
        <f t="shared" si="171"/>
        <v>0</v>
      </c>
      <c r="BG135" s="215">
        <f t="shared" si="172"/>
        <v>0</v>
      </c>
      <c r="BH135" s="215" t="str">
        <f t="shared" si="155"/>
        <v/>
      </c>
      <c r="BI135" s="215" t="str">
        <f t="shared" si="156"/>
        <v/>
      </c>
      <c r="BJ135" s="215" t="str">
        <f t="shared" si="157"/>
        <v/>
      </c>
      <c r="BK135" s="215" t="str">
        <f t="shared" si="158"/>
        <v/>
      </c>
      <c r="BL135" s="215" t="str">
        <f t="shared" si="159"/>
        <v/>
      </c>
      <c r="BM135" s="215" t="str">
        <f t="shared" si="160"/>
        <v/>
      </c>
      <c r="BN135" s="215" t="str">
        <f t="shared" si="161"/>
        <v/>
      </c>
      <c r="BO135" s="215" t="str">
        <f t="shared" si="162"/>
        <v/>
      </c>
      <c r="BP135" s="215" t="str">
        <f t="shared" si="163"/>
        <v/>
      </c>
      <c r="BQ135" s="216"/>
      <c r="BR135" s="214"/>
      <c r="BS135" s="215">
        <f t="shared" si="173"/>
        <v>0</v>
      </c>
      <c r="BT135" s="215">
        <f t="shared" si="174"/>
        <v>0</v>
      </c>
      <c r="BU135" s="215" t="str">
        <f t="shared" si="175"/>
        <v xml:space="preserve">Weiß Blau Unterföhring </v>
      </c>
      <c r="BV135" s="214">
        <f t="shared" si="176"/>
        <v>2</v>
      </c>
      <c r="BW135" s="215">
        <f t="shared" si="177"/>
        <v>0</v>
      </c>
      <c r="BX135" s="215">
        <f>IF(COUNTIF(BH135:BP135,"&gt;0")&lt;Spielorte!$A$23,0,BE135/Spielorte!$A$23)</f>
        <v>0</v>
      </c>
      <c r="BY135" s="215">
        <f t="shared" si="178"/>
        <v>0</v>
      </c>
      <c r="BZ135" s="214">
        <f t="shared" si="164"/>
        <v>0</v>
      </c>
    </row>
    <row r="136" spans="1:78" ht="17.2" customHeight="1" x14ac:dyDescent="0.35">
      <c r="A136" s="367" t="s">
        <v>11</v>
      </c>
      <c r="B136" s="73" t="str">
        <f>IF(AA136=0,"",AA136)</f>
        <v>Albert, Beate</v>
      </c>
      <c r="C136" s="74">
        <f t="shared" si="166"/>
        <v>7087</v>
      </c>
      <c r="D136" s="75">
        <f t="shared" si="167"/>
        <v>189</v>
      </c>
      <c r="E136" s="348">
        <f>IF(AD136="","",AD136)</f>
        <v>1</v>
      </c>
      <c r="F136" s="75">
        <f t="shared" si="146"/>
        <v>189</v>
      </c>
      <c r="G136" s="348">
        <f>IF(AF136="","",AF136)</f>
        <v>0</v>
      </c>
      <c r="H136" s="75">
        <f t="shared" si="147"/>
        <v>156</v>
      </c>
      <c r="I136" s="348">
        <f>IF(AH136="","",AH136)</f>
        <v>0</v>
      </c>
      <c r="J136" s="75">
        <f t="shared" si="148"/>
        <v>177</v>
      </c>
      <c r="K136" s="348">
        <f>IF(AJ136="","",AJ136)</f>
        <v>1</v>
      </c>
      <c r="L136" s="75">
        <f t="shared" si="149"/>
        <v>167</v>
      </c>
      <c r="M136" s="348">
        <f>IF(AL136="","",AL136)</f>
        <v>0</v>
      </c>
      <c r="N136" s="75">
        <f t="shared" si="168"/>
        <v>182</v>
      </c>
      <c r="O136" s="348">
        <f>IF(AN136="","",AN136)</f>
        <v>0</v>
      </c>
      <c r="P136" s="75">
        <f t="shared" si="150"/>
        <v>158</v>
      </c>
      <c r="Q136" s="348">
        <f>IF(AP136="","",AP136)</f>
        <v>0</v>
      </c>
      <c r="R136" s="75">
        <f t="shared" si="151"/>
        <v>171</v>
      </c>
      <c r="S136" s="348">
        <f>IF(AR136="","",AR136)</f>
        <v>0</v>
      </c>
      <c r="T136" s="75">
        <f t="shared" si="152"/>
        <v>117</v>
      </c>
      <c r="U136" s="348">
        <f>IF(AT136="","",AT136)</f>
        <v>1</v>
      </c>
      <c r="V136" s="75">
        <f t="shared" si="153"/>
        <v>1506</v>
      </c>
      <c r="W136" s="348">
        <f>IF(AV136="","",AV136)</f>
        <v>3</v>
      </c>
      <c r="Z136" s="351" t="s">
        <v>11</v>
      </c>
      <c r="AA136" s="108" t="str">
        <f>IF(AB136=0,"",VLOOKUP(AB136,Starter!$A$1:$D$199,2,FALSE))</f>
        <v>Albert, Beate</v>
      </c>
      <c r="AB136" s="99">
        <v>7087</v>
      </c>
      <c r="AC136" s="188">
        <v>189</v>
      </c>
      <c r="AD136" s="109">
        <f>IF(SUM(AC136:AC138)+AC148=0,0,IF(SUM(ABS(AC136),ABS(AC137),ABS(AC138))=AC148,0.5,IF(SUM(ABS(AC136),ABS(AC137),ABS(AC138))&gt;AC148,1,0)))</f>
        <v>1</v>
      </c>
      <c r="AE136" s="188">
        <v>189</v>
      </c>
      <c r="AF136" s="109">
        <f>IF(SUM(AE136:AE138)+AE148=0,0,IF(SUM(ABS(AE136),ABS(AE137),ABS(AE138))=AE148,0.5,IF(SUM(ABS(AE136),ABS(AE137),ABS(AE138))&gt;AE148,1,0)))</f>
        <v>0</v>
      </c>
      <c r="AG136" s="188">
        <v>156</v>
      </c>
      <c r="AH136" s="109">
        <f>IF(SUM(AG136:AG138)+AG148=0,0,IF(SUM(ABS(AG136),ABS(AG137),ABS(AG138))=AG148,0.5,IF(SUM(ABS(AG136),ABS(AG137),ABS(AG138))&gt;AG148,1,0)))</f>
        <v>0</v>
      </c>
      <c r="AI136" s="188">
        <v>177</v>
      </c>
      <c r="AJ136" s="109">
        <f>IF(SUM(AI136:AI138)+AI148=0,0,IF(SUM(ABS(AI136),ABS(AI137),ABS(AI138))=AI148,0.5,IF(SUM(ABS(AI136),ABS(AI137),ABS(AI138))&gt;AI148,1,0)))</f>
        <v>1</v>
      </c>
      <c r="AK136" s="188">
        <v>167</v>
      </c>
      <c r="AL136" s="109">
        <f>IF(SUM(AK136:AK138)+AK148=0,0,IF(SUM(ABS(AK136),ABS(AK137),ABS(AK138))=AK148,0.5,IF(SUM(ABS(AK136),ABS(AK137),ABS(AK138))&gt;AK148,1,0)))</f>
        <v>0</v>
      </c>
      <c r="AM136" s="188">
        <v>182</v>
      </c>
      <c r="AN136" s="109">
        <f>IF(SUM(AM136:AM138)+AM148=0,0,IF(SUM(ABS(AM136),ABS(AM137),ABS(AM138))=AM148,0.5,IF(SUM(ABS(AM136),ABS(AM137),ABS(AM138))&gt;AM148,1,0)))</f>
        <v>0</v>
      </c>
      <c r="AO136" s="188">
        <v>158</v>
      </c>
      <c r="AP136" s="109">
        <f>IF(SUM(AO136:AO138)+AO148=0,0,IF(SUM(ABS(AO136),ABS(AO137),ABS(AO138))=AO148,0.5,IF(SUM(ABS(AO136),ABS(AO137),ABS(AO138))&gt;AO148,1,0)))</f>
        <v>0</v>
      </c>
      <c r="AQ136" s="188">
        <v>171</v>
      </c>
      <c r="AR136" s="109">
        <f>IF(SUM(AQ136:AQ138)+AQ148=0,0,IF(SUM(ABS(AQ136),ABS(AQ137),ABS(AQ138))=AQ148,0.5,IF(SUM(ABS(AQ136),ABS(AQ137),ABS(AQ138))&gt;AQ148,1,0)))</f>
        <v>0</v>
      </c>
      <c r="AS136" s="188">
        <v>117</v>
      </c>
      <c r="AT136" s="109">
        <f>IF(SUM(AS136:AS138)+AS148=0,0,IF(SUM(ABS(AS136),ABS(AS137),ABS(AS138))=AS148,0.5,IF(SUM(ABS(AS136),ABS(AS137),ABS(AS138))&gt;AS148,1,0)))</f>
        <v>1</v>
      </c>
      <c r="AU136" s="110">
        <f t="shared" si="154"/>
        <v>1506</v>
      </c>
      <c r="AV136" s="111">
        <f>SUM(AD136+AF136+AH136+AJ136+AL136+AN136+AP136+AR136+AT136)</f>
        <v>3</v>
      </c>
      <c r="AW136" s="101"/>
      <c r="AX136" s="102"/>
      <c r="AZ136" s="63"/>
      <c r="BA136" s="212"/>
      <c r="BB136" s="213"/>
      <c r="BC136" s="214"/>
      <c r="BD136" s="217">
        <f t="shared" si="169"/>
        <v>7087</v>
      </c>
      <c r="BE136" s="213">
        <f t="shared" si="170"/>
        <v>1506</v>
      </c>
      <c r="BF136" s="215">
        <f t="shared" si="171"/>
        <v>9</v>
      </c>
      <c r="BG136" s="215">
        <f t="shared" si="172"/>
        <v>9</v>
      </c>
      <c r="BH136" s="215">
        <f t="shared" si="155"/>
        <v>189</v>
      </c>
      <c r="BI136" s="215">
        <f t="shared" si="156"/>
        <v>189</v>
      </c>
      <c r="BJ136" s="215">
        <f t="shared" si="157"/>
        <v>156</v>
      </c>
      <c r="BK136" s="215">
        <f t="shared" si="158"/>
        <v>177</v>
      </c>
      <c r="BL136" s="215">
        <f t="shared" si="159"/>
        <v>167</v>
      </c>
      <c r="BM136" s="215">
        <f t="shared" si="160"/>
        <v>182</v>
      </c>
      <c r="BN136" s="215">
        <f t="shared" si="161"/>
        <v>158</v>
      </c>
      <c r="BO136" s="215">
        <f t="shared" si="162"/>
        <v>171</v>
      </c>
      <c r="BP136" s="215">
        <f t="shared" si="163"/>
        <v>117</v>
      </c>
      <c r="BQ136" s="216"/>
      <c r="BR136" s="214"/>
      <c r="BS136" s="215">
        <f t="shared" si="173"/>
        <v>189</v>
      </c>
      <c r="BT136" s="215">
        <f t="shared" si="174"/>
        <v>0</v>
      </c>
      <c r="BU136" s="215" t="str">
        <f t="shared" si="175"/>
        <v xml:space="preserve">Weiß Blau Unterföhring </v>
      </c>
      <c r="BV136" s="214">
        <f t="shared" si="176"/>
        <v>2</v>
      </c>
      <c r="BW136" s="215">
        <f t="shared" si="177"/>
        <v>1506</v>
      </c>
      <c r="BX136" s="215">
        <f>IF(COUNTIF(BH136:BP136,"&gt;0")&lt;Spielorte!$A$23,0,BE136/Spielorte!$A$23)</f>
        <v>167.33333333333334</v>
      </c>
      <c r="BY136" s="215">
        <f t="shared" si="178"/>
        <v>0</v>
      </c>
      <c r="BZ136" s="214">
        <f t="shared" si="164"/>
        <v>0</v>
      </c>
    </row>
    <row r="137" spans="1:78" ht="17.2" customHeight="1" x14ac:dyDescent="0.35">
      <c r="A137" s="368"/>
      <c r="B137" s="76" t="str">
        <f>IF(AA137=0,"",AA137)</f>
        <v/>
      </c>
      <c r="C137" s="77" t="str">
        <f t="shared" si="166"/>
        <v/>
      </c>
      <c r="D137" s="78" t="str">
        <f t="shared" si="167"/>
        <v/>
      </c>
      <c r="E137" s="349"/>
      <c r="F137" s="78" t="str">
        <f t="shared" si="146"/>
        <v/>
      </c>
      <c r="G137" s="349"/>
      <c r="H137" s="78" t="str">
        <f t="shared" si="147"/>
        <v/>
      </c>
      <c r="I137" s="349"/>
      <c r="J137" s="78" t="str">
        <f t="shared" si="148"/>
        <v/>
      </c>
      <c r="K137" s="349"/>
      <c r="L137" s="78" t="str">
        <f t="shared" si="149"/>
        <v/>
      </c>
      <c r="M137" s="349"/>
      <c r="N137" s="78" t="str">
        <f t="shared" si="168"/>
        <v/>
      </c>
      <c r="O137" s="349"/>
      <c r="P137" s="78" t="str">
        <f t="shared" si="150"/>
        <v/>
      </c>
      <c r="Q137" s="349"/>
      <c r="R137" s="78" t="str">
        <f t="shared" si="151"/>
        <v/>
      </c>
      <c r="S137" s="349"/>
      <c r="T137" s="78" t="str">
        <f t="shared" si="152"/>
        <v/>
      </c>
      <c r="U137" s="349"/>
      <c r="V137" s="78" t="str">
        <f t="shared" si="153"/>
        <v/>
      </c>
      <c r="W137" s="349"/>
      <c r="Z137" s="352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54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9"/>
        <v>0</v>
      </c>
      <c r="BE137" s="213">
        <f t="shared" si="170"/>
        <v>0</v>
      </c>
      <c r="BF137" s="215">
        <f t="shared" si="171"/>
        <v>0</v>
      </c>
      <c r="BG137" s="215">
        <f t="shared" si="172"/>
        <v>0</v>
      </c>
      <c r="BH137" s="215" t="str">
        <f t="shared" si="155"/>
        <v/>
      </c>
      <c r="BI137" s="215" t="str">
        <f t="shared" si="156"/>
        <v/>
      </c>
      <c r="BJ137" s="215" t="str">
        <f t="shared" si="157"/>
        <v/>
      </c>
      <c r="BK137" s="215" t="str">
        <f t="shared" si="158"/>
        <v/>
      </c>
      <c r="BL137" s="215" t="str">
        <f t="shared" si="159"/>
        <v/>
      </c>
      <c r="BM137" s="215" t="str">
        <f t="shared" si="160"/>
        <v/>
      </c>
      <c r="BN137" s="215" t="str">
        <f t="shared" si="161"/>
        <v/>
      </c>
      <c r="BO137" s="215" t="str">
        <f t="shared" si="162"/>
        <v/>
      </c>
      <c r="BP137" s="215" t="str">
        <f t="shared" si="163"/>
        <v/>
      </c>
      <c r="BQ137" s="216"/>
      <c r="BR137" s="214"/>
      <c r="BS137" s="215">
        <f t="shared" si="173"/>
        <v>0</v>
      </c>
      <c r="BT137" s="215">
        <f t="shared" si="174"/>
        <v>0</v>
      </c>
      <c r="BU137" s="215" t="str">
        <f t="shared" si="175"/>
        <v xml:space="preserve">Weiß Blau Unterföhring </v>
      </c>
      <c r="BV137" s="214">
        <f t="shared" si="176"/>
        <v>2</v>
      </c>
      <c r="BW137" s="215">
        <f t="shared" si="177"/>
        <v>0</v>
      </c>
      <c r="BX137" s="215">
        <f>IF(COUNTIF(BH137:BP137,"&gt;0")&lt;Spielorte!$A$23,0,BE137/Spielorte!$A$23)</f>
        <v>0</v>
      </c>
      <c r="BY137" s="215">
        <f t="shared" si="178"/>
        <v>0</v>
      </c>
      <c r="BZ137" s="214">
        <f t="shared" si="164"/>
        <v>0</v>
      </c>
    </row>
    <row r="138" spans="1:78" ht="17.2" customHeight="1" thickBot="1" x14ac:dyDescent="0.4">
      <c r="A138" s="369"/>
      <c r="B138" s="79" t="str">
        <f>IF(AA138=0,"",AA138)</f>
        <v/>
      </c>
      <c r="C138" s="80" t="str">
        <f t="shared" si="166"/>
        <v/>
      </c>
      <c r="D138" s="69" t="str">
        <f t="shared" si="167"/>
        <v/>
      </c>
      <c r="E138" s="350"/>
      <c r="F138" s="69" t="str">
        <f t="shared" si="146"/>
        <v/>
      </c>
      <c r="G138" s="350"/>
      <c r="H138" s="69" t="str">
        <f t="shared" si="147"/>
        <v/>
      </c>
      <c r="I138" s="350"/>
      <c r="J138" s="69" t="str">
        <f t="shared" si="148"/>
        <v/>
      </c>
      <c r="K138" s="350"/>
      <c r="L138" s="69" t="str">
        <f t="shared" si="149"/>
        <v/>
      </c>
      <c r="M138" s="350"/>
      <c r="N138" s="69" t="str">
        <f t="shared" si="168"/>
        <v/>
      </c>
      <c r="O138" s="350"/>
      <c r="P138" s="69" t="str">
        <f t="shared" si="150"/>
        <v/>
      </c>
      <c r="Q138" s="350"/>
      <c r="R138" s="69" t="str">
        <f t="shared" si="151"/>
        <v/>
      </c>
      <c r="S138" s="350"/>
      <c r="T138" s="69" t="str">
        <f t="shared" si="152"/>
        <v/>
      </c>
      <c r="U138" s="350"/>
      <c r="V138" s="69" t="str">
        <f t="shared" si="153"/>
        <v/>
      </c>
      <c r="W138" s="350"/>
      <c r="Z138" s="353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54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9"/>
        <v>0</v>
      </c>
      <c r="BE138" s="213">
        <f t="shared" si="170"/>
        <v>0</v>
      </c>
      <c r="BF138" s="215">
        <f t="shared" si="171"/>
        <v>0</v>
      </c>
      <c r="BG138" s="215">
        <f t="shared" si="172"/>
        <v>0</v>
      </c>
      <c r="BH138" s="215" t="str">
        <f t="shared" si="155"/>
        <v/>
      </c>
      <c r="BI138" s="215" t="str">
        <f t="shared" si="156"/>
        <v/>
      </c>
      <c r="BJ138" s="215" t="str">
        <f t="shared" si="157"/>
        <v/>
      </c>
      <c r="BK138" s="215" t="str">
        <f t="shared" si="158"/>
        <v/>
      </c>
      <c r="BL138" s="215" t="str">
        <f t="shared" si="159"/>
        <v/>
      </c>
      <c r="BM138" s="215" t="str">
        <f t="shared" si="160"/>
        <v/>
      </c>
      <c r="BN138" s="215" t="str">
        <f t="shared" si="161"/>
        <v/>
      </c>
      <c r="BO138" s="215" t="str">
        <f t="shared" si="162"/>
        <v/>
      </c>
      <c r="BP138" s="215" t="str">
        <f t="shared" si="163"/>
        <v/>
      </c>
      <c r="BQ138" s="216"/>
      <c r="BR138" s="214"/>
      <c r="BS138" s="215">
        <f t="shared" si="173"/>
        <v>0</v>
      </c>
      <c r="BT138" s="215">
        <f t="shared" si="174"/>
        <v>0</v>
      </c>
      <c r="BU138" s="215" t="str">
        <f t="shared" si="175"/>
        <v xml:space="preserve">Weiß Blau Unterföhring </v>
      </c>
      <c r="BV138" s="214">
        <f t="shared" si="176"/>
        <v>2</v>
      </c>
      <c r="BW138" s="215">
        <f t="shared" si="177"/>
        <v>0</v>
      </c>
      <c r="BX138" s="215">
        <f>IF(COUNTIF(BH138:BP138,"&gt;0")&lt;Spielorte!$A$23,0,BE138/Spielorte!$A$23)</f>
        <v>0</v>
      </c>
      <c r="BY138" s="215">
        <f t="shared" si="178"/>
        <v>0</v>
      </c>
      <c r="BZ138" s="214">
        <f t="shared" si="164"/>
        <v>0</v>
      </c>
    </row>
    <row r="139" spans="1:78" ht="27.75" customHeight="1" thickBot="1" x14ac:dyDescent="0.4">
      <c r="B139" s="81" t="str">
        <f>IF(AA139=0,"",AA139)</f>
        <v>Gesamt</v>
      </c>
      <c r="C139" s="82" t="str">
        <f t="shared" si="166"/>
        <v/>
      </c>
      <c r="D139" s="83">
        <f t="shared" si="167"/>
        <v>678</v>
      </c>
      <c r="E139" s="84">
        <f>IF(AD139="","",AD139)</f>
        <v>2</v>
      </c>
      <c r="F139" s="83">
        <f t="shared" si="146"/>
        <v>699</v>
      </c>
      <c r="G139" s="84">
        <f>IF(AF139="","",AF139)</f>
        <v>0</v>
      </c>
      <c r="H139" s="83">
        <f t="shared" si="147"/>
        <v>604</v>
      </c>
      <c r="I139" s="84">
        <f>IF(AH139="","",AH139)</f>
        <v>0</v>
      </c>
      <c r="J139" s="83">
        <f t="shared" si="148"/>
        <v>634</v>
      </c>
      <c r="K139" s="84">
        <f>IF(AJ139="","",AJ139)</f>
        <v>0</v>
      </c>
      <c r="L139" s="83">
        <f t="shared" si="149"/>
        <v>664</v>
      </c>
      <c r="M139" s="84">
        <f>IF(AL139="","",AL139)</f>
        <v>0</v>
      </c>
      <c r="N139" s="83">
        <f t="shared" si="168"/>
        <v>734</v>
      </c>
      <c r="O139" s="84">
        <f>IF(AN139="","",AN139)</f>
        <v>0</v>
      </c>
      <c r="P139" s="83">
        <f t="shared" si="150"/>
        <v>635</v>
      </c>
      <c r="Q139" s="84">
        <f>IF(AP139="","",AP139)</f>
        <v>0</v>
      </c>
      <c r="R139" s="83">
        <f t="shared" si="151"/>
        <v>650</v>
      </c>
      <c r="S139" s="84">
        <f>IF(AR139="","",AR139)</f>
        <v>0</v>
      </c>
      <c r="T139" s="83">
        <f t="shared" si="152"/>
        <v>585</v>
      </c>
      <c r="U139" s="84">
        <f>IF(AT139="","",AT139)</f>
        <v>2</v>
      </c>
      <c r="V139" s="83">
        <f t="shared" si="153"/>
        <v>5883</v>
      </c>
      <c r="W139" s="84">
        <f>IF(AV139="","",AV139)</f>
        <v>4</v>
      </c>
      <c r="AA139" s="81" t="s">
        <v>1799</v>
      </c>
      <c r="AB139" s="120"/>
      <c r="AC139" s="211">
        <f>ABS(SUM(AC127:AC129))+ABS(SUM(AC130:AC132))+ABS(SUM(AC133:AC135))+ABS(SUM(AC136:AC138))</f>
        <v>678</v>
      </c>
      <c r="AD139" s="121">
        <f>IF(AC139+AC149=0,0,IF(AC139=AC149,1,IF(AC139&gt;AC149,2,0)))</f>
        <v>2</v>
      </c>
      <c r="AE139" s="211">
        <f>ABS(SUM(AE127:AE129))+ABS(SUM(AE130:AE132))+ABS(SUM(AE133:AE135))+ABS(SUM(AE136:AE138))</f>
        <v>699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604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634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664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734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635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650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585</v>
      </c>
      <c r="AT139" s="121">
        <f>IF(AS139+AS149=0,0,IF(AS139=AS149,1,IF(AS139&gt;AS149,2,0)))</f>
        <v>2</v>
      </c>
      <c r="AU139" s="122">
        <f>SUM(AC139+AE139+AG139+AI139+AK139+AM139+AO139+AQ139+AS139)</f>
        <v>5883</v>
      </c>
      <c r="AV139" s="123">
        <f>SUM(AD139+AF139+AH139+AJ139+AL139+AN139+AP139+AR139+AT139)</f>
        <v>4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4">
      <c r="B140" s="85" t="str">
        <f>IF(AA140=0,"",AA140)</f>
        <v>Gesamt - Punkte</v>
      </c>
      <c r="C140" s="86" t="str">
        <f t="shared" si="166"/>
        <v/>
      </c>
      <c r="D140" s="86" t="str">
        <f t="shared" si="167"/>
        <v/>
      </c>
      <c r="E140" s="87">
        <f>IF(AD140="","",AD140)</f>
        <v>5</v>
      </c>
      <c r="F140" s="86" t="str">
        <f t="shared" si="146"/>
        <v/>
      </c>
      <c r="G140" s="87">
        <f>IF(AF140="","",AF140)</f>
        <v>0</v>
      </c>
      <c r="H140" s="86" t="str">
        <f t="shared" si="147"/>
        <v/>
      </c>
      <c r="I140" s="87">
        <f>IF(AH140="","",AH140)</f>
        <v>0</v>
      </c>
      <c r="J140" s="86" t="str">
        <f t="shared" si="148"/>
        <v/>
      </c>
      <c r="K140" s="87">
        <f>IF(AJ140="","",AJ140)</f>
        <v>1</v>
      </c>
      <c r="L140" s="86" t="str">
        <f t="shared" si="149"/>
        <v/>
      </c>
      <c r="M140" s="87">
        <f>IF(AL140="","",AL140)</f>
        <v>1</v>
      </c>
      <c r="N140" s="86" t="str">
        <f t="shared" si="168"/>
        <v/>
      </c>
      <c r="O140" s="87">
        <f>IF(AN140="","",AN140)</f>
        <v>1</v>
      </c>
      <c r="P140" s="86" t="str">
        <f t="shared" si="150"/>
        <v/>
      </c>
      <c r="Q140" s="87">
        <f>IF(AP140="","",AP140)</f>
        <v>0</v>
      </c>
      <c r="R140" s="86" t="str">
        <f t="shared" si="151"/>
        <v/>
      </c>
      <c r="S140" s="87">
        <f>IF(AR140="","",AR140)</f>
        <v>2</v>
      </c>
      <c r="T140" s="86" t="str">
        <f t="shared" si="152"/>
        <v/>
      </c>
      <c r="U140" s="87">
        <f>IF(AT140="","",AT140)</f>
        <v>6</v>
      </c>
      <c r="V140" s="86" t="str">
        <f t="shared" si="153"/>
        <v/>
      </c>
      <c r="W140" s="87">
        <f>IF(AV140="","",AV140)</f>
        <v>16</v>
      </c>
      <c r="AA140" s="85" t="s">
        <v>1814</v>
      </c>
      <c r="AB140" s="86"/>
      <c r="AC140" s="86"/>
      <c r="AD140" s="124">
        <f>SUM(AD127:AD139)</f>
        <v>5</v>
      </c>
      <c r="AE140" s="86"/>
      <c r="AF140" s="124">
        <f>SUM(AF127:AF139)</f>
        <v>0</v>
      </c>
      <c r="AG140" s="86"/>
      <c r="AH140" s="124">
        <f>SUM(AH127:AH139)</f>
        <v>0</v>
      </c>
      <c r="AI140" s="86"/>
      <c r="AJ140" s="124">
        <f>SUM(AJ127:AJ139)</f>
        <v>1</v>
      </c>
      <c r="AK140" s="86"/>
      <c r="AL140" s="124">
        <f>SUM(AL127:AL139)</f>
        <v>1</v>
      </c>
      <c r="AM140" s="86"/>
      <c r="AN140" s="124">
        <f>SUM(AN127:AN139)</f>
        <v>1</v>
      </c>
      <c r="AO140" s="86"/>
      <c r="AP140" s="124">
        <f>SUM(AP127:AP139)</f>
        <v>0</v>
      </c>
      <c r="AQ140" s="86"/>
      <c r="AR140" s="124">
        <f>SUM(AR127:AR139)</f>
        <v>2</v>
      </c>
      <c r="AS140" s="86"/>
      <c r="AT140" s="124">
        <f>SUM(AT127:AT139)</f>
        <v>6</v>
      </c>
      <c r="AU140" s="86"/>
      <c r="AV140" s="125">
        <f>SUM(AV127:AV139)</f>
        <v>16</v>
      </c>
      <c r="AW140" s="101"/>
      <c r="AX140" s="102"/>
      <c r="BA140" s="212">
        <f>+AV140</f>
        <v>16</v>
      </c>
      <c r="BB140" s="213">
        <f>+AU139</f>
        <v>5883</v>
      </c>
      <c r="BC140" s="214">
        <f>+AA122</f>
        <v>5</v>
      </c>
      <c r="BF140" s="215">
        <f>SUM(BF121:BF139)</f>
        <v>36</v>
      </c>
      <c r="BQ140" s="212">
        <f>+BB140/1000000+BA140</f>
        <v>16.005883000000001</v>
      </c>
      <c r="BR140" s="214">
        <f>RANK(BQ140,BQ:BQ)</f>
        <v>8</v>
      </c>
      <c r="BV140" s="214"/>
      <c r="BZ140" s="214"/>
    </row>
    <row r="141" spans="1:78" ht="11.25" customHeight="1" x14ac:dyDescent="0.3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35">
      <c r="B142" s="88" t="str">
        <f t="shared" ref="B142:B149" si="179">IF(AA142=0,"",AA142)</f>
        <v>Gegner-Nr.:</v>
      </c>
      <c r="C142" s="89" t="str">
        <f t="shared" ref="C142:C149" si="180">IF(AB142=0,"",AB142)</f>
        <v>&gt;&gt;&gt;&gt;</v>
      </c>
      <c r="D142" s="346">
        <f t="shared" ref="D142:M144" si="181">IF(AC142=0,"",AC142)</f>
        <v>9</v>
      </c>
      <c r="E142" s="346" t="str">
        <f t="shared" si="181"/>
        <v/>
      </c>
      <c r="F142" s="346">
        <f t="shared" si="181"/>
        <v>8</v>
      </c>
      <c r="G142" s="346" t="str">
        <f t="shared" si="181"/>
        <v/>
      </c>
      <c r="H142" s="346">
        <f t="shared" si="181"/>
        <v>3</v>
      </c>
      <c r="I142" s="346" t="str">
        <f t="shared" si="181"/>
        <v/>
      </c>
      <c r="J142" s="346">
        <f t="shared" si="181"/>
        <v>1</v>
      </c>
      <c r="K142" s="346" t="str">
        <f t="shared" si="181"/>
        <v/>
      </c>
      <c r="L142" s="346">
        <f t="shared" si="181"/>
        <v>7</v>
      </c>
      <c r="M142" s="346" t="str">
        <f t="shared" si="181"/>
        <v/>
      </c>
      <c r="N142" s="346">
        <f t="shared" ref="N142:U144" si="182">IF(AM142=0,"",AM142)</f>
        <v>2</v>
      </c>
      <c r="O142" s="346" t="str">
        <f t="shared" si="182"/>
        <v/>
      </c>
      <c r="P142" s="346">
        <f t="shared" si="182"/>
        <v>6</v>
      </c>
      <c r="Q142" s="346" t="str">
        <f t="shared" si="182"/>
        <v/>
      </c>
      <c r="R142" s="346">
        <f t="shared" si="182"/>
        <v>10</v>
      </c>
      <c r="S142" s="346" t="str">
        <f t="shared" si="182"/>
        <v/>
      </c>
      <c r="T142" s="346">
        <f t="shared" si="182"/>
        <v>4</v>
      </c>
      <c r="U142" s="346" t="str">
        <f t="shared" si="182"/>
        <v/>
      </c>
      <c r="V142" s="347"/>
      <c r="W142" s="347"/>
      <c r="AA142" s="88" t="s">
        <v>1797</v>
      </c>
      <c r="AB142" s="89" t="s">
        <v>1798</v>
      </c>
      <c r="AC142" s="370">
        <f>VLOOKUP($AA122,Schlüssel!$A$5:$K$14,3)</f>
        <v>9</v>
      </c>
      <c r="AD142" s="371"/>
      <c r="AE142" s="370">
        <f>VLOOKUP($AA122,Schlüssel!$A$5:$K$14,4)</f>
        <v>8</v>
      </c>
      <c r="AF142" s="371"/>
      <c r="AG142" s="370">
        <f>VLOOKUP($AA122,Schlüssel!$A$5:$K$14,5)</f>
        <v>3</v>
      </c>
      <c r="AH142" s="371"/>
      <c r="AI142" s="370">
        <f>VLOOKUP($AA122,Schlüssel!$A$5:$K$14,6)</f>
        <v>1</v>
      </c>
      <c r="AJ142" s="371"/>
      <c r="AK142" s="370">
        <f>VLOOKUP($AA122,Schlüssel!$A$5:$K$14,7)</f>
        <v>7</v>
      </c>
      <c r="AL142" s="371"/>
      <c r="AM142" s="370">
        <f>VLOOKUP($AA122,Schlüssel!$A$5:$K$14,8)</f>
        <v>2</v>
      </c>
      <c r="AN142" s="371"/>
      <c r="AO142" s="370">
        <f>VLOOKUP($AA122,Schlüssel!$A$5:$K$14,9)</f>
        <v>6</v>
      </c>
      <c r="AP142" s="371"/>
      <c r="AQ142" s="370">
        <f>VLOOKUP($AA122,Schlüssel!$A$5:$K$14,10)</f>
        <v>10</v>
      </c>
      <c r="AR142" s="371"/>
      <c r="AS142" s="370">
        <f>VLOOKUP($AA122,Schlüssel!$A$5:$K$14,11)</f>
        <v>4</v>
      </c>
      <c r="AT142" s="371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35">
      <c r="B143" s="90" t="str">
        <f t="shared" si="179"/>
        <v/>
      </c>
      <c r="C143" s="86" t="str">
        <f t="shared" si="180"/>
        <v/>
      </c>
      <c r="D143" s="343" t="str">
        <f t="shared" si="181"/>
        <v>RW Lichtenhof 69 Stein 2</v>
      </c>
      <c r="E143" s="344" t="str">
        <f t="shared" si="181"/>
        <v/>
      </c>
      <c r="F143" s="343" t="str">
        <f t="shared" si="181"/>
        <v>EPA München 1</v>
      </c>
      <c r="G143" s="344" t="str">
        <f t="shared" si="181"/>
        <v/>
      </c>
      <c r="H143" s="343" t="str">
        <f t="shared" si="181"/>
        <v>Highroller Rosenheim</v>
      </c>
      <c r="I143" s="344" t="str">
        <f t="shared" si="181"/>
        <v/>
      </c>
      <c r="J143" s="343" t="str">
        <f t="shared" si="181"/>
        <v>Praetoria Regensburg</v>
      </c>
      <c r="K143" s="344" t="str">
        <f t="shared" si="181"/>
        <v/>
      </c>
      <c r="L143" s="343" t="str">
        <f t="shared" si="181"/>
        <v>Frankenpower Nürnberg</v>
      </c>
      <c r="M143" s="344" t="str">
        <f t="shared" si="181"/>
        <v/>
      </c>
      <c r="N143" s="343" t="str">
        <f t="shared" si="182"/>
        <v>BK München 2</v>
      </c>
      <c r="O143" s="344" t="str">
        <f t="shared" si="182"/>
        <v/>
      </c>
      <c r="P143" s="343" t="str">
        <f t="shared" si="182"/>
        <v>Phönix 03 Lauf</v>
      </c>
      <c r="Q143" s="344" t="str">
        <f t="shared" si="182"/>
        <v/>
      </c>
      <c r="R143" s="343" t="str">
        <f t="shared" si="182"/>
        <v>BK München 4</v>
      </c>
      <c r="S143" s="344" t="str">
        <f t="shared" si="182"/>
        <v/>
      </c>
      <c r="T143" s="343" t="str">
        <f t="shared" si="182"/>
        <v>BK München 3</v>
      </c>
      <c r="U143" s="344" t="str">
        <f t="shared" si="182"/>
        <v/>
      </c>
      <c r="V143" s="345"/>
      <c r="W143" s="345"/>
      <c r="AA143" s="90"/>
      <c r="AB143" s="86"/>
      <c r="AC143" s="343" t="str">
        <f>VLOOKUP(AC142,Schlüssel!$A$5:$K$14,2)</f>
        <v>RW Lichtenhof 69 Stein 2</v>
      </c>
      <c r="AD143" s="344"/>
      <c r="AE143" s="343" t="str">
        <f>VLOOKUP(AE142,Schlüssel!$A$5:$K$14,2)</f>
        <v>EPA München 1</v>
      </c>
      <c r="AF143" s="344"/>
      <c r="AG143" s="343" t="str">
        <f>VLOOKUP(AG142,Schlüssel!$A$5:$K$14,2)</f>
        <v>Highroller Rosenheim</v>
      </c>
      <c r="AH143" s="344"/>
      <c r="AI143" s="343" t="str">
        <f>VLOOKUP(AI142,Schlüssel!$A$5:$K$14,2)</f>
        <v>Praetoria Regensburg</v>
      </c>
      <c r="AJ143" s="344"/>
      <c r="AK143" s="343" t="str">
        <f>VLOOKUP(AK142,Schlüssel!$A$5:$K$14,2)</f>
        <v>Frankenpower Nürnberg</v>
      </c>
      <c r="AL143" s="344"/>
      <c r="AM143" s="343" t="str">
        <f>VLOOKUP(AM142,Schlüssel!$A$5:$K$14,2)</f>
        <v>BK München 2</v>
      </c>
      <c r="AN143" s="344"/>
      <c r="AO143" s="343" t="str">
        <f>VLOOKUP(AO142,Schlüssel!$A$5:$K$14,2)</f>
        <v>Phönix 03 Lauf</v>
      </c>
      <c r="AP143" s="344"/>
      <c r="AQ143" s="343" t="str">
        <f>VLOOKUP(AQ142,Schlüssel!$A$5:$K$14,2)</f>
        <v>BK München 4</v>
      </c>
      <c r="AR143" s="344"/>
      <c r="AS143" s="343" t="str">
        <f>VLOOKUP(AS142,Schlüssel!$A$5:$K$14,2)</f>
        <v>BK München 3</v>
      </c>
      <c r="AT143" s="344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35">
      <c r="B144" s="90" t="str">
        <f t="shared" si="179"/>
        <v/>
      </c>
      <c r="C144" s="86" t="str">
        <f t="shared" si="180"/>
        <v/>
      </c>
      <c r="D144" s="341" t="str">
        <f t="shared" si="181"/>
        <v/>
      </c>
      <c r="E144" s="341" t="str">
        <f t="shared" si="181"/>
        <v/>
      </c>
      <c r="F144" s="341" t="str">
        <f t="shared" si="181"/>
        <v/>
      </c>
      <c r="G144" s="341" t="str">
        <f t="shared" si="181"/>
        <v/>
      </c>
      <c r="H144" s="341" t="str">
        <f t="shared" si="181"/>
        <v/>
      </c>
      <c r="I144" s="341" t="str">
        <f t="shared" si="181"/>
        <v/>
      </c>
      <c r="J144" s="341" t="str">
        <f t="shared" si="181"/>
        <v/>
      </c>
      <c r="K144" s="341" t="str">
        <f t="shared" si="181"/>
        <v/>
      </c>
      <c r="L144" s="341" t="str">
        <f t="shared" si="181"/>
        <v/>
      </c>
      <c r="M144" s="341" t="str">
        <f t="shared" si="181"/>
        <v/>
      </c>
      <c r="N144" s="341" t="str">
        <f t="shared" si="182"/>
        <v/>
      </c>
      <c r="O144" s="341" t="str">
        <f t="shared" si="182"/>
        <v/>
      </c>
      <c r="P144" s="341" t="str">
        <f t="shared" si="182"/>
        <v/>
      </c>
      <c r="Q144" s="341" t="str">
        <f t="shared" si="182"/>
        <v/>
      </c>
      <c r="R144" s="341" t="str">
        <f t="shared" si="182"/>
        <v/>
      </c>
      <c r="S144" s="341" t="str">
        <f t="shared" si="182"/>
        <v/>
      </c>
      <c r="T144" s="341" t="str">
        <f t="shared" si="182"/>
        <v/>
      </c>
      <c r="U144" s="342" t="str">
        <f t="shared" si="182"/>
        <v/>
      </c>
      <c r="V144" s="301"/>
      <c r="W144" s="301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6.05" customHeight="1" x14ac:dyDescent="0.35">
      <c r="B145" s="365" t="str">
        <f t="shared" si="179"/>
        <v>Spieler 1</v>
      </c>
      <c r="C145" s="366" t="str">
        <f t="shared" si="180"/>
        <v/>
      </c>
      <c r="D145" s="339">
        <f>IF(AC145=301,"",AC145)</f>
        <v>212</v>
      </c>
      <c r="E145" s="339" t="str">
        <f>IF(AD145=0,"",AD145)</f>
        <v/>
      </c>
      <c r="F145" s="339">
        <f>IF(AE145=301,"",AE145)</f>
        <v>200</v>
      </c>
      <c r="G145" s="339" t="str">
        <f>IF(AF145=0,"",AF145)</f>
        <v/>
      </c>
      <c r="H145" s="339">
        <f>IF(AG145=301,"",AG145)</f>
        <v>214</v>
      </c>
      <c r="I145" s="339" t="str">
        <f>IF(AH145=0,"",AH145)</f>
        <v/>
      </c>
      <c r="J145" s="339">
        <f>IF(AI145=301,"",AI145)</f>
        <v>195</v>
      </c>
      <c r="K145" s="339" t="str">
        <f>IF(AJ145=0,"",AJ145)</f>
        <v/>
      </c>
      <c r="L145" s="339">
        <f>IF(AK145=301,"",AK145)</f>
        <v>157</v>
      </c>
      <c r="M145" s="339" t="str">
        <f>IF(AL145=0,"",AL145)</f>
        <v/>
      </c>
      <c r="N145" s="339">
        <f>IF(AM145=301,"",AM145)</f>
        <v>269</v>
      </c>
      <c r="O145" s="339" t="str">
        <f>IF(AN145=0,"",AN145)</f>
        <v/>
      </c>
      <c r="P145" s="339">
        <f>IF(AO145=301,"",AO145)</f>
        <v>201</v>
      </c>
      <c r="Q145" s="339" t="str">
        <f>IF(AP145=0,"",AP145)</f>
        <v/>
      </c>
      <c r="R145" s="339">
        <f>IF(AQ145=301,"",AQ145)</f>
        <v>170</v>
      </c>
      <c r="S145" s="339" t="str">
        <f>IF(AR145=0,"",AR145)</f>
        <v/>
      </c>
      <c r="T145" s="339">
        <f>IF(AS145=301,"",AS145)</f>
        <v>0</v>
      </c>
      <c r="U145" s="339" t="str">
        <f>IF(AT145=0,"",AT145)</f>
        <v/>
      </c>
      <c r="V145" s="340"/>
      <c r="W145" s="340"/>
      <c r="AA145" s="91" t="s">
        <v>0</v>
      </c>
      <c r="AB145" s="92"/>
      <c r="AC145" s="372">
        <f>ABS(INDEX(AC:AC,MATCH(AC142,$AA:$AA,0)+5)+INDEX(AC:AC,MATCH(AC142,$AA:$AA,0)+6)+INDEX(AC:AC,MATCH(AC142,$AA:$AA,0)+7))</f>
        <v>212</v>
      </c>
      <c r="AD145" s="373"/>
      <c r="AE145" s="372">
        <f>ABS(INDEX(AE:AE,MATCH(AE142,$AA:$AA,0)+5)+INDEX(AE:AE,MATCH(AE142,$AA:$AA,0)+6)+INDEX(AE:AE,MATCH(AE142,$AA:$AA,0)+7))</f>
        <v>200</v>
      </c>
      <c r="AF145" s="373"/>
      <c r="AG145" s="372">
        <f>ABS(INDEX(AG:AG,MATCH(AG142,$AA:$AA,0)+5)+INDEX(AG:AG,MATCH(AG142,$AA:$AA,0)+6)+INDEX(AG:AG,MATCH(AG142,$AA:$AA,0)+7))</f>
        <v>214</v>
      </c>
      <c r="AH145" s="373"/>
      <c r="AI145" s="372">
        <f>ABS(INDEX(AI:AI,MATCH(AI142,$AA:$AA,0)+5)+INDEX(AI:AI,MATCH(AI142,$AA:$AA,0)+6)+INDEX(AI:AI,MATCH(AI142,$AA:$AA,0)+7))</f>
        <v>195</v>
      </c>
      <c r="AJ145" s="373"/>
      <c r="AK145" s="372">
        <f>ABS(INDEX(AK:AK,MATCH(AK142,$AA:$AA,0)+5)+INDEX(AK:AK,MATCH(AK142,$AA:$AA,0)+6)+INDEX(AK:AK,MATCH(AK142,$AA:$AA,0)+7))</f>
        <v>157</v>
      </c>
      <c r="AL145" s="373"/>
      <c r="AM145" s="372">
        <f>ABS(INDEX(AM:AM,MATCH(AM142,$AA:$AA,0)+5)+INDEX(AM:AM,MATCH(AM142,$AA:$AA,0)+6)+INDEX(AM:AM,MATCH(AM142,$AA:$AA,0)+7))</f>
        <v>269</v>
      </c>
      <c r="AN145" s="373"/>
      <c r="AO145" s="372">
        <f>ABS(INDEX(AO:AO,MATCH(AO142,$AA:$AA,0)+5)+INDEX(AO:AO,MATCH(AO142,$AA:$AA,0)+6)+INDEX(AO:AO,MATCH(AO142,$AA:$AA,0)+7))</f>
        <v>201</v>
      </c>
      <c r="AP145" s="373"/>
      <c r="AQ145" s="372">
        <f>ABS(INDEX(AQ:AQ,MATCH(AQ142,$AA:$AA,0)+5)+INDEX(AQ:AQ,MATCH(AQ142,$AA:$AA,0)+6)+INDEX(AQ:AQ,MATCH(AQ142,$AA:$AA,0)+7))</f>
        <v>170</v>
      </c>
      <c r="AR145" s="373"/>
      <c r="AS145" s="372">
        <f>ABS(INDEX(AS:AS,MATCH(AS142,$AA:$AA,0)+5)+INDEX(AS:AS,MATCH(AS142,$AA:$AA,0)+6)+INDEX(AS:AS,MATCH(AS142,$AA:$AA,0)+7))</f>
        <v>0</v>
      </c>
      <c r="AT145" s="373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6.05" customHeight="1" x14ac:dyDescent="0.35">
      <c r="B146" s="365" t="str">
        <f t="shared" si="179"/>
        <v>Spieler 2</v>
      </c>
      <c r="C146" s="366" t="str">
        <f t="shared" si="180"/>
        <v/>
      </c>
      <c r="D146" s="339">
        <f>IF(AC146=301,"",AC146)</f>
        <v>132</v>
      </c>
      <c r="E146" s="339" t="str">
        <f>IF(AD146=0,"",AD146)</f>
        <v/>
      </c>
      <c r="F146" s="339">
        <f>IF(AE146=301,"",AE146)</f>
        <v>205</v>
      </c>
      <c r="G146" s="339" t="str">
        <f>IF(AF146=0,"",AF146)</f>
        <v/>
      </c>
      <c r="H146" s="339">
        <f>IF(AG146=301,"",AG146)</f>
        <v>193</v>
      </c>
      <c r="I146" s="339" t="str">
        <f>IF(AH146=0,"",AH146)</f>
        <v/>
      </c>
      <c r="J146" s="339">
        <f>IF(AI146=301,"",AI146)</f>
        <v>192</v>
      </c>
      <c r="K146" s="339" t="str">
        <f>IF(AJ146=0,"",AJ146)</f>
        <v/>
      </c>
      <c r="L146" s="339">
        <f>IF(AK146=301,"",AK146)</f>
        <v>180</v>
      </c>
      <c r="M146" s="339" t="str">
        <f>IF(AL146=0,"",AL146)</f>
        <v/>
      </c>
      <c r="N146" s="339">
        <f>IF(AM146=301,"",AM146)</f>
        <v>160</v>
      </c>
      <c r="O146" s="339" t="str">
        <f>IF(AN146=0,"",AN146)</f>
        <v/>
      </c>
      <c r="P146" s="339">
        <f>IF(AO146=301,"",AO146)</f>
        <v>189</v>
      </c>
      <c r="Q146" s="339" t="str">
        <f>IF(AP146=0,"",AP146)</f>
        <v/>
      </c>
      <c r="R146" s="339">
        <f>IF(AQ146=301,"",AQ146)</f>
        <v>152</v>
      </c>
      <c r="S146" s="339" t="str">
        <f>IF(AR146=0,"",AR146)</f>
        <v/>
      </c>
      <c r="T146" s="339">
        <f>IF(AS146=301,"",AS146)</f>
        <v>0</v>
      </c>
      <c r="U146" s="339" t="str">
        <f>IF(AT146=0,"",AT146)</f>
        <v/>
      </c>
      <c r="V146" s="340"/>
      <c r="W146" s="340"/>
      <c r="AA146" s="91" t="s">
        <v>2</v>
      </c>
      <c r="AB146" s="92"/>
      <c r="AC146" s="374">
        <f>ABS(INDEX(AC:AC,MATCH(AC142,$AA:$AA,0)+8)+INDEX(AC:AC,MATCH(AC142,$AA:$AA,0)+9)+INDEX(AC:AC,MATCH(AC142,$AA:$AA,0)+10))</f>
        <v>132</v>
      </c>
      <c r="AD146" s="375"/>
      <c r="AE146" s="374">
        <f>ABS(INDEX(AE:AE,MATCH(AE142,$AA:$AA,0)+8)+INDEX(AE:AE,MATCH(AE142,$AA:$AA,0)+9)+INDEX(AE:AE,MATCH(AE142,$AA:$AA,0)+10))</f>
        <v>205</v>
      </c>
      <c r="AF146" s="375"/>
      <c r="AG146" s="374">
        <f>ABS(INDEX(AG:AG,MATCH(AG142,$AA:$AA,0)+8)+INDEX(AG:AG,MATCH(AG142,$AA:$AA,0)+9)+INDEX(AG:AG,MATCH(AG142,$AA:$AA,0)+10))</f>
        <v>193</v>
      </c>
      <c r="AH146" s="375"/>
      <c r="AI146" s="374">
        <f>ABS(INDEX(AI:AI,MATCH(AI142,$AA:$AA,0)+8)+INDEX(AI:AI,MATCH(AI142,$AA:$AA,0)+9)+INDEX(AI:AI,MATCH(AI142,$AA:$AA,0)+10))</f>
        <v>192</v>
      </c>
      <c r="AJ146" s="375"/>
      <c r="AK146" s="374">
        <f>ABS(INDEX(AK:AK,MATCH(AK142,$AA:$AA,0)+8)+INDEX(AK:AK,MATCH(AK142,$AA:$AA,0)+9)+INDEX(AK:AK,MATCH(AK142,$AA:$AA,0)+10))</f>
        <v>180</v>
      </c>
      <c r="AL146" s="375"/>
      <c r="AM146" s="374">
        <f>ABS(INDEX(AM:AM,MATCH(AM142,$AA:$AA,0)+8)+INDEX(AM:AM,MATCH(AM142,$AA:$AA,0)+9)+INDEX(AM:AM,MATCH(AM142,$AA:$AA,0)+10))</f>
        <v>160</v>
      </c>
      <c r="AN146" s="375"/>
      <c r="AO146" s="374">
        <f>ABS(INDEX(AO:AO,MATCH(AO142,$AA:$AA,0)+8)+INDEX(AO:AO,MATCH(AO142,$AA:$AA,0)+9)+INDEX(AO:AO,MATCH(AO142,$AA:$AA,0)+10))</f>
        <v>189</v>
      </c>
      <c r="AP146" s="375"/>
      <c r="AQ146" s="374">
        <f>ABS(INDEX(AQ:AQ,MATCH(AQ142,$AA:$AA,0)+8)+INDEX(AQ:AQ,MATCH(AQ142,$AA:$AA,0)+9)+INDEX(AQ:AQ,MATCH(AQ142,$AA:$AA,0)+10))</f>
        <v>152</v>
      </c>
      <c r="AR146" s="375"/>
      <c r="AS146" s="374">
        <f>ABS(INDEX(AS:AS,MATCH(AS142,$AA:$AA,0)+8)+INDEX(AS:AS,MATCH(AS142,$AA:$AA,0)+9)+INDEX(AS:AS,MATCH(AS142,$AA:$AA,0)+10))</f>
        <v>0</v>
      </c>
      <c r="AT146" s="37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6.05" customHeight="1" x14ac:dyDescent="0.35">
      <c r="B147" s="365" t="str">
        <f t="shared" si="179"/>
        <v>Spieler 3</v>
      </c>
      <c r="C147" s="366" t="str">
        <f t="shared" si="180"/>
        <v/>
      </c>
      <c r="D147" s="339">
        <f>IF(AC147=301,"",AC147)</f>
        <v>138</v>
      </c>
      <c r="E147" s="339" t="str">
        <f>IF(AD147=0,"",AD147)</f>
        <v/>
      </c>
      <c r="F147" s="339">
        <f>IF(AE147=301,"",AE147)</f>
        <v>155</v>
      </c>
      <c r="G147" s="339" t="str">
        <f>IF(AF147=0,"",AF147)</f>
        <v/>
      </c>
      <c r="H147" s="339">
        <f>IF(AG147=301,"",AG147)</f>
        <v>176</v>
      </c>
      <c r="I147" s="339" t="str">
        <f>IF(AH147=0,"",AH147)</f>
        <v/>
      </c>
      <c r="J147" s="339">
        <f>IF(AI147=301,"",AI147)</f>
        <v>194</v>
      </c>
      <c r="K147" s="339" t="str">
        <f>IF(AJ147=0,"",AJ147)</f>
        <v/>
      </c>
      <c r="L147" s="339">
        <f>IF(AK147=301,"",AK147)</f>
        <v>170</v>
      </c>
      <c r="M147" s="339" t="str">
        <f>IF(AL147=0,"",AL147)</f>
        <v/>
      </c>
      <c r="N147" s="339">
        <f>IF(AM147=301,"",AM147)</f>
        <v>235</v>
      </c>
      <c r="O147" s="339" t="str">
        <f>IF(AN147=0,"",AN147)</f>
        <v/>
      </c>
      <c r="P147" s="339">
        <f>IF(AO147=301,"",AO147)</f>
        <v>202</v>
      </c>
      <c r="Q147" s="339" t="str">
        <f>IF(AP147=0,"",AP147)</f>
        <v/>
      </c>
      <c r="R147" s="339">
        <f>IF(AQ147=301,"",AQ147)</f>
        <v>211</v>
      </c>
      <c r="S147" s="339" t="str">
        <f>IF(AR147=0,"",AR147)</f>
        <v/>
      </c>
      <c r="T147" s="339">
        <f>IF(AS147=301,"",AS147)</f>
        <v>0</v>
      </c>
      <c r="U147" s="339" t="str">
        <f>IF(AT147=0,"",AT147)</f>
        <v/>
      </c>
      <c r="V147" s="340"/>
      <c r="W147" s="340"/>
      <c r="AA147" s="91" t="s">
        <v>3</v>
      </c>
      <c r="AB147" s="92"/>
      <c r="AC147" s="374">
        <f>ABS(INDEX(AC:AC,MATCH(AC142,$AA:$AA,0)+11)+INDEX(AC:AC,MATCH(AC142,$AA:$AA,0)+12)+INDEX(AC:AC,MATCH(AC142,$AA:$AA,0)+13))</f>
        <v>138</v>
      </c>
      <c r="AD147" s="375"/>
      <c r="AE147" s="374">
        <f>ABS(INDEX(AE:AE,MATCH(AE142,$AA:$AA,0)+11)+INDEX(AE:AE,MATCH(AE142,$AA:$AA,0)+12)+INDEX(AE:AE,MATCH(AE142,$AA:$AA,0)+13))</f>
        <v>155</v>
      </c>
      <c r="AF147" s="375"/>
      <c r="AG147" s="374">
        <f>ABS(INDEX(AG:AG,MATCH(AG142,$AA:$AA,0)+11)+INDEX(AG:AG,MATCH(AG142,$AA:$AA,0)+12)+INDEX(AG:AG,MATCH(AG142,$AA:$AA,0)+13))</f>
        <v>176</v>
      </c>
      <c r="AH147" s="375"/>
      <c r="AI147" s="374">
        <f>ABS(INDEX(AI:AI,MATCH(AI142,$AA:$AA,0)+11)+INDEX(AI:AI,MATCH(AI142,$AA:$AA,0)+12)+INDEX(AI:AI,MATCH(AI142,$AA:$AA,0)+13))</f>
        <v>194</v>
      </c>
      <c r="AJ147" s="375"/>
      <c r="AK147" s="374">
        <f>ABS(INDEX(AK:AK,MATCH(AK142,$AA:$AA,0)+11)+INDEX(AK:AK,MATCH(AK142,$AA:$AA,0)+12)+INDEX(AK:AK,MATCH(AK142,$AA:$AA,0)+13))</f>
        <v>170</v>
      </c>
      <c r="AL147" s="375"/>
      <c r="AM147" s="374">
        <f>ABS(INDEX(AM:AM,MATCH(AM142,$AA:$AA,0)+11)+INDEX(AM:AM,MATCH(AM142,$AA:$AA,0)+12)+INDEX(AM:AM,MATCH(AM142,$AA:$AA,0)+13))</f>
        <v>235</v>
      </c>
      <c r="AN147" s="375"/>
      <c r="AO147" s="374">
        <f>ABS(INDEX(AO:AO,MATCH(AO142,$AA:$AA,0)+11)+INDEX(AO:AO,MATCH(AO142,$AA:$AA,0)+12)+INDEX(AO:AO,MATCH(AO142,$AA:$AA,0)+13))</f>
        <v>202</v>
      </c>
      <c r="AP147" s="375"/>
      <c r="AQ147" s="374">
        <f>ABS(INDEX(AQ:AQ,MATCH(AQ142,$AA:$AA,0)+11)+INDEX(AQ:AQ,MATCH(AQ142,$AA:$AA,0)+12)+INDEX(AQ:AQ,MATCH(AQ142,$AA:$AA,0)+13))</f>
        <v>211</v>
      </c>
      <c r="AR147" s="375"/>
      <c r="AS147" s="374">
        <f>ABS(INDEX(AS:AS,MATCH(AS142,$AA:$AA,0)+11)+INDEX(AS:AS,MATCH(AS142,$AA:$AA,0)+12)+INDEX(AS:AS,MATCH(AS142,$AA:$AA,0)+13))</f>
        <v>0</v>
      </c>
      <c r="AT147" s="37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6.05" customHeight="1" x14ac:dyDescent="0.35">
      <c r="B148" s="365" t="str">
        <f t="shared" si="179"/>
        <v>Spieler 4</v>
      </c>
      <c r="C148" s="366" t="str">
        <f t="shared" si="180"/>
        <v/>
      </c>
      <c r="D148" s="339">
        <f>IF(AC148=301,"",AC148)</f>
        <v>146</v>
      </c>
      <c r="E148" s="339" t="str">
        <f>IF(AD148=0,"",AD148)</f>
        <v/>
      </c>
      <c r="F148" s="339">
        <f>IF(AE148=301,"",AE148)</f>
        <v>210</v>
      </c>
      <c r="G148" s="339" t="str">
        <f>IF(AF148=0,"",AF148)</f>
        <v/>
      </c>
      <c r="H148" s="339">
        <f>IF(AG148=301,"",AG148)</f>
        <v>182</v>
      </c>
      <c r="I148" s="339" t="str">
        <f>IF(AH148=0,"",AH148)</f>
        <v/>
      </c>
      <c r="J148" s="339">
        <f>IF(AI148=301,"",AI148)</f>
        <v>126</v>
      </c>
      <c r="K148" s="339" t="str">
        <f>IF(AJ148=0,"",AJ148)</f>
        <v/>
      </c>
      <c r="L148" s="339">
        <f>IF(AK148=301,"",AK148)</f>
        <v>183</v>
      </c>
      <c r="M148" s="339" t="str">
        <f>IF(AL148=0,"",AL148)</f>
        <v/>
      </c>
      <c r="N148" s="339">
        <f>IF(AM148=301,"",AM148)</f>
        <v>183</v>
      </c>
      <c r="O148" s="339" t="str">
        <f>IF(AN148=0,"",AN148)</f>
        <v/>
      </c>
      <c r="P148" s="339">
        <f>IF(AO148=301,"",AO148)</f>
        <v>178</v>
      </c>
      <c r="Q148" s="339" t="str">
        <f>IF(AP148=0,"",AP148)</f>
        <v/>
      </c>
      <c r="R148" s="339">
        <f>IF(AQ148=301,"",AQ148)</f>
        <v>188</v>
      </c>
      <c r="S148" s="339" t="str">
        <f>IF(AR148=0,"",AR148)</f>
        <v/>
      </c>
      <c r="T148" s="339">
        <f>IF(AS148=301,"",AS148)</f>
        <v>0</v>
      </c>
      <c r="U148" s="339" t="str">
        <f>IF(AT148=0,"",AT148)</f>
        <v/>
      </c>
      <c r="V148" s="340"/>
      <c r="W148" s="340"/>
      <c r="AA148" s="91" t="s">
        <v>11</v>
      </c>
      <c r="AB148" s="92"/>
      <c r="AC148" s="374">
        <f>ABS(INDEX(AC:AC,MATCH(AC142,$AA:$AA,0)+14)+INDEX(AC:AC,MATCH(AC142,$AA:$AA,0)+15)+INDEX(AC:AC,MATCH(AC142,$AA:$AA,0)+16))</f>
        <v>146</v>
      </c>
      <c r="AD148" s="375"/>
      <c r="AE148" s="374">
        <f>ABS(INDEX(AE:AE,MATCH(AE142,$AA:$AA,0)+14)+INDEX(AE:AE,MATCH(AE142,$AA:$AA,0)+15)+INDEX(AE:AE,MATCH(AE142,$AA:$AA,0)+16))</f>
        <v>210</v>
      </c>
      <c r="AF148" s="375"/>
      <c r="AG148" s="374">
        <f>ABS(INDEX(AG:AG,MATCH(AG142,$AA:$AA,0)+14)+INDEX(AG:AG,MATCH(AG142,$AA:$AA,0)+15)+INDEX(AG:AG,MATCH(AG142,$AA:$AA,0)+16))</f>
        <v>182</v>
      </c>
      <c r="AH148" s="375"/>
      <c r="AI148" s="374">
        <f>ABS(INDEX(AI:AI,MATCH(AI142,$AA:$AA,0)+14)+INDEX(AI:AI,MATCH(AI142,$AA:$AA,0)+15)+INDEX(AI:AI,MATCH(AI142,$AA:$AA,0)+16))</f>
        <v>126</v>
      </c>
      <c r="AJ148" s="375"/>
      <c r="AK148" s="374">
        <f>ABS(INDEX(AK:AK,MATCH(AK142,$AA:$AA,0)+14)+INDEX(AK:AK,MATCH(AK142,$AA:$AA,0)+15)+INDEX(AK:AK,MATCH(AK142,$AA:$AA,0)+16))</f>
        <v>183</v>
      </c>
      <c r="AL148" s="375"/>
      <c r="AM148" s="374">
        <f>ABS(INDEX(AM:AM,MATCH(AM142,$AA:$AA,0)+14)+INDEX(AM:AM,MATCH(AM142,$AA:$AA,0)+15)+INDEX(AM:AM,MATCH(AM142,$AA:$AA,0)+16))</f>
        <v>183</v>
      </c>
      <c r="AN148" s="375"/>
      <c r="AO148" s="374">
        <f>ABS(INDEX(AO:AO,MATCH(AO142,$AA:$AA,0)+14)+INDEX(AO:AO,MATCH(AO142,$AA:$AA,0)+15)+INDEX(AO:AO,MATCH(AO142,$AA:$AA,0)+16))</f>
        <v>178</v>
      </c>
      <c r="AP148" s="375"/>
      <c r="AQ148" s="374">
        <f>ABS(INDEX(AQ:AQ,MATCH(AQ142,$AA:$AA,0)+14)+INDEX(AQ:AQ,MATCH(AQ142,$AA:$AA,0)+15)+INDEX(AQ:AQ,MATCH(AQ142,$AA:$AA,0)+16))</f>
        <v>188</v>
      </c>
      <c r="AR148" s="375"/>
      <c r="AS148" s="374">
        <f>ABS(INDEX(AS:AS,MATCH(AS142,$AA:$AA,0)+14)+INDEX(AS:AS,MATCH(AS142,$AA:$AA,0)+15)+INDEX(AS:AS,MATCH(AS142,$AA:$AA,0)+16))</f>
        <v>0</v>
      </c>
      <c r="AT148" s="37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6.05" customHeight="1" x14ac:dyDescent="0.35">
      <c r="B149" s="354" t="str">
        <f t="shared" si="179"/>
        <v>Gesamt</v>
      </c>
      <c r="C149" s="355" t="str">
        <f t="shared" si="180"/>
        <v/>
      </c>
      <c r="D149" s="338">
        <f>IF(AC149=1505,"",AC149)</f>
        <v>628</v>
      </c>
      <c r="E149" s="338" t="str">
        <f>IF(AD149=0,"",AD149)</f>
        <v/>
      </c>
      <c r="F149" s="338">
        <f>IF(AE149=1505,"",AE149)</f>
        <v>770</v>
      </c>
      <c r="G149" s="338" t="str">
        <f>IF(AF149=0,"",AF149)</f>
        <v/>
      </c>
      <c r="H149" s="338">
        <f>IF(AG149=1505,"",AG149)</f>
        <v>765</v>
      </c>
      <c r="I149" s="338" t="str">
        <f>IF(AH149=0,"",AH149)</f>
        <v/>
      </c>
      <c r="J149" s="338">
        <f>IF(AI149=1505,"",AI149)</f>
        <v>707</v>
      </c>
      <c r="K149" s="338" t="str">
        <f>IF(AJ149=0,"",AJ149)</f>
        <v/>
      </c>
      <c r="L149" s="338">
        <f>IF(AK149=1505,"",AK149)</f>
        <v>690</v>
      </c>
      <c r="M149" s="338" t="str">
        <f>IF(AL149=0,"",AL149)</f>
        <v/>
      </c>
      <c r="N149" s="338">
        <f>IF(AM149=1505,"",AM149)</f>
        <v>847</v>
      </c>
      <c r="O149" s="338" t="str">
        <f>IF(AN149=0,"",AN149)</f>
        <v/>
      </c>
      <c r="P149" s="338">
        <f>IF(AO149=1505,"",AO149)</f>
        <v>770</v>
      </c>
      <c r="Q149" s="338" t="str">
        <f>IF(AP149=0,"",AP149)</f>
        <v/>
      </c>
      <c r="R149" s="338">
        <f>IF(AQ149=1505,"",AQ149)</f>
        <v>721</v>
      </c>
      <c r="S149" s="338" t="str">
        <f>IF(AR149=0,"",AR149)</f>
        <v/>
      </c>
      <c r="T149" s="338">
        <f>IF(AS149=1505,"",AS149)</f>
        <v>0</v>
      </c>
      <c r="U149" s="338" t="str">
        <f>IF(AT149=0,"",AT149)</f>
        <v/>
      </c>
      <c r="V149" s="290"/>
      <c r="W149" s="290"/>
      <c r="AA149" s="93" t="s">
        <v>1799</v>
      </c>
      <c r="AB149" s="94"/>
      <c r="AC149" s="354">
        <f>SUM(AC145:AC148)</f>
        <v>628</v>
      </c>
      <c r="AD149" s="355"/>
      <c r="AE149" s="354">
        <f>SUM(AE145:AE148)</f>
        <v>770</v>
      </c>
      <c r="AF149" s="355"/>
      <c r="AG149" s="354">
        <f>SUM(AG145:AG148)</f>
        <v>765</v>
      </c>
      <c r="AH149" s="355"/>
      <c r="AI149" s="354">
        <f>SUM(AI145:AI148)</f>
        <v>707</v>
      </c>
      <c r="AJ149" s="355"/>
      <c r="AK149" s="354">
        <f>SUM(AK145:AK148)</f>
        <v>690</v>
      </c>
      <c r="AL149" s="355"/>
      <c r="AM149" s="354">
        <f>SUM(AM145:AM148)</f>
        <v>847</v>
      </c>
      <c r="AN149" s="355"/>
      <c r="AO149" s="354">
        <f>SUM(AO145:AO148)</f>
        <v>770</v>
      </c>
      <c r="AP149" s="355"/>
      <c r="AQ149" s="354">
        <f>SUM(AQ145:AQ148)</f>
        <v>721</v>
      </c>
      <c r="AR149" s="355"/>
      <c r="AS149" s="354">
        <f>SUM(AS145:AS148)</f>
        <v>0</v>
      </c>
      <c r="AT149" s="35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3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7">
      <c r="B151" s="44" t="str">
        <f>AA151</f>
        <v>Team-Nr.</v>
      </c>
      <c r="C151" s="45"/>
      <c r="D151" s="44" t="str">
        <f>AC151</f>
        <v>Liga:</v>
      </c>
      <c r="E151" s="47"/>
      <c r="F151" s="359" t="str">
        <f>AE151</f>
        <v>Bayernliga Frauen</v>
      </c>
      <c r="G151" s="359"/>
      <c r="H151" s="359"/>
      <c r="I151" s="359"/>
      <c r="J151" s="359"/>
      <c r="K151" s="359"/>
      <c r="L151" s="359"/>
      <c r="M151" s="359"/>
      <c r="N151" s="359"/>
      <c r="O151" s="359"/>
      <c r="P151" s="359"/>
      <c r="Q151" s="359"/>
      <c r="R151" s="48"/>
      <c r="S151" s="49" t="s">
        <v>1794</v>
      </c>
      <c r="T151" s="50"/>
      <c r="U151" s="360" t="str">
        <f>AT151</f>
        <v>12.10./13.10.</v>
      </c>
      <c r="V151" s="361"/>
      <c r="W151" s="362"/>
      <c r="X151" s="363"/>
      <c r="Y151" s="364"/>
      <c r="Z151" s="364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0" t="str">
        <f>VLOOKUP(AS152,Spielorte!$A$1:$C$6,2)</f>
        <v>12.10./13.10.</v>
      </c>
      <c r="AU151" s="361"/>
      <c r="AV151" s="362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65">
      <c r="B152" s="53">
        <f>AA152</f>
        <v>6</v>
      </c>
      <c r="D152" s="46" t="s">
        <v>1793</v>
      </c>
      <c r="E152" s="54"/>
      <c r="F152" s="358" t="str">
        <f>AE152</f>
        <v>Unterföhring Dreambowl Palace</v>
      </c>
      <c r="G152" s="358"/>
      <c r="H152" s="358"/>
      <c r="I152" s="358"/>
      <c r="J152" s="358"/>
      <c r="K152" s="358"/>
      <c r="L152" s="358"/>
      <c r="M152" s="358"/>
      <c r="N152" s="358"/>
      <c r="O152" s="358"/>
      <c r="P152" s="55"/>
      <c r="Q152" s="55"/>
      <c r="S152" s="49" t="s">
        <v>1791</v>
      </c>
      <c r="T152" s="56">
        <f>AS152</f>
        <v>1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Unterföhring Dreambowl Palace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1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4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5" thickBot="1" x14ac:dyDescent="0.45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VLOOKUP($AA152,Schlüssel!$A$5:$DZ$14,13)</f>
        <v>2</v>
      </c>
      <c r="AE154" s="65" t="s">
        <v>10</v>
      </c>
      <c r="AF154" s="44">
        <f>VLOOKUP($AA152,Schlüssel!$A$5:$DZ$14,14)</f>
        <v>5</v>
      </c>
      <c r="AG154" s="65" t="s">
        <v>10</v>
      </c>
      <c r="AH154" s="44">
        <f>VLOOKUP($AA152,Schlüssel!$A$5:$DZ$14,15)</f>
        <v>8</v>
      </c>
      <c r="AI154" s="65" t="s">
        <v>10</v>
      </c>
      <c r="AJ154" s="44">
        <f>VLOOKUP($AA152,Schlüssel!$A$5:$DZ$14,16)</f>
        <v>1</v>
      </c>
      <c r="AK154" s="65" t="s">
        <v>10</v>
      </c>
      <c r="AL154" s="44">
        <f>VLOOKUP($AA152,Schlüssel!$A$5:$DZ$14,17)</f>
        <v>4</v>
      </c>
      <c r="AM154" s="65" t="s">
        <v>10</v>
      </c>
      <c r="AN154" s="44">
        <f>VLOOKUP($AA152,Schlüssel!$A$5:$DZ$14,18)</f>
        <v>9</v>
      </c>
      <c r="AO154" s="65" t="s">
        <v>10</v>
      </c>
      <c r="AP154" s="44">
        <f>VLOOKUP($AA152,Schlüssel!$A$5:$DZ$14,19)</f>
        <v>7</v>
      </c>
      <c r="AQ154" s="65" t="s">
        <v>10</v>
      </c>
      <c r="AR154" s="44">
        <f>VLOOKUP($AA152,Schlüssel!$A$5:$DZ$14,20)</f>
        <v>6</v>
      </c>
      <c r="AS154" s="65" t="s">
        <v>10</v>
      </c>
      <c r="AT154" s="44">
        <f>VLOOKUP($AA152,Schlüssel!$A$5:$DZ$14,21)</f>
        <v>10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35">
      <c r="B155" s="67" t="s">
        <v>1</v>
      </c>
      <c r="C155" s="68"/>
      <c r="D155" s="354" t="s">
        <v>1800</v>
      </c>
      <c r="E155" s="355"/>
      <c r="F155" s="354" t="s">
        <v>1801</v>
      </c>
      <c r="G155" s="355"/>
      <c r="H155" s="354" t="s">
        <v>1802</v>
      </c>
      <c r="I155" s="355"/>
      <c r="J155" s="354" t="s">
        <v>1803</v>
      </c>
      <c r="K155" s="355"/>
      <c r="L155" s="354" t="s">
        <v>1804</v>
      </c>
      <c r="M155" s="355"/>
      <c r="N155" s="354" t="s">
        <v>1805</v>
      </c>
      <c r="O155" s="355"/>
      <c r="P155" s="354" t="s">
        <v>1806</v>
      </c>
      <c r="Q155" s="355"/>
      <c r="R155" s="354" t="s">
        <v>1807</v>
      </c>
      <c r="S155" s="355"/>
      <c r="T155" s="354" t="s">
        <v>1808</v>
      </c>
      <c r="U155" s="355"/>
      <c r="V155" s="356" t="s">
        <v>1799</v>
      </c>
      <c r="W155" s="357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4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2" customHeight="1" x14ac:dyDescent="0.35">
      <c r="A157" s="367" t="s">
        <v>0</v>
      </c>
      <c r="B157" s="73" t="str">
        <f>IF(AA157=0,"",AA157)</f>
        <v>Kleim, Helga</v>
      </c>
      <c r="C157" s="74">
        <f>IF(AB157=0,"",AB157)</f>
        <v>7787</v>
      </c>
      <c r="D157" s="75">
        <f>IF(AC157=0,"",AC157)</f>
        <v>214</v>
      </c>
      <c r="E157" s="348">
        <f>IF(AD157="","",AD157)</f>
        <v>1</v>
      </c>
      <c r="F157" s="75">
        <f t="shared" ref="F157:F170" si="183">IF(AE157=0,"",AE157)</f>
        <v>172</v>
      </c>
      <c r="G157" s="348">
        <f>IF(AF157="","",AF157)</f>
        <v>1</v>
      </c>
      <c r="H157" s="75">
        <f t="shared" ref="H157:H170" si="184">IF(AG157=0,"",AG157)</f>
        <v>185</v>
      </c>
      <c r="I157" s="348">
        <f>IF(AH157="","",AH157)</f>
        <v>1</v>
      </c>
      <c r="J157" s="75">
        <f t="shared" ref="J157:J170" si="185">IF(AI157=0,"",AI157)</f>
        <v>158</v>
      </c>
      <c r="K157" s="348">
        <f>IF(AJ157="","",AJ157)</f>
        <v>0</v>
      </c>
      <c r="L157" s="75">
        <f t="shared" ref="L157:L170" si="186">IF(AK157=0,"",AK157)</f>
        <v>135</v>
      </c>
      <c r="M157" s="348">
        <f>IF(AL157="","",AL157)</f>
        <v>1</v>
      </c>
      <c r="N157" s="75">
        <f>IF(AM157=0,"",AM157)</f>
        <v>158</v>
      </c>
      <c r="O157" s="348">
        <f>IF(AN157="","",AN157)</f>
        <v>0</v>
      </c>
      <c r="P157" s="75">
        <f t="shared" ref="P157:P170" si="187">IF(AO157=0,"",AO157)</f>
        <v>201</v>
      </c>
      <c r="Q157" s="348">
        <f>IF(AP157="","",AP157)</f>
        <v>1</v>
      </c>
      <c r="R157" s="75">
        <f t="shared" ref="R157:R170" si="188">IF(AQ157=0,"",AQ157)</f>
        <v>161</v>
      </c>
      <c r="S157" s="348">
        <f>IF(AR157="","",AR157)</f>
        <v>1</v>
      </c>
      <c r="T157" s="75">
        <f t="shared" ref="T157:T170" si="189">IF(AS157=0,"",AS157)</f>
        <v>156</v>
      </c>
      <c r="U157" s="348">
        <f>IF(AT157="","",AT157)</f>
        <v>0</v>
      </c>
      <c r="V157" s="75">
        <f t="shared" ref="V157:V170" si="190">IF(AU157=0,"",AU157)</f>
        <v>1540</v>
      </c>
      <c r="W157" s="348">
        <f>IF(AV157="","",AV157)</f>
        <v>6</v>
      </c>
      <c r="Z157" s="351" t="s">
        <v>0</v>
      </c>
      <c r="AA157" s="108" t="str">
        <f>IF(AB157=0,"",VLOOKUP(AB157,Starter!$A$1:$D$199,2,FALSE))</f>
        <v>Kleim, Helga</v>
      </c>
      <c r="AB157" s="99">
        <v>7787</v>
      </c>
      <c r="AC157" s="185">
        <v>214</v>
      </c>
      <c r="AD157" s="109">
        <f>IF(SUM(AC157:AC159)+AC175=0,0,IF(SUM(ABS(AC157),ABS(AC158),ABS(AC159))=AC175,0.5,IF(SUM(ABS(AC157),ABS(AC158),ABS(AC159))&gt;AC175,1,0)))</f>
        <v>1</v>
      </c>
      <c r="AE157" s="185">
        <v>172</v>
      </c>
      <c r="AF157" s="109">
        <f>IF(SUM(AE157:AE159)+AE175=0,0,IF(SUM(ABS(AE157),ABS(AE158),ABS(AE159))=AE175,0.5,IF(SUM(ABS(AE157),ABS(AE158),ABS(AE159))&gt;AE175,1,0)))</f>
        <v>1</v>
      </c>
      <c r="AG157" s="185">
        <v>185</v>
      </c>
      <c r="AH157" s="109">
        <f>IF(SUM(AG157:AG159)+AG175=0,0,IF(SUM(ABS(AG157),ABS(AG158),ABS(AG159))=AG175,0.5,IF(SUM(ABS(AG157),ABS(AG158),ABS(AG159))&gt;AG175,1,0)))</f>
        <v>1</v>
      </c>
      <c r="AI157" s="185">
        <v>158</v>
      </c>
      <c r="AJ157" s="109">
        <f>IF(SUM(AI157:AI159)+AI175=0,0,IF(SUM(ABS(AI157),ABS(AI158),ABS(AI159))=AI175,0.5,IF(SUM(ABS(AI157),ABS(AI158),ABS(AI159))&gt;AI175,1,0)))</f>
        <v>0</v>
      </c>
      <c r="AK157" s="185">
        <v>135</v>
      </c>
      <c r="AL157" s="109">
        <f>IF(SUM(AK157:AK159)+AK175=0,0,IF(SUM(ABS(AK157),ABS(AK158),ABS(AK159))=AK175,0.5,IF(SUM(ABS(AK157),ABS(AK158),ABS(AK159))&gt;AK175,1,0)))</f>
        <v>1</v>
      </c>
      <c r="AM157" s="185">
        <v>158</v>
      </c>
      <c r="AN157" s="109">
        <f>IF(SUM(AM157:AM159)+AM175=0,0,IF(SUM(ABS(AM157),ABS(AM158),ABS(AM159))=AM175,0.5,IF(SUM(ABS(AM157),ABS(AM158),ABS(AM159))&gt;AM175,1,0)))</f>
        <v>0</v>
      </c>
      <c r="AO157" s="185">
        <v>201</v>
      </c>
      <c r="AP157" s="109">
        <f>IF(SUM(AO157:AO159)+AO175=0,0,IF(SUM(ABS(AO157),ABS(AO158),ABS(AO159))=AO175,0.5,IF(SUM(ABS(AO157),ABS(AO158),ABS(AO159))&gt;AO175,1,0)))</f>
        <v>1</v>
      </c>
      <c r="AQ157" s="185">
        <v>161</v>
      </c>
      <c r="AR157" s="109">
        <f>IF(SUM(AQ157:AQ159)+AQ175=0,0,IF(SUM(ABS(AQ157),ABS(AQ158),ABS(AQ159))=AQ175,0.5,IF(SUM(ABS(AQ157),ABS(AQ158),ABS(AQ159))&gt;AQ175,1,0)))</f>
        <v>1</v>
      </c>
      <c r="AS157" s="185">
        <v>156</v>
      </c>
      <c r="AT157" s="109">
        <f>IF(SUM(AS157:AS159)+AS175=0,0,IF(SUM(ABS(AS157),ABS(AS158),ABS(AS159))=AS175,0.5,IF(SUM(ABS(AS157),ABS(AS158),ABS(AS159))&gt;AS175,1,0)))</f>
        <v>0</v>
      </c>
      <c r="AU157" s="110">
        <f t="shared" ref="AU157:AU168" si="191">ABS(SUM(AC157:AC157))+ABS(SUM(AE157:AE157))+ABS(SUM(AG157:AG157))+ABS(SUM(AI157:AI157))+ABS(SUM(AK157:AK157))+ABS(SUM(AM157:AM157))+ABS(SUM(AO157:AO157))+ABS(SUM(AQ157:AQ157))+ABS(SUM(AS157:AS157))</f>
        <v>1540</v>
      </c>
      <c r="AV157" s="111">
        <f>SUM(AD157+AF157+AH157+AJ157+AL157+AN157+AP157+AR157+AT157)</f>
        <v>6</v>
      </c>
      <c r="AW157" s="101"/>
      <c r="AX157" s="102"/>
      <c r="AZ157" s="63"/>
      <c r="BA157" s="212"/>
      <c r="BB157" s="213"/>
      <c r="BC157" s="214"/>
      <c r="BD157" s="217">
        <f>+AB157</f>
        <v>7787</v>
      </c>
      <c r="BE157" s="213">
        <f>+AU157</f>
        <v>1540</v>
      </c>
      <c r="BF157" s="215">
        <f>COUNT(BH157:BP157)</f>
        <v>9</v>
      </c>
      <c r="BG157" s="215">
        <f>COUNTIF(BH157:BP157,"&gt;0")</f>
        <v>9</v>
      </c>
      <c r="BH157" s="215">
        <f t="shared" ref="BH157:BH168" si="192">IF(AC157=0,"",AC157)</f>
        <v>214</v>
      </c>
      <c r="BI157" s="215">
        <f t="shared" ref="BI157:BI168" si="193">IF(AE157=0,"",AE157)</f>
        <v>172</v>
      </c>
      <c r="BJ157" s="215">
        <f t="shared" ref="BJ157:BJ168" si="194">IF(AG157=0,"",AG157)</f>
        <v>185</v>
      </c>
      <c r="BK157" s="215">
        <f t="shared" ref="BK157:BK168" si="195">IF(AI157=0,"",AI157)</f>
        <v>158</v>
      </c>
      <c r="BL157" s="215">
        <f t="shared" ref="BL157:BL168" si="196">IF(AK157=0,"",AK157)</f>
        <v>135</v>
      </c>
      <c r="BM157" s="215">
        <f t="shared" ref="BM157:BM168" si="197">IF(AM157=0,"",AM157)</f>
        <v>158</v>
      </c>
      <c r="BN157" s="215">
        <f t="shared" ref="BN157:BN168" si="198">IF(AO157=0,"",AO157)</f>
        <v>201</v>
      </c>
      <c r="BO157" s="215">
        <f t="shared" ref="BO157:BO168" si="199">IF(AQ157=0,"",AQ157)</f>
        <v>161</v>
      </c>
      <c r="BP157" s="215">
        <f t="shared" ref="BP157:BP168" si="200">IF(AS157=0,"",AS157)</f>
        <v>156</v>
      </c>
      <c r="BQ157" s="216"/>
      <c r="BR157" s="214"/>
      <c r="BS157" s="215">
        <f>MAX(BH157:BP157)</f>
        <v>214</v>
      </c>
      <c r="BT157" s="215">
        <f>IF(BS157&lt;MAX(BS:BS),0,BS157+ROW()/1000000000)</f>
        <v>0</v>
      </c>
      <c r="BU157" s="215" t="str">
        <f>+AA153</f>
        <v>Phönix 03 Lauf</v>
      </c>
      <c r="BV157" s="214">
        <f>RANK(BT157,BT:BT)</f>
        <v>2</v>
      </c>
      <c r="BW157" s="215">
        <f>SUMIF(BH157:BP157,"&gt;0")</f>
        <v>1540</v>
      </c>
      <c r="BX157" s="215">
        <f>IF(COUNTIF(BH157:BP157,"&gt;0")&lt;Spielorte!$A$23,0,BE157/Spielorte!$A$23)</f>
        <v>171.11111111111111</v>
      </c>
      <c r="BY157" s="215">
        <f>IF(BX157&lt;MAX(BX:BX),0,BX157+ROW()/1000000000)</f>
        <v>0</v>
      </c>
      <c r="BZ157" s="214">
        <f t="shared" ref="BZ157:BZ168" si="201">IF(BY157=0,0,RANK(BY157,BY:BY))</f>
        <v>0</v>
      </c>
    </row>
    <row r="158" spans="1:78" ht="17.2" customHeight="1" x14ac:dyDescent="0.35">
      <c r="A158" s="368"/>
      <c r="B158" s="76" t="str">
        <f t="shared" ref="B158:B165" si="202">IF(AA158=0,"",AA158)</f>
        <v/>
      </c>
      <c r="C158" s="77" t="str">
        <f t="shared" ref="C158:C170" si="203">IF(AB158=0,"",AB158)</f>
        <v/>
      </c>
      <c r="D158" s="78" t="str">
        <f t="shared" ref="D158:D170" si="204">IF(AC158=0,"",AC158)</f>
        <v/>
      </c>
      <c r="E158" s="349"/>
      <c r="F158" s="78" t="str">
        <f t="shared" si="183"/>
        <v/>
      </c>
      <c r="G158" s="349"/>
      <c r="H158" s="78" t="str">
        <f t="shared" si="184"/>
        <v/>
      </c>
      <c r="I158" s="349"/>
      <c r="J158" s="78" t="str">
        <f t="shared" si="185"/>
        <v/>
      </c>
      <c r="K158" s="349"/>
      <c r="L158" s="78" t="str">
        <f t="shared" si="186"/>
        <v/>
      </c>
      <c r="M158" s="349"/>
      <c r="N158" s="78" t="str">
        <f t="shared" ref="N158:N170" si="205">IF(AM158=0,"",AM158)</f>
        <v/>
      </c>
      <c r="O158" s="349"/>
      <c r="P158" s="78" t="str">
        <f t="shared" si="187"/>
        <v/>
      </c>
      <c r="Q158" s="349"/>
      <c r="R158" s="78" t="str">
        <f t="shared" si="188"/>
        <v/>
      </c>
      <c r="S158" s="349"/>
      <c r="T158" s="78" t="str">
        <f t="shared" si="189"/>
        <v/>
      </c>
      <c r="U158" s="349"/>
      <c r="V158" s="78" t="str">
        <f t="shared" si="190"/>
        <v/>
      </c>
      <c r="W158" s="349"/>
      <c r="Z158" s="352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91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206">+AB158</f>
        <v>0</v>
      </c>
      <c r="BE158" s="213">
        <f t="shared" ref="BE158:BE168" si="207">+AU158</f>
        <v>0</v>
      </c>
      <c r="BF158" s="215">
        <f t="shared" ref="BF158:BF168" si="208">COUNT(BH158:BP158)</f>
        <v>0</v>
      </c>
      <c r="BG158" s="215">
        <f t="shared" ref="BG158:BG168" si="209">COUNTIF(BH158:BP158,"&gt;0")</f>
        <v>0</v>
      </c>
      <c r="BH158" s="215" t="str">
        <f t="shared" si="192"/>
        <v/>
      </c>
      <c r="BI158" s="215" t="str">
        <f t="shared" si="193"/>
        <v/>
      </c>
      <c r="BJ158" s="215" t="str">
        <f t="shared" si="194"/>
        <v/>
      </c>
      <c r="BK158" s="215" t="str">
        <f t="shared" si="195"/>
        <v/>
      </c>
      <c r="BL158" s="215" t="str">
        <f t="shared" si="196"/>
        <v/>
      </c>
      <c r="BM158" s="215" t="str">
        <f t="shared" si="197"/>
        <v/>
      </c>
      <c r="BN158" s="215" t="str">
        <f t="shared" si="198"/>
        <v/>
      </c>
      <c r="BO158" s="215" t="str">
        <f t="shared" si="199"/>
        <v/>
      </c>
      <c r="BP158" s="215" t="str">
        <f t="shared" si="200"/>
        <v/>
      </c>
      <c r="BQ158" s="216"/>
      <c r="BR158" s="214"/>
      <c r="BS158" s="215">
        <f t="shared" ref="BS158:BS168" si="210">MAX(BH158:BP158)</f>
        <v>0</v>
      </c>
      <c r="BT158" s="215">
        <f t="shared" ref="BT158:BT168" si="211">IF(BS158&lt;MAX(BS:BS),0,BS158+ROW()/1000000000)</f>
        <v>0</v>
      </c>
      <c r="BU158" s="215" t="str">
        <f t="shared" ref="BU158:BU168" si="212">+BU157</f>
        <v>Phönix 03 Lauf</v>
      </c>
      <c r="BV158" s="214">
        <f t="shared" ref="BV158:BV168" si="213">RANK(BT158,BT:BT)</f>
        <v>2</v>
      </c>
      <c r="BW158" s="215">
        <f t="shared" ref="BW158:BW168" si="214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15">IF(BX158&lt;MAX(BX:BX),0,BX158+ROW()/1000000000)</f>
        <v>0</v>
      </c>
      <c r="BZ158" s="214">
        <f t="shared" si="201"/>
        <v>0</v>
      </c>
    </row>
    <row r="159" spans="1:78" ht="17.2" customHeight="1" thickBot="1" x14ac:dyDescent="0.4">
      <c r="A159" s="369"/>
      <c r="B159" s="79" t="str">
        <f t="shared" si="202"/>
        <v/>
      </c>
      <c r="C159" s="80" t="str">
        <f t="shared" si="203"/>
        <v/>
      </c>
      <c r="D159" s="69" t="str">
        <f t="shared" si="204"/>
        <v/>
      </c>
      <c r="E159" s="350"/>
      <c r="F159" s="69" t="str">
        <f t="shared" si="183"/>
        <v/>
      </c>
      <c r="G159" s="350"/>
      <c r="H159" s="69" t="str">
        <f t="shared" si="184"/>
        <v/>
      </c>
      <c r="I159" s="350"/>
      <c r="J159" s="69" t="str">
        <f t="shared" si="185"/>
        <v/>
      </c>
      <c r="K159" s="350"/>
      <c r="L159" s="69" t="str">
        <f t="shared" si="186"/>
        <v/>
      </c>
      <c r="M159" s="350"/>
      <c r="N159" s="69" t="str">
        <f t="shared" si="205"/>
        <v/>
      </c>
      <c r="O159" s="350"/>
      <c r="P159" s="69" t="str">
        <f t="shared" si="187"/>
        <v/>
      </c>
      <c r="Q159" s="350"/>
      <c r="R159" s="69" t="str">
        <f t="shared" si="188"/>
        <v/>
      </c>
      <c r="S159" s="350"/>
      <c r="T159" s="69" t="str">
        <f t="shared" si="189"/>
        <v/>
      </c>
      <c r="U159" s="350"/>
      <c r="V159" s="69" t="str">
        <f t="shared" si="190"/>
        <v/>
      </c>
      <c r="W159" s="350"/>
      <c r="Z159" s="353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91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206"/>
        <v>0</v>
      </c>
      <c r="BE159" s="213">
        <f t="shared" si="207"/>
        <v>0</v>
      </c>
      <c r="BF159" s="215">
        <f t="shared" si="208"/>
        <v>0</v>
      </c>
      <c r="BG159" s="215">
        <f t="shared" si="209"/>
        <v>0</v>
      </c>
      <c r="BH159" s="215" t="str">
        <f t="shared" si="192"/>
        <v/>
      </c>
      <c r="BI159" s="215" t="str">
        <f t="shared" si="193"/>
        <v/>
      </c>
      <c r="BJ159" s="215" t="str">
        <f t="shared" si="194"/>
        <v/>
      </c>
      <c r="BK159" s="215" t="str">
        <f t="shared" si="195"/>
        <v/>
      </c>
      <c r="BL159" s="215" t="str">
        <f t="shared" si="196"/>
        <v/>
      </c>
      <c r="BM159" s="215" t="str">
        <f t="shared" si="197"/>
        <v/>
      </c>
      <c r="BN159" s="215" t="str">
        <f t="shared" si="198"/>
        <v/>
      </c>
      <c r="BO159" s="215" t="str">
        <f t="shared" si="199"/>
        <v/>
      </c>
      <c r="BP159" s="215" t="str">
        <f t="shared" si="200"/>
        <v/>
      </c>
      <c r="BQ159" s="216"/>
      <c r="BR159" s="214"/>
      <c r="BS159" s="215">
        <f t="shared" si="210"/>
        <v>0</v>
      </c>
      <c r="BT159" s="215">
        <f t="shared" si="211"/>
        <v>0</v>
      </c>
      <c r="BU159" s="215" t="str">
        <f t="shared" si="212"/>
        <v>Phönix 03 Lauf</v>
      </c>
      <c r="BV159" s="214">
        <f t="shared" si="213"/>
        <v>2</v>
      </c>
      <c r="BW159" s="215">
        <f t="shared" si="214"/>
        <v>0</v>
      </c>
      <c r="BX159" s="215">
        <f>IF(COUNTIF(BH159:BP159,"&gt;0")&lt;Spielorte!$A$23,0,BE159/Spielorte!$A$23)</f>
        <v>0</v>
      </c>
      <c r="BY159" s="215">
        <f t="shared" si="215"/>
        <v>0</v>
      </c>
      <c r="BZ159" s="214">
        <f t="shared" si="201"/>
        <v>0</v>
      </c>
    </row>
    <row r="160" spans="1:78" ht="17.2" customHeight="1" x14ac:dyDescent="0.35">
      <c r="A160" s="367" t="s">
        <v>2</v>
      </c>
      <c r="B160" s="73" t="str">
        <f t="shared" si="202"/>
        <v>Kulzer, Katharina</v>
      </c>
      <c r="C160" s="74">
        <f t="shared" si="203"/>
        <v>38210</v>
      </c>
      <c r="D160" s="75">
        <f t="shared" si="204"/>
        <v>163</v>
      </c>
      <c r="E160" s="348">
        <f>IF(AD160="","",AD160)</f>
        <v>1</v>
      </c>
      <c r="F160" s="75">
        <f t="shared" si="183"/>
        <v>220</v>
      </c>
      <c r="G160" s="348">
        <f>IF(AF160="","",AF160)</f>
        <v>1</v>
      </c>
      <c r="H160" s="75">
        <f t="shared" si="184"/>
        <v>181</v>
      </c>
      <c r="I160" s="348">
        <f>IF(AH160="","",AH160)</f>
        <v>1</v>
      </c>
      <c r="J160" s="75">
        <f t="shared" si="185"/>
        <v>184</v>
      </c>
      <c r="K160" s="348">
        <f>IF(AJ160="","",AJ160)</f>
        <v>0</v>
      </c>
      <c r="L160" s="75">
        <f t="shared" si="186"/>
        <v>186</v>
      </c>
      <c r="M160" s="348">
        <f>IF(AL160="","",AL160)</f>
        <v>1</v>
      </c>
      <c r="N160" s="75">
        <f t="shared" si="205"/>
        <v>139</v>
      </c>
      <c r="O160" s="348">
        <f>IF(AN160="","",AN160)</f>
        <v>0</v>
      </c>
      <c r="P160" s="75">
        <f t="shared" si="187"/>
        <v>189</v>
      </c>
      <c r="Q160" s="348">
        <f>IF(AP160="","",AP160)</f>
        <v>1</v>
      </c>
      <c r="R160" s="75">
        <f t="shared" si="188"/>
        <v>205</v>
      </c>
      <c r="S160" s="348">
        <f>IF(AR160="","",AR160)</f>
        <v>1</v>
      </c>
      <c r="T160" s="75">
        <f t="shared" si="189"/>
        <v>159</v>
      </c>
      <c r="U160" s="348">
        <f>IF(AT160="","",AT160)</f>
        <v>0</v>
      </c>
      <c r="V160" s="75">
        <f t="shared" si="190"/>
        <v>1626</v>
      </c>
      <c r="W160" s="348">
        <f>IF(AV160="","",AV160)</f>
        <v>6</v>
      </c>
      <c r="Z160" s="351" t="s">
        <v>2</v>
      </c>
      <c r="AA160" s="108" t="str">
        <f>IF(AB160=0,"",VLOOKUP(AB160,Starter!$A$1:$D$199,2,FALSE))</f>
        <v>Kulzer, Katharina</v>
      </c>
      <c r="AB160" s="99">
        <v>38210</v>
      </c>
      <c r="AC160" s="188">
        <v>163</v>
      </c>
      <c r="AD160" s="109">
        <f>IF(SUM(AC160:AC162)+AC176=0,0,IF(SUM(ABS(AC160),ABS(AC161),ABS(AC162))=AC176,0.5,IF(SUM(ABS(AC160),ABS(AC161),ABS(AC162))&gt;AC176,1,0)))</f>
        <v>1</v>
      </c>
      <c r="AE160" s="188">
        <v>220</v>
      </c>
      <c r="AF160" s="109">
        <f>IF(SUM(AE160:AE162)+AE176=0,0,IF(SUM(ABS(AE160),ABS(AE161),ABS(AE162))=AE176,0.5,IF(SUM(ABS(AE160),ABS(AE161),ABS(AE162))&gt;AE176,1,0)))</f>
        <v>1</v>
      </c>
      <c r="AG160" s="188">
        <v>181</v>
      </c>
      <c r="AH160" s="109">
        <f>IF(SUM(AG160:AG162)+AG176=0,0,IF(SUM(ABS(AG160),ABS(AG161),ABS(AG162))=AG176,0.5,IF(SUM(ABS(AG160),ABS(AG161),ABS(AG162))&gt;AG176,1,0)))</f>
        <v>1</v>
      </c>
      <c r="AI160" s="188">
        <v>184</v>
      </c>
      <c r="AJ160" s="109">
        <f>IF(SUM(AI160:AI162)+AI176=0,0,IF(SUM(ABS(AI160),ABS(AI161),ABS(AI162))=AI176,0.5,IF(SUM(ABS(AI160),ABS(AI161),ABS(AI162))&gt;AI176,1,0)))</f>
        <v>0</v>
      </c>
      <c r="AK160" s="188">
        <v>186</v>
      </c>
      <c r="AL160" s="109">
        <f>IF(SUM(AK160:AK162)+AK176=0,0,IF(SUM(ABS(AK160),ABS(AK161),ABS(AK162))=AK176,0.5,IF(SUM(ABS(AK160),ABS(AK161),ABS(AK162))&gt;AK176,1,0)))</f>
        <v>1</v>
      </c>
      <c r="AM160" s="188">
        <v>139</v>
      </c>
      <c r="AN160" s="109">
        <f>IF(SUM(AM160:AM162)+AM176=0,0,IF(SUM(ABS(AM160),ABS(AM161),ABS(AM162))=AM176,0.5,IF(SUM(ABS(AM160),ABS(AM161),ABS(AM162))&gt;AM176,1,0)))</f>
        <v>0</v>
      </c>
      <c r="AO160" s="188">
        <v>189</v>
      </c>
      <c r="AP160" s="109">
        <f>IF(SUM(AO160:AO162)+AO176=0,0,IF(SUM(ABS(AO160),ABS(AO161),ABS(AO162))=AO176,0.5,IF(SUM(ABS(AO160),ABS(AO161),ABS(AO162))&gt;AO176,1,0)))</f>
        <v>1</v>
      </c>
      <c r="AQ160" s="188">
        <v>205</v>
      </c>
      <c r="AR160" s="109">
        <f>IF(SUM(AQ160:AQ162)+AQ176=0,0,IF(SUM(ABS(AQ160),ABS(AQ161),ABS(AQ162))=AQ176,0.5,IF(SUM(ABS(AQ160),ABS(AQ161),ABS(AQ162))&gt;AQ176,1,0)))</f>
        <v>1</v>
      </c>
      <c r="AS160" s="188">
        <v>159</v>
      </c>
      <c r="AT160" s="109">
        <f>IF(SUM(AS160:AS162)+AS176=0,0,IF(SUM(ABS(AS160),ABS(AS161),ABS(AS162))=AS176,0.5,IF(SUM(ABS(AS160),ABS(AS161),ABS(AS162))&gt;AS176,1,0)))</f>
        <v>0</v>
      </c>
      <c r="AU160" s="110">
        <f t="shared" si="191"/>
        <v>1626</v>
      </c>
      <c r="AV160" s="111">
        <f>SUM(AD160+AF160+AH160+AJ160+AL160+AN160+AP160+AR160+AT160)</f>
        <v>6</v>
      </c>
      <c r="AW160" s="101"/>
      <c r="AX160" s="102"/>
      <c r="AZ160" s="63"/>
      <c r="BA160" s="212"/>
      <c r="BB160" s="213"/>
      <c r="BC160" s="214"/>
      <c r="BD160" s="217">
        <f t="shared" si="206"/>
        <v>38210</v>
      </c>
      <c r="BE160" s="213">
        <f t="shared" si="207"/>
        <v>1626</v>
      </c>
      <c r="BF160" s="215">
        <f t="shared" si="208"/>
        <v>9</v>
      </c>
      <c r="BG160" s="215">
        <f t="shared" si="209"/>
        <v>9</v>
      </c>
      <c r="BH160" s="215">
        <f t="shared" si="192"/>
        <v>163</v>
      </c>
      <c r="BI160" s="215">
        <f t="shared" si="193"/>
        <v>220</v>
      </c>
      <c r="BJ160" s="215">
        <f t="shared" si="194"/>
        <v>181</v>
      </c>
      <c r="BK160" s="215">
        <f t="shared" si="195"/>
        <v>184</v>
      </c>
      <c r="BL160" s="215">
        <f t="shared" si="196"/>
        <v>186</v>
      </c>
      <c r="BM160" s="215">
        <f t="shared" si="197"/>
        <v>139</v>
      </c>
      <c r="BN160" s="215">
        <f t="shared" si="198"/>
        <v>189</v>
      </c>
      <c r="BO160" s="215">
        <f t="shared" si="199"/>
        <v>205</v>
      </c>
      <c r="BP160" s="215">
        <f t="shared" si="200"/>
        <v>159</v>
      </c>
      <c r="BQ160" s="216"/>
      <c r="BR160" s="214"/>
      <c r="BS160" s="215">
        <f t="shared" si="210"/>
        <v>220</v>
      </c>
      <c r="BT160" s="215">
        <f t="shared" si="211"/>
        <v>0</v>
      </c>
      <c r="BU160" s="215" t="str">
        <f t="shared" si="212"/>
        <v>Phönix 03 Lauf</v>
      </c>
      <c r="BV160" s="214">
        <f t="shared" si="213"/>
        <v>2</v>
      </c>
      <c r="BW160" s="215">
        <f t="shared" si="214"/>
        <v>1626</v>
      </c>
      <c r="BX160" s="215">
        <f>IF(COUNTIF(BH160:BP160,"&gt;0")&lt;Spielorte!$A$23,0,BE160/Spielorte!$A$23)</f>
        <v>180.66666666666666</v>
      </c>
      <c r="BY160" s="215">
        <f t="shared" si="215"/>
        <v>0</v>
      </c>
      <c r="BZ160" s="214">
        <f t="shared" si="201"/>
        <v>0</v>
      </c>
    </row>
    <row r="161" spans="1:78" ht="17.2" customHeight="1" x14ac:dyDescent="0.35">
      <c r="A161" s="368"/>
      <c r="B161" s="76" t="str">
        <f t="shared" si="202"/>
        <v/>
      </c>
      <c r="C161" s="77" t="str">
        <f t="shared" si="203"/>
        <v/>
      </c>
      <c r="D161" s="78" t="str">
        <f t="shared" si="204"/>
        <v/>
      </c>
      <c r="E161" s="349"/>
      <c r="F161" s="78" t="str">
        <f t="shared" si="183"/>
        <v/>
      </c>
      <c r="G161" s="349"/>
      <c r="H161" s="78" t="str">
        <f t="shared" si="184"/>
        <v/>
      </c>
      <c r="I161" s="349"/>
      <c r="J161" s="78" t="str">
        <f t="shared" si="185"/>
        <v/>
      </c>
      <c r="K161" s="349"/>
      <c r="L161" s="78" t="str">
        <f t="shared" si="186"/>
        <v/>
      </c>
      <c r="M161" s="349"/>
      <c r="N161" s="78" t="str">
        <f t="shared" si="205"/>
        <v/>
      </c>
      <c r="O161" s="349"/>
      <c r="P161" s="78" t="str">
        <f t="shared" si="187"/>
        <v/>
      </c>
      <c r="Q161" s="349"/>
      <c r="R161" s="78" t="str">
        <f t="shared" si="188"/>
        <v/>
      </c>
      <c r="S161" s="349"/>
      <c r="T161" s="78" t="str">
        <f t="shared" si="189"/>
        <v/>
      </c>
      <c r="U161" s="349"/>
      <c r="V161" s="78" t="str">
        <f t="shared" si="190"/>
        <v/>
      </c>
      <c r="W161" s="349"/>
      <c r="Z161" s="352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91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206"/>
        <v>0</v>
      </c>
      <c r="BE161" s="213">
        <f t="shared" si="207"/>
        <v>0</v>
      </c>
      <c r="BF161" s="215">
        <f t="shared" si="208"/>
        <v>0</v>
      </c>
      <c r="BG161" s="215">
        <f t="shared" si="209"/>
        <v>0</v>
      </c>
      <c r="BH161" s="215" t="str">
        <f t="shared" si="192"/>
        <v/>
      </c>
      <c r="BI161" s="215" t="str">
        <f t="shared" si="193"/>
        <v/>
      </c>
      <c r="BJ161" s="215" t="str">
        <f t="shared" si="194"/>
        <v/>
      </c>
      <c r="BK161" s="215" t="str">
        <f t="shared" si="195"/>
        <v/>
      </c>
      <c r="BL161" s="215" t="str">
        <f t="shared" si="196"/>
        <v/>
      </c>
      <c r="BM161" s="215" t="str">
        <f t="shared" si="197"/>
        <v/>
      </c>
      <c r="BN161" s="215" t="str">
        <f t="shared" si="198"/>
        <v/>
      </c>
      <c r="BO161" s="215" t="str">
        <f t="shared" si="199"/>
        <v/>
      </c>
      <c r="BP161" s="215" t="str">
        <f t="shared" si="200"/>
        <v/>
      </c>
      <c r="BQ161" s="216"/>
      <c r="BR161" s="214"/>
      <c r="BS161" s="215">
        <f t="shared" si="210"/>
        <v>0</v>
      </c>
      <c r="BT161" s="215">
        <f t="shared" si="211"/>
        <v>0</v>
      </c>
      <c r="BU161" s="215" t="str">
        <f t="shared" si="212"/>
        <v>Phönix 03 Lauf</v>
      </c>
      <c r="BV161" s="214">
        <f t="shared" si="213"/>
        <v>2</v>
      </c>
      <c r="BW161" s="215">
        <f t="shared" si="214"/>
        <v>0</v>
      </c>
      <c r="BX161" s="215">
        <f>IF(COUNTIF(BH161:BP161,"&gt;0")&lt;Spielorte!$A$23,0,BE161/Spielorte!$A$23)</f>
        <v>0</v>
      </c>
      <c r="BY161" s="215">
        <f t="shared" si="215"/>
        <v>0</v>
      </c>
      <c r="BZ161" s="214">
        <f t="shared" si="201"/>
        <v>0</v>
      </c>
    </row>
    <row r="162" spans="1:78" ht="17.2" customHeight="1" thickBot="1" x14ac:dyDescent="0.4">
      <c r="A162" s="369"/>
      <c r="B162" s="79" t="str">
        <f t="shared" si="202"/>
        <v/>
      </c>
      <c r="C162" s="80" t="str">
        <f t="shared" si="203"/>
        <v/>
      </c>
      <c r="D162" s="69" t="str">
        <f t="shared" si="204"/>
        <v/>
      </c>
      <c r="E162" s="350"/>
      <c r="F162" s="69" t="str">
        <f t="shared" si="183"/>
        <v/>
      </c>
      <c r="G162" s="350"/>
      <c r="H162" s="69" t="str">
        <f t="shared" si="184"/>
        <v/>
      </c>
      <c r="I162" s="350"/>
      <c r="J162" s="69" t="str">
        <f t="shared" si="185"/>
        <v/>
      </c>
      <c r="K162" s="350"/>
      <c r="L162" s="69" t="str">
        <f t="shared" si="186"/>
        <v/>
      </c>
      <c r="M162" s="350"/>
      <c r="N162" s="69" t="str">
        <f t="shared" si="205"/>
        <v/>
      </c>
      <c r="O162" s="350"/>
      <c r="P162" s="69" t="str">
        <f t="shared" si="187"/>
        <v/>
      </c>
      <c r="Q162" s="350"/>
      <c r="R162" s="69" t="str">
        <f t="shared" si="188"/>
        <v/>
      </c>
      <c r="S162" s="350"/>
      <c r="T162" s="69" t="str">
        <f t="shared" si="189"/>
        <v/>
      </c>
      <c r="U162" s="350"/>
      <c r="V162" s="69" t="str">
        <f t="shared" si="190"/>
        <v/>
      </c>
      <c r="W162" s="350"/>
      <c r="Z162" s="353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91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206"/>
        <v>0</v>
      </c>
      <c r="BE162" s="213">
        <f t="shared" si="207"/>
        <v>0</v>
      </c>
      <c r="BF162" s="215">
        <f t="shared" si="208"/>
        <v>0</v>
      </c>
      <c r="BG162" s="215">
        <f t="shared" si="209"/>
        <v>0</v>
      </c>
      <c r="BH162" s="215" t="str">
        <f t="shared" si="192"/>
        <v/>
      </c>
      <c r="BI162" s="215" t="str">
        <f t="shared" si="193"/>
        <v/>
      </c>
      <c r="BJ162" s="215" t="str">
        <f t="shared" si="194"/>
        <v/>
      </c>
      <c r="BK162" s="215" t="str">
        <f t="shared" si="195"/>
        <v/>
      </c>
      <c r="BL162" s="215" t="str">
        <f t="shared" si="196"/>
        <v/>
      </c>
      <c r="BM162" s="215" t="str">
        <f t="shared" si="197"/>
        <v/>
      </c>
      <c r="BN162" s="215" t="str">
        <f t="shared" si="198"/>
        <v/>
      </c>
      <c r="BO162" s="215" t="str">
        <f t="shared" si="199"/>
        <v/>
      </c>
      <c r="BP162" s="215" t="str">
        <f t="shared" si="200"/>
        <v/>
      </c>
      <c r="BQ162" s="216"/>
      <c r="BR162" s="214"/>
      <c r="BS162" s="215">
        <f t="shared" si="210"/>
        <v>0</v>
      </c>
      <c r="BT162" s="215">
        <f t="shared" si="211"/>
        <v>0</v>
      </c>
      <c r="BU162" s="215" t="str">
        <f t="shared" si="212"/>
        <v>Phönix 03 Lauf</v>
      </c>
      <c r="BV162" s="214">
        <f t="shared" si="213"/>
        <v>2</v>
      </c>
      <c r="BW162" s="215">
        <f t="shared" si="214"/>
        <v>0</v>
      </c>
      <c r="BX162" s="215">
        <f>IF(COUNTIF(BH162:BP162,"&gt;0")&lt;Spielorte!$A$23,0,BE162/Spielorte!$A$23)</f>
        <v>0</v>
      </c>
      <c r="BY162" s="215">
        <f t="shared" si="215"/>
        <v>0</v>
      </c>
      <c r="BZ162" s="214">
        <f t="shared" si="201"/>
        <v>0</v>
      </c>
    </row>
    <row r="163" spans="1:78" ht="17.2" customHeight="1" x14ac:dyDescent="0.35">
      <c r="A163" s="367" t="s">
        <v>3</v>
      </c>
      <c r="B163" s="73" t="str">
        <f t="shared" si="202"/>
        <v>Reichel, Christina</v>
      </c>
      <c r="C163" s="74">
        <f t="shared" si="203"/>
        <v>7786</v>
      </c>
      <c r="D163" s="75">
        <f t="shared" si="204"/>
        <v>145</v>
      </c>
      <c r="E163" s="348">
        <f>IF(AD163="","",AD163)</f>
        <v>1</v>
      </c>
      <c r="F163" s="75">
        <f t="shared" si="183"/>
        <v>170</v>
      </c>
      <c r="G163" s="348">
        <f>IF(AF163="","",AF163)</f>
        <v>0</v>
      </c>
      <c r="H163" s="75">
        <f t="shared" si="184"/>
        <v>196</v>
      </c>
      <c r="I163" s="348">
        <f>IF(AH163="","",AH163)</f>
        <v>1</v>
      </c>
      <c r="J163" s="75">
        <f t="shared" si="185"/>
        <v>206</v>
      </c>
      <c r="K163" s="348">
        <f>IF(AJ163="","",AJ163)</f>
        <v>1</v>
      </c>
      <c r="L163" s="75">
        <f t="shared" si="186"/>
        <v>201</v>
      </c>
      <c r="M163" s="348">
        <f>IF(AL163="","",AL163)</f>
        <v>1</v>
      </c>
      <c r="N163" s="75">
        <f t="shared" si="205"/>
        <v>173</v>
      </c>
      <c r="O163" s="348">
        <f>IF(AN163="","",AN163)</f>
        <v>0</v>
      </c>
      <c r="P163" s="75">
        <f t="shared" si="187"/>
        <v>202</v>
      </c>
      <c r="Q163" s="348">
        <f>IF(AP163="","",AP163)</f>
        <v>1</v>
      </c>
      <c r="R163" s="75">
        <f t="shared" si="188"/>
        <v>172</v>
      </c>
      <c r="S163" s="348">
        <f>IF(AR163="","",AR163)</f>
        <v>1</v>
      </c>
      <c r="T163" s="75">
        <f t="shared" si="189"/>
        <v>190</v>
      </c>
      <c r="U163" s="348">
        <f>IF(AT163="","",AT163)</f>
        <v>1</v>
      </c>
      <c r="V163" s="75">
        <f t="shared" si="190"/>
        <v>1655</v>
      </c>
      <c r="W163" s="348">
        <f>IF(AV163="","",AV163)</f>
        <v>7</v>
      </c>
      <c r="Z163" s="351" t="s">
        <v>3</v>
      </c>
      <c r="AA163" s="108" t="str">
        <f>IF(AB163=0,"",VLOOKUP(AB163,Starter!$A$1:$D$199,2,FALSE))</f>
        <v>Reichel, Christina</v>
      </c>
      <c r="AB163" s="99">
        <v>7786</v>
      </c>
      <c r="AC163" s="188">
        <v>145</v>
      </c>
      <c r="AD163" s="109">
        <f>IF(SUM(AC163:AC165)+AC177=0,0,IF(SUM(ABS(AC163),ABS(AC164),ABS(AC165))=AC177,0.5,IF(SUM(ABS(AC163),ABS(AC164),ABS(AC165))&gt;AC177,1,0)))</f>
        <v>1</v>
      </c>
      <c r="AE163" s="188">
        <v>170</v>
      </c>
      <c r="AF163" s="109">
        <f>IF(SUM(AE163:AE165)+AE177=0,0,IF(SUM(ABS(AE163),ABS(AE164),ABS(AE165))=AE177,0.5,IF(SUM(ABS(AE163),ABS(AE164),ABS(AE165))&gt;AE177,1,0)))</f>
        <v>0</v>
      </c>
      <c r="AG163" s="188">
        <v>196</v>
      </c>
      <c r="AH163" s="109">
        <f>IF(SUM(AG163:AG165)+AG177=0,0,IF(SUM(ABS(AG163),ABS(AG164),ABS(AG165))=AG177,0.5,IF(SUM(ABS(AG163),ABS(AG164),ABS(AG165))&gt;AG177,1,0)))</f>
        <v>1</v>
      </c>
      <c r="AI163" s="188">
        <v>206</v>
      </c>
      <c r="AJ163" s="109">
        <f>IF(SUM(AI163:AI165)+AI177=0,0,IF(SUM(ABS(AI163),ABS(AI164),ABS(AI165))=AI177,0.5,IF(SUM(ABS(AI163),ABS(AI164),ABS(AI165))&gt;AI177,1,0)))</f>
        <v>1</v>
      </c>
      <c r="AK163" s="188">
        <v>201</v>
      </c>
      <c r="AL163" s="109">
        <f>IF(SUM(AK163:AK165)+AK177=0,0,IF(SUM(ABS(AK163),ABS(AK164),ABS(AK165))=AK177,0.5,IF(SUM(ABS(AK163),ABS(AK164),ABS(AK165))&gt;AK177,1,0)))</f>
        <v>1</v>
      </c>
      <c r="AM163" s="188">
        <v>173</v>
      </c>
      <c r="AN163" s="109">
        <f>IF(SUM(AM163:AM165)+AM177=0,0,IF(SUM(ABS(AM163),ABS(AM164),ABS(AM165))=AM177,0.5,IF(SUM(ABS(AM163),ABS(AM164),ABS(AM165))&gt;AM177,1,0)))</f>
        <v>0</v>
      </c>
      <c r="AO163" s="188">
        <v>202</v>
      </c>
      <c r="AP163" s="109">
        <f>IF(SUM(AO163:AO165)+AO177=0,0,IF(SUM(ABS(AO163),ABS(AO164),ABS(AO165))=AO177,0.5,IF(SUM(ABS(AO163),ABS(AO164),ABS(AO165))&gt;AO177,1,0)))</f>
        <v>1</v>
      </c>
      <c r="AQ163" s="188">
        <v>172</v>
      </c>
      <c r="AR163" s="109">
        <f>IF(SUM(AQ163:AQ165)+AQ177=0,0,IF(SUM(ABS(AQ163),ABS(AQ164),ABS(AQ165))=AQ177,0.5,IF(SUM(ABS(AQ163),ABS(AQ164),ABS(AQ165))&gt;AQ177,1,0)))</f>
        <v>1</v>
      </c>
      <c r="AS163" s="188">
        <v>190</v>
      </c>
      <c r="AT163" s="109">
        <f>IF(SUM(AS163:AS165)+AS177=0,0,IF(SUM(ABS(AS163),ABS(AS164),ABS(AS165))=AS177,0.5,IF(SUM(ABS(AS163),ABS(AS164),ABS(AS165))&gt;AS177,1,0)))</f>
        <v>1</v>
      </c>
      <c r="AU163" s="110">
        <f t="shared" si="191"/>
        <v>1655</v>
      </c>
      <c r="AV163" s="111">
        <f>SUM(AD163+AF163+AH163+AJ163+AL163+AN163+AP163+AR163+AT163)</f>
        <v>7</v>
      </c>
      <c r="AW163" s="101"/>
      <c r="AX163" s="102"/>
      <c r="AZ163" s="63"/>
      <c r="BA163" s="212"/>
      <c r="BB163" s="213"/>
      <c r="BC163" s="214"/>
      <c r="BD163" s="217">
        <f t="shared" si="206"/>
        <v>7786</v>
      </c>
      <c r="BE163" s="213">
        <f t="shared" si="207"/>
        <v>1655</v>
      </c>
      <c r="BF163" s="215">
        <f t="shared" si="208"/>
        <v>9</v>
      </c>
      <c r="BG163" s="215">
        <f t="shared" si="209"/>
        <v>9</v>
      </c>
      <c r="BH163" s="215">
        <f t="shared" si="192"/>
        <v>145</v>
      </c>
      <c r="BI163" s="215">
        <f t="shared" si="193"/>
        <v>170</v>
      </c>
      <c r="BJ163" s="215">
        <f t="shared" si="194"/>
        <v>196</v>
      </c>
      <c r="BK163" s="215">
        <f t="shared" si="195"/>
        <v>206</v>
      </c>
      <c r="BL163" s="215">
        <f t="shared" si="196"/>
        <v>201</v>
      </c>
      <c r="BM163" s="215">
        <f t="shared" si="197"/>
        <v>173</v>
      </c>
      <c r="BN163" s="215">
        <f t="shared" si="198"/>
        <v>202</v>
      </c>
      <c r="BO163" s="215">
        <f t="shared" si="199"/>
        <v>172</v>
      </c>
      <c r="BP163" s="215">
        <f t="shared" si="200"/>
        <v>190</v>
      </c>
      <c r="BQ163" s="216"/>
      <c r="BR163" s="214"/>
      <c r="BS163" s="215">
        <f t="shared" si="210"/>
        <v>206</v>
      </c>
      <c r="BT163" s="215">
        <f t="shared" si="211"/>
        <v>0</v>
      </c>
      <c r="BU163" s="215" t="str">
        <f t="shared" si="212"/>
        <v>Phönix 03 Lauf</v>
      </c>
      <c r="BV163" s="214">
        <f t="shared" si="213"/>
        <v>2</v>
      </c>
      <c r="BW163" s="215">
        <f t="shared" si="214"/>
        <v>1655</v>
      </c>
      <c r="BX163" s="215">
        <f>IF(COUNTIF(BH163:BP163,"&gt;0")&lt;Spielorte!$A$23,0,BE163/Spielorte!$A$23)</f>
        <v>183.88888888888889</v>
      </c>
      <c r="BY163" s="215">
        <f t="shared" si="215"/>
        <v>0</v>
      </c>
      <c r="BZ163" s="214">
        <f t="shared" si="201"/>
        <v>0</v>
      </c>
    </row>
    <row r="164" spans="1:78" ht="17.2" customHeight="1" x14ac:dyDescent="0.35">
      <c r="A164" s="368"/>
      <c r="B164" s="76" t="str">
        <f t="shared" si="202"/>
        <v/>
      </c>
      <c r="C164" s="77" t="str">
        <f t="shared" si="203"/>
        <v/>
      </c>
      <c r="D164" s="78" t="str">
        <f t="shared" si="204"/>
        <v/>
      </c>
      <c r="E164" s="349"/>
      <c r="F164" s="78" t="str">
        <f t="shared" si="183"/>
        <v/>
      </c>
      <c r="G164" s="349"/>
      <c r="H164" s="78" t="str">
        <f t="shared" si="184"/>
        <v/>
      </c>
      <c r="I164" s="349"/>
      <c r="J164" s="78" t="str">
        <f t="shared" si="185"/>
        <v/>
      </c>
      <c r="K164" s="349"/>
      <c r="L164" s="78" t="str">
        <f t="shared" si="186"/>
        <v/>
      </c>
      <c r="M164" s="349"/>
      <c r="N164" s="78" t="str">
        <f t="shared" si="205"/>
        <v/>
      </c>
      <c r="O164" s="349"/>
      <c r="P164" s="78" t="str">
        <f t="shared" si="187"/>
        <v/>
      </c>
      <c r="Q164" s="349"/>
      <c r="R164" s="78" t="str">
        <f t="shared" si="188"/>
        <v/>
      </c>
      <c r="S164" s="349"/>
      <c r="T164" s="78" t="str">
        <f t="shared" si="189"/>
        <v/>
      </c>
      <c r="U164" s="349"/>
      <c r="V164" s="78" t="str">
        <f t="shared" si="190"/>
        <v/>
      </c>
      <c r="W164" s="349"/>
      <c r="Z164" s="352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91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206"/>
        <v>0</v>
      </c>
      <c r="BE164" s="213">
        <f t="shared" si="207"/>
        <v>0</v>
      </c>
      <c r="BF164" s="215">
        <f t="shared" si="208"/>
        <v>0</v>
      </c>
      <c r="BG164" s="215">
        <f t="shared" si="209"/>
        <v>0</v>
      </c>
      <c r="BH164" s="215" t="str">
        <f t="shared" si="192"/>
        <v/>
      </c>
      <c r="BI164" s="215" t="str">
        <f t="shared" si="193"/>
        <v/>
      </c>
      <c r="BJ164" s="215" t="str">
        <f t="shared" si="194"/>
        <v/>
      </c>
      <c r="BK164" s="215" t="str">
        <f t="shared" si="195"/>
        <v/>
      </c>
      <c r="BL164" s="215" t="str">
        <f t="shared" si="196"/>
        <v/>
      </c>
      <c r="BM164" s="215" t="str">
        <f t="shared" si="197"/>
        <v/>
      </c>
      <c r="BN164" s="215" t="str">
        <f t="shared" si="198"/>
        <v/>
      </c>
      <c r="BO164" s="215" t="str">
        <f t="shared" si="199"/>
        <v/>
      </c>
      <c r="BP164" s="215" t="str">
        <f t="shared" si="200"/>
        <v/>
      </c>
      <c r="BQ164" s="216"/>
      <c r="BR164" s="214"/>
      <c r="BS164" s="215">
        <f t="shared" si="210"/>
        <v>0</v>
      </c>
      <c r="BT164" s="215">
        <f t="shared" si="211"/>
        <v>0</v>
      </c>
      <c r="BU164" s="215" t="str">
        <f t="shared" si="212"/>
        <v>Phönix 03 Lauf</v>
      </c>
      <c r="BV164" s="214">
        <f t="shared" si="213"/>
        <v>2</v>
      </c>
      <c r="BW164" s="215">
        <f t="shared" si="214"/>
        <v>0</v>
      </c>
      <c r="BX164" s="215">
        <f>IF(COUNTIF(BH164:BP164,"&gt;0")&lt;Spielorte!$A$23,0,BE164/Spielorte!$A$23)</f>
        <v>0</v>
      </c>
      <c r="BY164" s="215">
        <f t="shared" si="215"/>
        <v>0</v>
      </c>
      <c r="BZ164" s="214">
        <f t="shared" si="201"/>
        <v>0</v>
      </c>
    </row>
    <row r="165" spans="1:78" ht="17.2" customHeight="1" thickBot="1" x14ac:dyDescent="0.4">
      <c r="A165" s="369"/>
      <c r="B165" s="79" t="str">
        <f t="shared" si="202"/>
        <v/>
      </c>
      <c r="C165" s="80" t="str">
        <f t="shared" si="203"/>
        <v/>
      </c>
      <c r="D165" s="69" t="str">
        <f t="shared" si="204"/>
        <v/>
      </c>
      <c r="E165" s="350"/>
      <c r="F165" s="69" t="str">
        <f t="shared" si="183"/>
        <v/>
      </c>
      <c r="G165" s="350"/>
      <c r="H165" s="69" t="str">
        <f t="shared" si="184"/>
        <v/>
      </c>
      <c r="I165" s="350"/>
      <c r="J165" s="69" t="str">
        <f t="shared" si="185"/>
        <v/>
      </c>
      <c r="K165" s="350"/>
      <c r="L165" s="69" t="str">
        <f t="shared" si="186"/>
        <v/>
      </c>
      <c r="M165" s="350"/>
      <c r="N165" s="69" t="str">
        <f t="shared" si="205"/>
        <v/>
      </c>
      <c r="O165" s="350"/>
      <c r="P165" s="69" t="str">
        <f t="shared" si="187"/>
        <v/>
      </c>
      <c r="Q165" s="350"/>
      <c r="R165" s="69" t="str">
        <f t="shared" si="188"/>
        <v/>
      </c>
      <c r="S165" s="350"/>
      <c r="T165" s="69" t="str">
        <f t="shared" si="189"/>
        <v/>
      </c>
      <c r="U165" s="350"/>
      <c r="V165" s="69" t="str">
        <f t="shared" si="190"/>
        <v/>
      </c>
      <c r="W165" s="350"/>
      <c r="Z165" s="353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91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206"/>
        <v>0</v>
      </c>
      <c r="BE165" s="213">
        <f t="shared" si="207"/>
        <v>0</v>
      </c>
      <c r="BF165" s="215">
        <f t="shared" si="208"/>
        <v>0</v>
      </c>
      <c r="BG165" s="215">
        <f t="shared" si="209"/>
        <v>0</v>
      </c>
      <c r="BH165" s="215" t="str">
        <f t="shared" si="192"/>
        <v/>
      </c>
      <c r="BI165" s="215" t="str">
        <f t="shared" si="193"/>
        <v/>
      </c>
      <c r="BJ165" s="215" t="str">
        <f t="shared" si="194"/>
        <v/>
      </c>
      <c r="BK165" s="215" t="str">
        <f t="shared" si="195"/>
        <v/>
      </c>
      <c r="BL165" s="215" t="str">
        <f t="shared" si="196"/>
        <v/>
      </c>
      <c r="BM165" s="215" t="str">
        <f t="shared" si="197"/>
        <v/>
      </c>
      <c r="BN165" s="215" t="str">
        <f t="shared" si="198"/>
        <v/>
      </c>
      <c r="BO165" s="215" t="str">
        <f t="shared" si="199"/>
        <v/>
      </c>
      <c r="BP165" s="215" t="str">
        <f t="shared" si="200"/>
        <v/>
      </c>
      <c r="BQ165" s="216"/>
      <c r="BR165" s="214"/>
      <c r="BS165" s="215">
        <f t="shared" si="210"/>
        <v>0</v>
      </c>
      <c r="BT165" s="215">
        <f t="shared" si="211"/>
        <v>0</v>
      </c>
      <c r="BU165" s="215" t="str">
        <f t="shared" si="212"/>
        <v>Phönix 03 Lauf</v>
      </c>
      <c r="BV165" s="214">
        <f t="shared" si="213"/>
        <v>2</v>
      </c>
      <c r="BW165" s="215">
        <f t="shared" si="214"/>
        <v>0</v>
      </c>
      <c r="BX165" s="215">
        <f>IF(COUNTIF(BH165:BP165,"&gt;0")&lt;Spielorte!$A$23,0,BE165/Spielorte!$A$23)</f>
        <v>0</v>
      </c>
      <c r="BY165" s="215">
        <f t="shared" si="215"/>
        <v>0</v>
      </c>
      <c r="BZ165" s="214">
        <f t="shared" si="201"/>
        <v>0</v>
      </c>
    </row>
    <row r="166" spans="1:78" ht="17.2" customHeight="1" x14ac:dyDescent="0.35">
      <c r="A166" s="367" t="s">
        <v>11</v>
      </c>
      <c r="B166" s="73" t="str">
        <f>IF(AA166=0,"",AA166)</f>
        <v>Schuster, Katharina</v>
      </c>
      <c r="C166" s="74">
        <f t="shared" si="203"/>
        <v>7801</v>
      </c>
      <c r="D166" s="75">
        <f t="shared" si="204"/>
        <v>210</v>
      </c>
      <c r="E166" s="348">
        <f>IF(AD166="","",AD166)</f>
        <v>1</v>
      </c>
      <c r="F166" s="75">
        <f t="shared" si="183"/>
        <v>177</v>
      </c>
      <c r="G166" s="348">
        <f>IF(AF166="","",AF166)</f>
        <v>0</v>
      </c>
      <c r="H166" s="75">
        <f t="shared" si="184"/>
        <v>185</v>
      </c>
      <c r="I166" s="348">
        <f>IF(AH166="","",AH166)</f>
        <v>1</v>
      </c>
      <c r="J166" s="75">
        <f t="shared" si="185"/>
        <v>236</v>
      </c>
      <c r="K166" s="348">
        <f>IF(AJ166="","",AJ166)</f>
        <v>1</v>
      </c>
      <c r="L166" s="75">
        <f t="shared" si="186"/>
        <v>260</v>
      </c>
      <c r="M166" s="348">
        <f>IF(AL166="","",AL166)</f>
        <v>1</v>
      </c>
      <c r="N166" s="75">
        <f t="shared" si="205"/>
        <v>264</v>
      </c>
      <c r="O166" s="348">
        <f>IF(AN166="","",AN166)</f>
        <v>1</v>
      </c>
      <c r="P166" s="75">
        <f t="shared" si="187"/>
        <v>178</v>
      </c>
      <c r="Q166" s="348">
        <f>IF(AP166="","",AP166)</f>
        <v>1</v>
      </c>
      <c r="R166" s="75">
        <f t="shared" si="188"/>
        <v>200</v>
      </c>
      <c r="S166" s="348">
        <f>IF(AR166="","",AR166)</f>
        <v>1</v>
      </c>
      <c r="T166" s="75">
        <f t="shared" si="189"/>
        <v>171</v>
      </c>
      <c r="U166" s="348">
        <f>IF(AT166="","",AT166)</f>
        <v>1</v>
      </c>
      <c r="V166" s="75">
        <f t="shared" si="190"/>
        <v>1881</v>
      </c>
      <c r="W166" s="348">
        <f>IF(AV166="","",AV166)</f>
        <v>8</v>
      </c>
      <c r="Z166" s="351" t="s">
        <v>11</v>
      </c>
      <c r="AA166" s="108" t="str">
        <f>IF(AB166=0,"",VLOOKUP(AB166,Starter!$A$1:$D$199,2,FALSE))</f>
        <v>Schuster, Katharina</v>
      </c>
      <c r="AB166" s="99">
        <v>7801</v>
      </c>
      <c r="AC166" s="188">
        <v>210</v>
      </c>
      <c r="AD166" s="109">
        <f>IF(SUM(AC166:AC168)+AC178=0,0,IF(SUM(ABS(AC166),ABS(AC167),ABS(AC168))=AC178,0.5,IF(SUM(ABS(AC166),ABS(AC167),ABS(AC168))&gt;AC178,1,0)))</f>
        <v>1</v>
      </c>
      <c r="AE166" s="188">
        <v>177</v>
      </c>
      <c r="AF166" s="109">
        <f>IF(SUM(AE166:AE168)+AE178=0,0,IF(SUM(ABS(AE166),ABS(AE167),ABS(AE168))=AE178,0.5,IF(SUM(ABS(AE166),ABS(AE167),ABS(AE168))&gt;AE178,1,0)))</f>
        <v>0</v>
      </c>
      <c r="AG166" s="188">
        <v>185</v>
      </c>
      <c r="AH166" s="109">
        <f>IF(SUM(AG166:AG168)+AG178=0,0,IF(SUM(ABS(AG166),ABS(AG167),ABS(AG168))=AG178,0.5,IF(SUM(ABS(AG166),ABS(AG167),ABS(AG168))&gt;AG178,1,0)))</f>
        <v>1</v>
      </c>
      <c r="AI166" s="188">
        <v>236</v>
      </c>
      <c r="AJ166" s="109">
        <f>IF(SUM(AI166:AI168)+AI178=0,0,IF(SUM(ABS(AI166),ABS(AI167),ABS(AI168))=AI178,0.5,IF(SUM(ABS(AI166),ABS(AI167),ABS(AI168))&gt;AI178,1,0)))</f>
        <v>1</v>
      </c>
      <c r="AK166" s="188">
        <v>260</v>
      </c>
      <c r="AL166" s="109">
        <f>IF(SUM(AK166:AK168)+AK178=0,0,IF(SUM(ABS(AK166),ABS(AK167),ABS(AK168))=AK178,0.5,IF(SUM(ABS(AK166),ABS(AK167),ABS(AK168))&gt;AK178,1,0)))</f>
        <v>1</v>
      </c>
      <c r="AM166" s="188">
        <v>264</v>
      </c>
      <c r="AN166" s="109">
        <f>IF(SUM(AM166:AM168)+AM178=0,0,IF(SUM(ABS(AM166),ABS(AM167),ABS(AM168))=AM178,0.5,IF(SUM(ABS(AM166),ABS(AM167),ABS(AM168))&gt;AM178,1,0)))</f>
        <v>1</v>
      </c>
      <c r="AO166" s="188">
        <v>178</v>
      </c>
      <c r="AP166" s="109">
        <f>IF(SUM(AO166:AO168)+AO178=0,0,IF(SUM(ABS(AO166),ABS(AO167),ABS(AO168))=AO178,0.5,IF(SUM(ABS(AO166),ABS(AO167),ABS(AO168))&gt;AO178,1,0)))</f>
        <v>1</v>
      </c>
      <c r="AQ166" s="188">
        <v>200</v>
      </c>
      <c r="AR166" s="109">
        <f>IF(SUM(AQ166:AQ168)+AQ178=0,0,IF(SUM(ABS(AQ166),ABS(AQ167),ABS(AQ168))=AQ178,0.5,IF(SUM(ABS(AQ166),ABS(AQ167),ABS(AQ168))&gt;AQ178,1,0)))</f>
        <v>1</v>
      </c>
      <c r="AS166" s="188">
        <v>171</v>
      </c>
      <c r="AT166" s="109">
        <f>IF(SUM(AS166:AS168)+AS178=0,0,IF(SUM(ABS(AS166),ABS(AS167),ABS(AS168))=AS178,0.5,IF(SUM(ABS(AS166),ABS(AS167),ABS(AS168))&gt;AS178,1,0)))</f>
        <v>1</v>
      </c>
      <c r="AU166" s="110">
        <f t="shared" si="191"/>
        <v>1881</v>
      </c>
      <c r="AV166" s="111">
        <f>SUM(AD166+AF166+AH166+AJ166+AL166+AN166+AP166+AR166+AT166)</f>
        <v>8</v>
      </c>
      <c r="AW166" s="101"/>
      <c r="AX166" s="102"/>
      <c r="AZ166" s="63"/>
      <c r="BA166" s="212"/>
      <c r="BB166" s="213"/>
      <c r="BC166" s="214"/>
      <c r="BD166" s="217">
        <f t="shared" si="206"/>
        <v>7801</v>
      </c>
      <c r="BE166" s="213">
        <f t="shared" si="207"/>
        <v>1881</v>
      </c>
      <c r="BF166" s="215">
        <f t="shared" si="208"/>
        <v>9</v>
      </c>
      <c r="BG166" s="215">
        <f t="shared" si="209"/>
        <v>9</v>
      </c>
      <c r="BH166" s="215">
        <f t="shared" si="192"/>
        <v>210</v>
      </c>
      <c r="BI166" s="215">
        <f t="shared" si="193"/>
        <v>177</v>
      </c>
      <c r="BJ166" s="215">
        <f t="shared" si="194"/>
        <v>185</v>
      </c>
      <c r="BK166" s="215">
        <f t="shared" si="195"/>
        <v>236</v>
      </c>
      <c r="BL166" s="215">
        <f t="shared" si="196"/>
        <v>260</v>
      </c>
      <c r="BM166" s="215">
        <f t="shared" si="197"/>
        <v>264</v>
      </c>
      <c r="BN166" s="215">
        <f t="shared" si="198"/>
        <v>178</v>
      </c>
      <c r="BO166" s="215">
        <f t="shared" si="199"/>
        <v>200</v>
      </c>
      <c r="BP166" s="215">
        <f t="shared" si="200"/>
        <v>171</v>
      </c>
      <c r="BQ166" s="216"/>
      <c r="BR166" s="214"/>
      <c r="BS166" s="215">
        <f t="shared" si="210"/>
        <v>264</v>
      </c>
      <c r="BT166" s="215">
        <f t="shared" si="211"/>
        <v>0</v>
      </c>
      <c r="BU166" s="215" t="str">
        <f t="shared" si="212"/>
        <v>Phönix 03 Lauf</v>
      </c>
      <c r="BV166" s="214">
        <f t="shared" si="213"/>
        <v>2</v>
      </c>
      <c r="BW166" s="215">
        <f t="shared" si="214"/>
        <v>1881</v>
      </c>
      <c r="BX166" s="215">
        <f>IF(COUNTIF(BH166:BP166,"&gt;0")&lt;Spielorte!$A$23,0,BE166/Spielorte!$A$23)</f>
        <v>209</v>
      </c>
      <c r="BY166" s="215">
        <f t="shared" si="215"/>
        <v>0</v>
      </c>
      <c r="BZ166" s="214">
        <f t="shared" si="201"/>
        <v>0</v>
      </c>
    </row>
    <row r="167" spans="1:78" ht="17.2" customHeight="1" x14ac:dyDescent="0.35">
      <c r="A167" s="368"/>
      <c r="B167" s="76" t="str">
        <f>IF(AA167=0,"",AA167)</f>
        <v/>
      </c>
      <c r="C167" s="77" t="str">
        <f t="shared" si="203"/>
        <v/>
      </c>
      <c r="D167" s="78" t="str">
        <f t="shared" si="204"/>
        <v/>
      </c>
      <c r="E167" s="349"/>
      <c r="F167" s="78" t="str">
        <f t="shared" si="183"/>
        <v/>
      </c>
      <c r="G167" s="349"/>
      <c r="H167" s="78" t="str">
        <f t="shared" si="184"/>
        <v/>
      </c>
      <c r="I167" s="349"/>
      <c r="J167" s="78" t="str">
        <f t="shared" si="185"/>
        <v/>
      </c>
      <c r="K167" s="349"/>
      <c r="L167" s="78" t="str">
        <f t="shared" si="186"/>
        <v/>
      </c>
      <c r="M167" s="349"/>
      <c r="N167" s="78" t="str">
        <f t="shared" si="205"/>
        <v/>
      </c>
      <c r="O167" s="349"/>
      <c r="P167" s="78" t="str">
        <f t="shared" si="187"/>
        <v/>
      </c>
      <c r="Q167" s="349"/>
      <c r="R167" s="78" t="str">
        <f t="shared" si="188"/>
        <v/>
      </c>
      <c r="S167" s="349"/>
      <c r="T167" s="78" t="str">
        <f t="shared" si="189"/>
        <v/>
      </c>
      <c r="U167" s="349"/>
      <c r="V167" s="78" t="str">
        <f t="shared" si="190"/>
        <v/>
      </c>
      <c r="W167" s="349"/>
      <c r="Z167" s="352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91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206"/>
        <v>0</v>
      </c>
      <c r="BE167" s="213">
        <f t="shared" si="207"/>
        <v>0</v>
      </c>
      <c r="BF167" s="215">
        <f t="shared" si="208"/>
        <v>0</v>
      </c>
      <c r="BG167" s="215">
        <f t="shared" si="209"/>
        <v>0</v>
      </c>
      <c r="BH167" s="215" t="str">
        <f t="shared" si="192"/>
        <v/>
      </c>
      <c r="BI167" s="215" t="str">
        <f t="shared" si="193"/>
        <v/>
      </c>
      <c r="BJ167" s="215" t="str">
        <f t="shared" si="194"/>
        <v/>
      </c>
      <c r="BK167" s="215" t="str">
        <f t="shared" si="195"/>
        <v/>
      </c>
      <c r="BL167" s="215" t="str">
        <f t="shared" si="196"/>
        <v/>
      </c>
      <c r="BM167" s="215" t="str">
        <f t="shared" si="197"/>
        <v/>
      </c>
      <c r="BN167" s="215" t="str">
        <f t="shared" si="198"/>
        <v/>
      </c>
      <c r="BO167" s="215" t="str">
        <f t="shared" si="199"/>
        <v/>
      </c>
      <c r="BP167" s="215" t="str">
        <f t="shared" si="200"/>
        <v/>
      </c>
      <c r="BQ167" s="216"/>
      <c r="BR167" s="214"/>
      <c r="BS167" s="215">
        <f t="shared" si="210"/>
        <v>0</v>
      </c>
      <c r="BT167" s="215">
        <f t="shared" si="211"/>
        <v>0</v>
      </c>
      <c r="BU167" s="215" t="str">
        <f t="shared" si="212"/>
        <v>Phönix 03 Lauf</v>
      </c>
      <c r="BV167" s="214">
        <f t="shared" si="213"/>
        <v>2</v>
      </c>
      <c r="BW167" s="215">
        <f t="shared" si="214"/>
        <v>0</v>
      </c>
      <c r="BX167" s="215">
        <f>IF(COUNTIF(BH167:BP167,"&gt;0")&lt;Spielorte!$A$23,0,BE167/Spielorte!$A$23)</f>
        <v>0</v>
      </c>
      <c r="BY167" s="215">
        <f t="shared" si="215"/>
        <v>0</v>
      </c>
      <c r="BZ167" s="214">
        <f t="shared" si="201"/>
        <v>0</v>
      </c>
    </row>
    <row r="168" spans="1:78" ht="17.2" customHeight="1" thickBot="1" x14ac:dyDescent="0.4">
      <c r="A168" s="369"/>
      <c r="B168" s="79" t="str">
        <f>IF(AA168=0,"",AA168)</f>
        <v/>
      </c>
      <c r="C168" s="80" t="str">
        <f t="shared" si="203"/>
        <v/>
      </c>
      <c r="D168" s="69" t="str">
        <f t="shared" si="204"/>
        <v/>
      </c>
      <c r="E168" s="350"/>
      <c r="F168" s="69" t="str">
        <f t="shared" si="183"/>
        <v/>
      </c>
      <c r="G168" s="350"/>
      <c r="H168" s="69" t="str">
        <f t="shared" si="184"/>
        <v/>
      </c>
      <c r="I168" s="350"/>
      <c r="J168" s="69" t="str">
        <f t="shared" si="185"/>
        <v/>
      </c>
      <c r="K168" s="350"/>
      <c r="L168" s="69" t="str">
        <f t="shared" si="186"/>
        <v/>
      </c>
      <c r="M168" s="350"/>
      <c r="N168" s="69" t="str">
        <f t="shared" si="205"/>
        <v/>
      </c>
      <c r="O168" s="350"/>
      <c r="P168" s="69" t="str">
        <f t="shared" si="187"/>
        <v/>
      </c>
      <c r="Q168" s="350"/>
      <c r="R168" s="69" t="str">
        <f t="shared" si="188"/>
        <v/>
      </c>
      <c r="S168" s="350"/>
      <c r="T168" s="69" t="str">
        <f t="shared" si="189"/>
        <v/>
      </c>
      <c r="U168" s="350"/>
      <c r="V168" s="69" t="str">
        <f t="shared" si="190"/>
        <v/>
      </c>
      <c r="W168" s="350"/>
      <c r="Z168" s="353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91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206"/>
        <v>0</v>
      </c>
      <c r="BE168" s="213">
        <f t="shared" si="207"/>
        <v>0</v>
      </c>
      <c r="BF168" s="215">
        <f t="shared" si="208"/>
        <v>0</v>
      </c>
      <c r="BG168" s="215">
        <f t="shared" si="209"/>
        <v>0</v>
      </c>
      <c r="BH168" s="215" t="str">
        <f t="shared" si="192"/>
        <v/>
      </c>
      <c r="BI168" s="215" t="str">
        <f t="shared" si="193"/>
        <v/>
      </c>
      <c r="BJ168" s="215" t="str">
        <f t="shared" si="194"/>
        <v/>
      </c>
      <c r="BK168" s="215" t="str">
        <f t="shared" si="195"/>
        <v/>
      </c>
      <c r="BL168" s="215" t="str">
        <f t="shared" si="196"/>
        <v/>
      </c>
      <c r="BM168" s="215" t="str">
        <f t="shared" si="197"/>
        <v/>
      </c>
      <c r="BN168" s="215" t="str">
        <f t="shared" si="198"/>
        <v/>
      </c>
      <c r="BO168" s="215" t="str">
        <f t="shared" si="199"/>
        <v/>
      </c>
      <c r="BP168" s="215" t="str">
        <f t="shared" si="200"/>
        <v/>
      </c>
      <c r="BQ168" s="216"/>
      <c r="BR168" s="214"/>
      <c r="BS168" s="215">
        <f t="shared" si="210"/>
        <v>0</v>
      </c>
      <c r="BT168" s="215">
        <f t="shared" si="211"/>
        <v>0</v>
      </c>
      <c r="BU168" s="215" t="str">
        <f t="shared" si="212"/>
        <v>Phönix 03 Lauf</v>
      </c>
      <c r="BV168" s="214">
        <f t="shared" si="213"/>
        <v>2</v>
      </c>
      <c r="BW168" s="215">
        <f t="shared" si="214"/>
        <v>0</v>
      </c>
      <c r="BX168" s="215">
        <f>IF(COUNTIF(BH168:BP168,"&gt;0")&lt;Spielorte!$A$23,0,BE168/Spielorte!$A$23)</f>
        <v>0</v>
      </c>
      <c r="BY168" s="215">
        <f t="shared" si="215"/>
        <v>0</v>
      </c>
      <c r="BZ168" s="214">
        <f t="shared" si="201"/>
        <v>0</v>
      </c>
    </row>
    <row r="169" spans="1:78" ht="27.75" customHeight="1" thickBot="1" x14ac:dyDescent="0.4">
      <c r="B169" s="81" t="str">
        <f>IF(AA169=0,"",AA169)</f>
        <v>Gesamt</v>
      </c>
      <c r="C169" s="82" t="str">
        <f t="shared" si="203"/>
        <v/>
      </c>
      <c r="D169" s="83">
        <f t="shared" si="204"/>
        <v>732</v>
      </c>
      <c r="E169" s="84">
        <f>IF(AD169="","",AD169)</f>
        <v>2</v>
      </c>
      <c r="F169" s="83">
        <f t="shared" si="183"/>
        <v>739</v>
      </c>
      <c r="G169" s="84">
        <f>IF(AF169="","",AF169)</f>
        <v>2</v>
      </c>
      <c r="H169" s="83">
        <f t="shared" si="184"/>
        <v>747</v>
      </c>
      <c r="I169" s="84">
        <f>IF(AH169="","",AH169)</f>
        <v>2</v>
      </c>
      <c r="J169" s="83">
        <f t="shared" si="185"/>
        <v>784</v>
      </c>
      <c r="K169" s="84">
        <f>IF(AJ169="","",AJ169)</f>
        <v>2</v>
      </c>
      <c r="L169" s="83">
        <f t="shared" si="186"/>
        <v>782</v>
      </c>
      <c r="M169" s="84">
        <f>IF(AL169="","",AL169)</f>
        <v>2</v>
      </c>
      <c r="N169" s="83">
        <f t="shared" si="205"/>
        <v>734</v>
      </c>
      <c r="O169" s="84">
        <f>IF(AN169="","",AN169)</f>
        <v>0</v>
      </c>
      <c r="P169" s="83">
        <f t="shared" si="187"/>
        <v>770</v>
      </c>
      <c r="Q169" s="84">
        <f>IF(AP169="","",AP169)</f>
        <v>2</v>
      </c>
      <c r="R169" s="83">
        <f t="shared" si="188"/>
        <v>738</v>
      </c>
      <c r="S169" s="84">
        <f>IF(AR169="","",AR169)</f>
        <v>2</v>
      </c>
      <c r="T169" s="83">
        <f t="shared" si="189"/>
        <v>676</v>
      </c>
      <c r="U169" s="84">
        <f>IF(AT169="","",AT169)</f>
        <v>0</v>
      </c>
      <c r="V169" s="83">
        <f t="shared" si="190"/>
        <v>6702</v>
      </c>
      <c r="W169" s="84">
        <f>IF(AV169="","",AV169)</f>
        <v>14</v>
      </c>
      <c r="AA169" s="81" t="s">
        <v>1799</v>
      </c>
      <c r="AB169" s="120"/>
      <c r="AC169" s="211">
        <f>ABS(SUM(AC157:AC159))+ABS(SUM(AC160:AC162))+ABS(SUM(AC163:AC165))+ABS(SUM(AC166:AC168))</f>
        <v>732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739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747</v>
      </c>
      <c r="AH169" s="121">
        <f>IF(AG169+AG179=0,0,IF(AG169=AG179,1,IF(AG169&gt;AG179,2,0)))</f>
        <v>2</v>
      </c>
      <c r="AI169" s="211">
        <f>ABS(SUM(AI157:AI159))+ABS(SUM(AI160:AI162))+ABS(SUM(AI163:AI165))+ABS(SUM(AI166:AI168))</f>
        <v>784</v>
      </c>
      <c r="AJ169" s="121">
        <f>IF(AI169+AI179=0,0,IF(AI169=AI179,1,IF(AI169&gt;AI179,2,0)))</f>
        <v>2</v>
      </c>
      <c r="AK169" s="211">
        <f>ABS(SUM(AK157:AK159))+ABS(SUM(AK160:AK162))+ABS(SUM(AK163:AK165))+ABS(SUM(AK166:AK168))</f>
        <v>782</v>
      </c>
      <c r="AL169" s="121">
        <f>IF(AK169+AK179=0,0,IF(AK169=AK179,1,IF(AK169&gt;AK179,2,0)))</f>
        <v>2</v>
      </c>
      <c r="AM169" s="211">
        <f>ABS(SUM(AM157:AM159))+ABS(SUM(AM160:AM162))+ABS(SUM(AM163:AM165))+ABS(SUM(AM166:AM168))</f>
        <v>734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770</v>
      </c>
      <c r="AP169" s="121">
        <f>IF(AO169+AO179=0,0,IF(AO169=AO179,1,IF(AO169&gt;AO179,2,0)))</f>
        <v>2</v>
      </c>
      <c r="AQ169" s="211">
        <f>ABS(SUM(AQ157:AQ159))+ABS(SUM(AQ160:AQ162))+ABS(SUM(AQ163:AQ165))+ABS(SUM(AQ166:AQ168))</f>
        <v>738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676</v>
      </c>
      <c r="AT169" s="121">
        <f>IF(AS169+AS179=0,0,IF(AS169=AS179,1,IF(AS169&gt;AS179,2,0)))</f>
        <v>0</v>
      </c>
      <c r="AU169" s="122">
        <f>SUM(AC169+AE169+AG169+AI169+AK169+AM169+AO169+AQ169+AS169)</f>
        <v>6702</v>
      </c>
      <c r="AV169" s="123">
        <f>SUM(AD169+AF169+AH169+AJ169+AL169+AN169+AP169+AR169+AT169)</f>
        <v>14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4">
      <c r="B170" s="85" t="str">
        <f>IF(AA170=0,"",AA170)</f>
        <v>Gesamt - Punkte</v>
      </c>
      <c r="C170" s="86" t="str">
        <f t="shared" si="203"/>
        <v/>
      </c>
      <c r="D170" s="86" t="str">
        <f t="shared" si="204"/>
        <v/>
      </c>
      <c r="E170" s="87">
        <f>IF(AD170="","",AD170)</f>
        <v>6</v>
      </c>
      <c r="F170" s="86" t="str">
        <f t="shared" si="183"/>
        <v/>
      </c>
      <c r="G170" s="87">
        <f>IF(AF170="","",AF170)</f>
        <v>4</v>
      </c>
      <c r="H170" s="86" t="str">
        <f t="shared" si="184"/>
        <v/>
      </c>
      <c r="I170" s="87">
        <f>IF(AH170="","",AH170)</f>
        <v>6</v>
      </c>
      <c r="J170" s="86" t="str">
        <f t="shared" si="185"/>
        <v/>
      </c>
      <c r="K170" s="87">
        <f>IF(AJ170="","",AJ170)</f>
        <v>4</v>
      </c>
      <c r="L170" s="86" t="str">
        <f t="shared" si="186"/>
        <v/>
      </c>
      <c r="M170" s="87">
        <f>IF(AL170="","",AL170)</f>
        <v>6</v>
      </c>
      <c r="N170" s="86" t="str">
        <f t="shared" si="205"/>
        <v/>
      </c>
      <c r="O170" s="87">
        <f>IF(AN170="","",AN170)</f>
        <v>1</v>
      </c>
      <c r="P170" s="86" t="str">
        <f t="shared" si="187"/>
        <v/>
      </c>
      <c r="Q170" s="87">
        <f>IF(AP170="","",AP170)</f>
        <v>6</v>
      </c>
      <c r="R170" s="86" t="str">
        <f t="shared" si="188"/>
        <v/>
      </c>
      <c r="S170" s="87">
        <f>IF(AR170="","",AR170)</f>
        <v>6</v>
      </c>
      <c r="T170" s="86" t="str">
        <f t="shared" si="189"/>
        <v/>
      </c>
      <c r="U170" s="87">
        <f>IF(AT170="","",AT170)</f>
        <v>2</v>
      </c>
      <c r="V170" s="86" t="str">
        <f t="shared" si="190"/>
        <v/>
      </c>
      <c r="W170" s="87">
        <f>IF(AV170="","",AV170)</f>
        <v>41</v>
      </c>
      <c r="AA170" s="85" t="s">
        <v>1814</v>
      </c>
      <c r="AB170" s="86"/>
      <c r="AC170" s="86"/>
      <c r="AD170" s="124">
        <f>SUM(AD157:AD169)</f>
        <v>6</v>
      </c>
      <c r="AE170" s="86"/>
      <c r="AF170" s="124">
        <f>SUM(AF157:AF169)</f>
        <v>4</v>
      </c>
      <c r="AG170" s="86"/>
      <c r="AH170" s="124">
        <f>SUM(AH157:AH169)</f>
        <v>6</v>
      </c>
      <c r="AI170" s="86"/>
      <c r="AJ170" s="124">
        <f>SUM(AJ157:AJ169)</f>
        <v>4</v>
      </c>
      <c r="AK170" s="86"/>
      <c r="AL170" s="124">
        <f>SUM(AL157:AL169)</f>
        <v>6</v>
      </c>
      <c r="AM170" s="86"/>
      <c r="AN170" s="124">
        <f>SUM(AN157:AN169)</f>
        <v>1</v>
      </c>
      <c r="AO170" s="86"/>
      <c r="AP170" s="124">
        <f>SUM(AP157:AP169)</f>
        <v>6</v>
      </c>
      <c r="AQ170" s="86"/>
      <c r="AR170" s="124">
        <f>SUM(AR157:AR169)</f>
        <v>6</v>
      </c>
      <c r="AS170" s="86"/>
      <c r="AT170" s="124">
        <f>SUM(AT157:AT169)</f>
        <v>2</v>
      </c>
      <c r="AU170" s="86"/>
      <c r="AV170" s="125">
        <f>SUM(AV157:AV169)</f>
        <v>41</v>
      </c>
      <c r="AW170" s="101"/>
      <c r="AX170" s="102"/>
      <c r="BA170" s="212">
        <f>+AV170</f>
        <v>41</v>
      </c>
      <c r="BB170" s="213">
        <f>+AU169</f>
        <v>6702</v>
      </c>
      <c r="BC170" s="214">
        <f>+AA152</f>
        <v>6</v>
      </c>
      <c r="BF170" s="215">
        <f>SUM(BF151:BF169)</f>
        <v>36</v>
      </c>
      <c r="BQ170" s="212">
        <f>+BB170/1000000+BA170</f>
        <v>41.006701999999997</v>
      </c>
      <c r="BR170" s="214">
        <f>RANK(BQ170,BQ:BQ)</f>
        <v>2</v>
      </c>
      <c r="BV170" s="214"/>
      <c r="BZ170" s="214"/>
    </row>
    <row r="171" spans="1:78" ht="11.25" customHeight="1" x14ac:dyDescent="0.3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35">
      <c r="B172" s="88" t="str">
        <f t="shared" ref="B172:B179" si="216">IF(AA172=0,"",AA172)</f>
        <v>Gegner-Nr.:</v>
      </c>
      <c r="C172" s="89" t="str">
        <f t="shared" ref="C172:C179" si="217">IF(AB172=0,"",AB172)</f>
        <v>&gt;&gt;&gt;&gt;</v>
      </c>
      <c r="D172" s="346">
        <f t="shared" ref="D172:M174" si="218">IF(AC172=0,"",AC172)</f>
        <v>2</v>
      </c>
      <c r="E172" s="346" t="str">
        <f t="shared" si="218"/>
        <v/>
      </c>
      <c r="F172" s="346">
        <f t="shared" si="218"/>
        <v>7</v>
      </c>
      <c r="G172" s="346" t="str">
        <f t="shared" si="218"/>
        <v/>
      </c>
      <c r="H172" s="346">
        <f t="shared" si="218"/>
        <v>1</v>
      </c>
      <c r="I172" s="346" t="str">
        <f t="shared" si="218"/>
        <v/>
      </c>
      <c r="J172" s="346">
        <f t="shared" si="218"/>
        <v>8</v>
      </c>
      <c r="K172" s="346" t="str">
        <f t="shared" si="218"/>
        <v/>
      </c>
      <c r="L172" s="346">
        <f t="shared" si="218"/>
        <v>4</v>
      </c>
      <c r="M172" s="346" t="str">
        <f t="shared" si="218"/>
        <v/>
      </c>
      <c r="N172" s="346">
        <f t="shared" ref="N172:U174" si="219">IF(AM172=0,"",AM172)</f>
        <v>3</v>
      </c>
      <c r="O172" s="346" t="str">
        <f t="shared" si="219"/>
        <v/>
      </c>
      <c r="P172" s="346">
        <f t="shared" si="219"/>
        <v>5</v>
      </c>
      <c r="Q172" s="346" t="str">
        <f t="shared" si="219"/>
        <v/>
      </c>
      <c r="R172" s="346">
        <f t="shared" si="219"/>
        <v>9</v>
      </c>
      <c r="S172" s="346" t="str">
        <f t="shared" si="219"/>
        <v/>
      </c>
      <c r="T172" s="346">
        <f t="shared" si="219"/>
        <v>10</v>
      </c>
      <c r="U172" s="346" t="str">
        <f t="shared" si="219"/>
        <v/>
      </c>
      <c r="V172" s="347"/>
      <c r="W172" s="347"/>
      <c r="AA172" s="88" t="s">
        <v>1797</v>
      </c>
      <c r="AB172" s="89" t="s">
        <v>1798</v>
      </c>
      <c r="AC172" s="370">
        <f>VLOOKUP($AA152,Schlüssel!$A$5:$K$14,3)</f>
        <v>2</v>
      </c>
      <c r="AD172" s="371"/>
      <c r="AE172" s="370">
        <f>VLOOKUP($AA152,Schlüssel!$A$5:$K$14,4)</f>
        <v>7</v>
      </c>
      <c r="AF172" s="371"/>
      <c r="AG172" s="370">
        <f>VLOOKUP($AA152,Schlüssel!$A$5:$K$14,5)</f>
        <v>1</v>
      </c>
      <c r="AH172" s="371"/>
      <c r="AI172" s="370">
        <f>VLOOKUP($AA152,Schlüssel!$A$5:$K$14,6)</f>
        <v>8</v>
      </c>
      <c r="AJ172" s="371"/>
      <c r="AK172" s="370">
        <f>VLOOKUP($AA152,Schlüssel!$A$5:$K$14,7)</f>
        <v>4</v>
      </c>
      <c r="AL172" s="371"/>
      <c r="AM172" s="370">
        <f>VLOOKUP($AA152,Schlüssel!$A$5:$K$14,8)</f>
        <v>3</v>
      </c>
      <c r="AN172" s="371"/>
      <c r="AO172" s="370">
        <f>VLOOKUP($AA152,Schlüssel!$A$5:$K$14,9)</f>
        <v>5</v>
      </c>
      <c r="AP172" s="371"/>
      <c r="AQ172" s="370">
        <f>VLOOKUP($AA152,Schlüssel!$A$5:$K$14,10)</f>
        <v>9</v>
      </c>
      <c r="AR172" s="371"/>
      <c r="AS172" s="370">
        <f>VLOOKUP($AA152,Schlüssel!$A$5:$K$14,11)</f>
        <v>10</v>
      </c>
      <c r="AT172" s="371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35">
      <c r="B173" s="90" t="str">
        <f t="shared" si="216"/>
        <v/>
      </c>
      <c r="C173" s="86" t="str">
        <f t="shared" si="217"/>
        <v/>
      </c>
      <c r="D173" s="343" t="str">
        <f t="shared" si="218"/>
        <v>BK München 2</v>
      </c>
      <c r="E173" s="344" t="str">
        <f t="shared" si="218"/>
        <v/>
      </c>
      <c r="F173" s="343" t="str">
        <f t="shared" si="218"/>
        <v>Frankenpower Nürnberg</v>
      </c>
      <c r="G173" s="344" t="str">
        <f t="shared" si="218"/>
        <v/>
      </c>
      <c r="H173" s="343" t="str">
        <f t="shared" si="218"/>
        <v>Praetoria Regensburg</v>
      </c>
      <c r="I173" s="344" t="str">
        <f t="shared" si="218"/>
        <v/>
      </c>
      <c r="J173" s="343" t="str">
        <f t="shared" si="218"/>
        <v>EPA München 1</v>
      </c>
      <c r="K173" s="344" t="str">
        <f t="shared" si="218"/>
        <v/>
      </c>
      <c r="L173" s="343" t="str">
        <f t="shared" si="218"/>
        <v>BK München 3</v>
      </c>
      <c r="M173" s="344" t="str">
        <f t="shared" si="218"/>
        <v/>
      </c>
      <c r="N173" s="343" t="str">
        <f t="shared" si="219"/>
        <v>Highroller Rosenheim</v>
      </c>
      <c r="O173" s="344" t="str">
        <f t="shared" si="219"/>
        <v/>
      </c>
      <c r="P173" s="343" t="str">
        <f t="shared" si="219"/>
        <v xml:space="preserve">Weiß Blau Unterföhring </v>
      </c>
      <c r="Q173" s="344" t="str">
        <f t="shared" si="219"/>
        <v/>
      </c>
      <c r="R173" s="343" t="str">
        <f t="shared" si="219"/>
        <v>RW Lichtenhof 69 Stein 2</v>
      </c>
      <c r="S173" s="344" t="str">
        <f t="shared" si="219"/>
        <v/>
      </c>
      <c r="T173" s="343" t="str">
        <f t="shared" si="219"/>
        <v>BK München 4</v>
      </c>
      <c r="U173" s="344" t="str">
        <f t="shared" si="219"/>
        <v/>
      </c>
      <c r="V173" s="345"/>
      <c r="W173" s="345"/>
      <c r="AA173" s="90"/>
      <c r="AB173" s="86"/>
      <c r="AC173" s="343" t="str">
        <f>VLOOKUP(AC172,Schlüssel!$A$5:$K$14,2)</f>
        <v>BK München 2</v>
      </c>
      <c r="AD173" s="344"/>
      <c r="AE173" s="343" t="str">
        <f>VLOOKUP(AE172,Schlüssel!$A$5:$K$14,2)</f>
        <v>Frankenpower Nürnberg</v>
      </c>
      <c r="AF173" s="344"/>
      <c r="AG173" s="343" t="str">
        <f>VLOOKUP(AG172,Schlüssel!$A$5:$K$14,2)</f>
        <v>Praetoria Regensburg</v>
      </c>
      <c r="AH173" s="344"/>
      <c r="AI173" s="343" t="str">
        <f>VLOOKUP(AI172,Schlüssel!$A$5:$K$14,2)</f>
        <v>EPA München 1</v>
      </c>
      <c r="AJ173" s="344"/>
      <c r="AK173" s="343" t="str">
        <f>VLOOKUP(AK172,Schlüssel!$A$5:$K$14,2)</f>
        <v>BK München 3</v>
      </c>
      <c r="AL173" s="344"/>
      <c r="AM173" s="343" t="str">
        <f>VLOOKUP(AM172,Schlüssel!$A$5:$K$14,2)</f>
        <v>Highroller Rosenheim</v>
      </c>
      <c r="AN173" s="344"/>
      <c r="AO173" s="343" t="str">
        <f>VLOOKUP(AO172,Schlüssel!$A$5:$K$14,2)</f>
        <v xml:space="preserve">Weiß Blau Unterföhring </v>
      </c>
      <c r="AP173" s="344"/>
      <c r="AQ173" s="343" t="str">
        <f>VLOOKUP(AQ172,Schlüssel!$A$5:$K$14,2)</f>
        <v>RW Lichtenhof 69 Stein 2</v>
      </c>
      <c r="AR173" s="344"/>
      <c r="AS173" s="343" t="str">
        <f>VLOOKUP(AS172,Schlüssel!$A$5:$K$14,2)</f>
        <v>BK München 4</v>
      </c>
      <c r="AT173" s="344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35">
      <c r="B174" s="90" t="str">
        <f t="shared" si="216"/>
        <v/>
      </c>
      <c r="C174" s="86" t="str">
        <f t="shared" si="217"/>
        <v/>
      </c>
      <c r="D174" s="341" t="str">
        <f t="shared" si="218"/>
        <v/>
      </c>
      <c r="E174" s="341" t="str">
        <f t="shared" si="218"/>
        <v/>
      </c>
      <c r="F174" s="341" t="str">
        <f t="shared" si="218"/>
        <v/>
      </c>
      <c r="G174" s="341" t="str">
        <f t="shared" si="218"/>
        <v/>
      </c>
      <c r="H174" s="341" t="str">
        <f t="shared" si="218"/>
        <v/>
      </c>
      <c r="I174" s="341" t="str">
        <f t="shared" si="218"/>
        <v/>
      </c>
      <c r="J174" s="341" t="str">
        <f t="shared" si="218"/>
        <v/>
      </c>
      <c r="K174" s="341" t="str">
        <f t="shared" si="218"/>
        <v/>
      </c>
      <c r="L174" s="341" t="str">
        <f t="shared" si="218"/>
        <v/>
      </c>
      <c r="M174" s="341" t="str">
        <f t="shared" si="218"/>
        <v/>
      </c>
      <c r="N174" s="341" t="str">
        <f t="shared" si="219"/>
        <v/>
      </c>
      <c r="O174" s="341" t="str">
        <f t="shared" si="219"/>
        <v/>
      </c>
      <c r="P174" s="341" t="str">
        <f t="shared" si="219"/>
        <v/>
      </c>
      <c r="Q174" s="341" t="str">
        <f t="shared" si="219"/>
        <v/>
      </c>
      <c r="R174" s="341" t="str">
        <f t="shared" si="219"/>
        <v/>
      </c>
      <c r="S174" s="341" t="str">
        <f t="shared" si="219"/>
        <v/>
      </c>
      <c r="T174" s="341" t="str">
        <f t="shared" si="219"/>
        <v/>
      </c>
      <c r="U174" s="342" t="str">
        <f t="shared" si="219"/>
        <v/>
      </c>
      <c r="V174" s="301"/>
      <c r="W174" s="301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6.05" customHeight="1" x14ac:dyDescent="0.35">
      <c r="B175" s="365" t="str">
        <f t="shared" si="216"/>
        <v>Spieler 1</v>
      </c>
      <c r="C175" s="366" t="str">
        <f t="shared" si="217"/>
        <v/>
      </c>
      <c r="D175" s="339">
        <f>IF(AC175=301,"",AC175)</f>
        <v>199</v>
      </c>
      <c r="E175" s="339" t="str">
        <f>IF(AD175=0,"",AD175)</f>
        <v/>
      </c>
      <c r="F175" s="339">
        <f>IF(AE175=301,"",AE175)</f>
        <v>164</v>
      </c>
      <c r="G175" s="339" t="str">
        <f>IF(AF175=0,"",AF175)</f>
        <v/>
      </c>
      <c r="H175" s="339">
        <f>IF(AG175=301,"",AG175)</f>
        <v>180</v>
      </c>
      <c r="I175" s="339" t="str">
        <f>IF(AH175=0,"",AH175)</f>
        <v/>
      </c>
      <c r="J175" s="339">
        <f>IF(AI175=301,"",AI175)</f>
        <v>181</v>
      </c>
      <c r="K175" s="339" t="str">
        <f>IF(AJ175=0,"",AJ175)</f>
        <v/>
      </c>
      <c r="L175" s="339">
        <f>IF(AK175=301,"",AK175)</f>
        <v>0</v>
      </c>
      <c r="M175" s="339" t="str">
        <f>IF(AL175=0,"",AL175)</f>
        <v/>
      </c>
      <c r="N175" s="339">
        <f>IF(AM175=301,"",AM175)</f>
        <v>172</v>
      </c>
      <c r="O175" s="339" t="str">
        <f>IF(AN175=0,"",AN175)</f>
        <v/>
      </c>
      <c r="P175" s="339">
        <f>IF(AO175=301,"",AO175)</f>
        <v>157</v>
      </c>
      <c r="Q175" s="339" t="str">
        <f>IF(AP175=0,"",AP175)</f>
        <v/>
      </c>
      <c r="R175" s="339">
        <f>IF(AQ175=301,"",AQ175)</f>
        <v>160</v>
      </c>
      <c r="S175" s="339" t="str">
        <f>IF(AR175=0,"",AR175)</f>
        <v/>
      </c>
      <c r="T175" s="339">
        <f>IF(AS175=301,"",AS175)</f>
        <v>192</v>
      </c>
      <c r="U175" s="339" t="str">
        <f>IF(AT175=0,"",AT175)</f>
        <v/>
      </c>
      <c r="V175" s="340"/>
      <c r="W175" s="340"/>
      <c r="AA175" s="91" t="s">
        <v>0</v>
      </c>
      <c r="AB175" s="92"/>
      <c r="AC175" s="372">
        <f>ABS(INDEX(AC:AC,MATCH(AC172,$AA:$AA,0)+5)+INDEX(AC:AC,MATCH(AC172,$AA:$AA,0)+6)+INDEX(AC:AC,MATCH(AC172,$AA:$AA,0)+7))</f>
        <v>199</v>
      </c>
      <c r="AD175" s="373"/>
      <c r="AE175" s="372">
        <f>ABS(INDEX(AE:AE,MATCH(AE172,$AA:$AA,0)+5)+INDEX(AE:AE,MATCH(AE172,$AA:$AA,0)+6)+INDEX(AE:AE,MATCH(AE172,$AA:$AA,0)+7))</f>
        <v>164</v>
      </c>
      <c r="AF175" s="373"/>
      <c r="AG175" s="372">
        <f>ABS(INDEX(AG:AG,MATCH(AG172,$AA:$AA,0)+5)+INDEX(AG:AG,MATCH(AG172,$AA:$AA,0)+6)+INDEX(AG:AG,MATCH(AG172,$AA:$AA,0)+7))</f>
        <v>180</v>
      </c>
      <c r="AH175" s="373"/>
      <c r="AI175" s="372">
        <f>ABS(INDEX(AI:AI,MATCH(AI172,$AA:$AA,0)+5)+INDEX(AI:AI,MATCH(AI172,$AA:$AA,0)+6)+INDEX(AI:AI,MATCH(AI172,$AA:$AA,0)+7))</f>
        <v>181</v>
      </c>
      <c r="AJ175" s="373"/>
      <c r="AK175" s="372">
        <f>ABS(INDEX(AK:AK,MATCH(AK172,$AA:$AA,0)+5)+INDEX(AK:AK,MATCH(AK172,$AA:$AA,0)+6)+INDEX(AK:AK,MATCH(AK172,$AA:$AA,0)+7))</f>
        <v>0</v>
      </c>
      <c r="AL175" s="373"/>
      <c r="AM175" s="372">
        <f>ABS(INDEX(AM:AM,MATCH(AM172,$AA:$AA,0)+5)+INDEX(AM:AM,MATCH(AM172,$AA:$AA,0)+6)+INDEX(AM:AM,MATCH(AM172,$AA:$AA,0)+7))</f>
        <v>172</v>
      </c>
      <c r="AN175" s="373"/>
      <c r="AO175" s="372">
        <f>ABS(INDEX(AO:AO,MATCH(AO172,$AA:$AA,0)+5)+INDEX(AO:AO,MATCH(AO172,$AA:$AA,0)+6)+INDEX(AO:AO,MATCH(AO172,$AA:$AA,0)+7))</f>
        <v>157</v>
      </c>
      <c r="AP175" s="373"/>
      <c r="AQ175" s="372">
        <f>ABS(INDEX(AQ:AQ,MATCH(AQ172,$AA:$AA,0)+5)+INDEX(AQ:AQ,MATCH(AQ172,$AA:$AA,0)+6)+INDEX(AQ:AQ,MATCH(AQ172,$AA:$AA,0)+7))</f>
        <v>160</v>
      </c>
      <c r="AR175" s="373"/>
      <c r="AS175" s="372">
        <f>ABS(INDEX(AS:AS,MATCH(AS172,$AA:$AA,0)+5)+INDEX(AS:AS,MATCH(AS172,$AA:$AA,0)+6)+INDEX(AS:AS,MATCH(AS172,$AA:$AA,0)+7))</f>
        <v>192</v>
      </c>
      <c r="AT175" s="373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6.05" customHeight="1" x14ac:dyDescent="0.35">
      <c r="B176" s="365" t="str">
        <f t="shared" si="216"/>
        <v>Spieler 2</v>
      </c>
      <c r="C176" s="366" t="str">
        <f t="shared" si="217"/>
        <v/>
      </c>
      <c r="D176" s="339">
        <f>IF(AC176=301,"",AC176)</f>
        <v>146</v>
      </c>
      <c r="E176" s="339" t="str">
        <f>IF(AD176=0,"",AD176)</f>
        <v/>
      </c>
      <c r="F176" s="339">
        <f>IF(AE176=301,"",AE176)</f>
        <v>113</v>
      </c>
      <c r="G176" s="339" t="str">
        <f>IF(AF176=0,"",AF176)</f>
        <v/>
      </c>
      <c r="H176" s="339">
        <f>IF(AG176=301,"",AG176)</f>
        <v>166</v>
      </c>
      <c r="I176" s="339" t="str">
        <f>IF(AH176=0,"",AH176)</f>
        <v/>
      </c>
      <c r="J176" s="339">
        <f>IF(AI176=301,"",AI176)</f>
        <v>197</v>
      </c>
      <c r="K176" s="339" t="str">
        <f>IF(AJ176=0,"",AJ176)</f>
        <v/>
      </c>
      <c r="L176" s="339">
        <f>IF(AK176=301,"",AK176)</f>
        <v>0</v>
      </c>
      <c r="M176" s="339" t="str">
        <f>IF(AL176=0,"",AL176)</f>
        <v/>
      </c>
      <c r="N176" s="339">
        <f>IF(AM176=301,"",AM176)</f>
        <v>179</v>
      </c>
      <c r="O176" s="339" t="str">
        <f>IF(AN176=0,"",AN176)</f>
        <v/>
      </c>
      <c r="P176" s="339">
        <f>IF(AO176=301,"",AO176)</f>
        <v>146</v>
      </c>
      <c r="Q176" s="339" t="str">
        <f>IF(AP176=0,"",AP176)</f>
        <v/>
      </c>
      <c r="R176" s="339">
        <f>IF(AQ176=301,"",AQ176)</f>
        <v>148</v>
      </c>
      <c r="S176" s="339" t="str">
        <f>IF(AR176=0,"",AR176)</f>
        <v/>
      </c>
      <c r="T176" s="339">
        <f>IF(AS176=301,"",AS176)</f>
        <v>191</v>
      </c>
      <c r="U176" s="339" t="str">
        <f>IF(AT176=0,"",AT176)</f>
        <v/>
      </c>
      <c r="V176" s="340"/>
      <c r="W176" s="340"/>
      <c r="AA176" s="91" t="s">
        <v>2</v>
      </c>
      <c r="AB176" s="92"/>
      <c r="AC176" s="374">
        <f>ABS(INDEX(AC:AC,MATCH(AC172,$AA:$AA,0)+8)+INDEX(AC:AC,MATCH(AC172,$AA:$AA,0)+9)+INDEX(AC:AC,MATCH(AC172,$AA:$AA,0)+10))</f>
        <v>146</v>
      </c>
      <c r="AD176" s="375"/>
      <c r="AE176" s="374">
        <f>ABS(INDEX(AE:AE,MATCH(AE172,$AA:$AA,0)+8)+INDEX(AE:AE,MATCH(AE172,$AA:$AA,0)+9)+INDEX(AE:AE,MATCH(AE172,$AA:$AA,0)+10))</f>
        <v>113</v>
      </c>
      <c r="AF176" s="375"/>
      <c r="AG176" s="374">
        <f>ABS(INDEX(AG:AG,MATCH(AG172,$AA:$AA,0)+8)+INDEX(AG:AG,MATCH(AG172,$AA:$AA,0)+9)+INDEX(AG:AG,MATCH(AG172,$AA:$AA,0)+10))</f>
        <v>166</v>
      </c>
      <c r="AH176" s="375"/>
      <c r="AI176" s="374">
        <f>ABS(INDEX(AI:AI,MATCH(AI172,$AA:$AA,0)+8)+INDEX(AI:AI,MATCH(AI172,$AA:$AA,0)+9)+INDEX(AI:AI,MATCH(AI172,$AA:$AA,0)+10))</f>
        <v>197</v>
      </c>
      <c r="AJ176" s="375"/>
      <c r="AK176" s="374">
        <f>ABS(INDEX(AK:AK,MATCH(AK172,$AA:$AA,0)+8)+INDEX(AK:AK,MATCH(AK172,$AA:$AA,0)+9)+INDEX(AK:AK,MATCH(AK172,$AA:$AA,0)+10))</f>
        <v>0</v>
      </c>
      <c r="AL176" s="375"/>
      <c r="AM176" s="374">
        <f>ABS(INDEX(AM:AM,MATCH(AM172,$AA:$AA,0)+8)+INDEX(AM:AM,MATCH(AM172,$AA:$AA,0)+9)+INDEX(AM:AM,MATCH(AM172,$AA:$AA,0)+10))</f>
        <v>179</v>
      </c>
      <c r="AN176" s="375"/>
      <c r="AO176" s="374">
        <f>ABS(INDEX(AO:AO,MATCH(AO172,$AA:$AA,0)+8)+INDEX(AO:AO,MATCH(AO172,$AA:$AA,0)+9)+INDEX(AO:AO,MATCH(AO172,$AA:$AA,0)+10))</f>
        <v>146</v>
      </c>
      <c r="AP176" s="375"/>
      <c r="AQ176" s="374">
        <f>ABS(INDEX(AQ:AQ,MATCH(AQ172,$AA:$AA,0)+8)+INDEX(AQ:AQ,MATCH(AQ172,$AA:$AA,0)+9)+INDEX(AQ:AQ,MATCH(AQ172,$AA:$AA,0)+10))</f>
        <v>148</v>
      </c>
      <c r="AR176" s="375"/>
      <c r="AS176" s="374">
        <f>ABS(INDEX(AS:AS,MATCH(AS172,$AA:$AA,0)+8)+INDEX(AS:AS,MATCH(AS172,$AA:$AA,0)+9)+INDEX(AS:AS,MATCH(AS172,$AA:$AA,0)+10))</f>
        <v>191</v>
      </c>
      <c r="AT176" s="37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6.05" customHeight="1" x14ac:dyDescent="0.35">
      <c r="B177" s="365" t="str">
        <f t="shared" si="216"/>
        <v>Spieler 3</v>
      </c>
      <c r="C177" s="366" t="str">
        <f t="shared" si="217"/>
        <v/>
      </c>
      <c r="D177" s="339">
        <f>IF(AC177=301,"",AC177)</f>
        <v>143</v>
      </c>
      <c r="E177" s="339" t="str">
        <f>IF(AD177=0,"",AD177)</f>
        <v/>
      </c>
      <c r="F177" s="339">
        <f>IF(AE177=301,"",AE177)</f>
        <v>214</v>
      </c>
      <c r="G177" s="339" t="str">
        <f>IF(AF177=0,"",AF177)</f>
        <v/>
      </c>
      <c r="H177" s="339">
        <f>IF(AG177=301,"",AG177)</f>
        <v>171</v>
      </c>
      <c r="I177" s="339" t="str">
        <f>IF(AH177=0,"",AH177)</f>
        <v/>
      </c>
      <c r="J177" s="339">
        <f>IF(AI177=301,"",AI177)</f>
        <v>193</v>
      </c>
      <c r="K177" s="339" t="str">
        <f>IF(AJ177=0,"",AJ177)</f>
        <v/>
      </c>
      <c r="L177" s="339">
        <f>IF(AK177=301,"",AK177)</f>
        <v>0</v>
      </c>
      <c r="M177" s="339" t="str">
        <f>IF(AL177=0,"",AL177)</f>
        <v/>
      </c>
      <c r="N177" s="339">
        <f>IF(AM177=301,"",AM177)</f>
        <v>212</v>
      </c>
      <c r="O177" s="339" t="str">
        <f>IF(AN177=0,"",AN177)</f>
        <v/>
      </c>
      <c r="P177" s="339">
        <f>IF(AO177=301,"",AO177)</f>
        <v>174</v>
      </c>
      <c r="Q177" s="339" t="str">
        <f>IF(AP177=0,"",AP177)</f>
        <v/>
      </c>
      <c r="R177" s="339">
        <f>IF(AQ177=301,"",AQ177)</f>
        <v>157</v>
      </c>
      <c r="S177" s="339" t="str">
        <f>IF(AR177=0,"",AR177)</f>
        <v/>
      </c>
      <c r="T177" s="339">
        <f>IF(AS177=301,"",AS177)</f>
        <v>155</v>
      </c>
      <c r="U177" s="339" t="str">
        <f>IF(AT177=0,"",AT177)</f>
        <v/>
      </c>
      <c r="V177" s="340"/>
      <c r="W177" s="340"/>
      <c r="AA177" s="91" t="s">
        <v>3</v>
      </c>
      <c r="AB177" s="92"/>
      <c r="AC177" s="374">
        <f>ABS(INDEX(AC:AC,MATCH(AC172,$AA:$AA,0)+11)+INDEX(AC:AC,MATCH(AC172,$AA:$AA,0)+12)+INDEX(AC:AC,MATCH(AC172,$AA:$AA,0)+13))</f>
        <v>143</v>
      </c>
      <c r="AD177" s="375"/>
      <c r="AE177" s="374">
        <f>ABS(INDEX(AE:AE,MATCH(AE172,$AA:$AA,0)+11)+INDEX(AE:AE,MATCH(AE172,$AA:$AA,0)+12)+INDEX(AE:AE,MATCH(AE172,$AA:$AA,0)+13))</f>
        <v>214</v>
      </c>
      <c r="AF177" s="375"/>
      <c r="AG177" s="374">
        <f>ABS(INDEX(AG:AG,MATCH(AG172,$AA:$AA,0)+11)+INDEX(AG:AG,MATCH(AG172,$AA:$AA,0)+12)+INDEX(AG:AG,MATCH(AG172,$AA:$AA,0)+13))</f>
        <v>171</v>
      </c>
      <c r="AH177" s="375"/>
      <c r="AI177" s="374">
        <f>ABS(INDEX(AI:AI,MATCH(AI172,$AA:$AA,0)+11)+INDEX(AI:AI,MATCH(AI172,$AA:$AA,0)+12)+INDEX(AI:AI,MATCH(AI172,$AA:$AA,0)+13))</f>
        <v>193</v>
      </c>
      <c r="AJ177" s="375"/>
      <c r="AK177" s="374">
        <f>ABS(INDEX(AK:AK,MATCH(AK172,$AA:$AA,0)+11)+INDEX(AK:AK,MATCH(AK172,$AA:$AA,0)+12)+INDEX(AK:AK,MATCH(AK172,$AA:$AA,0)+13))</f>
        <v>0</v>
      </c>
      <c r="AL177" s="375"/>
      <c r="AM177" s="374">
        <f>ABS(INDEX(AM:AM,MATCH(AM172,$AA:$AA,0)+11)+INDEX(AM:AM,MATCH(AM172,$AA:$AA,0)+12)+INDEX(AM:AM,MATCH(AM172,$AA:$AA,0)+13))</f>
        <v>212</v>
      </c>
      <c r="AN177" s="375"/>
      <c r="AO177" s="374">
        <f>ABS(INDEX(AO:AO,MATCH(AO172,$AA:$AA,0)+11)+INDEX(AO:AO,MATCH(AO172,$AA:$AA,0)+12)+INDEX(AO:AO,MATCH(AO172,$AA:$AA,0)+13))</f>
        <v>174</v>
      </c>
      <c r="AP177" s="375"/>
      <c r="AQ177" s="374">
        <f>ABS(INDEX(AQ:AQ,MATCH(AQ172,$AA:$AA,0)+11)+INDEX(AQ:AQ,MATCH(AQ172,$AA:$AA,0)+12)+INDEX(AQ:AQ,MATCH(AQ172,$AA:$AA,0)+13))</f>
        <v>157</v>
      </c>
      <c r="AR177" s="375"/>
      <c r="AS177" s="374">
        <f>ABS(INDEX(AS:AS,MATCH(AS172,$AA:$AA,0)+11)+INDEX(AS:AS,MATCH(AS172,$AA:$AA,0)+12)+INDEX(AS:AS,MATCH(AS172,$AA:$AA,0)+13))</f>
        <v>155</v>
      </c>
      <c r="AT177" s="37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6.05" customHeight="1" x14ac:dyDescent="0.35">
      <c r="B178" s="365" t="str">
        <f t="shared" si="216"/>
        <v>Spieler 4</v>
      </c>
      <c r="C178" s="366" t="str">
        <f t="shared" si="217"/>
        <v/>
      </c>
      <c r="D178" s="339">
        <f>IF(AC178=301,"",AC178)</f>
        <v>171</v>
      </c>
      <c r="E178" s="339" t="str">
        <f>IF(AD178=0,"",AD178)</f>
        <v/>
      </c>
      <c r="F178" s="339">
        <f>IF(AE178=301,"",AE178)</f>
        <v>214</v>
      </c>
      <c r="G178" s="339" t="str">
        <f>IF(AF178=0,"",AF178)</f>
        <v/>
      </c>
      <c r="H178" s="339">
        <f>IF(AG178=301,"",AG178)</f>
        <v>163</v>
      </c>
      <c r="I178" s="339" t="str">
        <f>IF(AH178=0,"",AH178)</f>
        <v/>
      </c>
      <c r="J178" s="339">
        <f>IF(AI178=301,"",AI178)</f>
        <v>184</v>
      </c>
      <c r="K178" s="339" t="str">
        <f>IF(AJ178=0,"",AJ178)</f>
        <v/>
      </c>
      <c r="L178" s="339">
        <f>IF(AK178=301,"",AK178)</f>
        <v>0</v>
      </c>
      <c r="M178" s="339" t="str">
        <f>IF(AL178=0,"",AL178)</f>
        <v/>
      </c>
      <c r="N178" s="339">
        <f>IF(AM178=301,"",AM178)</f>
        <v>196</v>
      </c>
      <c r="O178" s="339" t="str">
        <f>IF(AN178=0,"",AN178)</f>
        <v/>
      </c>
      <c r="P178" s="339">
        <f>IF(AO178=301,"",AO178)</f>
        <v>158</v>
      </c>
      <c r="Q178" s="339" t="str">
        <f>IF(AP178=0,"",AP178)</f>
        <v/>
      </c>
      <c r="R178" s="339">
        <f>IF(AQ178=301,"",AQ178)</f>
        <v>132</v>
      </c>
      <c r="S178" s="339" t="str">
        <f>IF(AR178=0,"",AR178)</f>
        <v/>
      </c>
      <c r="T178" s="339">
        <f>IF(AS178=301,"",AS178)</f>
        <v>168</v>
      </c>
      <c r="U178" s="339" t="str">
        <f>IF(AT178=0,"",AT178)</f>
        <v/>
      </c>
      <c r="V178" s="340"/>
      <c r="W178" s="340"/>
      <c r="AA178" s="91" t="s">
        <v>11</v>
      </c>
      <c r="AB178" s="92"/>
      <c r="AC178" s="374">
        <f>ABS(INDEX(AC:AC,MATCH(AC172,$AA:$AA,0)+14)+INDEX(AC:AC,MATCH(AC172,$AA:$AA,0)+15)+INDEX(AC:AC,MATCH(AC172,$AA:$AA,0)+16))</f>
        <v>171</v>
      </c>
      <c r="AD178" s="375"/>
      <c r="AE178" s="374">
        <f>ABS(INDEX(AE:AE,MATCH(AE172,$AA:$AA,0)+14)+INDEX(AE:AE,MATCH(AE172,$AA:$AA,0)+15)+INDEX(AE:AE,MATCH(AE172,$AA:$AA,0)+16))</f>
        <v>214</v>
      </c>
      <c r="AF178" s="375"/>
      <c r="AG178" s="374">
        <f>ABS(INDEX(AG:AG,MATCH(AG172,$AA:$AA,0)+14)+INDEX(AG:AG,MATCH(AG172,$AA:$AA,0)+15)+INDEX(AG:AG,MATCH(AG172,$AA:$AA,0)+16))</f>
        <v>163</v>
      </c>
      <c r="AH178" s="375"/>
      <c r="AI178" s="374">
        <f>ABS(INDEX(AI:AI,MATCH(AI172,$AA:$AA,0)+14)+INDEX(AI:AI,MATCH(AI172,$AA:$AA,0)+15)+INDEX(AI:AI,MATCH(AI172,$AA:$AA,0)+16))</f>
        <v>184</v>
      </c>
      <c r="AJ178" s="375"/>
      <c r="AK178" s="374">
        <f>ABS(INDEX(AK:AK,MATCH(AK172,$AA:$AA,0)+14)+INDEX(AK:AK,MATCH(AK172,$AA:$AA,0)+15)+INDEX(AK:AK,MATCH(AK172,$AA:$AA,0)+16))</f>
        <v>0</v>
      </c>
      <c r="AL178" s="375"/>
      <c r="AM178" s="374">
        <f>ABS(INDEX(AM:AM,MATCH(AM172,$AA:$AA,0)+14)+INDEX(AM:AM,MATCH(AM172,$AA:$AA,0)+15)+INDEX(AM:AM,MATCH(AM172,$AA:$AA,0)+16))</f>
        <v>196</v>
      </c>
      <c r="AN178" s="375"/>
      <c r="AO178" s="374">
        <f>ABS(INDEX(AO:AO,MATCH(AO172,$AA:$AA,0)+14)+INDEX(AO:AO,MATCH(AO172,$AA:$AA,0)+15)+INDEX(AO:AO,MATCH(AO172,$AA:$AA,0)+16))</f>
        <v>158</v>
      </c>
      <c r="AP178" s="375"/>
      <c r="AQ178" s="374">
        <f>ABS(INDEX(AQ:AQ,MATCH(AQ172,$AA:$AA,0)+14)+INDEX(AQ:AQ,MATCH(AQ172,$AA:$AA,0)+15)+INDEX(AQ:AQ,MATCH(AQ172,$AA:$AA,0)+16))</f>
        <v>132</v>
      </c>
      <c r="AR178" s="375"/>
      <c r="AS178" s="374">
        <f>ABS(INDEX(AS:AS,MATCH(AS172,$AA:$AA,0)+14)+INDEX(AS:AS,MATCH(AS172,$AA:$AA,0)+15)+INDEX(AS:AS,MATCH(AS172,$AA:$AA,0)+16))</f>
        <v>168</v>
      </c>
      <c r="AT178" s="37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6.05" customHeight="1" x14ac:dyDescent="0.35">
      <c r="B179" s="354" t="str">
        <f t="shared" si="216"/>
        <v>Gesamt</v>
      </c>
      <c r="C179" s="355" t="str">
        <f t="shared" si="217"/>
        <v/>
      </c>
      <c r="D179" s="338">
        <f>IF(AC179=1505,"",AC179)</f>
        <v>659</v>
      </c>
      <c r="E179" s="338" t="str">
        <f>IF(AD179=0,"",AD179)</f>
        <v/>
      </c>
      <c r="F179" s="338">
        <f>IF(AE179=1505,"",AE179)</f>
        <v>705</v>
      </c>
      <c r="G179" s="338" t="str">
        <f>IF(AF179=0,"",AF179)</f>
        <v/>
      </c>
      <c r="H179" s="338">
        <f>IF(AG179=1505,"",AG179)</f>
        <v>680</v>
      </c>
      <c r="I179" s="338" t="str">
        <f>IF(AH179=0,"",AH179)</f>
        <v/>
      </c>
      <c r="J179" s="338">
        <f>IF(AI179=1505,"",AI179)</f>
        <v>755</v>
      </c>
      <c r="K179" s="338" t="str">
        <f>IF(AJ179=0,"",AJ179)</f>
        <v/>
      </c>
      <c r="L179" s="338">
        <f>IF(AK179=1505,"",AK179)</f>
        <v>0</v>
      </c>
      <c r="M179" s="338" t="str">
        <f>IF(AL179=0,"",AL179)</f>
        <v/>
      </c>
      <c r="N179" s="338">
        <f>IF(AM179=1505,"",AM179)</f>
        <v>759</v>
      </c>
      <c r="O179" s="338" t="str">
        <f>IF(AN179=0,"",AN179)</f>
        <v/>
      </c>
      <c r="P179" s="338">
        <f>IF(AO179=1505,"",AO179)</f>
        <v>635</v>
      </c>
      <c r="Q179" s="338" t="str">
        <f>IF(AP179=0,"",AP179)</f>
        <v/>
      </c>
      <c r="R179" s="338">
        <f>IF(AQ179=1505,"",AQ179)</f>
        <v>597</v>
      </c>
      <c r="S179" s="338" t="str">
        <f>IF(AR179=0,"",AR179)</f>
        <v/>
      </c>
      <c r="T179" s="338">
        <f>IF(AS179=1505,"",AS179)</f>
        <v>706</v>
      </c>
      <c r="U179" s="338" t="str">
        <f>IF(AT179=0,"",AT179)</f>
        <v/>
      </c>
      <c r="V179" s="290"/>
      <c r="W179" s="290"/>
      <c r="AA179" s="93" t="s">
        <v>1799</v>
      </c>
      <c r="AB179" s="94"/>
      <c r="AC179" s="354">
        <f>SUM(AC175:AC178)</f>
        <v>659</v>
      </c>
      <c r="AD179" s="355"/>
      <c r="AE179" s="354">
        <f>SUM(AE175:AE178)</f>
        <v>705</v>
      </c>
      <c r="AF179" s="355"/>
      <c r="AG179" s="354">
        <f>SUM(AG175:AG178)</f>
        <v>680</v>
      </c>
      <c r="AH179" s="355"/>
      <c r="AI179" s="354">
        <f>SUM(AI175:AI178)</f>
        <v>755</v>
      </c>
      <c r="AJ179" s="355"/>
      <c r="AK179" s="354">
        <f>SUM(AK175:AK178)</f>
        <v>0</v>
      </c>
      <c r="AL179" s="355"/>
      <c r="AM179" s="354">
        <f>SUM(AM175:AM178)</f>
        <v>759</v>
      </c>
      <c r="AN179" s="355"/>
      <c r="AO179" s="354">
        <f>SUM(AO175:AO178)</f>
        <v>635</v>
      </c>
      <c r="AP179" s="355"/>
      <c r="AQ179" s="354">
        <f>SUM(AQ175:AQ178)</f>
        <v>597</v>
      </c>
      <c r="AR179" s="355"/>
      <c r="AS179" s="354">
        <f>SUM(AS175:AS178)</f>
        <v>706</v>
      </c>
      <c r="AT179" s="35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3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7">
      <c r="B181" s="44" t="str">
        <f>AA181</f>
        <v>Team-Nr.</v>
      </c>
      <c r="C181" s="45"/>
      <c r="D181" s="44" t="str">
        <f>AC181</f>
        <v>Liga:</v>
      </c>
      <c r="E181" s="47"/>
      <c r="F181" s="359" t="str">
        <f>AE181</f>
        <v>Bayernliga Frauen</v>
      </c>
      <c r="G181" s="359"/>
      <c r="H181" s="359"/>
      <c r="I181" s="359"/>
      <c r="J181" s="359"/>
      <c r="K181" s="359"/>
      <c r="L181" s="359"/>
      <c r="M181" s="359"/>
      <c r="N181" s="359"/>
      <c r="O181" s="359"/>
      <c r="P181" s="359"/>
      <c r="Q181" s="359"/>
      <c r="R181" s="48"/>
      <c r="S181" s="49" t="s">
        <v>1794</v>
      </c>
      <c r="T181" s="50"/>
      <c r="U181" s="360" t="str">
        <f>AT181</f>
        <v>12.10./13.10.</v>
      </c>
      <c r="V181" s="361"/>
      <c r="W181" s="362"/>
      <c r="X181" s="363"/>
      <c r="Y181" s="364"/>
      <c r="Z181" s="364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0" t="str">
        <f>VLOOKUP(AS182,Spielorte!$A$1:$C$6,2)</f>
        <v>12.10./13.10.</v>
      </c>
      <c r="AU181" s="361"/>
      <c r="AV181" s="362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65">
      <c r="B182" s="53">
        <f>AA182</f>
        <v>7</v>
      </c>
      <c r="D182" s="46" t="s">
        <v>1793</v>
      </c>
      <c r="E182" s="54"/>
      <c r="F182" s="358" t="str">
        <f>AE182</f>
        <v>Unterföhring Dreambowl Palace</v>
      </c>
      <c r="G182" s="358"/>
      <c r="H182" s="358"/>
      <c r="I182" s="358"/>
      <c r="J182" s="358"/>
      <c r="K182" s="358"/>
      <c r="L182" s="358"/>
      <c r="M182" s="358"/>
      <c r="N182" s="358"/>
      <c r="O182" s="358"/>
      <c r="P182" s="55"/>
      <c r="Q182" s="55"/>
      <c r="S182" s="49" t="s">
        <v>1791</v>
      </c>
      <c r="T182" s="56">
        <f>AS182</f>
        <v>1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Unterföhring Dreambowl Palace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1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4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5" thickBot="1" x14ac:dyDescent="0.45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VLOOKUP($AA182,Schlüssel!$A$5:$DZ$14,13)</f>
        <v>8</v>
      </c>
      <c r="AE184" s="65" t="s">
        <v>10</v>
      </c>
      <c r="AF184" s="44">
        <f>VLOOKUP($AA182,Schlüssel!$A$5:$DZ$14,14)</f>
        <v>6</v>
      </c>
      <c r="AG184" s="65" t="s">
        <v>10</v>
      </c>
      <c r="AH184" s="44">
        <f>VLOOKUP($AA182,Schlüssel!$A$5:$DZ$14,15)</f>
        <v>9</v>
      </c>
      <c r="AI184" s="65" t="s">
        <v>10</v>
      </c>
      <c r="AJ184" s="44">
        <f>VLOOKUP($AA182,Schlüssel!$A$5:$DZ$14,16)</f>
        <v>3</v>
      </c>
      <c r="AK184" s="65" t="s">
        <v>10</v>
      </c>
      <c r="AL184" s="44">
        <f>VLOOKUP($AA182,Schlüssel!$A$5:$DZ$14,17)</f>
        <v>5</v>
      </c>
      <c r="AM184" s="65" t="s">
        <v>10</v>
      </c>
      <c r="AN184" s="44">
        <f>VLOOKUP($AA182,Schlüssel!$A$5:$DZ$14,18)</f>
        <v>4</v>
      </c>
      <c r="AO184" s="65" t="s">
        <v>10</v>
      </c>
      <c r="AP184" s="44">
        <f>VLOOKUP($AA182,Schlüssel!$A$5:$DZ$14,19)</f>
        <v>2</v>
      </c>
      <c r="AQ184" s="65" t="s">
        <v>10</v>
      </c>
      <c r="AR184" s="44">
        <f>VLOOKUP($AA182,Schlüssel!$A$5:$DZ$14,20)</f>
        <v>10</v>
      </c>
      <c r="AS184" s="65" t="s">
        <v>10</v>
      </c>
      <c r="AT184" s="44">
        <f>VLOOKUP($AA182,Schlüssel!$A$5:$DZ$14,21)</f>
        <v>7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35">
      <c r="B185" s="67" t="s">
        <v>1</v>
      </c>
      <c r="C185" s="68"/>
      <c r="D185" s="354" t="s">
        <v>1800</v>
      </c>
      <c r="E185" s="355"/>
      <c r="F185" s="354" t="s">
        <v>1801</v>
      </c>
      <c r="G185" s="355"/>
      <c r="H185" s="354" t="s">
        <v>1802</v>
      </c>
      <c r="I185" s="355"/>
      <c r="J185" s="354" t="s">
        <v>1803</v>
      </c>
      <c r="K185" s="355"/>
      <c r="L185" s="354" t="s">
        <v>1804</v>
      </c>
      <c r="M185" s="355"/>
      <c r="N185" s="354" t="s">
        <v>1805</v>
      </c>
      <c r="O185" s="355"/>
      <c r="P185" s="354" t="s">
        <v>1806</v>
      </c>
      <c r="Q185" s="355"/>
      <c r="R185" s="354" t="s">
        <v>1807</v>
      </c>
      <c r="S185" s="355"/>
      <c r="T185" s="354" t="s">
        <v>1808</v>
      </c>
      <c r="U185" s="355"/>
      <c r="V185" s="356" t="s">
        <v>1799</v>
      </c>
      <c r="W185" s="357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4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2" customHeight="1" x14ac:dyDescent="0.35">
      <c r="A187" s="367" t="s">
        <v>0</v>
      </c>
      <c r="B187" s="73" t="str">
        <f>IF(AA187=0,"",AA187)</f>
        <v>Deinlein, Christine</v>
      </c>
      <c r="C187" s="74">
        <f>IF(AB187=0,"",AB187)</f>
        <v>7758</v>
      </c>
      <c r="D187" s="75">
        <f>IF(AC187=0,"",AC187)</f>
        <v>188</v>
      </c>
      <c r="E187" s="348">
        <f>IF(AD187="","",AD187)</f>
        <v>1</v>
      </c>
      <c r="F187" s="75">
        <f t="shared" ref="F187:F200" si="220">IF(AE187=0,"",AE187)</f>
        <v>164</v>
      </c>
      <c r="G187" s="348">
        <f>IF(AF187="","",AF187)</f>
        <v>0</v>
      </c>
      <c r="H187" s="75">
        <f t="shared" ref="H187:H200" si="221">IF(AG187=0,"",AG187)</f>
        <v>124</v>
      </c>
      <c r="I187" s="348">
        <f>IF(AH187="","",AH187)</f>
        <v>0</v>
      </c>
      <c r="J187" s="75">
        <f t="shared" ref="J187:J200" si="222">IF(AI187=0,"",AI187)</f>
        <v>165</v>
      </c>
      <c r="K187" s="348">
        <f>IF(AJ187="","",AJ187)</f>
        <v>0</v>
      </c>
      <c r="L187" s="75">
        <f t="shared" ref="L187:L200" si="223">IF(AK187=0,"",AK187)</f>
        <v>157</v>
      </c>
      <c r="M187" s="348">
        <f>IF(AL187="","",AL187)</f>
        <v>0</v>
      </c>
      <c r="N187" s="75">
        <f>IF(AM187=0,"",AM187)</f>
        <v>163</v>
      </c>
      <c r="O187" s="348">
        <f>IF(AN187="","",AN187)</f>
        <v>1</v>
      </c>
      <c r="P187" s="75">
        <f t="shared" ref="P187:P200" si="224">IF(AO187=0,"",AO187)</f>
        <v>181</v>
      </c>
      <c r="Q187" s="348">
        <f>IF(AP187="","",AP187)</f>
        <v>0</v>
      </c>
      <c r="R187" s="75">
        <f t="shared" ref="R187:R200" si="225">IF(AQ187=0,"",AQ187)</f>
        <v>139</v>
      </c>
      <c r="S187" s="348">
        <f>IF(AR187="","",AR187)</f>
        <v>0</v>
      </c>
      <c r="T187" s="75">
        <f t="shared" ref="T187:T200" si="226">IF(AS187=0,"",AS187)</f>
        <v>160</v>
      </c>
      <c r="U187" s="348">
        <f>IF(AT187="","",AT187)</f>
        <v>0</v>
      </c>
      <c r="V187" s="75">
        <f t="shared" ref="V187:V200" si="227">IF(AU187=0,"",AU187)</f>
        <v>1441</v>
      </c>
      <c r="W187" s="348">
        <f>IF(AV187="","",AV187)</f>
        <v>2</v>
      </c>
      <c r="Z187" s="351" t="s">
        <v>0</v>
      </c>
      <c r="AA187" s="108" t="str">
        <f>IF(AB187=0,"",VLOOKUP(AB187,Starter!$A$1:$D$199,2,FALSE))</f>
        <v>Deinlein, Christine</v>
      </c>
      <c r="AB187" s="99">
        <v>7758</v>
      </c>
      <c r="AC187" s="185">
        <v>188</v>
      </c>
      <c r="AD187" s="109">
        <f>IF(SUM(AC187:AC189)+AC205=0,0,IF(SUM(ABS(AC187),ABS(AC188),ABS(AC189))=AC205,0.5,IF(SUM(ABS(AC187),ABS(AC188),ABS(AC189))&gt;AC205,1,0)))</f>
        <v>1</v>
      </c>
      <c r="AE187" s="185">
        <v>164</v>
      </c>
      <c r="AF187" s="109">
        <f>IF(SUM(AE187:AE189)+AE205=0,0,IF(SUM(ABS(AE187),ABS(AE188),ABS(AE189))=AE205,0.5,IF(SUM(ABS(AE187),ABS(AE188),ABS(AE189))&gt;AE205,1,0)))</f>
        <v>0</v>
      </c>
      <c r="AG187" s="185">
        <v>124</v>
      </c>
      <c r="AH187" s="109">
        <f>IF(SUM(AG187:AG189)+AG205=0,0,IF(SUM(ABS(AG187),ABS(AG188),ABS(AG189))=AG205,0.5,IF(SUM(ABS(AG187),ABS(AG188),ABS(AG189))&gt;AG205,1,0)))</f>
        <v>0</v>
      </c>
      <c r="AI187" s="185">
        <v>165</v>
      </c>
      <c r="AJ187" s="109">
        <f>IF(SUM(AI187:AI189)+AI205=0,0,IF(SUM(ABS(AI187),ABS(AI188),ABS(AI189))=AI205,0.5,IF(SUM(ABS(AI187),ABS(AI188),ABS(AI189))&gt;AI205,1,0)))</f>
        <v>0</v>
      </c>
      <c r="AK187" s="185">
        <v>157</v>
      </c>
      <c r="AL187" s="109">
        <f>IF(SUM(AK187:AK189)+AK205=0,0,IF(SUM(ABS(AK187),ABS(AK188),ABS(AK189))=AK205,0.5,IF(SUM(ABS(AK187),ABS(AK188),ABS(AK189))&gt;AK205,1,0)))</f>
        <v>0</v>
      </c>
      <c r="AM187" s="185">
        <v>163</v>
      </c>
      <c r="AN187" s="109">
        <f>IF(SUM(AM187:AM189)+AM205=0,0,IF(SUM(ABS(AM187),ABS(AM188),ABS(AM189))=AM205,0.5,IF(SUM(ABS(AM187),ABS(AM188),ABS(AM189))&gt;AM205,1,0)))</f>
        <v>1</v>
      </c>
      <c r="AO187" s="185">
        <v>181</v>
      </c>
      <c r="AP187" s="109">
        <f>IF(SUM(AO187:AO189)+AO205=0,0,IF(SUM(ABS(AO187),ABS(AO188),ABS(AO189))=AO205,0.5,IF(SUM(ABS(AO187),ABS(AO188),ABS(AO189))&gt;AO205,1,0)))</f>
        <v>0</v>
      </c>
      <c r="AQ187" s="185">
        <v>139</v>
      </c>
      <c r="AR187" s="109">
        <f>IF(SUM(AQ187:AQ189)+AQ205=0,0,IF(SUM(ABS(AQ187),ABS(AQ188),ABS(AQ189))=AQ205,0.5,IF(SUM(ABS(AQ187),ABS(AQ188),ABS(AQ189))&gt;AQ205,1,0)))</f>
        <v>0</v>
      </c>
      <c r="AS187" s="185">
        <v>160</v>
      </c>
      <c r="AT187" s="109">
        <f>IF(SUM(AS187:AS189)+AS205=0,0,IF(SUM(ABS(AS187),ABS(AS188),ABS(AS189))=AS205,0.5,IF(SUM(ABS(AS187),ABS(AS188),ABS(AS189))&gt;AS205,1,0)))</f>
        <v>0</v>
      </c>
      <c r="AU187" s="110">
        <f t="shared" ref="AU187:AU198" si="228">ABS(SUM(AC187:AC187))+ABS(SUM(AE187:AE187))+ABS(SUM(AG187:AG187))+ABS(SUM(AI187:AI187))+ABS(SUM(AK187:AK187))+ABS(SUM(AM187:AM187))+ABS(SUM(AO187:AO187))+ABS(SUM(AQ187:AQ187))+ABS(SUM(AS187:AS187))</f>
        <v>1441</v>
      </c>
      <c r="AV187" s="111">
        <f>SUM(AD187+AF187+AH187+AJ187+AL187+AN187+AP187+AR187+AT187)</f>
        <v>2</v>
      </c>
      <c r="AW187" s="101"/>
      <c r="AX187" s="102"/>
      <c r="AZ187" s="63"/>
      <c r="BA187" s="212"/>
      <c r="BB187" s="213"/>
      <c r="BC187" s="214"/>
      <c r="BD187" s="217">
        <f>+AB187</f>
        <v>7758</v>
      </c>
      <c r="BE187" s="213">
        <f>+AU187</f>
        <v>1441</v>
      </c>
      <c r="BF187" s="215">
        <f>COUNT(BH187:BP187)</f>
        <v>9</v>
      </c>
      <c r="BG187" s="215">
        <f>COUNTIF(BH187:BP187,"&gt;0")</f>
        <v>9</v>
      </c>
      <c r="BH187" s="215">
        <f t="shared" ref="BH187:BH198" si="229">IF(AC187=0,"",AC187)</f>
        <v>188</v>
      </c>
      <c r="BI187" s="215">
        <f t="shared" ref="BI187:BI198" si="230">IF(AE187=0,"",AE187)</f>
        <v>164</v>
      </c>
      <c r="BJ187" s="215">
        <f t="shared" ref="BJ187:BJ198" si="231">IF(AG187=0,"",AG187)</f>
        <v>124</v>
      </c>
      <c r="BK187" s="215">
        <f t="shared" ref="BK187:BK198" si="232">IF(AI187=0,"",AI187)</f>
        <v>165</v>
      </c>
      <c r="BL187" s="215">
        <f t="shared" ref="BL187:BL198" si="233">IF(AK187=0,"",AK187)</f>
        <v>157</v>
      </c>
      <c r="BM187" s="215">
        <f t="shared" ref="BM187:BM198" si="234">IF(AM187=0,"",AM187)</f>
        <v>163</v>
      </c>
      <c r="BN187" s="215">
        <f t="shared" ref="BN187:BN198" si="235">IF(AO187=0,"",AO187)</f>
        <v>181</v>
      </c>
      <c r="BO187" s="215">
        <f t="shared" ref="BO187:BO198" si="236">IF(AQ187=0,"",AQ187)</f>
        <v>139</v>
      </c>
      <c r="BP187" s="215">
        <f t="shared" ref="BP187:BP198" si="237">IF(AS187=0,"",AS187)</f>
        <v>160</v>
      </c>
      <c r="BQ187" s="216"/>
      <c r="BR187" s="214"/>
      <c r="BS187" s="215">
        <f>MAX(BH187:BP187)</f>
        <v>188</v>
      </c>
      <c r="BT187" s="215">
        <f>IF(BS187&lt;MAX(BS:BS),0,BS187+ROW()/1000000000)</f>
        <v>0</v>
      </c>
      <c r="BU187" s="215" t="str">
        <f>+AA183</f>
        <v>Frankenpower Nürnberg</v>
      </c>
      <c r="BV187" s="214">
        <f>RANK(BT187,BT:BT)</f>
        <v>2</v>
      </c>
      <c r="BW187" s="215">
        <f>SUMIF(BH187:BP187,"&gt;0")</f>
        <v>1441</v>
      </c>
      <c r="BX187" s="215">
        <f>IF(COUNTIF(BH187:BP187,"&gt;0")&lt;Spielorte!$A$23,0,BE187/Spielorte!$A$23)</f>
        <v>160.11111111111111</v>
      </c>
      <c r="BY187" s="215">
        <f>IF(BX187&lt;MAX(BX:BX),0,BX187+ROW()/1000000000)</f>
        <v>0</v>
      </c>
      <c r="BZ187" s="214">
        <f t="shared" ref="BZ187:BZ198" si="238">IF(BY187=0,0,RANK(BY187,BY:BY))</f>
        <v>0</v>
      </c>
    </row>
    <row r="188" spans="1:78" ht="17.2" customHeight="1" x14ac:dyDescent="0.35">
      <c r="A188" s="368"/>
      <c r="B188" s="76" t="str">
        <f t="shared" ref="B188:B195" si="239">IF(AA188=0,"",AA188)</f>
        <v/>
      </c>
      <c r="C188" s="77" t="str">
        <f t="shared" ref="C188:C200" si="240">IF(AB188=0,"",AB188)</f>
        <v/>
      </c>
      <c r="D188" s="78" t="str">
        <f t="shared" ref="D188:D200" si="241">IF(AC188=0,"",AC188)</f>
        <v/>
      </c>
      <c r="E188" s="349"/>
      <c r="F188" s="78" t="str">
        <f t="shared" si="220"/>
        <v/>
      </c>
      <c r="G188" s="349"/>
      <c r="H188" s="78" t="str">
        <f t="shared" si="221"/>
        <v/>
      </c>
      <c r="I188" s="349"/>
      <c r="J188" s="78" t="str">
        <f t="shared" si="222"/>
        <v/>
      </c>
      <c r="K188" s="349"/>
      <c r="L188" s="78" t="str">
        <f t="shared" si="223"/>
        <v/>
      </c>
      <c r="M188" s="349"/>
      <c r="N188" s="78" t="str">
        <f t="shared" ref="N188:N200" si="242">IF(AM188=0,"",AM188)</f>
        <v/>
      </c>
      <c r="O188" s="349"/>
      <c r="P188" s="78" t="str">
        <f t="shared" si="224"/>
        <v/>
      </c>
      <c r="Q188" s="349"/>
      <c r="R188" s="78" t="str">
        <f t="shared" si="225"/>
        <v/>
      </c>
      <c r="S188" s="349"/>
      <c r="T188" s="78" t="str">
        <f t="shared" si="226"/>
        <v/>
      </c>
      <c r="U188" s="349"/>
      <c r="V188" s="78" t="str">
        <f t="shared" si="227"/>
        <v/>
      </c>
      <c r="W188" s="349"/>
      <c r="Z188" s="352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28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43">+AB188</f>
        <v>0</v>
      </c>
      <c r="BE188" s="213">
        <f t="shared" ref="BE188:BE198" si="244">+AU188</f>
        <v>0</v>
      </c>
      <c r="BF188" s="215">
        <f t="shared" ref="BF188:BF198" si="245">COUNT(BH188:BP188)</f>
        <v>0</v>
      </c>
      <c r="BG188" s="215">
        <f t="shared" ref="BG188:BG198" si="246">COUNTIF(BH188:BP188,"&gt;0")</f>
        <v>0</v>
      </c>
      <c r="BH188" s="215" t="str">
        <f t="shared" si="229"/>
        <v/>
      </c>
      <c r="BI188" s="215" t="str">
        <f t="shared" si="230"/>
        <v/>
      </c>
      <c r="BJ188" s="215" t="str">
        <f t="shared" si="231"/>
        <v/>
      </c>
      <c r="BK188" s="215" t="str">
        <f t="shared" si="232"/>
        <v/>
      </c>
      <c r="BL188" s="215" t="str">
        <f t="shared" si="233"/>
        <v/>
      </c>
      <c r="BM188" s="215" t="str">
        <f t="shared" si="234"/>
        <v/>
      </c>
      <c r="BN188" s="215" t="str">
        <f t="shared" si="235"/>
        <v/>
      </c>
      <c r="BO188" s="215" t="str">
        <f t="shared" si="236"/>
        <v/>
      </c>
      <c r="BP188" s="215" t="str">
        <f t="shared" si="237"/>
        <v/>
      </c>
      <c r="BQ188" s="216"/>
      <c r="BR188" s="214"/>
      <c r="BS188" s="215">
        <f t="shared" ref="BS188:BS198" si="247">MAX(BH188:BP188)</f>
        <v>0</v>
      </c>
      <c r="BT188" s="215">
        <f t="shared" ref="BT188:BT198" si="248">IF(BS188&lt;MAX(BS:BS),0,BS188+ROW()/1000000000)</f>
        <v>0</v>
      </c>
      <c r="BU188" s="215" t="str">
        <f t="shared" ref="BU188:BU198" si="249">+BU187</f>
        <v>Frankenpower Nürnberg</v>
      </c>
      <c r="BV188" s="214">
        <f t="shared" ref="BV188:BV198" si="250">RANK(BT188,BT:BT)</f>
        <v>2</v>
      </c>
      <c r="BW188" s="215">
        <f t="shared" ref="BW188:BW198" si="251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52">IF(BX188&lt;MAX(BX:BX),0,BX188+ROW()/1000000000)</f>
        <v>0</v>
      </c>
      <c r="BZ188" s="214">
        <f t="shared" si="238"/>
        <v>0</v>
      </c>
    </row>
    <row r="189" spans="1:78" ht="17.2" customHeight="1" thickBot="1" x14ac:dyDescent="0.4">
      <c r="A189" s="369"/>
      <c r="B189" s="79" t="str">
        <f t="shared" si="239"/>
        <v/>
      </c>
      <c r="C189" s="80" t="str">
        <f t="shared" si="240"/>
        <v/>
      </c>
      <c r="D189" s="69" t="str">
        <f t="shared" si="241"/>
        <v/>
      </c>
      <c r="E189" s="350"/>
      <c r="F189" s="69" t="str">
        <f t="shared" si="220"/>
        <v/>
      </c>
      <c r="G189" s="350"/>
      <c r="H189" s="69" t="str">
        <f t="shared" si="221"/>
        <v/>
      </c>
      <c r="I189" s="350"/>
      <c r="J189" s="69" t="str">
        <f t="shared" si="222"/>
        <v/>
      </c>
      <c r="K189" s="350"/>
      <c r="L189" s="69" t="str">
        <f t="shared" si="223"/>
        <v/>
      </c>
      <c r="M189" s="350"/>
      <c r="N189" s="69" t="str">
        <f t="shared" si="242"/>
        <v/>
      </c>
      <c r="O189" s="350"/>
      <c r="P189" s="69" t="str">
        <f t="shared" si="224"/>
        <v/>
      </c>
      <c r="Q189" s="350"/>
      <c r="R189" s="69" t="str">
        <f t="shared" si="225"/>
        <v/>
      </c>
      <c r="S189" s="350"/>
      <c r="T189" s="69" t="str">
        <f t="shared" si="226"/>
        <v/>
      </c>
      <c r="U189" s="350"/>
      <c r="V189" s="69" t="str">
        <f t="shared" si="227"/>
        <v/>
      </c>
      <c r="W189" s="350"/>
      <c r="Z189" s="353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28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43"/>
        <v>0</v>
      </c>
      <c r="BE189" s="213">
        <f t="shared" si="244"/>
        <v>0</v>
      </c>
      <c r="BF189" s="215">
        <f t="shared" si="245"/>
        <v>0</v>
      </c>
      <c r="BG189" s="215">
        <f t="shared" si="246"/>
        <v>0</v>
      </c>
      <c r="BH189" s="215" t="str">
        <f t="shared" si="229"/>
        <v/>
      </c>
      <c r="BI189" s="215" t="str">
        <f t="shared" si="230"/>
        <v/>
      </c>
      <c r="BJ189" s="215" t="str">
        <f t="shared" si="231"/>
        <v/>
      </c>
      <c r="BK189" s="215" t="str">
        <f t="shared" si="232"/>
        <v/>
      </c>
      <c r="BL189" s="215" t="str">
        <f t="shared" si="233"/>
        <v/>
      </c>
      <c r="BM189" s="215" t="str">
        <f t="shared" si="234"/>
        <v/>
      </c>
      <c r="BN189" s="215" t="str">
        <f t="shared" si="235"/>
        <v/>
      </c>
      <c r="BO189" s="215" t="str">
        <f t="shared" si="236"/>
        <v/>
      </c>
      <c r="BP189" s="215" t="str">
        <f t="shared" si="237"/>
        <v/>
      </c>
      <c r="BQ189" s="216"/>
      <c r="BR189" s="214"/>
      <c r="BS189" s="215">
        <f t="shared" si="247"/>
        <v>0</v>
      </c>
      <c r="BT189" s="215">
        <f t="shared" si="248"/>
        <v>0</v>
      </c>
      <c r="BU189" s="215" t="str">
        <f t="shared" si="249"/>
        <v>Frankenpower Nürnberg</v>
      </c>
      <c r="BV189" s="214">
        <f t="shared" si="250"/>
        <v>2</v>
      </c>
      <c r="BW189" s="215">
        <f t="shared" si="251"/>
        <v>0</v>
      </c>
      <c r="BX189" s="215">
        <f>IF(COUNTIF(BH189:BP189,"&gt;0")&lt;Spielorte!$A$23,0,BE189/Spielorte!$A$23)</f>
        <v>0</v>
      </c>
      <c r="BY189" s="215">
        <f t="shared" si="252"/>
        <v>0</v>
      </c>
      <c r="BZ189" s="214">
        <f t="shared" si="238"/>
        <v>0</v>
      </c>
    </row>
    <row r="190" spans="1:78" ht="17.2" customHeight="1" x14ac:dyDescent="0.35">
      <c r="A190" s="367" t="s">
        <v>2</v>
      </c>
      <c r="B190" s="73" t="str">
        <f t="shared" si="239"/>
        <v>Legl, Renate</v>
      </c>
      <c r="C190" s="74">
        <f t="shared" si="240"/>
        <v>7757</v>
      </c>
      <c r="D190" s="75">
        <f t="shared" si="241"/>
        <v>119</v>
      </c>
      <c r="E190" s="348">
        <f>IF(AD190="","",AD190)</f>
        <v>1</v>
      </c>
      <c r="F190" s="75">
        <f t="shared" si="220"/>
        <v>113</v>
      </c>
      <c r="G190" s="348">
        <f>IF(AF190="","",AF190)</f>
        <v>0</v>
      </c>
      <c r="H190" s="75">
        <f t="shared" si="221"/>
        <v>167</v>
      </c>
      <c r="I190" s="348">
        <f>IF(AH190="","",AH190)</f>
        <v>1</v>
      </c>
      <c r="J190" s="75">
        <f t="shared" si="222"/>
        <v>132</v>
      </c>
      <c r="K190" s="348">
        <f>IF(AJ190="","",AJ190)</f>
        <v>0.5</v>
      </c>
      <c r="L190" s="75">
        <f t="shared" si="223"/>
        <v>180</v>
      </c>
      <c r="M190" s="348">
        <f>IF(AL190="","",AL190)</f>
        <v>1</v>
      </c>
      <c r="N190" s="75">
        <f t="shared" si="242"/>
        <v>151</v>
      </c>
      <c r="O190" s="348">
        <f>IF(AN190="","",AN190)</f>
        <v>0</v>
      </c>
      <c r="P190" s="75">
        <f t="shared" si="224"/>
        <v>201</v>
      </c>
      <c r="Q190" s="348">
        <f>IF(AP190="","",AP190)</f>
        <v>1</v>
      </c>
      <c r="R190" s="75">
        <f t="shared" si="225"/>
        <v>182</v>
      </c>
      <c r="S190" s="348">
        <f>IF(AR190="","",AR190)</f>
        <v>0</v>
      </c>
      <c r="T190" s="75">
        <f t="shared" si="226"/>
        <v>190</v>
      </c>
      <c r="U190" s="348">
        <f>IF(AT190="","",AT190)</f>
        <v>1</v>
      </c>
      <c r="V190" s="75">
        <f t="shared" si="227"/>
        <v>1435</v>
      </c>
      <c r="W190" s="348">
        <f>IF(AV190="","",AV190)</f>
        <v>5.5</v>
      </c>
      <c r="Z190" s="351" t="s">
        <v>2</v>
      </c>
      <c r="AA190" s="108" t="str">
        <f>IF(AB190=0,"",VLOOKUP(AB190,Starter!$A$1:$D$199,2,FALSE))</f>
        <v>Legl, Renate</v>
      </c>
      <c r="AB190" s="99">
        <v>7757</v>
      </c>
      <c r="AC190" s="188">
        <v>119</v>
      </c>
      <c r="AD190" s="109">
        <f>IF(SUM(AC190:AC192)+AC206=0,0,IF(SUM(ABS(AC190),ABS(AC191),ABS(AC192))=AC206,0.5,IF(SUM(ABS(AC190),ABS(AC191),ABS(AC192))&gt;AC206,1,0)))</f>
        <v>1</v>
      </c>
      <c r="AE190" s="188">
        <v>113</v>
      </c>
      <c r="AF190" s="109">
        <f>IF(SUM(AE190:AE192)+AE206=0,0,IF(SUM(ABS(AE190),ABS(AE191),ABS(AE192))=AE206,0.5,IF(SUM(ABS(AE190),ABS(AE191),ABS(AE192))&gt;AE206,1,0)))</f>
        <v>0</v>
      </c>
      <c r="AG190" s="188">
        <v>167</v>
      </c>
      <c r="AH190" s="109">
        <f>IF(SUM(AG190:AG192)+AG206=0,0,IF(SUM(ABS(AG190),ABS(AG191),ABS(AG192))=AG206,0.5,IF(SUM(ABS(AG190),ABS(AG191),ABS(AG192))&gt;AG206,1,0)))</f>
        <v>1</v>
      </c>
      <c r="AI190" s="188">
        <v>132</v>
      </c>
      <c r="AJ190" s="109">
        <f>IF(SUM(AI190:AI192)+AI206=0,0,IF(SUM(ABS(AI190),ABS(AI191),ABS(AI192))=AI206,0.5,IF(SUM(ABS(AI190),ABS(AI191),ABS(AI192))&gt;AI206,1,0)))</f>
        <v>0.5</v>
      </c>
      <c r="AK190" s="188">
        <v>180</v>
      </c>
      <c r="AL190" s="109">
        <f>IF(SUM(AK190:AK192)+AK206=0,0,IF(SUM(ABS(AK190),ABS(AK191),ABS(AK192))=AK206,0.5,IF(SUM(ABS(AK190),ABS(AK191),ABS(AK192))&gt;AK206,1,0)))</f>
        <v>1</v>
      </c>
      <c r="AM190" s="188">
        <v>151</v>
      </c>
      <c r="AN190" s="109">
        <f>IF(SUM(AM190:AM192)+AM206=0,0,IF(SUM(ABS(AM190),ABS(AM191),ABS(AM192))=AM206,0.5,IF(SUM(ABS(AM190),ABS(AM191),ABS(AM192))&gt;AM206,1,0)))</f>
        <v>0</v>
      </c>
      <c r="AO190" s="188">
        <v>201</v>
      </c>
      <c r="AP190" s="109">
        <f>IF(SUM(AO190:AO192)+AO206=0,0,IF(SUM(ABS(AO190),ABS(AO191),ABS(AO192))=AO206,0.5,IF(SUM(ABS(AO190),ABS(AO191),ABS(AO192))&gt;AO206,1,0)))</f>
        <v>1</v>
      </c>
      <c r="AQ190" s="188">
        <v>182</v>
      </c>
      <c r="AR190" s="109">
        <f>IF(SUM(AQ190:AQ192)+AQ206=0,0,IF(SUM(ABS(AQ190),ABS(AQ191),ABS(AQ192))=AQ206,0.5,IF(SUM(ABS(AQ190),ABS(AQ191),ABS(AQ192))&gt;AQ206,1,0)))</f>
        <v>0</v>
      </c>
      <c r="AS190" s="188">
        <v>190</v>
      </c>
      <c r="AT190" s="109">
        <f>IF(SUM(AS190:AS192)+AS206=0,0,IF(SUM(ABS(AS190),ABS(AS191),ABS(AS192))=AS206,0.5,IF(SUM(ABS(AS190),ABS(AS191),ABS(AS192))&gt;AS206,1,0)))</f>
        <v>1</v>
      </c>
      <c r="AU190" s="110">
        <f t="shared" si="228"/>
        <v>1435</v>
      </c>
      <c r="AV190" s="111">
        <f>SUM(AD190+AF190+AH190+AJ190+AL190+AN190+AP190+AR190+AT190)</f>
        <v>5.5</v>
      </c>
      <c r="AW190" s="101"/>
      <c r="AX190" s="102"/>
      <c r="AZ190" s="63"/>
      <c r="BA190" s="212"/>
      <c r="BB190" s="213"/>
      <c r="BC190" s="214"/>
      <c r="BD190" s="217">
        <f t="shared" si="243"/>
        <v>7757</v>
      </c>
      <c r="BE190" s="213">
        <f t="shared" si="244"/>
        <v>1435</v>
      </c>
      <c r="BF190" s="215">
        <f t="shared" si="245"/>
        <v>9</v>
      </c>
      <c r="BG190" s="215">
        <f t="shared" si="246"/>
        <v>9</v>
      </c>
      <c r="BH190" s="215">
        <f t="shared" si="229"/>
        <v>119</v>
      </c>
      <c r="BI190" s="215">
        <f t="shared" si="230"/>
        <v>113</v>
      </c>
      <c r="BJ190" s="215">
        <f t="shared" si="231"/>
        <v>167</v>
      </c>
      <c r="BK190" s="215">
        <f t="shared" si="232"/>
        <v>132</v>
      </c>
      <c r="BL190" s="215">
        <f t="shared" si="233"/>
        <v>180</v>
      </c>
      <c r="BM190" s="215">
        <f t="shared" si="234"/>
        <v>151</v>
      </c>
      <c r="BN190" s="215">
        <f t="shared" si="235"/>
        <v>201</v>
      </c>
      <c r="BO190" s="215">
        <f t="shared" si="236"/>
        <v>182</v>
      </c>
      <c r="BP190" s="215">
        <f t="shared" si="237"/>
        <v>190</v>
      </c>
      <c r="BQ190" s="216"/>
      <c r="BR190" s="214"/>
      <c r="BS190" s="215">
        <f t="shared" si="247"/>
        <v>201</v>
      </c>
      <c r="BT190" s="215">
        <f t="shared" si="248"/>
        <v>0</v>
      </c>
      <c r="BU190" s="215" t="str">
        <f t="shared" si="249"/>
        <v>Frankenpower Nürnberg</v>
      </c>
      <c r="BV190" s="214">
        <f t="shared" si="250"/>
        <v>2</v>
      </c>
      <c r="BW190" s="215">
        <f t="shared" si="251"/>
        <v>1435</v>
      </c>
      <c r="BX190" s="215">
        <f>IF(COUNTIF(BH190:BP190,"&gt;0")&lt;Spielorte!$A$23,0,BE190/Spielorte!$A$23)</f>
        <v>159.44444444444446</v>
      </c>
      <c r="BY190" s="215">
        <f t="shared" si="252"/>
        <v>0</v>
      </c>
      <c r="BZ190" s="214">
        <f t="shared" si="238"/>
        <v>0</v>
      </c>
    </row>
    <row r="191" spans="1:78" ht="17.2" customHeight="1" x14ac:dyDescent="0.35">
      <c r="A191" s="368"/>
      <c r="B191" s="76" t="str">
        <f t="shared" si="239"/>
        <v/>
      </c>
      <c r="C191" s="77" t="str">
        <f t="shared" si="240"/>
        <v/>
      </c>
      <c r="D191" s="78" t="str">
        <f t="shared" si="241"/>
        <v/>
      </c>
      <c r="E191" s="349"/>
      <c r="F191" s="78" t="str">
        <f t="shared" si="220"/>
        <v/>
      </c>
      <c r="G191" s="349"/>
      <c r="H191" s="78" t="str">
        <f t="shared" si="221"/>
        <v/>
      </c>
      <c r="I191" s="349"/>
      <c r="J191" s="78" t="str">
        <f t="shared" si="222"/>
        <v/>
      </c>
      <c r="K191" s="349"/>
      <c r="L191" s="78" t="str">
        <f t="shared" si="223"/>
        <v/>
      </c>
      <c r="M191" s="349"/>
      <c r="N191" s="78" t="str">
        <f t="shared" si="242"/>
        <v/>
      </c>
      <c r="O191" s="349"/>
      <c r="P191" s="78" t="str">
        <f t="shared" si="224"/>
        <v/>
      </c>
      <c r="Q191" s="349"/>
      <c r="R191" s="78" t="str">
        <f t="shared" si="225"/>
        <v/>
      </c>
      <c r="S191" s="349"/>
      <c r="T191" s="78" t="str">
        <f t="shared" si="226"/>
        <v/>
      </c>
      <c r="U191" s="349"/>
      <c r="V191" s="78" t="str">
        <f t="shared" si="227"/>
        <v/>
      </c>
      <c r="W191" s="349"/>
      <c r="Z191" s="352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28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43"/>
        <v>0</v>
      </c>
      <c r="BE191" s="213">
        <f t="shared" si="244"/>
        <v>0</v>
      </c>
      <c r="BF191" s="215">
        <f t="shared" si="245"/>
        <v>0</v>
      </c>
      <c r="BG191" s="215">
        <f t="shared" si="246"/>
        <v>0</v>
      </c>
      <c r="BH191" s="215" t="str">
        <f t="shared" si="229"/>
        <v/>
      </c>
      <c r="BI191" s="215" t="str">
        <f t="shared" si="230"/>
        <v/>
      </c>
      <c r="BJ191" s="215" t="str">
        <f t="shared" si="231"/>
        <v/>
      </c>
      <c r="BK191" s="215" t="str">
        <f t="shared" si="232"/>
        <v/>
      </c>
      <c r="BL191" s="215" t="str">
        <f t="shared" si="233"/>
        <v/>
      </c>
      <c r="BM191" s="215" t="str">
        <f t="shared" si="234"/>
        <v/>
      </c>
      <c r="BN191" s="215" t="str">
        <f t="shared" si="235"/>
        <v/>
      </c>
      <c r="BO191" s="215" t="str">
        <f t="shared" si="236"/>
        <v/>
      </c>
      <c r="BP191" s="215" t="str">
        <f t="shared" si="237"/>
        <v/>
      </c>
      <c r="BQ191" s="216"/>
      <c r="BR191" s="214"/>
      <c r="BS191" s="215">
        <f t="shared" si="247"/>
        <v>0</v>
      </c>
      <c r="BT191" s="215">
        <f t="shared" si="248"/>
        <v>0</v>
      </c>
      <c r="BU191" s="215" t="str">
        <f t="shared" si="249"/>
        <v>Frankenpower Nürnberg</v>
      </c>
      <c r="BV191" s="214">
        <f t="shared" si="250"/>
        <v>2</v>
      </c>
      <c r="BW191" s="215">
        <f t="shared" si="251"/>
        <v>0</v>
      </c>
      <c r="BX191" s="215">
        <f>IF(COUNTIF(BH191:BP191,"&gt;0")&lt;Spielorte!$A$23,0,BE191/Spielorte!$A$23)</f>
        <v>0</v>
      </c>
      <c r="BY191" s="215">
        <f t="shared" si="252"/>
        <v>0</v>
      </c>
      <c r="BZ191" s="214">
        <f t="shared" si="238"/>
        <v>0</v>
      </c>
    </row>
    <row r="192" spans="1:78" ht="17.2" customHeight="1" thickBot="1" x14ac:dyDescent="0.4">
      <c r="A192" s="369"/>
      <c r="B192" s="79" t="str">
        <f t="shared" si="239"/>
        <v/>
      </c>
      <c r="C192" s="80" t="str">
        <f t="shared" si="240"/>
        <v/>
      </c>
      <c r="D192" s="69" t="str">
        <f t="shared" si="241"/>
        <v/>
      </c>
      <c r="E192" s="350"/>
      <c r="F192" s="69" t="str">
        <f t="shared" si="220"/>
        <v/>
      </c>
      <c r="G192" s="350"/>
      <c r="H192" s="69" t="str">
        <f t="shared" si="221"/>
        <v/>
      </c>
      <c r="I192" s="350"/>
      <c r="J192" s="69" t="str">
        <f t="shared" si="222"/>
        <v/>
      </c>
      <c r="K192" s="350"/>
      <c r="L192" s="69" t="str">
        <f t="shared" si="223"/>
        <v/>
      </c>
      <c r="M192" s="350"/>
      <c r="N192" s="69" t="str">
        <f t="shared" si="242"/>
        <v/>
      </c>
      <c r="O192" s="350"/>
      <c r="P192" s="69" t="str">
        <f t="shared" si="224"/>
        <v/>
      </c>
      <c r="Q192" s="350"/>
      <c r="R192" s="69" t="str">
        <f t="shared" si="225"/>
        <v/>
      </c>
      <c r="S192" s="350"/>
      <c r="T192" s="69" t="str">
        <f t="shared" si="226"/>
        <v/>
      </c>
      <c r="U192" s="350"/>
      <c r="V192" s="69" t="str">
        <f t="shared" si="227"/>
        <v/>
      </c>
      <c r="W192" s="350"/>
      <c r="Z192" s="353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28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43"/>
        <v>0</v>
      </c>
      <c r="BE192" s="213">
        <f t="shared" si="244"/>
        <v>0</v>
      </c>
      <c r="BF192" s="215">
        <f t="shared" si="245"/>
        <v>0</v>
      </c>
      <c r="BG192" s="215">
        <f t="shared" si="246"/>
        <v>0</v>
      </c>
      <c r="BH192" s="215" t="str">
        <f t="shared" si="229"/>
        <v/>
      </c>
      <c r="BI192" s="215" t="str">
        <f t="shared" si="230"/>
        <v/>
      </c>
      <c r="BJ192" s="215" t="str">
        <f t="shared" si="231"/>
        <v/>
      </c>
      <c r="BK192" s="215" t="str">
        <f t="shared" si="232"/>
        <v/>
      </c>
      <c r="BL192" s="215" t="str">
        <f t="shared" si="233"/>
        <v/>
      </c>
      <c r="BM192" s="215" t="str">
        <f t="shared" si="234"/>
        <v/>
      </c>
      <c r="BN192" s="215" t="str">
        <f t="shared" si="235"/>
        <v/>
      </c>
      <c r="BO192" s="215" t="str">
        <f t="shared" si="236"/>
        <v/>
      </c>
      <c r="BP192" s="215" t="str">
        <f t="shared" si="237"/>
        <v/>
      </c>
      <c r="BQ192" s="216"/>
      <c r="BR192" s="214"/>
      <c r="BS192" s="215">
        <f t="shared" si="247"/>
        <v>0</v>
      </c>
      <c r="BT192" s="215">
        <f t="shared" si="248"/>
        <v>0</v>
      </c>
      <c r="BU192" s="215" t="str">
        <f t="shared" si="249"/>
        <v>Frankenpower Nürnberg</v>
      </c>
      <c r="BV192" s="214">
        <f t="shared" si="250"/>
        <v>2</v>
      </c>
      <c r="BW192" s="215">
        <f t="shared" si="251"/>
        <v>0</v>
      </c>
      <c r="BX192" s="215">
        <f>IF(COUNTIF(BH192:BP192,"&gt;0")&lt;Spielorte!$A$23,0,BE192/Spielorte!$A$23)</f>
        <v>0</v>
      </c>
      <c r="BY192" s="215">
        <f t="shared" si="252"/>
        <v>0</v>
      </c>
      <c r="BZ192" s="214">
        <f t="shared" si="238"/>
        <v>0</v>
      </c>
    </row>
    <row r="193" spans="1:78" ht="17.2" customHeight="1" x14ac:dyDescent="0.35">
      <c r="A193" s="367" t="s">
        <v>3</v>
      </c>
      <c r="B193" s="73" t="str">
        <f t="shared" si="239"/>
        <v>Reng, Verena</v>
      </c>
      <c r="C193" s="74">
        <f t="shared" si="240"/>
        <v>38560</v>
      </c>
      <c r="D193" s="75">
        <f t="shared" si="241"/>
        <v>207</v>
      </c>
      <c r="E193" s="348">
        <f>IF(AD193="","",AD193)</f>
        <v>1</v>
      </c>
      <c r="F193" s="75">
        <f t="shared" si="220"/>
        <v>214</v>
      </c>
      <c r="G193" s="348">
        <f>IF(AF193="","",AF193)</f>
        <v>1</v>
      </c>
      <c r="H193" s="75">
        <f t="shared" si="221"/>
        <v>165</v>
      </c>
      <c r="I193" s="348">
        <f>IF(AH193="","",AH193)</f>
        <v>0</v>
      </c>
      <c r="J193" s="75">
        <f t="shared" si="222"/>
        <v>161</v>
      </c>
      <c r="K193" s="348">
        <f>IF(AJ193="","",AJ193)</f>
        <v>1</v>
      </c>
      <c r="L193" s="75">
        <f t="shared" si="223"/>
        <v>170</v>
      </c>
      <c r="M193" s="348">
        <f>IF(AL193="","",AL193)</f>
        <v>1</v>
      </c>
      <c r="N193" s="75">
        <f t="shared" si="242"/>
        <v>189</v>
      </c>
      <c r="O193" s="348">
        <f>IF(AN193="","",AN193)</f>
        <v>0</v>
      </c>
      <c r="P193" s="75">
        <f t="shared" si="224"/>
        <v>180</v>
      </c>
      <c r="Q193" s="348">
        <f>IF(AP193="","",AP193)</f>
        <v>1</v>
      </c>
      <c r="R193" s="75">
        <f t="shared" si="225"/>
        <v>200</v>
      </c>
      <c r="S193" s="348">
        <f>IF(AR193="","",AR193)</f>
        <v>1</v>
      </c>
      <c r="T193" s="75">
        <f t="shared" si="226"/>
        <v>195</v>
      </c>
      <c r="U193" s="348">
        <f>IF(AT193="","",AT193)</f>
        <v>0</v>
      </c>
      <c r="V193" s="75">
        <f t="shared" si="227"/>
        <v>1681</v>
      </c>
      <c r="W193" s="348">
        <f>IF(AV193="","",AV193)</f>
        <v>6</v>
      </c>
      <c r="Z193" s="351" t="s">
        <v>3</v>
      </c>
      <c r="AA193" s="108" t="str">
        <f>IF(AB193=0,"",VLOOKUP(AB193,Starter!$A$1:$D$199,2,FALSE))</f>
        <v>Reng, Verena</v>
      </c>
      <c r="AB193" s="99">
        <v>38560</v>
      </c>
      <c r="AC193" s="188">
        <v>207</v>
      </c>
      <c r="AD193" s="109">
        <f>IF(SUM(AC193:AC195)+AC207=0,0,IF(SUM(ABS(AC193),ABS(AC194),ABS(AC195))=AC207,0.5,IF(SUM(ABS(AC193),ABS(AC194),ABS(AC195))&gt;AC207,1,0)))</f>
        <v>1</v>
      </c>
      <c r="AE193" s="188">
        <v>214</v>
      </c>
      <c r="AF193" s="109">
        <f>IF(SUM(AE193:AE195)+AE207=0,0,IF(SUM(ABS(AE193),ABS(AE194),ABS(AE195))=AE207,0.5,IF(SUM(ABS(AE193),ABS(AE194),ABS(AE195))&gt;AE207,1,0)))</f>
        <v>1</v>
      </c>
      <c r="AG193" s="188">
        <v>165</v>
      </c>
      <c r="AH193" s="109">
        <f>IF(SUM(AG193:AG195)+AG207=0,0,IF(SUM(ABS(AG193),ABS(AG194),ABS(AG195))=AG207,0.5,IF(SUM(ABS(AG193),ABS(AG194),ABS(AG195))&gt;AG207,1,0)))</f>
        <v>0</v>
      </c>
      <c r="AI193" s="188">
        <v>161</v>
      </c>
      <c r="AJ193" s="109">
        <f>IF(SUM(AI193:AI195)+AI207=0,0,IF(SUM(ABS(AI193),ABS(AI194),ABS(AI195))=AI207,0.5,IF(SUM(ABS(AI193),ABS(AI194),ABS(AI195))&gt;AI207,1,0)))</f>
        <v>1</v>
      </c>
      <c r="AK193" s="188">
        <v>170</v>
      </c>
      <c r="AL193" s="109">
        <f>IF(SUM(AK193:AK195)+AK207=0,0,IF(SUM(ABS(AK193),ABS(AK194),ABS(AK195))=AK207,0.5,IF(SUM(ABS(AK193),ABS(AK194),ABS(AK195))&gt;AK207,1,0)))</f>
        <v>1</v>
      </c>
      <c r="AM193" s="188">
        <v>189</v>
      </c>
      <c r="AN193" s="109">
        <f>IF(SUM(AM193:AM195)+AM207=0,0,IF(SUM(ABS(AM193),ABS(AM194),ABS(AM195))=AM207,0.5,IF(SUM(ABS(AM193),ABS(AM194),ABS(AM195))&gt;AM207,1,0)))</f>
        <v>0</v>
      </c>
      <c r="AO193" s="188">
        <v>180</v>
      </c>
      <c r="AP193" s="109">
        <f>IF(SUM(AO193:AO195)+AO207=0,0,IF(SUM(ABS(AO193),ABS(AO194),ABS(AO195))=AO207,0.5,IF(SUM(ABS(AO193),ABS(AO194),ABS(AO195))&gt;AO207,1,0)))</f>
        <v>1</v>
      </c>
      <c r="AQ193" s="188">
        <v>200</v>
      </c>
      <c r="AR193" s="109">
        <f>IF(SUM(AQ193:AQ195)+AQ207=0,0,IF(SUM(ABS(AQ193),ABS(AQ194),ABS(AQ195))=AQ207,0.5,IF(SUM(ABS(AQ193),ABS(AQ194),ABS(AQ195))&gt;AQ207,1,0)))</f>
        <v>1</v>
      </c>
      <c r="AS193" s="188">
        <v>195</v>
      </c>
      <c r="AT193" s="109">
        <f>IF(SUM(AS193:AS195)+AS207=0,0,IF(SUM(ABS(AS193),ABS(AS194),ABS(AS195))=AS207,0.5,IF(SUM(ABS(AS193),ABS(AS194),ABS(AS195))&gt;AS207,1,0)))</f>
        <v>0</v>
      </c>
      <c r="AU193" s="110">
        <f t="shared" si="228"/>
        <v>1681</v>
      </c>
      <c r="AV193" s="111">
        <f>SUM(AD193+AF193+AH193+AJ193+AL193+AN193+AP193+AR193+AT193)</f>
        <v>6</v>
      </c>
      <c r="AW193" s="101"/>
      <c r="AX193" s="102"/>
      <c r="AZ193" s="63"/>
      <c r="BA193" s="212"/>
      <c r="BB193" s="213"/>
      <c r="BC193" s="214"/>
      <c r="BD193" s="217">
        <f t="shared" si="243"/>
        <v>38560</v>
      </c>
      <c r="BE193" s="213">
        <f t="shared" si="244"/>
        <v>1681</v>
      </c>
      <c r="BF193" s="215">
        <f t="shared" si="245"/>
        <v>9</v>
      </c>
      <c r="BG193" s="215">
        <f t="shared" si="246"/>
        <v>9</v>
      </c>
      <c r="BH193" s="215">
        <f t="shared" si="229"/>
        <v>207</v>
      </c>
      <c r="BI193" s="215">
        <f t="shared" si="230"/>
        <v>214</v>
      </c>
      <c r="BJ193" s="215">
        <f t="shared" si="231"/>
        <v>165</v>
      </c>
      <c r="BK193" s="215">
        <f t="shared" si="232"/>
        <v>161</v>
      </c>
      <c r="BL193" s="215">
        <f t="shared" si="233"/>
        <v>170</v>
      </c>
      <c r="BM193" s="215">
        <f t="shared" si="234"/>
        <v>189</v>
      </c>
      <c r="BN193" s="215">
        <f t="shared" si="235"/>
        <v>180</v>
      </c>
      <c r="BO193" s="215">
        <f t="shared" si="236"/>
        <v>200</v>
      </c>
      <c r="BP193" s="215">
        <f t="shared" si="237"/>
        <v>195</v>
      </c>
      <c r="BQ193" s="216"/>
      <c r="BR193" s="214"/>
      <c r="BS193" s="215">
        <f t="shared" si="247"/>
        <v>214</v>
      </c>
      <c r="BT193" s="215">
        <f t="shared" si="248"/>
        <v>0</v>
      </c>
      <c r="BU193" s="215" t="str">
        <f t="shared" si="249"/>
        <v>Frankenpower Nürnberg</v>
      </c>
      <c r="BV193" s="214">
        <f t="shared" si="250"/>
        <v>2</v>
      </c>
      <c r="BW193" s="215">
        <f t="shared" si="251"/>
        <v>1681</v>
      </c>
      <c r="BX193" s="215">
        <f>IF(COUNTIF(BH193:BP193,"&gt;0")&lt;Spielorte!$A$23,0,BE193/Spielorte!$A$23)</f>
        <v>186.77777777777777</v>
      </c>
      <c r="BY193" s="215">
        <f t="shared" si="252"/>
        <v>0</v>
      </c>
      <c r="BZ193" s="214">
        <f t="shared" si="238"/>
        <v>0</v>
      </c>
    </row>
    <row r="194" spans="1:78" ht="17.2" customHeight="1" x14ac:dyDescent="0.35">
      <c r="A194" s="368"/>
      <c r="B194" s="76" t="str">
        <f t="shared" si="239"/>
        <v/>
      </c>
      <c r="C194" s="77" t="str">
        <f t="shared" si="240"/>
        <v/>
      </c>
      <c r="D194" s="78" t="str">
        <f t="shared" si="241"/>
        <v/>
      </c>
      <c r="E194" s="349"/>
      <c r="F194" s="78" t="str">
        <f t="shared" si="220"/>
        <v/>
      </c>
      <c r="G194" s="349"/>
      <c r="H194" s="78" t="str">
        <f t="shared" si="221"/>
        <v/>
      </c>
      <c r="I194" s="349"/>
      <c r="J194" s="78" t="str">
        <f t="shared" si="222"/>
        <v/>
      </c>
      <c r="K194" s="349"/>
      <c r="L194" s="78" t="str">
        <f t="shared" si="223"/>
        <v/>
      </c>
      <c r="M194" s="349"/>
      <c r="N194" s="78" t="str">
        <f t="shared" si="242"/>
        <v/>
      </c>
      <c r="O194" s="349"/>
      <c r="P194" s="78" t="str">
        <f t="shared" si="224"/>
        <v/>
      </c>
      <c r="Q194" s="349"/>
      <c r="R194" s="78" t="str">
        <f t="shared" si="225"/>
        <v/>
      </c>
      <c r="S194" s="349"/>
      <c r="T194" s="78" t="str">
        <f t="shared" si="226"/>
        <v/>
      </c>
      <c r="U194" s="349"/>
      <c r="V194" s="78" t="str">
        <f t="shared" si="227"/>
        <v/>
      </c>
      <c r="W194" s="349"/>
      <c r="Z194" s="352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28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43"/>
        <v>0</v>
      </c>
      <c r="BE194" s="213">
        <f t="shared" si="244"/>
        <v>0</v>
      </c>
      <c r="BF194" s="215">
        <f t="shared" si="245"/>
        <v>0</v>
      </c>
      <c r="BG194" s="215">
        <f t="shared" si="246"/>
        <v>0</v>
      </c>
      <c r="BH194" s="215" t="str">
        <f t="shared" si="229"/>
        <v/>
      </c>
      <c r="BI194" s="215" t="str">
        <f t="shared" si="230"/>
        <v/>
      </c>
      <c r="BJ194" s="215" t="str">
        <f t="shared" si="231"/>
        <v/>
      </c>
      <c r="BK194" s="215" t="str">
        <f t="shared" si="232"/>
        <v/>
      </c>
      <c r="BL194" s="215" t="str">
        <f t="shared" si="233"/>
        <v/>
      </c>
      <c r="BM194" s="215" t="str">
        <f t="shared" si="234"/>
        <v/>
      </c>
      <c r="BN194" s="215" t="str">
        <f t="shared" si="235"/>
        <v/>
      </c>
      <c r="BO194" s="215" t="str">
        <f t="shared" si="236"/>
        <v/>
      </c>
      <c r="BP194" s="215" t="str">
        <f t="shared" si="237"/>
        <v/>
      </c>
      <c r="BQ194" s="216"/>
      <c r="BR194" s="214"/>
      <c r="BS194" s="215">
        <f t="shared" si="247"/>
        <v>0</v>
      </c>
      <c r="BT194" s="215">
        <f t="shared" si="248"/>
        <v>0</v>
      </c>
      <c r="BU194" s="215" t="str">
        <f t="shared" si="249"/>
        <v>Frankenpower Nürnberg</v>
      </c>
      <c r="BV194" s="214">
        <f t="shared" si="250"/>
        <v>2</v>
      </c>
      <c r="BW194" s="215">
        <f t="shared" si="251"/>
        <v>0</v>
      </c>
      <c r="BX194" s="215">
        <f>IF(COUNTIF(BH194:BP194,"&gt;0")&lt;Spielorte!$A$23,0,BE194/Spielorte!$A$23)</f>
        <v>0</v>
      </c>
      <c r="BY194" s="215">
        <f t="shared" si="252"/>
        <v>0</v>
      </c>
      <c r="BZ194" s="214">
        <f t="shared" si="238"/>
        <v>0</v>
      </c>
    </row>
    <row r="195" spans="1:78" ht="17.2" customHeight="1" thickBot="1" x14ac:dyDescent="0.4">
      <c r="A195" s="369"/>
      <c r="B195" s="79" t="str">
        <f t="shared" si="239"/>
        <v/>
      </c>
      <c r="C195" s="80" t="str">
        <f t="shared" si="240"/>
        <v/>
      </c>
      <c r="D195" s="69" t="str">
        <f t="shared" si="241"/>
        <v/>
      </c>
      <c r="E195" s="350"/>
      <c r="F195" s="69" t="str">
        <f t="shared" si="220"/>
        <v/>
      </c>
      <c r="G195" s="350"/>
      <c r="H195" s="69" t="str">
        <f t="shared" si="221"/>
        <v/>
      </c>
      <c r="I195" s="350"/>
      <c r="J195" s="69" t="str">
        <f t="shared" si="222"/>
        <v/>
      </c>
      <c r="K195" s="350"/>
      <c r="L195" s="69" t="str">
        <f t="shared" si="223"/>
        <v/>
      </c>
      <c r="M195" s="350"/>
      <c r="N195" s="69" t="str">
        <f t="shared" si="242"/>
        <v/>
      </c>
      <c r="O195" s="350"/>
      <c r="P195" s="69" t="str">
        <f t="shared" si="224"/>
        <v/>
      </c>
      <c r="Q195" s="350"/>
      <c r="R195" s="69" t="str">
        <f t="shared" si="225"/>
        <v/>
      </c>
      <c r="S195" s="350"/>
      <c r="T195" s="69" t="str">
        <f t="shared" si="226"/>
        <v/>
      </c>
      <c r="U195" s="350"/>
      <c r="V195" s="69" t="str">
        <f t="shared" si="227"/>
        <v/>
      </c>
      <c r="W195" s="350"/>
      <c r="Z195" s="353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28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43"/>
        <v>0</v>
      </c>
      <c r="BE195" s="213">
        <f t="shared" si="244"/>
        <v>0</v>
      </c>
      <c r="BF195" s="215">
        <f t="shared" si="245"/>
        <v>0</v>
      </c>
      <c r="BG195" s="215">
        <f t="shared" si="246"/>
        <v>0</v>
      </c>
      <c r="BH195" s="215" t="str">
        <f t="shared" si="229"/>
        <v/>
      </c>
      <c r="BI195" s="215" t="str">
        <f t="shared" si="230"/>
        <v/>
      </c>
      <c r="BJ195" s="215" t="str">
        <f t="shared" si="231"/>
        <v/>
      </c>
      <c r="BK195" s="215" t="str">
        <f t="shared" si="232"/>
        <v/>
      </c>
      <c r="BL195" s="215" t="str">
        <f t="shared" si="233"/>
        <v/>
      </c>
      <c r="BM195" s="215" t="str">
        <f t="shared" si="234"/>
        <v/>
      </c>
      <c r="BN195" s="215" t="str">
        <f t="shared" si="235"/>
        <v/>
      </c>
      <c r="BO195" s="215" t="str">
        <f t="shared" si="236"/>
        <v/>
      </c>
      <c r="BP195" s="215" t="str">
        <f t="shared" si="237"/>
        <v/>
      </c>
      <c r="BQ195" s="216"/>
      <c r="BR195" s="214"/>
      <c r="BS195" s="215">
        <f t="shared" si="247"/>
        <v>0</v>
      </c>
      <c r="BT195" s="215">
        <f t="shared" si="248"/>
        <v>0</v>
      </c>
      <c r="BU195" s="215" t="str">
        <f t="shared" si="249"/>
        <v>Frankenpower Nürnberg</v>
      </c>
      <c r="BV195" s="214">
        <f t="shared" si="250"/>
        <v>2</v>
      </c>
      <c r="BW195" s="215">
        <f t="shared" si="251"/>
        <v>0</v>
      </c>
      <c r="BX195" s="215">
        <f>IF(COUNTIF(BH195:BP195,"&gt;0")&lt;Spielorte!$A$23,0,BE195/Spielorte!$A$23)</f>
        <v>0</v>
      </c>
      <c r="BY195" s="215">
        <f t="shared" si="252"/>
        <v>0</v>
      </c>
      <c r="BZ195" s="214">
        <f t="shared" si="238"/>
        <v>0</v>
      </c>
    </row>
    <row r="196" spans="1:78" ht="17.2" customHeight="1" x14ac:dyDescent="0.35">
      <c r="A196" s="367" t="s">
        <v>11</v>
      </c>
      <c r="B196" s="73" t="str">
        <f>IF(AA196=0,"",AA196)</f>
        <v>Krämer, Gisela</v>
      </c>
      <c r="C196" s="74">
        <f t="shared" si="240"/>
        <v>7753</v>
      </c>
      <c r="D196" s="75">
        <f t="shared" si="241"/>
        <v>171</v>
      </c>
      <c r="E196" s="348">
        <f>IF(AD196="","",AD196)</f>
        <v>1</v>
      </c>
      <c r="F196" s="75">
        <f t="shared" si="220"/>
        <v>214</v>
      </c>
      <c r="G196" s="348">
        <f>IF(AF196="","",AF196)</f>
        <v>1</v>
      </c>
      <c r="H196" s="75">
        <f t="shared" si="221"/>
        <v>149</v>
      </c>
      <c r="I196" s="348">
        <f>IF(AH196="","",AH196)</f>
        <v>0</v>
      </c>
      <c r="J196" s="75">
        <f t="shared" si="222"/>
        <v>169</v>
      </c>
      <c r="K196" s="348">
        <f>IF(AJ196="","",AJ196)</f>
        <v>0</v>
      </c>
      <c r="L196" s="75">
        <f t="shared" si="223"/>
        <v>183</v>
      </c>
      <c r="M196" s="348">
        <f>IF(AL196="","",AL196)</f>
        <v>1</v>
      </c>
      <c r="N196" s="75">
        <f t="shared" si="242"/>
        <v>161</v>
      </c>
      <c r="O196" s="348">
        <f>IF(AN196="","",AN196)</f>
        <v>1</v>
      </c>
      <c r="P196" s="75">
        <f t="shared" si="224"/>
        <v>180</v>
      </c>
      <c r="Q196" s="348">
        <f>IF(AP196="","",AP196)</f>
        <v>1</v>
      </c>
      <c r="R196" s="75">
        <f t="shared" si="225"/>
        <v>181</v>
      </c>
      <c r="S196" s="348">
        <f>IF(AR196="","",AR196)</f>
        <v>1</v>
      </c>
      <c r="T196" s="75">
        <f t="shared" si="226"/>
        <v>191</v>
      </c>
      <c r="U196" s="348">
        <f>IF(AT196="","",AT196)</f>
        <v>1</v>
      </c>
      <c r="V196" s="75">
        <f t="shared" si="227"/>
        <v>1599</v>
      </c>
      <c r="W196" s="348">
        <f>IF(AV196="","",AV196)</f>
        <v>7</v>
      </c>
      <c r="Z196" s="351" t="s">
        <v>11</v>
      </c>
      <c r="AA196" s="108" t="str">
        <f>IF(AB196=0,"",VLOOKUP(AB196,Starter!$A$1:$D$199,2,FALSE))</f>
        <v>Krämer, Gisela</v>
      </c>
      <c r="AB196" s="99">
        <v>7753</v>
      </c>
      <c r="AC196" s="188">
        <v>171</v>
      </c>
      <c r="AD196" s="109">
        <f>IF(SUM(AC196:AC198)+AC208=0,0,IF(SUM(ABS(AC196),ABS(AC197),ABS(AC198))=AC208,0.5,IF(SUM(ABS(AC196),ABS(AC197),ABS(AC198))&gt;AC208,1,0)))</f>
        <v>1</v>
      </c>
      <c r="AE196" s="188">
        <v>214</v>
      </c>
      <c r="AF196" s="109">
        <f>IF(SUM(AE196:AE198)+AE208=0,0,IF(SUM(ABS(AE196),ABS(AE197),ABS(AE198))=AE208,0.5,IF(SUM(ABS(AE196),ABS(AE197),ABS(AE198))&gt;AE208,1,0)))</f>
        <v>1</v>
      </c>
      <c r="AG196" s="188">
        <v>149</v>
      </c>
      <c r="AH196" s="109">
        <f>IF(SUM(AG196:AG198)+AG208=0,0,IF(SUM(ABS(AG196),ABS(AG197),ABS(AG198))=AG208,0.5,IF(SUM(ABS(AG196),ABS(AG197),ABS(AG198))&gt;AG208,1,0)))</f>
        <v>0</v>
      </c>
      <c r="AI196" s="188">
        <v>169</v>
      </c>
      <c r="AJ196" s="109">
        <f>IF(SUM(AI196:AI198)+AI208=0,0,IF(SUM(ABS(AI196),ABS(AI197),ABS(AI198))=AI208,0.5,IF(SUM(ABS(AI196),ABS(AI197),ABS(AI198))&gt;AI208,1,0)))</f>
        <v>0</v>
      </c>
      <c r="AK196" s="188">
        <v>183</v>
      </c>
      <c r="AL196" s="109">
        <f>IF(SUM(AK196:AK198)+AK208=0,0,IF(SUM(ABS(AK196),ABS(AK197),ABS(AK198))=AK208,0.5,IF(SUM(ABS(AK196),ABS(AK197),ABS(AK198))&gt;AK208,1,0)))</f>
        <v>1</v>
      </c>
      <c r="AM196" s="188">
        <v>161</v>
      </c>
      <c r="AN196" s="109">
        <f>IF(SUM(AM196:AM198)+AM208=0,0,IF(SUM(ABS(AM196),ABS(AM197),ABS(AM198))=AM208,0.5,IF(SUM(ABS(AM196),ABS(AM197),ABS(AM198))&gt;AM208,1,0)))</f>
        <v>1</v>
      </c>
      <c r="AO196" s="188">
        <v>180</v>
      </c>
      <c r="AP196" s="109">
        <f>IF(SUM(AO196:AO198)+AO208=0,0,IF(SUM(ABS(AO196),ABS(AO197),ABS(AO198))=AO208,0.5,IF(SUM(ABS(AO196),ABS(AO197),ABS(AO198))&gt;AO208,1,0)))</f>
        <v>1</v>
      </c>
      <c r="AQ196" s="188">
        <v>181</v>
      </c>
      <c r="AR196" s="109">
        <f>IF(SUM(AQ196:AQ198)+AQ208=0,0,IF(SUM(ABS(AQ196),ABS(AQ197),ABS(AQ198))=AQ208,0.5,IF(SUM(ABS(AQ196),ABS(AQ197),ABS(AQ198))&gt;AQ208,1,0)))</f>
        <v>1</v>
      </c>
      <c r="AS196" s="188">
        <v>191</v>
      </c>
      <c r="AT196" s="109">
        <f>IF(SUM(AS196:AS198)+AS208=0,0,IF(SUM(ABS(AS196),ABS(AS197),ABS(AS198))=AS208,0.5,IF(SUM(ABS(AS196),ABS(AS197),ABS(AS198))&gt;AS208,1,0)))</f>
        <v>1</v>
      </c>
      <c r="AU196" s="110">
        <f t="shared" si="228"/>
        <v>1599</v>
      </c>
      <c r="AV196" s="111">
        <f>SUM(AD196+AF196+AH196+AJ196+AL196+AN196+AP196+AR196+AT196)</f>
        <v>7</v>
      </c>
      <c r="AW196" s="101"/>
      <c r="AX196" s="102"/>
      <c r="AZ196" s="63"/>
      <c r="BA196" s="212"/>
      <c r="BB196" s="213"/>
      <c r="BC196" s="214"/>
      <c r="BD196" s="217">
        <f t="shared" si="243"/>
        <v>7753</v>
      </c>
      <c r="BE196" s="213">
        <f t="shared" si="244"/>
        <v>1599</v>
      </c>
      <c r="BF196" s="215">
        <f t="shared" si="245"/>
        <v>9</v>
      </c>
      <c r="BG196" s="215">
        <f t="shared" si="246"/>
        <v>9</v>
      </c>
      <c r="BH196" s="215">
        <f t="shared" si="229"/>
        <v>171</v>
      </c>
      <c r="BI196" s="215">
        <f t="shared" si="230"/>
        <v>214</v>
      </c>
      <c r="BJ196" s="215">
        <f t="shared" si="231"/>
        <v>149</v>
      </c>
      <c r="BK196" s="215">
        <f t="shared" si="232"/>
        <v>169</v>
      </c>
      <c r="BL196" s="215">
        <f t="shared" si="233"/>
        <v>183</v>
      </c>
      <c r="BM196" s="215">
        <f t="shared" si="234"/>
        <v>161</v>
      </c>
      <c r="BN196" s="215">
        <f t="shared" si="235"/>
        <v>180</v>
      </c>
      <c r="BO196" s="215">
        <f t="shared" si="236"/>
        <v>181</v>
      </c>
      <c r="BP196" s="215">
        <f t="shared" si="237"/>
        <v>191</v>
      </c>
      <c r="BQ196" s="216"/>
      <c r="BR196" s="214"/>
      <c r="BS196" s="215">
        <f t="shared" si="247"/>
        <v>214</v>
      </c>
      <c r="BT196" s="215">
        <f t="shared" si="248"/>
        <v>0</v>
      </c>
      <c r="BU196" s="215" t="str">
        <f t="shared" si="249"/>
        <v>Frankenpower Nürnberg</v>
      </c>
      <c r="BV196" s="214">
        <f t="shared" si="250"/>
        <v>2</v>
      </c>
      <c r="BW196" s="215">
        <f t="shared" si="251"/>
        <v>1599</v>
      </c>
      <c r="BX196" s="215">
        <f>IF(COUNTIF(BH196:BP196,"&gt;0")&lt;Spielorte!$A$23,0,BE196/Spielorte!$A$23)</f>
        <v>177.66666666666666</v>
      </c>
      <c r="BY196" s="215">
        <f t="shared" si="252"/>
        <v>0</v>
      </c>
      <c r="BZ196" s="214">
        <f t="shared" si="238"/>
        <v>0</v>
      </c>
    </row>
    <row r="197" spans="1:78" ht="17.2" customHeight="1" x14ac:dyDescent="0.35">
      <c r="A197" s="368"/>
      <c r="B197" s="76" t="str">
        <f>IF(AA197=0,"",AA197)</f>
        <v/>
      </c>
      <c r="C197" s="77" t="str">
        <f t="shared" si="240"/>
        <v/>
      </c>
      <c r="D197" s="78" t="str">
        <f t="shared" si="241"/>
        <v/>
      </c>
      <c r="E197" s="349"/>
      <c r="F197" s="78" t="str">
        <f t="shared" si="220"/>
        <v/>
      </c>
      <c r="G197" s="349"/>
      <c r="H197" s="78" t="str">
        <f t="shared" si="221"/>
        <v/>
      </c>
      <c r="I197" s="349"/>
      <c r="J197" s="78" t="str">
        <f t="shared" si="222"/>
        <v/>
      </c>
      <c r="K197" s="349"/>
      <c r="L197" s="78" t="str">
        <f t="shared" si="223"/>
        <v/>
      </c>
      <c r="M197" s="349"/>
      <c r="N197" s="78" t="str">
        <f t="shared" si="242"/>
        <v/>
      </c>
      <c r="O197" s="349"/>
      <c r="P197" s="78" t="str">
        <f t="shared" si="224"/>
        <v/>
      </c>
      <c r="Q197" s="349"/>
      <c r="R197" s="78" t="str">
        <f t="shared" si="225"/>
        <v/>
      </c>
      <c r="S197" s="349"/>
      <c r="T197" s="78" t="str">
        <f t="shared" si="226"/>
        <v/>
      </c>
      <c r="U197" s="349"/>
      <c r="V197" s="78" t="str">
        <f t="shared" si="227"/>
        <v/>
      </c>
      <c r="W197" s="349"/>
      <c r="Z197" s="352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28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43"/>
        <v>0</v>
      </c>
      <c r="BE197" s="213">
        <f t="shared" si="244"/>
        <v>0</v>
      </c>
      <c r="BF197" s="215">
        <f t="shared" si="245"/>
        <v>0</v>
      </c>
      <c r="BG197" s="215">
        <f t="shared" si="246"/>
        <v>0</v>
      </c>
      <c r="BH197" s="215" t="str">
        <f t="shared" si="229"/>
        <v/>
      </c>
      <c r="BI197" s="215" t="str">
        <f t="shared" si="230"/>
        <v/>
      </c>
      <c r="BJ197" s="215" t="str">
        <f t="shared" si="231"/>
        <v/>
      </c>
      <c r="BK197" s="215" t="str">
        <f t="shared" si="232"/>
        <v/>
      </c>
      <c r="BL197" s="215" t="str">
        <f t="shared" si="233"/>
        <v/>
      </c>
      <c r="BM197" s="215" t="str">
        <f t="shared" si="234"/>
        <v/>
      </c>
      <c r="BN197" s="215" t="str">
        <f t="shared" si="235"/>
        <v/>
      </c>
      <c r="BO197" s="215" t="str">
        <f t="shared" si="236"/>
        <v/>
      </c>
      <c r="BP197" s="215" t="str">
        <f t="shared" si="237"/>
        <v/>
      </c>
      <c r="BQ197" s="216"/>
      <c r="BR197" s="214"/>
      <c r="BS197" s="215">
        <f t="shared" si="247"/>
        <v>0</v>
      </c>
      <c r="BT197" s="215">
        <f t="shared" si="248"/>
        <v>0</v>
      </c>
      <c r="BU197" s="215" t="str">
        <f t="shared" si="249"/>
        <v>Frankenpower Nürnberg</v>
      </c>
      <c r="BV197" s="214">
        <f t="shared" si="250"/>
        <v>2</v>
      </c>
      <c r="BW197" s="215">
        <f t="shared" si="251"/>
        <v>0</v>
      </c>
      <c r="BX197" s="215">
        <f>IF(COUNTIF(BH197:BP197,"&gt;0")&lt;Spielorte!$A$23,0,BE197/Spielorte!$A$23)</f>
        <v>0</v>
      </c>
      <c r="BY197" s="215">
        <f t="shared" si="252"/>
        <v>0</v>
      </c>
      <c r="BZ197" s="214">
        <f t="shared" si="238"/>
        <v>0</v>
      </c>
    </row>
    <row r="198" spans="1:78" ht="17.2" customHeight="1" thickBot="1" x14ac:dyDescent="0.4">
      <c r="A198" s="369"/>
      <c r="B198" s="79" t="str">
        <f>IF(AA198=0,"",AA198)</f>
        <v/>
      </c>
      <c r="C198" s="80" t="str">
        <f t="shared" si="240"/>
        <v/>
      </c>
      <c r="D198" s="69" t="str">
        <f t="shared" si="241"/>
        <v/>
      </c>
      <c r="E198" s="350"/>
      <c r="F198" s="69" t="str">
        <f t="shared" si="220"/>
        <v/>
      </c>
      <c r="G198" s="350"/>
      <c r="H198" s="69" t="str">
        <f t="shared" si="221"/>
        <v/>
      </c>
      <c r="I198" s="350"/>
      <c r="J198" s="69" t="str">
        <f t="shared" si="222"/>
        <v/>
      </c>
      <c r="K198" s="350"/>
      <c r="L198" s="69" t="str">
        <f t="shared" si="223"/>
        <v/>
      </c>
      <c r="M198" s="350"/>
      <c r="N198" s="69" t="str">
        <f t="shared" si="242"/>
        <v/>
      </c>
      <c r="O198" s="350"/>
      <c r="P198" s="69" t="str">
        <f t="shared" si="224"/>
        <v/>
      </c>
      <c r="Q198" s="350"/>
      <c r="R198" s="69" t="str">
        <f t="shared" si="225"/>
        <v/>
      </c>
      <c r="S198" s="350"/>
      <c r="T198" s="69" t="str">
        <f t="shared" si="226"/>
        <v/>
      </c>
      <c r="U198" s="350"/>
      <c r="V198" s="69" t="str">
        <f t="shared" si="227"/>
        <v/>
      </c>
      <c r="W198" s="350"/>
      <c r="Z198" s="353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28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43"/>
        <v>0</v>
      </c>
      <c r="BE198" s="213">
        <f t="shared" si="244"/>
        <v>0</v>
      </c>
      <c r="BF198" s="215">
        <f t="shared" si="245"/>
        <v>0</v>
      </c>
      <c r="BG198" s="215">
        <f t="shared" si="246"/>
        <v>0</v>
      </c>
      <c r="BH198" s="215" t="str">
        <f t="shared" si="229"/>
        <v/>
      </c>
      <c r="BI198" s="215" t="str">
        <f t="shared" si="230"/>
        <v/>
      </c>
      <c r="BJ198" s="215" t="str">
        <f t="shared" si="231"/>
        <v/>
      </c>
      <c r="BK198" s="215" t="str">
        <f t="shared" si="232"/>
        <v/>
      </c>
      <c r="BL198" s="215" t="str">
        <f t="shared" si="233"/>
        <v/>
      </c>
      <c r="BM198" s="215" t="str">
        <f t="shared" si="234"/>
        <v/>
      </c>
      <c r="BN198" s="215" t="str">
        <f t="shared" si="235"/>
        <v/>
      </c>
      <c r="BO198" s="215" t="str">
        <f t="shared" si="236"/>
        <v/>
      </c>
      <c r="BP198" s="215" t="str">
        <f t="shared" si="237"/>
        <v/>
      </c>
      <c r="BQ198" s="216"/>
      <c r="BR198" s="214"/>
      <c r="BS198" s="215">
        <f t="shared" si="247"/>
        <v>0</v>
      </c>
      <c r="BT198" s="215">
        <f t="shared" si="248"/>
        <v>0</v>
      </c>
      <c r="BU198" s="215" t="str">
        <f t="shared" si="249"/>
        <v>Frankenpower Nürnberg</v>
      </c>
      <c r="BV198" s="214">
        <f t="shared" si="250"/>
        <v>2</v>
      </c>
      <c r="BW198" s="215">
        <f t="shared" si="251"/>
        <v>0</v>
      </c>
      <c r="BX198" s="215">
        <f>IF(COUNTIF(BH198:BP198,"&gt;0")&lt;Spielorte!$A$23,0,BE198/Spielorte!$A$23)</f>
        <v>0</v>
      </c>
      <c r="BY198" s="215">
        <f t="shared" si="252"/>
        <v>0</v>
      </c>
      <c r="BZ198" s="214">
        <f t="shared" si="238"/>
        <v>0</v>
      </c>
    </row>
    <row r="199" spans="1:78" ht="27.75" customHeight="1" thickBot="1" x14ac:dyDescent="0.4">
      <c r="B199" s="81" t="str">
        <f>IF(AA199=0,"",AA199)</f>
        <v>Gesamt</v>
      </c>
      <c r="C199" s="82" t="str">
        <f t="shared" si="240"/>
        <v/>
      </c>
      <c r="D199" s="83">
        <f t="shared" si="241"/>
        <v>685</v>
      </c>
      <c r="E199" s="84">
        <f>IF(AD199="","",AD199)</f>
        <v>2</v>
      </c>
      <c r="F199" s="83">
        <f t="shared" si="220"/>
        <v>705</v>
      </c>
      <c r="G199" s="84">
        <f>IF(AF199="","",AF199)</f>
        <v>0</v>
      </c>
      <c r="H199" s="83">
        <f t="shared" si="221"/>
        <v>605</v>
      </c>
      <c r="I199" s="84">
        <f>IF(AH199="","",AH199)</f>
        <v>0</v>
      </c>
      <c r="J199" s="83">
        <f t="shared" si="222"/>
        <v>627</v>
      </c>
      <c r="K199" s="84">
        <f>IF(AJ199="","",AJ199)</f>
        <v>0</v>
      </c>
      <c r="L199" s="83">
        <f t="shared" si="223"/>
        <v>690</v>
      </c>
      <c r="M199" s="84">
        <f>IF(AL199="","",AL199)</f>
        <v>2</v>
      </c>
      <c r="N199" s="83">
        <f t="shared" si="242"/>
        <v>664</v>
      </c>
      <c r="O199" s="84">
        <f>IF(AN199="","",AN199)</f>
        <v>0</v>
      </c>
      <c r="P199" s="83">
        <f t="shared" si="224"/>
        <v>742</v>
      </c>
      <c r="Q199" s="84">
        <f>IF(AP199="","",AP199)</f>
        <v>2</v>
      </c>
      <c r="R199" s="83">
        <f t="shared" si="225"/>
        <v>702</v>
      </c>
      <c r="S199" s="84">
        <f>IF(AR199="","",AR199)</f>
        <v>0</v>
      </c>
      <c r="T199" s="83">
        <f t="shared" si="226"/>
        <v>736</v>
      </c>
      <c r="U199" s="84">
        <f>IF(AT199="","",AT199)</f>
        <v>0</v>
      </c>
      <c r="V199" s="83">
        <f t="shared" si="227"/>
        <v>6156</v>
      </c>
      <c r="W199" s="84">
        <f>IF(AV199="","",AV199)</f>
        <v>6</v>
      </c>
      <c r="AA199" s="81" t="s">
        <v>1799</v>
      </c>
      <c r="AB199" s="120"/>
      <c r="AC199" s="211">
        <f>ABS(SUM(AC187:AC189))+ABS(SUM(AC190:AC192))+ABS(SUM(AC193:AC195))+ABS(SUM(AC196:AC198))</f>
        <v>685</v>
      </c>
      <c r="AD199" s="121">
        <f>IF(AC199+AC209=0,0,IF(AC199=AC209,1,IF(AC199&gt;AC209,2,0)))</f>
        <v>2</v>
      </c>
      <c r="AE199" s="211">
        <f>ABS(SUM(AE187:AE189))+ABS(SUM(AE190:AE192))+ABS(SUM(AE193:AE195))+ABS(SUM(AE196:AE198))</f>
        <v>705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605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627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690</v>
      </c>
      <c r="AL199" s="121">
        <f>IF(AK199+AK209=0,0,IF(AK199=AK209,1,IF(AK199&gt;AK209,2,0)))</f>
        <v>2</v>
      </c>
      <c r="AM199" s="211">
        <f>ABS(SUM(AM187:AM189))+ABS(SUM(AM190:AM192))+ABS(SUM(AM193:AM195))+ABS(SUM(AM196:AM198))</f>
        <v>664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742</v>
      </c>
      <c r="AP199" s="121">
        <f>IF(AO199+AO209=0,0,IF(AO199=AO209,1,IF(AO199&gt;AO209,2,0)))</f>
        <v>2</v>
      </c>
      <c r="AQ199" s="211">
        <f>ABS(SUM(AQ187:AQ189))+ABS(SUM(AQ190:AQ192))+ABS(SUM(AQ193:AQ195))+ABS(SUM(AQ196:AQ198))</f>
        <v>702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736</v>
      </c>
      <c r="AT199" s="121">
        <f>IF(AS199+AS209=0,0,IF(AS199=AS209,1,IF(AS199&gt;AS209,2,0)))</f>
        <v>0</v>
      </c>
      <c r="AU199" s="122">
        <f>SUM(AC199+AE199+AG199+AI199+AK199+AM199+AO199+AQ199+AS199)</f>
        <v>6156</v>
      </c>
      <c r="AV199" s="123">
        <f>SUM(AD199+AF199+AH199+AJ199+AL199+AN199+AP199+AR199+AT199)</f>
        <v>6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4">
      <c r="B200" s="85" t="str">
        <f>IF(AA200=0,"",AA200)</f>
        <v>Gesamt - Punkte</v>
      </c>
      <c r="C200" s="86" t="str">
        <f t="shared" si="240"/>
        <v/>
      </c>
      <c r="D200" s="86" t="str">
        <f t="shared" si="241"/>
        <v/>
      </c>
      <c r="E200" s="87">
        <f>IF(AD200="","",AD200)</f>
        <v>6</v>
      </c>
      <c r="F200" s="86" t="str">
        <f t="shared" si="220"/>
        <v/>
      </c>
      <c r="G200" s="87">
        <f>IF(AF200="","",AF200)</f>
        <v>2</v>
      </c>
      <c r="H200" s="86" t="str">
        <f t="shared" si="221"/>
        <v/>
      </c>
      <c r="I200" s="87">
        <f>IF(AH200="","",AH200)</f>
        <v>1</v>
      </c>
      <c r="J200" s="86" t="str">
        <f t="shared" si="222"/>
        <v/>
      </c>
      <c r="K200" s="87">
        <f>IF(AJ200="","",AJ200)</f>
        <v>1.5</v>
      </c>
      <c r="L200" s="86" t="str">
        <f t="shared" si="223"/>
        <v/>
      </c>
      <c r="M200" s="87">
        <f>IF(AL200="","",AL200)</f>
        <v>5</v>
      </c>
      <c r="N200" s="86" t="str">
        <f t="shared" si="242"/>
        <v/>
      </c>
      <c r="O200" s="87">
        <f>IF(AN200="","",AN200)</f>
        <v>2</v>
      </c>
      <c r="P200" s="86" t="str">
        <f t="shared" si="224"/>
        <v/>
      </c>
      <c r="Q200" s="87">
        <f>IF(AP200="","",AP200)</f>
        <v>5</v>
      </c>
      <c r="R200" s="86" t="str">
        <f t="shared" si="225"/>
        <v/>
      </c>
      <c r="S200" s="87">
        <f>IF(AR200="","",AR200)</f>
        <v>2</v>
      </c>
      <c r="T200" s="86" t="str">
        <f t="shared" si="226"/>
        <v/>
      </c>
      <c r="U200" s="87">
        <f>IF(AT200="","",AT200)</f>
        <v>2</v>
      </c>
      <c r="V200" s="86" t="str">
        <f t="shared" si="227"/>
        <v/>
      </c>
      <c r="W200" s="87">
        <f>IF(AV200="","",AV200)</f>
        <v>26.5</v>
      </c>
      <c r="AA200" s="85" t="s">
        <v>1814</v>
      </c>
      <c r="AB200" s="86"/>
      <c r="AC200" s="86"/>
      <c r="AD200" s="124">
        <f>SUM(AD187:AD199)</f>
        <v>6</v>
      </c>
      <c r="AE200" s="86"/>
      <c r="AF200" s="124">
        <f>SUM(AF187:AF199)</f>
        <v>2</v>
      </c>
      <c r="AG200" s="86"/>
      <c r="AH200" s="124">
        <f>SUM(AH187:AH199)</f>
        <v>1</v>
      </c>
      <c r="AI200" s="86"/>
      <c r="AJ200" s="124">
        <f>SUM(AJ187:AJ199)</f>
        <v>1.5</v>
      </c>
      <c r="AK200" s="86"/>
      <c r="AL200" s="124">
        <f>SUM(AL187:AL199)</f>
        <v>5</v>
      </c>
      <c r="AM200" s="86"/>
      <c r="AN200" s="124">
        <f>SUM(AN187:AN199)</f>
        <v>2</v>
      </c>
      <c r="AO200" s="86"/>
      <c r="AP200" s="124">
        <f>SUM(AP187:AP199)</f>
        <v>5</v>
      </c>
      <c r="AQ200" s="86"/>
      <c r="AR200" s="124">
        <f>SUM(AR187:AR199)</f>
        <v>2</v>
      </c>
      <c r="AS200" s="86"/>
      <c r="AT200" s="124">
        <f>SUM(AT187:AT199)</f>
        <v>2</v>
      </c>
      <c r="AU200" s="86"/>
      <c r="AV200" s="125">
        <f>SUM(AV187:AV199)</f>
        <v>26.5</v>
      </c>
      <c r="AW200" s="101"/>
      <c r="AX200" s="102"/>
      <c r="BA200" s="212">
        <f>+AV200</f>
        <v>26.5</v>
      </c>
      <c r="BB200" s="213">
        <f>+AU199</f>
        <v>6156</v>
      </c>
      <c r="BC200" s="214">
        <f>+AA182</f>
        <v>7</v>
      </c>
      <c r="BF200" s="215">
        <f>SUM(BF181:BF199)</f>
        <v>36</v>
      </c>
      <c r="BQ200" s="212">
        <f>+BB200/1000000+BA200</f>
        <v>26.506156000000001</v>
      </c>
      <c r="BR200" s="214">
        <f>RANK(BQ200,BQ:BQ)</f>
        <v>7</v>
      </c>
      <c r="BV200" s="214"/>
      <c r="BZ200" s="214"/>
    </row>
    <row r="201" spans="1:78" ht="11.25" customHeight="1" x14ac:dyDescent="0.3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35">
      <c r="B202" s="88" t="str">
        <f t="shared" ref="B202:B209" si="253">IF(AA202=0,"",AA202)</f>
        <v>Gegner-Nr.:</v>
      </c>
      <c r="C202" s="89" t="str">
        <f t="shared" ref="C202:C209" si="254">IF(AB202=0,"",AB202)</f>
        <v>&gt;&gt;&gt;&gt;</v>
      </c>
      <c r="D202" s="346">
        <f t="shared" ref="D202:M204" si="255">IF(AC202=0,"",AC202)</f>
        <v>4</v>
      </c>
      <c r="E202" s="346" t="str">
        <f t="shared" si="255"/>
        <v/>
      </c>
      <c r="F202" s="346">
        <f t="shared" si="255"/>
        <v>6</v>
      </c>
      <c r="G202" s="346" t="str">
        <f t="shared" si="255"/>
        <v/>
      </c>
      <c r="H202" s="346">
        <f t="shared" si="255"/>
        <v>10</v>
      </c>
      <c r="I202" s="346" t="str">
        <f t="shared" si="255"/>
        <v/>
      </c>
      <c r="J202" s="346">
        <f t="shared" si="255"/>
        <v>2</v>
      </c>
      <c r="K202" s="346" t="str">
        <f t="shared" si="255"/>
        <v/>
      </c>
      <c r="L202" s="346">
        <f t="shared" si="255"/>
        <v>5</v>
      </c>
      <c r="M202" s="346" t="str">
        <f t="shared" si="255"/>
        <v/>
      </c>
      <c r="N202" s="346">
        <f t="shared" ref="N202:U204" si="256">IF(AM202=0,"",AM202)</f>
        <v>1</v>
      </c>
      <c r="O202" s="346" t="str">
        <f t="shared" si="256"/>
        <v/>
      </c>
      <c r="P202" s="346">
        <f t="shared" si="256"/>
        <v>9</v>
      </c>
      <c r="Q202" s="346" t="str">
        <f t="shared" si="256"/>
        <v/>
      </c>
      <c r="R202" s="346">
        <f t="shared" si="256"/>
        <v>8</v>
      </c>
      <c r="S202" s="346" t="str">
        <f t="shared" si="256"/>
        <v/>
      </c>
      <c r="T202" s="346">
        <f t="shared" si="256"/>
        <v>3</v>
      </c>
      <c r="U202" s="346" t="str">
        <f t="shared" si="256"/>
        <v/>
      </c>
      <c r="V202" s="347"/>
      <c r="W202" s="347"/>
      <c r="AA202" s="88" t="s">
        <v>1797</v>
      </c>
      <c r="AB202" s="89" t="s">
        <v>1798</v>
      </c>
      <c r="AC202" s="370">
        <f>VLOOKUP($AA182,Schlüssel!$A$5:$K$14,3)</f>
        <v>4</v>
      </c>
      <c r="AD202" s="371"/>
      <c r="AE202" s="370">
        <f>VLOOKUP($AA182,Schlüssel!$A$5:$K$14,4)</f>
        <v>6</v>
      </c>
      <c r="AF202" s="371"/>
      <c r="AG202" s="370">
        <f>VLOOKUP($AA182,Schlüssel!$A$5:$K$14,5)</f>
        <v>10</v>
      </c>
      <c r="AH202" s="371"/>
      <c r="AI202" s="370">
        <f>VLOOKUP($AA182,Schlüssel!$A$5:$K$14,6)</f>
        <v>2</v>
      </c>
      <c r="AJ202" s="371"/>
      <c r="AK202" s="370">
        <f>VLOOKUP($AA182,Schlüssel!$A$5:$K$14,7)</f>
        <v>5</v>
      </c>
      <c r="AL202" s="371"/>
      <c r="AM202" s="370">
        <f>VLOOKUP($AA182,Schlüssel!$A$5:$K$14,8)</f>
        <v>1</v>
      </c>
      <c r="AN202" s="371"/>
      <c r="AO202" s="370">
        <f>VLOOKUP($AA182,Schlüssel!$A$5:$K$14,9)</f>
        <v>9</v>
      </c>
      <c r="AP202" s="371"/>
      <c r="AQ202" s="370">
        <f>VLOOKUP($AA182,Schlüssel!$A$5:$K$14,10)</f>
        <v>8</v>
      </c>
      <c r="AR202" s="371"/>
      <c r="AS202" s="370">
        <f>VLOOKUP($AA182,Schlüssel!$A$5:$K$14,11)</f>
        <v>3</v>
      </c>
      <c r="AT202" s="371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35">
      <c r="B203" s="90" t="str">
        <f t="shared" si="253"/>
        <v/>
      </c>
      <c r="C203" s="86" t="str">
        <f t="shared" si="254"/>
        <v/>
      </c>
      <c r="D203" s="343" t="str">
        <f t="shared" si="255"/>
        <v>BK München 3</v>
      </c>
      <c r="E203" s="344" t="str">
        <f t="shared" si="255"/>
        <v/>
      </c>
      <c r="F203" s="343" t="str">
        <f t="shared" si="255"/>
        <v>Phönix 03 Lauf</v>
      </c>
      <c r="G203" s="344" t="str">
        <f t="shared" si="255"/>
        <v/>
      </c>
      <c r="H203" s="343" t="str">
        <f t="shared" si="255"/>
        <v>BK München 4</v>
      </c>
      <c r="I203" s="344" t="str">
        <f t="shared" si="255"/>
        <v/>
      </c>
      <c r="J203" s="343" t="str">
        <f t="shared" si="255"/>
        <v>BK München 2</v>
      </c>
      <c r="K203" s="344" t="str">
        <f t="shared" si="255"/>
        <v/>
      </c>
      <c r="L203" s="343" t="str">
        <f t="shared" si="255"/>
        <v xml:space="preserve">Weiß Blau Unterföhring </v>
      </c>
      <c r="M203" s="344" t="str">
        <f t="shared" si="255"/>
        <v/>
      </c>
      <c r="N203" s="343" t="str">
        <f t="shared" si="256"/>
        <v>Praetoria Regensburg</v>
      </c>
      <c r="O203" s="344" t="str">
        <f t="shared" si="256"/>
        <v/>
      </c>
      <c r="P203" s="343" t="str">
        <f t="shared" si="256"/>
        <v>RW Lichtenhof 69 Stein 2</v>
      </c>
      <c r="Q203" s="344" t="str">
        <f t="shared" si="256"/>
        <v/>
      </c>
      <c r="R203" s="343" t="str">
        <f t="shared" si="256"/>
        <v>EPA München 1</v>
      </c>
      <c r="S203" s="344" t="str">
        <f t="shared" si="256"/>
        <v/>
      </c>
      <c r="T203" s="343" t="str">
        <f t="shared" si="256"/>
        <v>Highroller Rosenheim</v>
      </c>
      <c r="U203" s="344" t="str">
        <f t="shared" si="256"/>
        <v/>
      </c>
      <c r="V203" s="345"/>
      <c r="W203" s="345"/>
      <c r="AA203" s="90"/>
      <c r="AB203" s="86"/>
      <c r="AC203" s="343" t="str">
        <f>VLOOKUP(AC202,Schlüssel!$A$5:$K$14,2)</f>
        <v>BK München 3</v>
      </c>
      <c r="AD203" s="344"/>
      <c r="AE203" s="343" t="str">
        <f>VLOOKUP(AE202,Schlüssel!$A$5:$K$14,2)</f>
        <v>Phönix 03 Lauf</v>
      </c>
      <c r="AF203" s="344"/>
      <c r="AG203" s="343" t="str">
        <f>VLOOKUP(AG202,Schlüssel!$A$5:$K$14,2)</f>
        <v>BK München 4</v>
      </c>
      <c r="AH203" s="344"/>
      <c r="AI203" s="343" t="str">
        <f>VLOOKUP(AI202,Schlüssel!$A$5:$K$14,2)</f>
        <v>BK München 2</v>
      </c>
      <c r="AJ203" s="344"/>
      <c r="AK203" s="343" t="str">
        <f>VLOOKUP(AK202,Schlüssel!$A$5:$K$14,2)</f>
        <v xml:space="preserve">Weiß Blau Unterföhring </v>
      </c>
      <c r="AL203" s="344"/>
      <c r="AM203" s="343" t="str">
        <f>VLOOKUP(AM202,Schlüssel!$A$5:$K$14,2)</f>
        <v>Praetoria Regensburg</v>
      </c>
      <c r="AN203" s="344"/>
      <c r="AO203" s="343" t="str">
        <f>VLOOKUP(AO202,Schlüssel!$A$5:$K$14,2)</f>
        <v>RW Lichtenhof 69 Stein 2</v>
      </c>
      <c r="AP203" s="344"/>
      <c r="AQ203" s="343" t="str">
        <f>VLOOKUP(AQ202,Schlüssel!$A$5:$K$14,2)</f>
        <v>EPA München 1</v>
      </c>
      <c r="AR203" s="344"/>
      <c r="AS203" s="343" t="str">
        <f>VLOOKUP(AS202,Schlüssel!$A$5:$K$14,2)</f>
        <v>Highroller Rosenheim</v>
      </c>
      <c r="AT203" s="344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35">
      <c r="B204" s="90" t="str">
        <f t="shared" si="253"/>
        <v/>
      </c>
      <c r="C204" s="86" t="str">
        <f t="shared" si="254"/>
        <v/>
      </c>
      <c r="D204" s="341" t="str">
        <f t="shared" si="255"/>
        <v/>
      </c>
      <c r="E204" s="341" t="str">
        <f t="shared" si="255"/>
        <v/>
      </c>
      <c r="F204" s="341" t="str">
        <f t="shared" si="255"/>
        <v/>
      </c>
      <c r="G204" s="341" t="str">
        <f t="shared" si="255"/>
        <v/>
      </c>
      <c r="H204" s="341" t="str">
        <f t="shared" si="255"/>
        <v/>
      </c>
      <c r="I204" s="341" t="str">
        <f t="shared" si="255"/>
        <v/>
      </c>
      <c r="J204" s="341" t="str">
        <f t="shared" si="255"/>
        <v/>
      </c>
      <c r="K204" s="341" t="str">
        <f t="shared" si="255"/>
        <v/>
      </c>
      <c r="L204" s="341" t="str">
        <f t="shared" si="255"/>
        <v/>
      </c>
      <c r="M204" s="341" t="str">
        <f t="shared" si="255"/>
        <v/>
      </c>
      <c r="N204" s="341" t="str">
        <f t="shared" si="256"/>
        <v/>
      </c>
      <c r="O204" s="341" t="str">
        <f t="shared" si="256"/>
        <v/>
      </c>
      <c r="P204" s="341" t="str">
        <f t="shared" si="256"/>
        <v/>
      </c>
      <c r="Q204" s="341" t="str">
        <f t="shared" si="256"/>
        <v/>
      </c>
      <c r="R204" s="341" t="str">
        <f t="shared" si="256"/>
        <v/>
      </c>
      <c r="S204" s="341" t="str">
        <f t="shared" si="256"/>
        <v/>
      </c>
      <c r="T204" s="341" t="str">
        <f t="shared" si="256"/>
        <v/>
      </c>
      <c r="U204" s="342" t="str">
        <f t="shared" si="256"/>
        <v/>
      </c>
      <c r="V204" s="301"/>
      <c r="W204" s="301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6.05" customHeight="1" x14ac:dyDescent="0.35">
      <c r="B205" s="365" t="str">
        <f t="shared" si="253"/>
        <v>Spieler 1</v>
      </c>
      <c r="C205" s="366" t="str">
        <f t="shared" si="254"/>
        <v/>
      </c>
      <c r="D205" s="339">
        <f>IF(AC205=301,"",AC205)</f>
        <v>0</v>
      </c>
      <c r="E205" s="339" t="str">
        <f>IF(AD205=0,"",AD205)</f>
        <v/>
      </c>
      <c r="F205" s="339">
        <f>IF(AE205=301,"",AE205)</f>
        <v>172</v>
      </c>
      <c r="G205" s="339" t="str">
        <f>IF(AF205=0,"",AF205)</f>
        <v/>
      </c>
      <c r="H205" s="339">
        <f>IF(AG205=301,"",AG205)</f>
        <v>145</v>
      </c>
      <c r="I205" s="339" t="str">
        <f>IF(AH205=0,"",AH205)</f>
        <v/>
      </c>
      <c r="J205" s="339">
        <f>IF(AI205=301,"",AI205)</f>
        <v>222</v>
      </c>
      <c r="K205" s="339" t="str">
        <f>IF(AJ205=0,"",AJ205)</f>
        <v/>
      </c>
      <c r="L205" s="339">
        <f>IF(AK205=301,"",AK205)</f>
        <v>194</v>
      </c>
      <c r="M205" s="339" t="str">
        <f>IF(AL205=0,"",AL205)</f>
        <v/>
      </c>
      <c r="N205" s="339">
        <f>IF(AM205=301,"",AM205)</f>
        <v>147</v>
      </c>
      <c r="O205" s="339" t="str">
        <f>IF(AN205=0,"",AN205)</f>
        <v/>
      </c>
      <c r="P205" s="339">
        <f>IF(AO205=301,"",AO205)</f>
        <v>212</v>
      </c>
      <c r="Q205" s="339" t="str">
        <f>IF(AP205=0,"",AP205)</f>
        <v/>
      </c>
      <c r="R205" s="339">
        <f>IF(AQ205=301,"",AQ205)</f>
        <v>160</v>
      </c>
      <c r="S205" s="339" t="str">
        <f>IF(AR205=0,"",AR205)</f>
        <v/>
      </c>
      <c r="T205" s="339">
        <f>IF(AS205=301,"",AS205)</f>
        <v>191</v>
      </c>
      <c r="U205" s="339" t="str">
        <f>IF(AT205=0,"",AT205)</f>
        <v/>
      </c>
      <c r="V205" s="340"/>
      <c r="W205" s="340"/>
      <c r="AA205" s="91" t="s">
        <v>0</v>
      </c>
      <c r="AB205" s="92"/>
      <c r="AC205" s="372">
        <f>ABS(INDEX(AC:AC,MATCH(AC202,$AA:$AA,0)+5)+INDEX(AC:AC,MATCH(AC202,$AA:$AA,0)+6)+INDEX(AC:AC,MATCH(AC202,$AA:$AA,0)+7))</f>
        <v>0</v>
      </c>
      <c r="AD205" s="373"/>
      <c r="AE205" s="372">
        <f>ABS(INDEX(AE:AE,MATCH(AE202,$AA:$AA,0)+5)+INDEX(AE:AE,MATCH(AE202,$AA:$AA,0)+6)+INDEX(AE:AE,MATCH(AE202,$AA:$AA,0)+7))</f>
        <v>172</v>
      </c>
      <c r="AF205" s="373"/>
      <c r="AG205" s="372">
        <f>ABS(INDEX(AG:AG,MATCH(AG202,$AA:$AA,0)+5)+INDEX(AG:AG,MATCH(AG202,$AA:$AA,0)+6)+INDEX(AG:AG,MATCH(AG202,$AA:$AA,0)+7))</f>
        <v>145</v>
      </c>
      <c r="AH205" s="373"/>
      <c r="AI205" s="372">
        <f>ABS(INDEX(AI:AI,MATCH(AI202,$AA:$AA,0)+5)+INDEX(AI:AI,MATCH(AI202,$AA:$AA,0)+6)+INDEX(AI:AI,MATCH(AI202,$AA:$AA,0)+7))</f>
        <v>222</v>
      </c>
      <c r="AJ205" s="373"/>
      <c r="AK205" s="372">
        <f>ABS(INDEX(AK:AK,MATCH(AK202,$AA:$AA,0)+5)+INDEX(AK:AK,MATCH(AK202,$AA:$AA,0)+6)+INDEX(AK:AK,MATCH(AK202,$AA:$AA,0)+7))</f>
        <v>194</v>
      </c>
      <c r="AL205" s="373"/>
      <c r="AM205" s="372">
        <f>ABS(INDEX(AM:AM,MATCH(AM202,$AA:$AA,0)+5)+INDEX(AM:AM,MATCH(AM202,$AA:$AA,0)+6)+INDEX(AM:AM,MATCH(AM202,$AA:$AA,0)+7))</f>
        <v>147</v>
      </c>
      <c r="AN205" s="373"/>
      <c r="AO205" s="372">
        <f>ABS(INDEX(AO:AO,MATCH(AO202,$AA:$AA,0)+5)+INDEX(AO:AO,MATCH(AO202,$AA:$AA,0)+6)+INDEX(AO:AO,MATCH(AO202,$AA:$AA,0)+7))</f>
        <v>212</v>
      </c>
      <c r="AP205" s="373"/>
      <c r="AQ205" s="372">
        <f>ABS(INDEX(AQ:AQ,MATCH(AQ202,$AA:$AA,0)+5)+INDEX(AQ:AQ,MATCH(AQ202,$AA:$AA,0)+6)+INDEX(AQ:AQ,MATCH(AQ202,$AA:$AA,0)+7))</f>
        <v>160</v>
      </c>
      <c r="AR205" s="373"/>
      <c r="AS205" s="372">
        <f>ABS(INDEX(AS:AS,MATCH(AS202,$AA:$AA,0)+5)+INDEX(AS:AS,MATCH(AS202,$AA:$AA,0)+6)+INDEX(AS:AS,MATCH(AS202,$AA:$AA,0)+7))</f>
        <v>191</v>
      </c>
      <c r="AT205" s="373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6.05" customHeight="1" x14ac:dyDescent="0.35">
      <c r="B206" s="365" t="str">
        <f t="shared" si="253"/>
        <v>Spieler 2</v>
      </c>
      <c r="C206" s="366" t="str">
        <f t="shared" si="254"/>
        <v/>
      </c>
      <c r="D206" s="339">
        <f>IF(AC206=301,"",AC206)</f>
        <v>0</v>
      </c>
      <c r="E206" s="339" t="str">
        <f>IF(AD206=0,"",AD206)</f>
        <v/>
      </c>
      <c r="F206" s="339">
        <f>IF(AE206=301,"",AE206)</f>
        <v>220</v>
      </c>
      <c r="G206" s="339" t="str">
        <f>IF(AF206=0,"",AF206)</f>
        <v/>
      </c>
      <c r="H206" s="339">
        <f>IF(AG206=301,"",AG206)</f>
        <v>160</v>
      </c>
      <c r="I206" s="339" t="str">
        <f>IF(AH206=0,"",AH206)</f>
        <v/>
      </c>
      <c r="J206" s="339">
        <f>IF(AI206=301,"",AI206)</f>
        <v>132</v>
      </c>
      <c r="K206" s="339" t="str">
        <f>IF(AJ206=0,"",AJ206)</f>
        <v/>
      </c>
      <c r="L206" s="339">
        <f>IF(AK206=301,"",AK206)</f>
        <v>158</v>
      </c>
      <c r="M206" s="339" t="str">
        <f>IF(AL206=0,"",AL206)</f>
        <v/>
      </c>
      <c r="N206" s="339">
        <f>IF(AM206=301,"",AM206)</f>
        <v>197</v>
      </c>
      <c r="O206" s="339" t="str">
        <f>IF(AN206=0,"",AN206)</f>
        <v/>
      </c>
      <c r="P206" s="339">
        <f>IF(AO206=301,"",AO206)</f>
        <v>177</v>
      </c>
      <c r="Q206" s="339" t="str">
        <f>IF(AP206=0,"",AP206)</f>
        <v/>
      </c>
      <c r="R206" s="339">
        <f>IF(AQ206=301,"",AQ206)</f>
        <v>202</v>
      </c>
      <c r="S206" s="339" t="str">
        <f>IF(AR206=0,"",AR206)</f>
        <v/>
      </c>
      <c r="T206" s="339">
        <f>IF(AS206=301,"",AS206)</f>
        <v>188</v>
      </c>
      <c r="U206" s="339" t="str">
        <f>IF(AT206=0,"",AT206)</f>
        <v/>
      </c>
      <c r="V206" s="340"/>
      <c r="W206" s="340"/>
      <c r="AA206" s="91" t="s">
        <v>2</v>
      </c>
      <c r="AB206" s="92"/>
      <c r="AC206" s="374">
        <f>ABS(INDEX(AC:AC,MATCH(AC202,$AA:$AA,0)+8)+INDEX(AC:AC,MATCH(AC202,$AA:$AA,0)+9)+INDEX(AC:AC,MATCH(AC202,$AA:$AA,0)+10))</f>
        <v>0</v>
      </c>
      <c r="AD206" s="375"/>
      <c r="AE206" s="374">
        <f>ABS(INDEX(AE:AE,MATCH(AE202,$AA:$AA,0)+8)+INDEX(AE:AE,MATCH(AE202,$AA:$AA,0)+9)+INDEX(AE:AE,MATCH(AE202,$AA:$AA,0)+10))</f>
        <v>220</v>
      </c>
      <c r="AF206" s="375"/>
      <c r="AG206" s="374">
        <f>ABS(INDEX(AG:AG,MATCH(AG202,$AA:$AA,0)+8)+INDEX(AG:AG,MATCH(AG202,$AA:$AA,0)+9)+INDEX(AG:AG,MATCH(AG202,$AA:$AA,0)+10))</f>
        <v>160</v>
      </c>
      <c r="AH206" s="375"/>
      <c r="AI206" s="374">
        <f>ABS(INDEX(AI:AI,MATCH(AI202,$AA:$AA,0)+8)+INDEX(AI:AI,MATCH(AI202,$AA:$AA,0)+9)+INDEX(AI:AI,MATCH(AI202,$AA:$AA,0)+10))</f>
        <v>132</v>
      </c>
      <c r="AJ206" s="375"/>
      <c r="AK206" s="374">
        <f>ABS(INDEX(AK:AK,MATCH(AK202,$AA:$AA,0)+8)+INDEX(AK:AK,MATCH(AK202,$AA:$AA,0)+9)+INDEX(AK:AK,MATCH(AK202,$AA:$AA,0)+10))</f>
        <v>158</v>
      </c>
      <c r="AL206" s="375"/>
      <c r="AM206" s="374">
        <f>ABS(INDEX(AM:AM,MATCH(AM202,$AA:$AA,0)+8)+INDEX(AM:AM,MATCH(AM202,$AA:$AA,0)+9)+INDEX(AM:AM,MATCH(AM202,$AA:$AA,0)+10))</f>
        <v>197</v>
      </c>
      <c r="AN206" s="375"/>
      <c r="AO206" s="374">
        <f>ABS(INDEX(AO:AO,MATCH(AO202,$AA:$AA,0)+8)+INDEX(AO:AO,MATCH(AO202,$AA:$AA,0)+9)+INDEX(AO:AO,MATCH(AO202,$AA:$AA,0)+10))</f>
        <v>177</v>
      </c>
      <c r="AP206" s="375"/>
      <c r="AQ206" s="374">
        <f>ABS(INDEX(AQ:AQ,MATCH(AQ202,$AA:$AA,0)+8)+INDEX(AQ:AQ,MATCH(AQ202,$AA:$AA,0)+9)+INDEX(AQ:AQ,MATCH(AQ202,$AA:$AA,0)+10))</f>
        <v>202</v>
      </c>
      <c r="AR206" s="375"/>
      <c r="AS206" s="374">
        <f>ABS(INDEX(AS:AS,MATCH(AS202,$AA:$AA,0)+8)+INDEX(AS:AS,MATCH(AS202,$AA:$AA,0)+9)+INDEX(AS:AS,MATCH(AS202,$AA:$AA,0)+10))</f>
        <v>188</v>
      </c>
      <c r="AT206" s="37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6.05" customHeight="1" x14ac:dyDescent="0.35">
      <c r="B207" s="365" t="str">
        <f t="shared" si="253"/>
        <v>Spieler 3</v>
      </c>
      <c r="C207" s="366" t="str">
        <f t="shared" si="254"/>
        <v/>
      </c>
      <c r="D207" s="339">
        <f>IF(AC207=301,"",AC207)</f>
        <v>0</v>
      </c>
      <c r="E207" s="339" t="str">
        <f>IF(AD207=0,"",AD207)</f>
        <v/>
      </c>
      <c r="F207" s="339">
        <f>IF(AE207=301,"",AE207)</f>
        <v>170</v>
      </c>
      <c r="G207" s="339" t="str">
        <f>IF(AF207=0,"",AF207)</f>
        <v/>
      </c>
      <c r="H207" s="339">
        <f>IF(AG207=301,"",AG207)</f>
        <v>202</v>
      </c>
      <c r="I207" s="339" t="str">
        <f>IF(AH207=0,"",AH207)</f>
        <v/>
      </c>
      <c r="J207" s="339">
        <f>IF(AI207=301,"",AI207)</f>
        <v>134</v>
      </c>
      <c r="K207" s="339" t="str">
        <f>IF(AJ207=0,"",AJ207)</f>
        <v/>
      </c>
      <c r="L207" s="339">
        <f>IF(AK207=301,"",AK207)</f>
        <v>145</v>
      </c>
      <c r="M207" s="339" t="str">
        <f>IF(AL207=0,"",AL207)</f>
        <v/>
      </c>
      <c r="N207" s="339">
        <f>IF(AM207=301,"",AM207)</f>
        <v>197</v>
      </c>
      <c r="O207" s="339" t="str">
        <f>IF(AN207=0,"",AN207)</f>
        <v/>
      </c>
      <c r="P207" s="339">
        <f>IF(AO207=301,"",AO207)</f>
        <v>140</v>
      </c>
      <c r="Q207" s="339" t="str">
        <f>IF(AP207=0,"",AP207)</f>
        <v/>
      </c>
      <c r="R207" s="339">
        <f>IF(AQ207=301,"",AQ207)</f>
        <v>191</v>
      </c>
      <c r="S207" s="339" t="str">
        <f>IF(AR207=0,"",AR207)</f>
        <v/>
      </c>
      <c r="T207" s="339">
        <f>IF(AS207=301,"",AS207)</f>
        <v>225</v>
      </c>
      <c r="U207" s="339" t="str">
        <f>IF(AT207=0,"",AT207)</f>
        <v/>
      </c>
      <c r="V207" s="340"/>
      <c r="W207" s="340"/>
      <c r="AA207" s="91" t="s">
        <v>3</v>
      </c>
      <c r="AB207" s="92"/>
      <c r="AC207" s="374">
        <f>ABS(INDEX(AC:AC,MATCH(AC202,$AA:$AA,0)+11)+INDEX(AC:AC,MATCH(AC202,$AA:$AA,0)+12)+INDEX(AC:AC,MATCH(AC202,$AA:$AA,0)+13))</f>
        <v>0</v>
      </c>
      <c r="AD207" s="375"/>
      <c r="AE207" s="374">
        <f>ABS(INDEX(AE:AE,MATCH(AE202,$AA:$AA,0)+11)+INDEX(AE:AE,MATCH(AE202,$AA:$AA,0)+12)+INDEX(AE:AE,MATCH(AE202,$AA:$AA,0)+13))</f>
        <v>170</v>
      </c>
      <c r="AF207" s="375"/>
      <c r="AG207" s="374">
        <f>ABS(INDEX(AG:AG,MATCH(AG202,$AA:$AA,0)+11)+INDEX(AG:AG,MATCH(AG202,$AA:$AA,0)+12)+INDEX(AG:AG,MATCH(AG202,$AA:$AA,0)+13))</f>
        <v>202</v>
      </c>
      <c r="AH207" s="375"/>
      <c r="AI207" s="374">
        <f>ABS(INDEX(AI:AI,MATCH(AI202,$AA:$AA,0)+11)+INDEX(AI:AI,MATCH(AI202,$AA:$AA,0)+12)+INDEX(AI:AI,MATCH(AI202,$AA:$AA,0)+13))</f>
        <v>134</v>
      </c>
      <c r="AJ207" s="375"/>
      <c r="AK207" s="374">
        <f>ABS(INDEX(AK:AK,MATCH(AK202,$AA:$AA,0)+11)+INDEX(AK:AK,MATCH(AK202,$AA:$AA,0)+12)+INDEX(AK:AK,MATCH(AK202,$AA:$AA,0)+13))</f>
        <v>145</v>
      </c>
      <c r="AL207" s="375"/>
      <c r="AM207" s="374">
        <f>ABS(INDEX(AM:AM,MATCH(AM202,$AA:$AA,0)+11)+INDEX(AM:AM,MATCH(AM202,$AA:$AA,0)+12)+INDEX(AM:AM,MATCH(AM202,$AA:$AA,0)+13))</f>
        <v>197</v>
      </c>
      <c r="AN207" s="375"/>
      <c r="AO207" s="374">
        <f>ABS(INDEX(AO:AO,MATCH(AO202,$AA:$AA,0)+11)+INDEX(AO:AO,MATCH(AO202,$AA:$AA,0)+12)+INDEX(AO:AO,MATCH(AO202,$AA:$AA,0)+13))</f>
        <v>140</v>
      </c>
      <c r="AP207" s="375"/>
      <c r="AQ207" s="374">
        <f>ABS(INDEX(AQ:AQ,MATCH(AQ202,$AA:$AA,0)+11)+INDEX(AQ:AQ,MATCH(AQ202,$AA:$AA,0)+12)+INDEX(AQ:AQ,MATCH(AQ202,$AA:$AA,0)+13))</f>
        <v>191</v>
      </c>
      <c r="AR207" s="375"/>
      <c r="AS207" s="374">
        <f>ABS(INDEX(AS:AS,MATCH(AS202,$AA:$AA,0)+11)+INDEX(AS:AS,MATCH(AS202,$AA:$AA,0)+12)+INDEX(AS:AS,MATCH(AS202,$AA:$AA,0)+13))</f>
        <v>225</v>
      </c>
      <c r="AT207" s="37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6.05" customHeight="1" x14ac:dyDescent="0.35">
      <c r="B208" s="365" t="str">
        <f t="shared" si="253"/>
        <v>Spieler 4</v>
      </c>
      <c r="C208" s="366" t="str">
        <f t="shared" si="254"/>
        <v/>
      </c>
      <c r="D208" s="339">
        <f>IF(AC208=301,"",AC208)</f>
        <v>0</v>
      </c>
      <c r="E208" s="339" t="str">
        <f>IF(AD208=0,"",AD208)</f>
        <v/>
      </c>
      <c r="F208" s="339">
        <f>IF(AE208=301,"",AE208)</f>
        <v>177</v>
      </c>
      <c r="G208" s="339" t="str">
        <f>IF(AF208=0,"",AF208)</f>
        <v/>
      </c>
      <c r="H208" s="339">
        <f>IF(AG208=301,"",AG208)</f>
        <v>179</v>
      </c>
      <c r="I208" s="339" t="str">
        <f>IF(AH208=0,"",AH208)</f>
        <v/>
      </c>
      <c r="J208" s="339">
        <f>IF(AI208=301,"",AI208)</f>
        <v>180</v>
      </c>
      <c r="K208" s="339" t="str">
        <f>IF(AJ208=0,"",AJ208)</f>
        <v/>
      </c>
      <c r="L208" s="339">
        <f>IF(AK208=301,"",AK208)</f>
        <v>167</v>
      </c>
      <c r="M208" s="339" t="str">
        <f>IF(AL208=0,"",AL208)</f>
        <v/>
      </c>
      <c r="N208" s="339">
        <f>IF(AM208=301,"",AM208)</f>
        <v>158</v>
      </c>
      <c r="O208" s="339" t="str">
        <f>IF(AN208=0,"",AN208)</f>
        <v/>
      </c>
      <c r="P208" s="339">
        <f>IF(AO208=301,"",AO208)</f>
        <v>160</v>
      </c>
      <c r="Q208" s="339" t="str">
        <f>IF(AP208=0,"",AP208)</f>
        <v/>
      </c>
      <c r="R208" s="339">
        <f>IF(AQ208=301,"",AQ208)</f>
        <v>156</v>
      </c>
      <c r="S208" s="339" t="str">
        <f>IF(AR208=0,"",AR208)</f>
        <v/>
      </c>
      <c r="T208" s="339">
        <f>IF(AS208=301,"",AS208)</f>
        <v>174</v>
      </c>
      <c r="U208" s="339" t="str">
        <f>IF(AT208=0,"",AT208)</f>
        <v/>
      </c>
      <c r="V208" s="340"/>
      <c r="W208" s="340"/>
      <c r="AA208" s="91" t="s">
        <v>11</v>
      </c>
      <c r="AB208" s="92"/>
      <c r="AC208" s="374">
        <f>ABS(INDEX(AC:AC,MATCH(AC202,$AA:$AA,0)+14)+INDEX(AC:AC,MATCH(AC202,$AA:$AA,0)+15)+INDEX(AC:AC,MATCH(AC202,$AA:$AA,0)+16))</f>
        <v>0</v>
      </c>
      <c r="AD208" s="375"/>
      <c r="AE208" s="374">
        <f>ABS(INDEX(AE:AE,MATCH(AE202,$AA:$AA,0)+14)+INDEX(AE:AE,MATCH(AE202,$AA:$AA,0)+15)+INDEX(AE:AE,MATCH(AE202,$AA:$AA,0)+16))</f>
        <v>177</v>
      </c>
      <c r="AF208" s="375"/>
      <c r="AG208" s="374">
        <f>ABS(INDEX(AG:AG,MATCH(AG202,$AA:$AA,0)+14)+INDEX(AG:AG,MATCH(AG202,$AA:$AA,0)+15)+INDEX(AG:AG,MATCH(AG202,$AA:$AA,0)+16))</f>
        <v>179</v>
      </c>
      <c r="AH208" s="375"/>
      <c r="AI208" s="374">
        <f>ABS(INDEX(AI:AI,MATCH(AI202,$AA:$AA,0)+14)+INDEX(AI:AI,MATCH(AI202,$AA:$AA,0)+15)+INDEX(AI:AI,MATCH(AI202,$AA:$AA,0)+16))</f>
        <v>180</v>
      </c>
      <c r="AJ208" s="375"/>
      <c r="AK208" s="374">
        <f>ABS(INDEX(AK:AK,MATCH(AK202,$AA:$AA,0)+14)+INDEX(AK:AK,MATCH(AK202,$AA:$AA,0)+15)+INDEX(AK:AK,MATCH(AK202,$AA:$AA,0)+16))</f>
        <v>167</v>
      </c>
      <c r="AL208" s="375"/>
      <c r="AM208" s="374">
        <f>ABS(INDEX(AM:AM,MATCH(AM202,$AA:$AA,0)+14)+INDEX(AM:AM,MATCH(AM202,$AA:$AA,0)+15)+INDEX(AM:AM,MATCH(AM202,$AA:$AA,0)+16))</f>
        <v>158</v>
      </c>
      <c r="AN208" s="375"/>
      <c r="AO208" s="374">
        <f>ABS(INDEX(AO:AO,MATCH(AO202,$AA:$AA,0)+14)+INDEX(AO:AO,MATCH(AO202,$AA:$AA,0)+15)+INDEX(AO:AO,MATCH(AO202,$AA:$AA,0)+16))</f>
        <v>160</v>
      </c>
      <c r="AP208" s="375"/>
      <c r="AQ208" s="374">
        <f>ABS(INDEX(AQ:AQ,MATCH(AQ202,$AA:$AA,0)+14)+INDEX(AQ:AQ,MATCH(AQ202,$AA:$AA,0)+15)+INDEX(AQ:AQ,MATCH(AQ202,$AA:$AA,0)+16))</f>
        <v>156</v>
      </c>
      <c r="AR208" s="375"/>
      <c r="AS208" s="374">
        <f>ABS(INDEX(AS:AS,MATCH(AS202,$AA:$AA,0)+14)+INDEX(AS:AS,MATCH(AS202,$AA:$AA,0)+15)+INDEX(AS:AS,MATCH(AS202,$AA:$AA,0)+16))</f>
        <v>174</v>
      </c>
      <c r="AT208" s="37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6.05" customHeight="1" x14ac:dyDescent="0.35">
      <c r="B209" s="354" t="str">
        <f t="shared" si="253"/>
        <v>Gesamt</v>
      </c>
      <c r="C209" s="355" t="str">
        <f t="shared" si="254"/>
        <v/>
      </c>
      <c r="D209" s="338">
        <f>IF(AC209=1505,"",AC209)</f>
        <v>0</v>
      </c>
      <c r="E209" s="338" t="str">
        <f>IF(AD209=0,"",AD209)</f>
        <v/>
      </c>
      <c r="F209" s="338">
        <f>IF(AE209=1505,"",AE209)</f>
        <v>739</v>
      </c>
      <c r="G209" s="338" t="str">
        <f>IF(AF209=0,"",AF209)</f>
        <v/>
      </c>
      <c r="H209" s="338">
        <f>IF(AG209=1505,"",AG209)</f>
        <v>686</v>
      </c>
      <c r="I209" s="338" t="str">
        <f>IF(AH209=0,"",AH209)</f>
        <v/>
      </c>
      <c r="J209" s="338">
        <f>IF(AI209=1505,"",AI209)</f>
        <v>668</v>
      </c>
      <c r="K209" s="338" t="str">
        <f>IF(AJ209=0,"",AJ209)</f>
        <v/>
      </c>
      <c r="L209" s="338">
        <f>IF(AK209=1505,"",AK209)</f>
        <v>664</v>
      </c>
      <c r="M209" s="338" t="str">
        <f>IF(AL209=0,"",AL209)</f>
        <v/>
      </c>
      <c r="N209" s="338">
        <f>IF(AM209=1505,"",AM209)</f>
        <v>699</v>
      </c>
      <c r="O209" s="338" t="str">
        <f>IF(AN209=0,"",AN209)</f>
        <v/>
      </c>
      <c r="P209" s="338">
        <f>IF(AO209=1505,"",AO209)</f>
        <v>689</v>
      </c>
      <c r="Q209" s="338" t="str">
        <f>IF(AP209=0,"",AP209)</f>
        <v/>
      </c>
      <c r="R209" s="338">
        <f>IF(AQ209=1505,"",AQ209)</f>
        <v>709</v>
      </c>
      <c r="S209" s="338" t="str">
        <f>IF(AR209=0,"",AR209)</f>
        <v/>
      </c>
      <c r="T209" s="338">
        <f>IF(AS209=1505,"",AS209)</f>
        <v>778</v>
      </c>
      <c r="U209" s="338" t="str">
        <f>IF(AT209=0,"",AT209)</f>
        <v/>
      </c>
      <c r="V209" s="290"/>
      <c r="W209" s="290"/>
      <c r="AA209" s="93" t="s">
        <v>1799</v>
      </c>
      <c r="AB209" s="94"/>
      <c r="AC209" s="354">
        <f>SUM(AC205:AC208)</f>
        <v>0</v>
      </c>
      <c r="AD209" s="355"/>
      <c r="AE209" s="354">
        <f>SUM(AE205:AE208)</f>
        <v>739</v>
      </c>
      <c r="AF209" s="355"/>
      <c r="AG209" s="354">
        <f>SUM(AG205:AG208)</f>
        <v>686</v>
      </c>
      <c r="AH209" s="355"/>
      <c r="AI209" s="354">
        <f>SUM(AI205:AI208)</f>
        <v>668</v>
      </c>
      <c r="AJ209" s="355"/>
      <c r="AK209" s="354">
        <f>SUM(AK205:AK208)</f>
        <v>664</v>
      </c>
      <c r="AL209" s="355"/>
      <c r="AM209" s="354">
        <f>SUM(AM205:AM208)</f>
        <v>699</v>
      </c>
      <c r="AN209" s="355"/>
      <c r="AO209" s="354">
        <f>SUM(AO205:AO208)</f>
        <v>689</v>
      </c>
      <c r="AP209" s="355"/>
      <c r="AQ209" s="354">
        <f>SUM(AQ205:AQ208)</f>
        <v>709</v>
      </c>
      <c r="AR209" s="355"/>
      <c r="AS209" s="354">
        <f>SUM(AS205:AS208)</f>
        <v>778</v>
      </c>
      <c r="AT209" s="35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3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7">
      <c r="B211" s="44" t="str">
        <f>AA211</f>
        <v>Team-Nr.</v>
      </c>
      <c r="C211" s="45"/>
      <c r="D211" s="44" t="str">
        <f>AC211</f>
        <v>Liga:</v>
      </c>
      <c r="E211" s="47"/>
      <c r="F211" s="359" t="str">
        <f>AE211</f>
        <v>Bayernliga Frauen</v>
      </c>
      <c r="G211" s="359"/>
      <c r="H211" s="359"/>
      <c r="I211" s="359"/>
      <c r="J211" s="359"/>
      <c r="K211" s="359"/>
      <c r="L211" s="359"/>
      <c r="M211" s="359"/>
      <c r="N211" s="359"/>
      <c r="O211" s="359"/>
      <c r="P211" s="359"/>
      <c r="Q211" s="359"/>
      <c r="R211" s="48"/>
      <c r="S211" s="49" t="s">
        <v>1794</v>
      </c>
      <c r="T211" s="50"/>
      <c r="U211" s="360" t="str">
        <f>AT211</f>
        <v>12.10./13.10.</v>
      </c>
      <c r="V211" s="361"/>
      <c r="W211" s="362"/>
      <c r="X211" s="363"/>
      <c r="Y211" s="364"/>
      <c r="Z211" s="364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0" t="str">
        <f>VLOOKUP(AS212,Spielorte!$A$1:$C$6,2)</f>
        <v>12.10./13.10.</v>
      </c>
      <c r="AU211" s="361"/>
      <c r="AV211" s="362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65">
      <c r="B212" s="53">
        <f>AA212</f>
        <v>8</v>
      </c>
      <c r="D212" s="46" t="s">
        <v>1793</v>
      </c>
      <c r="E212" s="54"/>
      <c r="F212" s="358" t="str">
        <f>AE212</f>
        <v>Unterföhring Dreambowl Palace</v>
      </c>
      <c r="G212" s="358"/>
      <c r="H212" s="358"/>
      <c r="I212" s="358"/>
      <c r="J212" s="358"/>
      <c r="K212" s="358"/>
      <c r="L212" s="358"/>
      <c r="M212" s="358"/>
      <c r="N212" s="358"/>
      <c r="O212" s="358"/>
      <c r="P212" s="55"/>
      <c r="Q212" s="55"/>
      <c r="S212" s="49" t="s">
        <v>1791</v>
      </c>
      <c r="T212" s="56">
        <f>AS212</f>
        <v>1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Unterföhring Dreambowl Palace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1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4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5" thickBot="1" x14ac:dyDescent="0.45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VLOOKUP($AA212,Schlüssel!$A$5:$DZ$14,13)</f>
        <v>3</v>
      </c>
      <c r="AE214" s="65" t="s">
        <v>10</v>
      </c>
      <c r="AF214" s="44">
        <f>VLOOKUP($AA212,Schlüssel!$A$5:$DZ$14,14)</f>
        <v>8</v>
      </c>
      <c r="AG214" s="65" t="s">
        <v>10</v>
      </c>
      <c r="AH214" s="44">
        <f>VLOOKUP($AA212,Schlüssel!$A$5:$DZ$14,15)</f>
        <v>5</v>
      </c>
      <c r="AI214" s="65" t="s">
        <v>10</v>
      </c>
      <c r="AJ214" s="44">
        <f>VLOOKUP($AA212,Schlüssel!$A$5:$DZ$14,16)</f>
        <v>2</v>
      </c>
      <c r="AK214" s="65" t="s">
        <v>10</v>
      </c>
      <c r="AL214" s="44">
        <f>VLOOKUP($AA212,Schlüssel!$A$5:$DZ$14,17)</f>
        <v>10</v>
      </c>
      <c r="AM214" s="65" t="s">
        <v>10</v>
      </c>
      <c r="AN214" s="44">
        <f>VLOOKUP($AA212,Schlüssel!$A$5:$DZ$14,18)</f>
        <v>6</v>
      </c>
      <c r="AO214" s="65" t="s">
        <v>10</v>
      </c>
      <c r="AP214" s="44">
        <f>VLOOKUP($AA212,Schlüssel!$A$5:$DZ$14,19)</f>
        <v>4</v>
      </c>
      <c r="AQ214" s="65" t="s">
        <v>10</v>
      </c>
      <c r="AR214" s="44">
        <f>VLOOKUP($AA212,Schlüssel!$A$5:$DZ$14,20)</f>
        <v>9</v>
      </c>
      <c r="AS214" s="65" t="s">
        <v>10</v>
      </c>
      <c r="AT214" s="44">
        <f>VLOOKUP($AA212,Schlüssel!$A$5:$DZ$14,21)</f>
        <v>1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35">
      <c r="B215" s="67" t="s">
        <v>1</v>
      </c>
      <c r="C215" s="68"/>
      <c r="D215" s="354" t="s">
        <v>1800</v>
      </c>
      <c r="E215" s="355"/>
      <c r="F215" s="354" t="s">
        <v>1801</v>
      </c>
      <c r="G215" s="355"/>
      <c r="H215" s="354" t="s">
        <v>1802</v>
      </c>
      <c r="I215" s="355"/>
      <c r="J215" s="354" t="s">
        <v>1803</v>
      </c>
      <c r="K215" s="355"/>
      <c r="L215" s="354" t="s">
        <v>1804</v>
      </c>
      <c r="M215" s="355"/>
      <c r="N215" s="354" t="s">
        <v>1805</v>
      </c>
      <c r="O215" s="355"/>
      <c r="P215" s="354" t="s">
        <v>1806</v>
      </c>
      <c r="Q215" s="355"/>
      <c r="R215" s="354" t="s">
        <v>1807</v>
      </c>
      <c r="S215" s="355"/>
      <c r="T215" s="354" t="s">
        <v>1808</v>
      </c>
      <c r="U215" s="355"/>
      <c r="V215" s="356" t="s">
        <v>1799</v>
      </c>
      <c r="W215" s="357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4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2" customHeight="1" x14ac:dyDescent="0.35">
      <c r="A217" s="367" t="s">
        <v>0</v>
      </c>
      <c r="B217" s="73" t="str">
        <f>IF(AA217=0,"",AA217)</f>
        <v>Hernitschek, Angelika</v>
      </c>
      <c r="C217" s="74">
        <f>IF(AB217=0,"",AB217)</f>
        <v>7549</v>
      </c>
      <c r="D217" s="75">
        <f>IF(AC217=0,"",AC217)</f>
        <v>128</v>
      </c>
      <c r="E217" s="348">
        <f>IF(AD217="","",AD217)</f>
        <v>0</v>
      </c>
      <c r="F217" s="75" t="str">
        <f t="shared" ref="F217:F230" si="257">IF(AE217=0,"",AE217)</f>
        <v/>
      </c>
      <c r="G217" s="348">
        <f>IF(AF217="","",AF217)</f>
        <v>1</v>
      </c>
      <c r="H217" s="75" t="str">
        <f t="shared" ref="H217:H230" si="258">IF(AG217=0,"",AG217)</f>
        <v/>
      </c>
      <c r="I217" s="348">
        <f>IF(AH217="","",AH217)</f>
        <v>0</v>
      </c>
      <c r="J217" s="75" t="str">
        <f t="shared" ref="J217:J230" si="259">IF(AI217=0,"",AI217)</f>
        <v/>
      </c>
      <c r="K217" s="348">
        <f>IF(AJ217="","",AJ217)</f>
        <v>1</v>
      </c>
      <c r="L217" s="75" t="str">
        <f t="shared" ref="L217:L230" si="260">IF(AK217=0,"",AK217)</f>
        <v/>
      </c>
      <c r="M217" s="348">
        <f>IF(AL217="","",AL217)</f>
        <v>1</v>
      </c>
      <c r="N217" s="75" t="str">
        <f>IF(AM217=0,"",AM217)</f>
        <v/>
      </c>
      <c r="O217" s="348">
        <f>IF(AN217="","",AN217)</f>
        <v>1</v>
      </c>
      <c r="P217" s="75" t="str">
        <f t="shared" ref="P217:P230" si="261">IF(AO217=0,"",AO217)</f>
        <v/>
      </c>
      <c r="Q217" s="348">
        <f>IF(AP217="","",AP217)</f>
        <v>0</v>
      </c>
      <c r="R217" s="75" t="str">
        <f t="shared" ref="R217:R230" si="262">IF(AQ217=0,"",AQ217)</f>
        <v/>
      </c>
      <c r="S217" s="348">
        <f>IF(AR217="","",AR217)</f>
        <v>1</v>
      </c>
      <c r="T217" s="75" t="str">
        <f t="shared" ref="T217:T230" si="263">IF(AS217=0,"",AS217)</f>
        <v/>
      </c>
      <c r="U217" s="348">
        <f>IF(AT217="","",AT217)</f>
        <v>0</v>
      </c>
      <c r="V217" s="75">
        <f t="shared" ref="V217:V230" si="264">IF(AU217=0,"",AU217)</f>
        <v>128</v>
      </c>
      <c r="W217" s="348">
        <f>IF(AV217="","",AV217)</f>
        <v>5</v>
      </c>
      <c r="Z217" s="351" t="s">
        <v>0</v>
      </c>
      <c r="AA217" s="108" t="str">
        <f>IF(AB217=0,"",VLOOKUP(AB217,Starter!$A$1:$D$199,2,FALSE))</f>
        <v>Hernitschek, Angelika</v>
      </c>
      <c r="AB217" s="99">
        <v>7549</v>
      </c>
      <c r="AC217" s="185">
        <v>128</v>
      </c>
      <c r="AD217" s="109">
        <f>IF(SUM(AC217:AC219)+AC235=0,0,IF(SUM(ABS(AC217),ABS(AC218),ABS(AC219))=AC235,0.5,IF(SUM(ABS(AC217),ABS(AC218),ABS(AC219))&gt;AC235,1,0)))</f>
        <v>0</v>
      </c>
      <c r="AE217" s="185"/>
      <c r="AF217" s="109">
        <f>IF(SUM(AE217:AE219)+AE235=0,0,IF(SUM(ABS(AE217),ABS(AE218),ABS(AE219))=AE235,0.5,IF(SUM(ABS(AE217),ABS(AE218),ABS(AE219))&gt;AE235,1,0)))</f>
        <v>1</v>
      </c>
      <c r="AG217" s="185"/>
      <c r="AH217" s="109">
        <f>IF(SUM(AG217:AG219)+AG235=0,0,IF(SUM(ABS(AG217),ABS(AG218),ABS(AG219))=AG235,0.5,IF(SUM(ABS(AG217),ABS(AG218),ABS(AG219))&gt;AG235,1,0)))</f>
        <v>0</v>
      </c>
      <c r="AI217" s="185"/>
      <c r="AJ217" s="109">
        <f>IF(SUM(AI217:AI219)+AI235=0,0,IF(SUM(ABS(AI217),ABS(AI218),ABS(AI219))=AI235,0.5,IF(SUM(ABS(AI217),ABS(AI218),ABS(AI219))&gt;AI235,1,0)))</f>
        <v>1</v>
      </c>
      <c r="AK217" s="185"/>
      <c r="AL217" s="109">
        <f>IF(SUM(AK217:AK219)+AK235=0,0,IF(SUM(ABS(AK217),ABS(AK218),ABS(AK219))=AK235,0.5,IF(SUM(ABS(AK217),ABS(AK218),ABS(AK219))&gt;AK235,1,0)))</f>
        <v>1</v>
      </c>
      <c r="AM217" s="185"/>
      <c r="AN217" s="109">
        <f>IF(SUM(AM217:AM219)+AM235=0,0,IF(SUM(ABS(AM217),ABS(AM218),ABS(AM219))=AM235,0.5,IF(SUM(ABS(AM217),ABS(AM218),ABS(AM219))&gt;AM235,1,0)))</f>
        <v>1</v>
      </c>
      <c r="AO217" s="185"/>
      <c r="AP217" s="109">
        <f>IF(SUM(AO217:AO219)+AO235=0,0,IF(SUM(ABS(AO217),ABS(AO218),ABS(AO219))=AO235,0.5,IF(SUM(ABS(AO217),ABS(AO218),ABS(AO219))&gt;AO235,1,0)))</f>
        <v>0</v>
      </c>
      <c r="AQ217" s="185"/>
      <c r="AR217" s="109">
        <f>IF(SUM(AQ217:AQ219)+AQ235=0,0,IF(SUM(ABS(AQ217),ABS(AQ218),ABS(AQ219))=AQ235,0.5,IF(SUM(ABS(AQ217),ABS(AQ218),ABS(AQ219))&gt;AQ235,1,0)))</f>
        <v>1</v>
      </c>
      <c r="AS217" s="185"/>
      <c r="AT217" s="109">
        <f>IF(SUM(AS217:AS219)+AS235=0,0,IF(SUM(ABS(AS217),ABS(AS218),ABS(AS219))=AS235,0.5,IF(SUM(ABS(AS217),ABS(AS218),ABS(AS219))&gt;AS235,1,0)))</f>
        <v>0</v>
      </c>
      <c r="AU217" s="110">
        <f t="shared" ref="AU217:AU228" si="265">ABS(SUM(AC217:AC217))+ABS(SUM(AE217:AE217))+ABS(SUM(AG217:AG217))+ABS(SUM(AI217:AI217))+ABS(SUM(AK217:AK217))+ABS(SUM(AM217:AM217))+ABS(SUM(AO217:AO217))+ABS(SUM(AQ217:AQ217))+ABS(SUM(AS217:AS217))</f>
        <v>128</v>
      </c>
      <c r="AV217" s="111">
        <f>SUM(AD217+AF217+AH217+AJ217+AL217+AN217+AP217+AR217+AT217)</f>
        <v>5</v>
      </c>
      <c r="AW217" s="101"/>
      <c r="AX217" s="102"/>
      <c r="AZ217" s="63"/>
      <c r="BA217" s="212"/>
      <c r="BB217" s="213"/>
      <c r="BC217" s="214"/>
      <c r="BD217" s="217">
        <f>+AB217</f>
        <v>7549</v>
      </c>
      <c r="BE217" s="213">
        <f>+AU217</f>
        <v>128</v>
      </c>
      <c r="BF217" s="215">
        <f>COUNT(BH217:BP217)</f>
        <v>1</v>
      </c>
      <c r="BG217" s="215">
        <f>COUNTIF(BH217:BP217,"&gt;0")</f>
        <v>1</v>
      </c>
      <c r="BH217" s="215">
        <f t="shared" ref="BH217:BH228" si="266">IF(AC217=0,"",AC217)</f>
        <v>128</v>
      </c>
      <c r="BI217" s="215" t="str">
        <f t="shared" ref="BI217:BI228" si="267">IF(AE217=0,"",AE217)</f>
        <v/>
      </c>
      <c r="BJ217" s="215" t="str">
        <f t="shared" ref="BJ217:BJ228" si="268">IF(AG217=0,"",AG217)</f>
        <v/>
      </c>
      <c r="BK217" s="215" t="str">
        <f t="shared" ref="BK217:BK228" si="269">IF(AI217=0,"",AI217)</f>
        <v/>
      </c>
      <c r="BL217" s="215" t="str">
        <f t="shared" ref="BL217:BL228" si="270">IF(AK217=0,"",AK217)</f>
        <v/>
      </c>
      <c r="BM217" s="215" t="str">
        <f t="shared" ref="BM217:BM228" si="271">IF(AM217=0,"",AM217)</f>
        <v/>
      </c>
      <c r="BN217" s="215" t="str">
        <f t="shared" ref="BN217:BN228" si="272">IF(AO217=0,"",AO217)</f>
        <v/>
      </c>
      <c r="BO217" s="215" t="str">
        <f t="shared" ref="BO217:BO228" si="273">IF(AQ217=0,"",AQ217)</f>
        <v/>
      </c>
      <c r="BP217" s="215" t="str">
        <f t="shared" ref="BP217:BP228" si="274">IF(AS217=0,"",AS217)</f>
        <v/>
      </c>
      <c r="BQ217" s="216"/>
      <c r="BR217" s="214"/>
      <c r="BS217" s="215">
        <f>MAX(BH217:BP217)</f>
        <v>128</v>
      </c>
      <c r="BT217" s="215">
        <f>IF(BS217&lt;MAX(BS:BS),0,BS217+ROW()/1000000000)</f>
        <v>0</v>
      </c>
      <c r="BU217" s="215" t="str">
        <f>+AA213</f>
        <v>EPA München 1</v>
      </c>
      <c r="BV217" s="214">
        <f>RANK(BT217,BT:BT)</f>
        <v>2</v>
      </c>
      <c r="BW217" s="215">
        <f>SUMIF(BH217:BP217,"&gt;0")</f>
        <v>128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75">IF(BY217=0,0,RANK(BY217,BY:BY))</f>
        <v>0</v>
      </c>
    </row>
    <row r="218" spans="1:78" ht="17.2" customHeight="1" x14ac:dyDescent="0.35">
      <c r="A218" s="368"/>
      <c r="B218" s="76" t="str">
        <f t="shared" ref="B218:B225" si="276">IF(AA218=0,"",AA218)</f>
        <v>Bess, Vanessa</v>
      </c>
      <c r="C218" s="77">
        <f t="shared" ref="C218:C230" si="277">IF(AB218=0,"",AB218)</f>
        <v>25192</v>
      </c>
      <c r="D218" s="78" t="str">
        <f t="shared" ref="D218:D230" si="278">IF(AC218=0,"",AC218)</f>
        <v/>
      </c>
      <c r="E218" s="349"/>
      <c r="F218" s="78">
        <f t="shared" si="257"/>
        <v>200</v>
      </c>
      <c r="G218" s="349"/>
      <c r="H218" s="78">
        <f t="shared" si="258"/>
        <v>157</v>
      </c>
      <c r="I218" s="349"/>
      <c r="J218" s="78">
        <f t="shared" si="259"/>
        <v>181</v>
      </c>
      <c r="K218" s="349"/>
      <c r="L218" s="78">
        <f t="shared" si="260"/>
        <v>206</v>
      </c>
      <c r="M218" s="349"/>
      <c r="N218" s="78">
        <f t="shared" ref="N218:N230" si="279">IF(AM218=0,"",AM218)</f>
        <v>203</v>
      </c>
      <c r="O218" s="349"/>
      <c r="P218" s="78">
        <f t="shared" si="261"/>
        <v>147</v>
      </c>
      <c r="Q218" s="349"/>
      <c r="R218" s="78">
        <f t="shared" si="262"/>
        <v>160</v>
      </c>
      <c r="S218" s="349"/>
      <c r="T218" s="78">
        <f t="shared" si="263"/>
        <v>180</v>
      </c>
      <c r="U218" s="349"/>
      <c r="V218" s="78">
        <f t="shared" si="264"/>
        <v>1434</v>
      </c>
      <c r="W218" s="349"/>
      <c r="Z218" s="352"/>
      <c r="AA218" s="108" t="str">
        <f>IF(AB218=0,"",VLOOKUP(AB218,Starter!$A$1:$D$199,2,FALSE))</f>
        <v>Bess, Vanessa</v>
      </c>
      <c r="AB218" s="98">
        <v>25192</v>
      </c>
      <c r="AC218" s="186"/>
      <c r="AD218" s="112"/>
      <c r="AE218" s="186">
        <v>200</v>
      </c>
      <c r="AF218" s="112"/>
      <c r="AG218" s="186">
        <v>157</v>
      </c>
      <c r="AH218" s="112"/>
      <c r="AI218" s="186">
        <v>181</v>
      </c>
      <c r="AJ218" s="112"/>
      <c r="AK218" s="186">
        <v>206</v>
      </c>
      <c r="AL218" s="112"/>
      <c r="AM218" s="186">
        <v>203</v>
      </c>
      <c r="AN218" s="112"/>
      <c r="AO218" s="186">
        <v>147</v>
      </c>
      <c r="AP218" s="112"/>
      <c r="AQ218" s="186">
        <v>160</v>
      </c>
      <c r="AR218" s="112"/>
      <c r="AS218" s="186">
        <v>180</v>
      </c>
      <c r="AT218" s="112"/>
      <c r="AU218" s="113">
        <f t="shared" si="265"/>
        <v>1434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80">+AB218</f>
        <v>25192</v>
      </c>
      <c r="BE218" s="213">
        <f t="shared" ref="BE218:BE228" si="281">+AU218</f>
        <v>1434</v>
      </c>
      <c r="BF218" s="215">
        <f t="shared" ref="BF218:BF228" si="282">COUNT(BH218:BP218)</f>
        <v>8</v>
      </c>
      <c r="BG218" s="215">
        <f t="shared" ref="BG218:BG228" si="283">COUNTIF(BH218:BP218,"&gt;0")</f>
        <v>8</v>
      </c>
      <c r="BH218" s="215" t="str">
        <f t="shared" si="266"/>
        <v/>
      </c>
      <c r="BI218" s="215">
        <f t="shared" si="267"/>
        <v>200</v>
      </c>
      <c r="BJ218" s="215">
        <f t="shared" si="268"/>
        <v>157</v>
      </c>
      <c r="BK218" s="215">
        <f t="shared" si="269"/>
        <v>181</v>
      </c>
      <c r="BL218" s="215">
        <f t="shared" si="270"/>
        <v>206</v>
      </c>
      <c r="BM218" s="215">
        <f t="shared" si="271"/>
        <v>203</v>
      </c>
      <c r="BN218" s="215">
        <f t="shared" si="272"/>
        <v>147</v>
      </c>
      <c r="BO218" s="215">
        <f t="shared" si="273"/>
        <v>160</v>
      </c>
      <c r="BP218" s="215">
        <f t="shared" si="274"/>
        <v>180</v>
      </c>
      <c r="BQ218" s="216"/>
      <c r="BR218" s="214"/>
      <c r="BS218" s="215">
        <f t="shared" ref="BS218:BS228" si="284">MAX(BH218:BP218)</f>
        <v>206</v>
      </c>
      <c r="BT218" s="215">
        <f t="shared" ref="BT218:BT228" si="285">IF(BS218&lt;MAX(BS:BS),0,BS218+ROW()/1000000000)</f>
        <v>0</v>
      </c>
      <c r="BU218" s="215" t="str">
        <f t="shared" ref="BU218:BU228" si="286">+BU217</f>
        <v>EPA München 1</v>
      </c>
      <c r="BV218" s="214">
        <f t="shared" ref="BV218:BV228" si="287">RANK(BT218,BT:BT)</f>
        <v>2</v>
      </c>
      <c r="BW218" s="215">
        <f t="shared" ref="BW218:BW228" si="288">SUMIF(BH218:BP218,"&gt;0")</f>
        <v>1434</v>
      </c>
      <c r="BX218" s="215">
        <f>IF(COUNTIF(BH218:BP218,"&gt;0")&lt;Spielorte!$A$23,0,BE218/Spielorte!$A$23)</f>
        <v>0</v>
      </c>
      <c r="BY218" s="215">
        <f t="shared" ref="BY218:BY228" si="289">IF(BX218&lt;MAX(BX:BX),0,BX218+ROW()/1000000000)</f>
        <v>0</v>
      </c>
      <c r="BZ218" s="214">
        <f t="shared" si="275"/>
        <v>0</v>
      </c>
    </row>
    <row r="219" spans="1:78" ht="17.2" customHeight="1" thickBot="1" x14ac:dyDescent="0.4">
      <c r="A219" s="369"/>
      <c r="B219" s="79" t="str">
        <f t="shared" si="276"/>
        <v/>
      </c>
      <c r="C219" s="80" t="str">
        <f t="shared" si="277"/>
        <v/>
      </c>
      <c r="D219" s="69" t="str">
        <f t="shared" si="278"/>
        <v/>
      </c>
      <c r="E219" s="350"/>
      <c r="F219" s="69" t="str">
        <f t="shared" si="257"/>
        <v/>
      </c>
      <c r="G219" s="350"/>
      <c r="H219" s="69" t="str">
        <f t="shared" si="258"/>
        <v/>
      </c>
      <c r="I219" s="350"/>
      <c r="J219" s="69" t="str">
        <f t="shared" si="259"/>
        <v/>
      </c>
      <c r="K219" s="350"/>
      <c r="L219" s="69" t="str">
        <f t="shared" si="260"/>
        <v/>
      </c>
      <c r="M219" s="350"/>
      <c r="N219" s="69" t="str">
        <f t="shared" si="279"/>
        <v/>
      </c>
      <c r="O219" s="350"/>
      <c r="P219" s="69" t="str">
        <f t="shared" si="261"/>
        <v/>
      </c>
      <c r="Q219" s="350"/>
      <c r="R219" s="69" t="str">
        <f t="shared" si="262"/>
        <v/>
      </c>
      <c r="S219" s="350"/>
      <c r="T219" s="69" t="str">
        <f t="shared" si="263"/>
        <v/>
      </c>
      <c r="U219" s="350"/>
      <c r="V219" s="69" t="str">
        <f t="shared" si="264"/>
        <v/>
      </c>
      <c r="W219" s="350"/>
      <c r="Z219" s="353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65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80"/>
        <v>0</v>
      </c>
      <c r="BE219" s="213">
        <f t="shared" si="281"/>
        <v>0</v>
      </c>
      <c r="BF219" s="215">
        <f t="shared" si="282"/>
        <v>0</v>
      </c>
      <c r="BG219" s="215">
        <f t="shared" si="283"/>
        <v>0</v>
      </c>
      <c r="BH219" s="215" t="str">
        <f t="shared" si="266"/>
        <v/>
      </c>
      <c r="BI219" s="215" t="str">
        <f t="shared" si="267"/>
        <v/>
      </c>
      <c r="BJ219" s="215" t="str">
        <f t="shared" si="268"/>
        <v/>
      </c>
      <c r="BK219" s="215" t="str">
        <f t="shared" si="269"/>
        <v/>
      </c>
      <c r="BL219" s="215" t="str">
        <f t="shared" si="270"/>
        <v/>
      </c>
      <c r="BM219" s="215" t="str">
        <f t="shared" si="271"/>
        <v/>
      </c>
      <c r="BN219" s="215" t="str">
        <f t="shared" si="272"/>
        <v/>
      </c>
      <c r="BO219" s="215" t="str">
        <f t="shared" si="273"/>
        <v/>
      </c>
      <c r="BP219" s="215" t="str">
        <f t="shared" si="274"/>
        <v/>
      </c>
      <c r="BQ219" s="216"/>
      <c r="BR219" s="214"/>
      <c r="BS219" s="215">
        <f t="shared" si="284"/>
        <v>0</v>
      </c>
      <c r="BT219" s="215">
        <f t="shared" si="285"/>
        <v>0</v>
      </c>
      <c r="BU219" s="215" t="str">
        <f t="shared" si="286"/>
        <v>EPA München 1</v>
      </c>
      <c r="BV219" s="214">
        <f t="shared" si="287"/>
        <v>2</v>
      </c>
      <c r="BW219" s="215">
        <f t="shared" si="288"/>
        <v>0</v>
      </c>
      <c r="BX219" s="215">
        <f>IF(COUNTIF(BH219:BP219,"&gt;0")&lt;Spielorte!$A$23,0,BE219/Spielorte!$A$23)</f>
        <v>0</v>
      </c>
      <c r="BY219" s="215">
        <f t="shared" si="289"/>
        <v>0</v>
      </c>
      <c r="BZ219" s="214">
        <f t="shared" si="275"/>
        <v>0</v>
      </c>
    </row>
    <row r="220" spans="1:78" ht="17.2" customHeight="1" x14ac:dyDescent="0.35">
      <c r="A220" s="367" t="s">
        <v>2</v>
      </c>
      <c r="B220" s="73" t="str">
        <f t="shared" si="276"/>
        <v>Schulz, Carolin</v>
      </c>
      <c r="C220" s="74">
        <f t="shared" si="277"/>
        <v>25714</v>
      </c>
      <c r="D220" s="75">
        <f t="shared" si="278"/>
        <v>193</v>
      </c>
      <c r="E220" s="348">
        <f>IF(AD220="","",AD220)</f>
        <v>1</v>
      </c>
      <c r="F220" s="75">
        <f t="shared" si="257"/>
        <v>205</v>
      </c>
      <c r="G220" s="348">
        <f>IF(AF220="","",AF220)</f>
        <v>1</v>
      </c>
      <c r="H220" s="75">
        <f t="shared" si="258"/>
        <v>224</v>
      </c>
      <c r="I220" s="348">
        <f>IF(AH220="","",AH220)</f>
        <v>1</v>
      </c>
      <c r="J220" s="75">
        <f t="shared" si="259"/>
        <v>197</v>
      </c>
      <c r="K220" s="348">
        <f>IF(AJ220="","",AJ220)</f>
        <v>1</v>
      </c>
      <c r="L220" s="75">
        <f t="shared" si="260"/>
        <v>200</v>
      </c>
      <c r="M220" s="348">
        <f>IF(AL220="","",AL220)</f>
        <v>1</v>
      </c>
      <c r="N220" s="75">
        <f t="shared" si="279"/>
        <v>205</v>
      </c>
      <c r="O220" s="348">
        <f>IF(AN220="","",AN220)</f>
        <v>1</v>
      </c>
      <c r="P220" s="75">
        <f t="shared" si="261"/>
        <v>196</v>
      </c>
      <c r="Q220" s="348">
        <f>IF(AP220="","",AP220)</f>
        <v>1</v>
      </c>
      <c r="R220" s="75">
        <f t="shared" si="262"/>
        <v>202</v>
      </c>
      <c r="S220" s="348">
        <f>IF(AR220="","",AR220)</f>
        <v>1</v>
      </c>
      <c r="T220" s="75">
        <f t="shared" si="263"/>
        <v>236</v>
      </c>
      <c r="U220" s="348">
        <f>IF(AT220="","",AT220)</f>
        <v>1</v>
      </c>
      <c r="V220" s="75">
        <f t="shared" si="264"/>
        <v>1858</v>
      </c>
      <c r="W220" s="348">
        <f>IF(AV220="","",AV220)</f>
        <v>9</v>
      </c>
      <c r="Z220" s="351" t="s">
        <v>2</v>
      </c>
      <c r="AA220" s="108" t="str">
        <f>IF(AB220=0,"",VLOOKUP(AB220,Starter!$A$1:$D$199,2,FALSE))</f>
        <v>Schulz, Carolin</v>
      </c>
      <c r="AB220" s="99">
        <v>25714</v>
      </c>
      <c r="AC220" s="188">
        <v>193</v>
      </c>
      <c r="AD220" s="109">
        <f>IF(SUM(AC220:AC222)+AC236=0,0,IF(SUM(ABS(AC220),ABS(AC221),ABS(AC222))=AC236,0.5,IF(SUM(ABS(AC220),ABS(AC221),ABS(AC222))&gt;AC236,1,0)))</f>
        <v>1</v>
      </c>
      <c r="AE220" s="188">
        <v>205</v>
      </c>
      <c r="AF220" s="109">
        <f>IF(SUM(AE220:AE222)+AE236=0,0,IF(SUM(ABS(AE220),ABS(AE221),ABS(AE222))=AE236,0.5,IF(SUM(ABS(AE220),ABS(AE221),ABS(AE222))&gt;AE236,1,0)))</f>
        <v>1</v>
      </c>
      <c r="AG220" s="188">
        <v>224</v>
      </c>
      <c r="AH220" s="109">
        <f>IF(SUM(AG220:AG222)+AG236=0,0,IF(SUM(ABS(AG220),ABS(AG221),ABS(AG222))=AG236,0.5,IF(SUM(ABS(AG220),ABS(AG221),ABS(AG222))&gt;AG236,1,0)))</f>
        <v>1</v>
      </c>
      <c r="AI220" s="188">
        <v>197</v>
      </c>
      <c r="AJ220" s="109">
        <f>IF(SUM(AI220:AI222)+AI236=0,0,IF(SUM(ABS(AI220),ABS(AI221),ABS(AI222))=AI236,0.5,IF(SUM(ABS(AI220),ABS(AI221),ABS(AI222))&gt;AI236,1,0)))</f>
        <v>1</v>
      </c>
      <c r="AK220" s="188">
        <v>200</v>
      </c>
      <c r="AL220" s="109">
        <f>IF(SUM(AK220:AK222)+AK236=0,0,IF(SUM(ABS(AK220),ABS(AK221),ABS(AK222))=AK236,0.5,IF(SUM(ABS(AK220),ABS(AK221),ABS(AK222))&gt;AK236,1,0)))</f>
        <v>1</v>
      </c>
      <c r="AM220" s="188">
        <v>205</v>
      </c>
      <c r="AN220" s="109">
        <f>IF(SUM(AM220:AM222)+AM236=0,0,IF(SUM(ABS(AM220),ABS(AM221),ABS(AM222))=AM236,0.5,IF(SUM(ABS(AM220),ABS(AM221),ABS(AM222))&gt;AM236,1,0)))</f>
        <v>1</v>
      </c>
      <c r="AO220" s="188">
        <v>196</v>
      </c>
      <c r="AP220" s="109">
        <f>IF(SUM(AO220:AO222)+AO236=0,0,IF(SUM(ABS(AO220),ABS(AO221),ABS(AO222))=AO236,0.5,IF(SUM(ABS(AO220),ABS(AO221),ABS(AO222))&gt;AO236,1,0)))</f>
        <v>1</v>
      </c>
      <c r="AQ220" s="188">
        <v>202</v>
      </c>
      <c r="AR220" s="109">
        <f>IF(SUM(AQ220:AQ222)+AQ236=0,0,IF(SUM(ABS(AQ220),ABS(AQ221),ABS(AQ222))=AQ236,0.5,IF(SUM(ABS(AQ220),ABS(AQ221),ABS(AQ222))&gt;AQ236,1,0)))</f>
        <v>1</v>
      </c>
      <c r="AS220" s="188">
        <v>236</v>
      </c>
      <c r="AT220" s="109">
        <f>IF(SUM(AS220:AS222)+AS236=0,0,IF(SUM(ABS(AS220),ABS(AS221),ABS(AS222))=AS236,0.5,IF(SUM(ABS(AS220),ABS(AS221),ABS(AS222))&gt;AS236,1,0)))</f>
        <v>1</v>
      </c>
      <c r="AU220" s="110">
        <f t="shared" si="265"/>
        <v>1858</v>
      </c>
      <c r="AV220" s="111">
        <f>SUM(AD220+AF220+AH220+AJ220+AL220+AN220+AP220+AR220+AT220)</f>
        <v>9</v>
      </c>
      <c r="AW220" s="101"/>
      <c r="AX220" s="102"/>
      <c r="AZ220" s="63"/>
      <c r="BA220" s="212"/>
      <c r="BB220" s="213"/>
      <c r="BC220" s="214"/>
      <c r="BD220" s="217">
        <f t="shared" si="280"/>
        <v>25714</v>
      </c>
      <c r="BE220" s="213">
        <f t="shared" si="281"/>
        <v>1858</v>
      </c>
      <c r="BF220" s="215">
        <f t="shared" si="282"/>
        <v>9</v>
      </c>
      <c r="BG220" s="215">
        <f t="shared" si="283"/>
        <v>9</v>
      </c>
      <c r="BH220" s="215">
        <f t="shared" si="266"/>
        <v>193</v>
      </c>
      <c r="BI220" s="215">
        <f t="shared" si="267"/>
        <v>205</v>
      </c>
      <c r="BJ220" s="215">
        <f t="shared" si="268"/>
        <v>224</v>
      </c>
      <c r="BK220" s="215">
        <f t="shared" si="269"/>
        <v>197</v>
      </c>
      <c r="BL220" s="215">
        <f t="shared" si="270"/>
        <v>200</v>
      </c>
      <c r="BM220" s="215">
        <f t="shared" si="271"/>
        <v>205</v>
      </c>
      <c r="BN220" s="215">
        <f t="shared" si="272"/>
        <v>196</v>
      </c>
      <c r="BO220" s="215">
        <f t="shared" si="273"/>
        <v>202</v>
      </c>
      <c r="BP220" s="215">
        <f t="shared" si="274"/>
        <v>236</v>
      </c>
      <c r="BQ220" s="216"/>
      <c r="BR220" s="214"/>
      <c r="BS220" s="215">
        <f t="shared" si="284"/>
        <v>236</v>
      </c>
      <c r="BT220" s="215">
        <f t="shared" si="285"/>
        <v>0</v>
      </c>
      <c r="BU220" s="215" t="str">
        <f t="shared" si="286"/>
        <v>EPA München 1</v>
      </c>
      <c r="BV220" s="214">
        <f t="shared" si="287"/>
        <v>2</v>
      </c>
      <c r="BW220" s="215">
        <f t="shared" si="288"/>
        <v>1858</v>
      </c>
      <c r="BX220" s="215">
        <f>IF(COUNTIF(BH220:BP220,"&gt;0")&lt;Spielorte!$A$23,0,BE220/Spielorte!$A$23)</f>
        <v>206.44444444444446</v>
      </c>
      <c r="BY220" s="215">
        <f t="shared" si="289"/>
        <v>0</v>
      </c>
      <c r="BZ220" s="214">
        <f t="shared" si="275"/>
        <v>0</v>
      </c>
    </row>
    <row r="221" spans="1:78" ht="17.2" customHeight="1" x14ac:dyDescent="0.35">
      <c r="A221" s="368"/>
      <c r="B221" s="76" t="str">
        <f t="shared" si="276"/>
        <v/>
      </c>
      <c r="C221" s="77" t="str">
        <f t="shared" si="277"/>
        <v/>
      </c>
      <c r="D221" s="78" t="str">
        <f t="shared" si="278"/>
        <v/>
      </c>
      <c r="E221" s="349"/>
      <c r="F221" s="78" t="str">
        <f t="shared" si="257"/>
        <v/>
      </c>
      <c r="G221" s="349"/>
      <c r="H221" s="78" t="str">
        <f t="shared" si="258"/>
        <v/>
      </c>
      <c r="I221" s="349"/>
      <c r="J221" s="78" t="str">
        <f t="shared" si="259"/>
        <v/>
      </c>
      <c r="K221" s="349"/>
      <c r="L221" s="78" t="str">
        <f t="shared" si="260"/>
        <v/>
      </c>
      <c r="M221" s="349"/>
      <c r="N221" s="78" t="str">
        <f t="shared" si="279"/>
        <v/>
      </c>
      <c r="O221" s="349"/>
      <c r="P221" s="78" t="str">
        <f t="shared" si="261"/>
        <v/>
      </c>
      <c r="Q221" s="349"/>
      <c r="R221" s="78" t="str">
        <f t="shared" si="262"/>
        <v/>
      </c>
      <c r="S221" s="349"/>
      <c r="T221" s="78" t="str">
        <f t="shared" si="263"/>
        <v/>
      </c>
      <c r="U221" s="349"/>
      <c r="V221" s="78" t="str">
        <f t="shared" si="264"/>
        <v/>
      </c>
      <c r="W221" s="349"/>
      <c r="Z221" s="352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65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80"/>
        <v>0</v>
      </c>
      <c r="BE221" s="213">
        <f t="shared" si="281"/>
        <v>0</v>
      </c>
      <c r="BF221" s="215">
        <f t="shared" si="282"/>
        <v>0</v>
      </c>
      <c r="BG221" s="215">
        <f t="shared" si="283"/>
        <v>0</v>
      </c>
      <c r="BH221" s="215" t="str">
        <f t="shared" si="266"/>
        <v/>
      </c>
      <c r="BI221" s="215" t="str">
        <f t="shared" si="267"/>
        <v/>
      </c>
      <c r="BJ221" s="215" t="str">
        <f t="shared" si="268"/>
        <v/>
      </c>
      <c r="BK221" s="215" t="str">
        <f t="shared" si="269"/>
        <v/>
      </c>
      <c r="BL221" s="215" t="str">
        <f t="shared" si="270"/>
        <v/>
      </c>
      <c r="BM221" s="215" t="str">
        <f t="shared" si="271"/>
        <v/>
      </c>
      <c r="BN221" s="215" t="str">
        <f t="shared" si="272"/>
        <v/>
      </c>
      <c r="BO221" s="215" t="str">
        <f t="shared" si="273"/>
        <v/>
      </c>
      <c r="BP221" s="215" t="str">
        <f t="shared" si="274"/>
        <v/>
      </c>
      <c r="BQ221" s="216"/>
      <c r="BR221" s="214"/>
      <c r="BS221" s="215">
        <f t="shared" si="284"/>
        <v>0</v>
      </c>
      <c r="BT221" s="215">
        <f t="shared" si="285"/>
        <v>0</v>
      </c>
      <c r="BU221" s="215" t="str">
        <f t="shared" si="286"/>
        <v>EPA München 1</v>
      </c>
      <c r="BV221" s="214">
        <f t="shared" si="287"/>
        <v>2</v>
      </c>
      <c r="BW221" s="215">
        <f t="shared" si="288"/>
        <v>0</v>
      </c>
      <c r="BX221" s="215">
        <f>IF(COUNTIF(BH221:BP221,"&gt;0")&lt;Spielorte!$A$23,0,BE221/Spielorte!$A$23)</f>
        <v>0</v>
      </c>
      <c r="BY221" s="215">
        <f t="shared" si="289"/>
        <v>0</v>
      </c>
      <c r="BZ221" s="214">
        <f t="shared" si="275"/>
        <v>0</v>
      </c>
    </row>
    <row r="222" spans="1:78" ht="17.2" customHeight="1" thickBot="1" x14ac:dyDescent="0.4">
      <c r="A222" s="369"/>
      <c r="B222" s="79" t="str">
        <f t="shared" si="276"/>
        <v/>
      </c>
      <c r="C222" s="80" t="str">
        <f t="shared" si="277"/>
        <v/>
      </c>
      <c r="D222" s="69" t="str">
        <f t="shared" si="278"/>
        <v/>
      </c>
      <c r="E222" s="350"/>
      <c r="F222" s="69" t="str">
        <f t="shared" si="257"/>
        <v/>
      </c>
      <c r="G222" s="350"/>
      <c r="H222" s="69" t="str">
        <f t="shared" si="258"/>
        <v/>
      </c>
      <c r="I222" s="350"/>
      <c r="J222" s="69" t="str">
        <f t="shared" si="259"/>
        <v/>
      </c>
      <c r="K222" s="350"/>
      <c r="L222" s="69" t="str">
        <f t="shared" si="260"/>
        <v/>
      </c>
      <c r="M222" s="350"/>
      <c r="N222" s="69" t="str">
        <f t="shared" si="279"/>
        <v/>
      </c>
      <c r="O222" s="350"/>
      <c r="P222" s="69" t="str">
        <f t="shared" si="261"/>
        <v/>
      </c>
      <c r="Q222" s="350"/>
      <c r="R222" s="69" t="str">
        <f t="shared" si="262"/>
        <v/>
      </c>
      <c r="S222" s="350"/>
      <c r="T222" s="69" t="str">
        <f t="shared" si="263"/>
        <v/>
      </c>
      <c r="U222" s="350"/>
      <c r="V222" s="69" t="str">
        <f t="shared" si="264"/>
        <v/>
      </c>
      <c r="W222" s="350"/>
      <c r="Z222" s="353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65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80"/>
        <v>0</v>
      </c>
      <c r="BE222" s="213">
        <f t="shared" si="281"/>
        <v>0</v>
      </c>
      <c r="BF222" s="215">
        <f t="shared" si="282"/>
        <v>0</v>
      </c>
      <c r="BG222" s="215">
        <f t="shared" si="283"/>
        <v>0</v>
      </c>
      <c r="BH222" s="215" t="str">
        <f t="shared" si="266"/>
        <v/>
      </c>
      <c r="BI222" s="215" t="str">
        <f t="shared" si="267"/>
        <v/>
      </c>
      <c r="BJ222" s="215" t="str">
        <f t="shared" si="268"/>
        <v/>
      </c>
      <c r="BK222" s="215" t="str">
        <f t="shared" si="269"/>
        <v/>
      </c>
      <c r="BL222" s="215" t="str">
        <f t="shared" si="270"/>
        <v/>
      </c>
      <c r="BM222" s="215" t="str">
        <f t="shared" si="271"/>
        <v/>
      </c>
      <c r="BN222" s="215" t="str">
        <f t="shared" si="272"/>
        <v/>
      </c>
      <c r="BO222" s="215" t="str">
        <f t="shared" si="273"/>
        <v/>
      </c>
      <c r="BP222" s="215" t="str">
        <f t="shared" si="274"/>
        <v/>
      </c>
      <c r="BQ222" s="216"/>
      <c r="BR222" s="214"/>
      <c r="BS222" s="215">
        <f t="shared" si="284"/>
        <v>0</v>
      </c>
      <c r="BT222" s="215">
        <f t="shared" si="285"/>
        <v>0</v>
      </c>
      <c r="BU222" s="215" t="str">
        <f t="shared" si="286"/>
        <v>EPA München 1</v>
      </c>
      <c r="BV222" s="214">
        <f t="shared" si="287"/>
        <v>2</v>
      </c>
      <c r="BW222" s="215">
        <f t="shared" si="288"/>
        <v>0</v>
      </c>
      <c r="BX222" s="215">
        <f>IF(COUNTIF(BH222:BP222,"&gt;0")&lt;Spielorte!$A$23,0,BE222/Spielorte!$A$23)</f>
        <v>0</v>
      </c>
      <c r="BY222" s="215">
        <f t="shared" si="289"/>
        <v>0</v>
      </c>
      <c r="BZ222" s="214">
        <f t="shared" si="275"/>
        <v>0</v>
      </c>
    </row>
    <row r="223" spans="1:78" ht="17.2" customHeight="1" x14ac:dyDescent="0.35">
      <c r="A223" s="367" t="s">
        <v>3</v>
      </c>
      <c r="B223" s="73" t="str">
        <f t="shared" si="276"/>
        <v>Weninger, Diana</v>
      </c>
      <c r="C223" s="74">
        <f t="shared" si="277"/>
        <v>25397</v>
      </c>
      <c r="D223" s="75">
        <f t="shared" si="278"/>
        <v>189</v>
      </c>
      <c r="E223" s="348">
        <f>IF(AD223="","",AD223)</f>
        <v>0</v>
      </c>
      <c r="F223" s="75">
        <f t="shared" si="257"/>
        <v>155</v>
      </c>
      <c r="G223" s="348">
        <f>IF(AF223="","",AF223)</f>
        <v>1</v>
      </c>
      <c r="H223" s="75">
        <f t="shared" si="258"/>
        <v>179</v>
      </c>
      <c r="I223" s="348">
        <f>IF(AH223="","",AH223)</f>
        <v>1</v>
      </c>
      <c r="J223" s="75">
        <f t="shared" si="259"/>
        <v>193</v>
      </c>
      <c r="K223" s="348">
        <f>IF(AJ223="","",AJ223)</f>
        <v>0</v>
      </c>
      <c r="L223" s="75">
        <f t="shared" si="260"/>
        <v>149</v>
      </c>
      <c r="M223" s="348">
        <f>IF(AL223="","",AL223)</f>
        <v>0</v>
      </c>
      <c r="N223" s="75" t="str">
        <f t="shared" si="279"/>
        <v/>
      </c>
      <c r="O223" s="348">
        <f>IF(AN223="","",AN223)</f>
        <v>1</v>
      </c>
      <c r="P223" s="75" t="str">
        <f t="shared" si="261"/>
        <v/>
      </c>
      <c r="Q223" s="348">
        <f>IF(AP223="","",AP223)</f>
        <v>1</v>
      </c>
      <c r="R223" s="75" t="str">
        <f t="shared" si="262"/>
        <v/>
      </c>
      <c r="S223" s="348">
        <f>IF(AR223="","",AR223)</f>
        <v>0</v>
      </c>
      <c r="T223" s="75" t="str">
        <f t="shared" si="263"/>
        <v/>
      </c>
      <c r="U223" s="348">
        <f>IF(AT223="","",AT223)</f>
        <v>0</v>
      </c>
      <c r="V223" s="75">
        <f t="shared" si="264"/>
        <v>865</v>
      </c>
      <c r="W223" s="348">
        <f>IF(AV223="","",AV223)</f>
        <v>4</v>
      </c>
      <c r="Z223" s="351" t="s">
        <v>3</v>
      </c>
      <c r="AA223" s="108" t="str">
        <f>IF(AB223=0,"",VLOOKUP(AB223,Starter!$A$1:$D$199,2,FALSE))</f>
        <v>Weninger, Diana</v>
      </c>
      <c r="AB223" s="99">
        <v>25397</v>
      </c>
      <c r="AC223" s="188">
        <v>189</v>
      </c>
      <c r="AD223" s="109">
        <f>IF(SUM(AC223:AC225)+AC237=0,0,IF(SUM(ABS(AC223),ABS(AC224),ABS(AC225))=AC237,0.5,IF(SUM(ABS(AC223),ABS(AC224),ABS(AC225))&gt;AC237,1,0)))</f>
        <v>0</v>
      </c>
      <c r="AE223" s="188">
        <v>155</v>
      </c>
      <c r="AF223" s="109">
        <f>IF(SUM(AE223:AE225)+AE237=0,0,IF(SUM(ABS(AE223),ABS(AE224),ABS(AE225))=AE237,0.5,IF(SUM(ABS(AE223),ABS(AE224),ABS(AE225))&gt;AE237,1,0)))</f>
        <v>1</v>
      </c>
      <c r="AG223" s="188">
        <v>179</v>
      </c>
      <c r="AH223" s="109">
        <f>IF(SUM(AG223:AG225)+AG237=0,0,IF(SUM(ABS(AG223),ABS(AG224),ABS(AG225))=AG237,0.5,IF(SUM(ABS(AG223),ABS(AG224),ABS(AG225))&gt;AG237,1,0)))</f>
        <v>1</v>
      </c>
      <c r="AI223" s="188">
        <v>193</v>
      </c>
      <c r="AJ223" s="109">
        <f>IF(SUM(AI223:AI225)+AI237=0,0,IF(SUM(ABS(AI223),ABS(AI224),ABS(AI225))=AI237,0.5,IF(SUM(ABS(AI223),ABS(AI224),ABS(AI225))&gt;AI237,1,0)))</f>
        <v>0</v>
      </c>
      <c r="AK223" s="188">
        <v>149</v>
      </c>
      <c r="AL223" s="109">
        <f>IF(SUM(AK223:AK225)+AK237=0,0,IF(SUM(ABS(AK223),ABS(AK224),ABS(AK225))=AK237,0.5,IF(SUM(ABS(AK223),ABS(AK224),ABS(AK225))&gt;AK237,1,0)))</f>
        <v>0</v>
      </c>
      <c r="AM223" s="188"/>
      <c r="AN223" s="109">
        <f>IF(SUM(AM223:AM225)+AM237=0,0,IF(SUM(ABS(AM223),ABS(AM224),ABS(AM225))=AM237,0.5,IF(SUM(ABS(AM223),ABS(AM224),ABS(AM225))&gt;AM237,1,0)))</f>
        <v>1</v>
      </c>
      <c r="AO223" s="188"/>
      <c r="AP223" s="109">
        <f>IF(SUM(AO223:AO225)+AO237=0,0,IF(SUM(ABS(AO223),ABS(AO224),ABS(AO225))=AO237,0.5,IF(SUM(ABS(AO223),ABS(AO224),ABS(AO225))&gt;AO237,1,0)))</f>
        <v>1</v>
      </c>
      <c r="AQ223" s="188"/>
      <c r="AR223" s="109">
        <f>IF(SUM(AQ223:AQ225)+AQ237=0,0,IF(SUM(ABS(AQ223),ABS(AQ224),ABS(AQ225))=AQ237,0.5,IF(SUM(ABS(AQ223),ABS(AQ224),ABS(AQ225))&gt;AQ237,1,0)))</f>
        <v>0</v>
      </c>
      <c r="AS223" s="188"/>
      <c r="AT223" s="109">
        <f>IF(SUM(AS223:AS225)+AS237=0,0,IF(SUM(ABS(AS223),ABS(AS224),ABS(AS225))=AS237,0.5,IF(SUM(ABS(AS223),ABS(AS224),ABS(AS225))&gt;AS237,1,0)))</f>
        <v>0</v>
      </c>
      <c r="AU223" s="110">
        <f t="shared" si="265"/>
        <v>865</v>
      </c>
      <c r="AV223" s="111">
        <f>SUM(AD223+AF223+AH223+AJ223+AL223+AN223+AP223+AR223+AT223)</f>
        <v>4</v>
      </c>
      <c r="AW223" s="101"/>
      <c r="AX223" s="102"/>
      <c r="AZ223" s="63"/>
      <c r="BA223" s="212"/>
      <c r="BB223" s="213"/>
      <c r="BC223" s="214"/>
      <c r="BD223" s="217">
        <f t="shared" si="280"/>
        <v>25397</v>
      </c>
      <c r="BE223" s="213">
        <f t="shared" si="281"/>
        <v>865</v>
      </c>
      <c r="BF223" s="215">
        <f t="shared" si="282"/>
        <v>5</v>
      </c>
      <c r="BG223" s="215">
        <f t="shared" si="283"/>
        <v>5</v>
      </c>
      <c r="BH223" s="215">
        <f t="shared" si="266"/>
        <v>189</v>
      </c>
      <c r="BI223" s="215">
        <f t="shared" si="267"/>
        <v>155</v>
      </c>
      <c r="BJ223" s="215">
        <f t="shared" si="268"/>
        <v>179</v>
      </c>
      <c r="BK223" s="215">
        <f t="shared" si="269"/>
        <v>193</v>
      </c>
      <c r="BL223" s="215">
        <f t="shared" si="270"/>
        <v>149</v>
      </c>
      <c r="BM223" s="215" t="str">
        <f t="shared" si="271"/>
        <v/>
      </c>
      <c r="BN223" s="215" t="str">
        <f t="shared" si="272"/>
        <v/>
      </c>
      <c r="BO223" s="215" t="str">
        <f t="shared" si="273"/>
        <v/>
      </c>
      <c r="BP223" s="215" t="str">
        <f t="shared" si="274"/>
        <v/>
      </c>
      <c r="BQ223" s="216"/>
      <c r="BR223" s="214"/>
      <c r="BS223" s="215">
        <f t="shared" si="284"/>
        <v>193</v>
      </c>
      <c r="BT223" s="215">
        <f t="shared" si="285"/>
        <v>0</v>
      </c>
      <c r="BU223" s="215" t="str">
        <f t="shared" si="286"/>
        <v>EPA München 1</v>
      </c>
      <c r="BV223" s="214">
        <f t="shared" si="287"/>
        <v>2</v>
      </c>
      <c r="BW223" s="215">
        <f t="shared" si="288"/>
        <v>865</v>
      </c>
      <c r="BX223" s="215">
        <f>IF(COUNTIF(BH223:BP223,"&gt;0")&lt;Spielorte!$A$23,0,BE223/Spielorte!$A$23)</f>
        <v>0</v>
      </c>
      <c r="BY223" s="215">
        <f t="shared" si="289"/>
        <v>0</v>
      </c>
      <c r="BZ223" s="214">
        <f t="shared" si="275"/>
        <v>0</v>
      </c>
    </row>
    <row r="224" spans="1:78" ht="17.2" customHeight="1" x14ac:dyDescent="0.35">
      <c r="A224" s="368"/>
      <c r="B224" s="76" t="str">
        <f t="shared" si="276"/>
        <v>Hernitschek, Angelika</v>
      </c>
      <c r="C224" s="77">
        <f t="shared" si="277"/>
        <v>7549</v>
      </c>
      <c r="D224" s="78" t="str">
        <f t="shared" si="278"/>
        <v/>
      </c>
      <c r="E224" s="349"/>
      <c r="F224" s="78" t="str">
        <f t="shared" si="257"/>
        <v/>
      </c>
      <c r="G224" s="349"/>
      <c r="H224" s="78" t="str">
        <f t="shared" si="258"/>
        <v/>
      </c>
      <c r="I224" s="349"/>
      <c r="J224" s="78" t="str">
        <f t="shared" si="259"/>
        <v/>
      </c>
      <c r="K224" s="349"/>
      <c r="L224" s="78" t="str">
        <f t="shared" si="260"/>
        <v/>
      </c>
      <c r="M224" s="349"/>
      <c r="N224" s="78">
        <f t="shared" si="279"/>
        <v>193</v>
      </c>
      <c r="O224" s="349"/>
      <c r="P224" s="78">
        <f t="shared" si="261"/>
        <v>201</v>
      </c>
      <c r="Q224" s="349"/>
      <c r="R224" s="78">
        <f t="shared" si="262"/>
        <v>191</v>
      </c>
      <c r="S224" s="349"/>
      <c r="T224" s="78">
        <f t="shared" si="263"/>
        <v>172</v>
      </c>
      <c r="U224" s="349"/>
      <c r="V224" s="78">
        <f t="shared" si="264"/>
        <v>757</v>
      </c>
      <c r="W224" s="349"/>
      <c r="Z224" s="352"/>
      <c r="AA224" s="108" t="str">
        <f>IF(AB224=0,"",VLOOKUP(AB224,Starter!$A$1:$D$199,2,FALSE))</f>
        <v>Hernitschek, Angelika</v>
      </c>
      <c r="AB224" s="98">
        <v>7549</v>
      </c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>
        <v>193</v>
      </c>
      <c r="AN224" s="112"/>
      <c r="AO224" s="186">
        <v>201</v>
      </c>
      <c r="AP224" s="112"/>
      <c r="AQ224" s="186">
        <v>191</v>
      </c>
      <c r="AR224" s="112"/>
      <c r="AS224" s="186">
        <v>172</v>
      </c>
      <c r="AT224" s="112"/>
      <c r="AU224" s="113">
        <f t="shared" si="265"/>
        <v>757</v>
      </c>
      <c r="AV224" s="114"/>
      <c r="AW224" s="101"/>
      <c r="AX224" s="102"/>
      <c r="AZ224" s="63"/>
      <c r="BA224" s="212"/>
      <c r="BB224" s="213"/>
      <c r="BC224" s="214"/>
      <c r="BD224" s="217">
        <f t="shared" si="280"/>
        <v>7549</v>
      </c>
      <c r="BE224" s="213">
        <f t="shared" si="281"/>
        <v>757</v>
      </c>
      <c r="BF224" s="215">
        <f t="shared" si="282"/>
        <v>4</v>
      </c>
      <c r="BG224" s="215">
        <f t="shared" si="283"/>
        <v>4</v>
      </c>
      <c r="BH224" s="215" t="str">
        <f t="shared" si="266"/>
        <v/>
      </c>
      <c r="BI224" s="215" t="str">
        <f t="shared" si="267"/>
        <v/>
      </c>
      <c r="BJ224" s="215" t="str">
        <f t="shared" si="268"/>
        <v/>
      </c>
      <c r="BK224" s="215" t="str">
        <f t="shared" si="269"/>
        <v/>
      </c>
      <c r="BL224" s="215" t="str">
        <f t="shared" si="270"/>
        <v/>
      </c>
      <c r="BM224" s="215">
        <f t="shared" si="271"/>
        <v>193</v>
      </c>
      <c r="BN224" s="215">
        <f t="shared" si="272"/>
        <v>201</v>
      </c>
      <c r="BO224" s="215">
        <f t="shared" si="273"/>
        <v>191</v>
      </c>
      <c r="BP224" s="215">
        <f t="shared" si="274"/>
        <v>172</v>
      </c>
      <c r="BQ224" s="216"/>
      <c r="BR224" s="214"/>
      <c r="BS224" s="215">
        <f t="shared" si="284"/>
        <v>201</v>
      </c>
      <c r="BT224" s="215">
        <f t="shared" si="285"/>
        <v>0</v>
      </c>
      <c r="BU224" s="215" t="str">
        <f t="shared" si="286"/>
        <v>EPA München 1</v>
      </c>
      <c r="BV224" s="214">
        <f t="shared" si="287"/>
        <v>2</v>
      </c>
      <c r="BW224" s="215">
        <f t="shared" si="288"/>
        <v>757</v>
      </c>
      <c r="BX224" s="215">
        <f>IF(COUNTIF(BH224:BP224,"&gt;0")&lt;Spielorte!$A$23,0,BE224/Spielorte!$A$23)</f>
        <v>0</v>
      </c>
      <c r="BY224" s="215">
        <f t="shared" si="289"/>
        <v>0</v>
      </c>
      <c r="BZ224" s="214">
        <f t="shared" si="275"/>
        <v>0</v>
      </c>
    </row>
    <row r="225" spans="1:78" ht="17.2" customHeight="1" thickBot="1" x14ac:dyDescent="0.4">
      <c r="A225" s="369"/>
      <c r="B225" s="79" t="str">
        <f t="shared" si="276"/>
        <v/>
      </c>
      <c r="C225" s="80" t="str">
        <f t="shared" si="277"/>
        <v/>
      </c>
      <c r="D225" s="69" t="str">
        <f t="shared" si="278"/>
        <v/>
      </c>
      <c r="E225" s="350"/>
      <c r="F225" s="69" t="str">
        <f t="shared" si="257"/>
        <v/>
      </c>
      <c r="G225" s="350"/>
      <c r="H225" s="69" t="str">
        <f t="shared" si="258"/>
        <v/>
      </c>
      <c r="I225" s="350"/>
      <c r="J225" s="69" t="str">
        <f t="shared" si="259"/>
        <v/>
      </c>
      <c r="K225" s="350"/>
      <c r="L225" s="69" t="str">
        <f t="shared" si="260"/>
        <v/>
      </c>
      <c r="M225" s="350"/>
      <c r="N225" s="69" t="str">
        <f t="shared" si="279"/>
        <v/>
      </c>
      <c r="O225" s="350"/>
      <c r="P225" s="69" t="str">
        <f t="shared" si="261"/>
        <v/>
      </c>
      <c r="Q225" s="350"/>
      <c r="R225" s="69" t="str">
        <f t="shared" si="262"/>
        <v/>
      </c>
      <c r="S225" s="350"/>
      <c r="T225" s="69" t="str">
        <f t="shared" si="263"/>
        <v/>
      </c>
      <c r="U225" s="350"/>
      <c r="V225" s="69" t="str">
        <f t="shared" si="264"/>
        <v/>
      </c>
      <c r="W225" s="350"/>
      <c r="Z225" s="353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65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80"/>
        <v>0</v>
      </c>
      <c r="BE225" s="213">
        <f t="shared" si="281"/>
        <v>0</v>
      </c>
      <c r="BF225" s="215">
        <f t="shared" si="282"/>
        <v>0</v>
      </c>
      <c r="BG225" s="215">
        <f t="shared" si="283"/>
        <v>0</v>
      </c>
      <c r="BH225" s="215" t="str">
        <f t="shared" si="266"/>
        <v/>
      </c>
      <c r="BI225" s="215" t="str">
        <f t="shared" si="267"/>
        <v/>
      </c>
      <c r="BJ225" s="215" t="str">
        <f t="shared" si="268"/>
        <v/>
      </c>
      <c r="BK225" s="215" t="str">
        <f t="shared" si="269"/>
        <v/>
      </c>
      <c r="BL225" s="215" t="str">
        <f t="shared" si="270"/>
        <v/>
      </c>
      <c r="BM225" s="215" t="str">
        <f t="shared" si="271"/>
        <v/>
      </c>
      <c r="BN225" s="215" t="str">
        <f t="shared" si="272"/>
        <v/>
      </c>
      <c r="BO225" s="215" t="str">
        <f t="shared" si="273"/>
        <v/>
      </c>
      <c r="BP225" s="215" t="str">
        <f t="shared" si="274"/>
        <v/>
      </c>
      <c r="BQ225" s="216"/>
      <c r="BR225" s="214"/>
      <c r="BS225" s="215">
        <f t="shared" si="284"/>
        <v>0</v>
      </c>
      <c r="BT225" s="215">
        <f t="shared" si="285"/>
        <v>0</v>
      </c>
      <c r="BU225" s="215" t="str">
        <f t="shared" si="286"/>
        <v>EPA München 1</v>
      </c>
      <c r="BV225" s="214">
        <f t="shared" si="287"/>
        <v>2</v>
      </c>
      <c r="BW225" s="215">
        <f t="shared" si="288"/>
        <v>0</v>
      </c>
      <c r="BX225" s="215">
        <f>IF(COUNTIF(BH225:BP225,"&gt;0")&lt;Spielorte!$A$23,0,BE225/Spielorte!$A$23)</f>
        <v>0</v>
      </c>
      <c r="BY225" s="215">
        <f t="shared" si="289"/>
        <v>0</v>
      </c>
      <c r="BZ225" s="214">
        <f t="shared" si="275"/>
        <v>0</v>
      </c>
    </row>
    <row r="226" spans="1:78" ht="17.2" customHeight="1" x14ac:dyDescent="0.35">
      <c r="A226" s="367" t="s">
        <v>11</v>
      </c>
      <c r="B226" s="73" t="str">
        <f>IF(AA226=0,"",AA226)</f>
        <v>Lieb, Anja</v>
      </c>
      <c r="C226" s="74">
        <f t="shared" si="277"/>
        <v>7534</v>
      </c>
      <c r="D226" s="75">
        <f t="shared" si="278"/>
        <v>208</v>
      </c>
      <c r="E226" s="348">
        <f>IF(AD226="","",AD226)</f>
        <v>1</v>
      </c>
      <c r="F226" s="75">
        <f t="shared" si="257"/>
        <v>210</v>
      </c>
      <c r="G226" s="348">
        <f>IF(AF226="","",AF226)</f>
        <v>1</v>
      </c>
      <c r="H226" s="75">
        <f t="shared" si="258"/>
        <v>181</v>
      </c>
      <c r="I226" s="348">
        <f>IF(AH226="","",AH226)</f>
        <v>1</v>
      </c>
      <c r="J226" s="75">
        <f t="shared" si="259"/>
        <v>184</v>
      </c>
      <c r="K226" s="348">
        <f>IF(AJ226="","",AJ226)</f>
        <v>0</v>
      </c>
      <c r="L226" s="75">
        <f t="shared" si="260"/>
        <v>168</v>
      </c>
      <c r="M226" s="348">
        <f>IF(AL226="","",AL226)</f>
        <v>1</v>
      </c>
      <c r="N226" s="75">
        <f t="shared" si="279"/>
        <v>209</v>
      </c>
      <c r="O226" s="348">
        <f>IF(AN226="","",AN226)</f>
        <v>1</v>
      </c>
      <c r="P226" s="75">
        <f t="shared" si="261"/>
        <v>220</v>
      </c>
      <c r="Q226" s="348">
        <f>IF(AP226="","",AP226)</f>
        <v>1</v>
      </c>
      <c r="R226" s="75">
        <f t="shared" si="262"/>
        <v>156</v>
      </c>
      <c r="S226" s="348">
        <f>IF(AR226="","",AR226)</f>
        <v>0</v>
      </c>
      <c r="T226" s="75">
        <f t="shared" si="263"/>
        <v>179</v>
      </c>
      <c r="U226" s="348">
        <f>IF(AT226="","",AT226)</f>
        <v>0</v>
      </c>
      <c r="V226" s="75">
        <f t="shared" si="264"/>
        <v>1715</v>
      </c>
      <c r="W226" s="348">
        <f>IF(AV226="","",AV226)</f>
        <v>6</v>
      </c>
      <c r="Z226" s="351" t="s">
        <v>11</v>
      </c>
      <c r="AA226" s="108" t="str">
        <f>IF(AB226=0,"",VLOOKUP(AB226,Starter!$A$1:$D$199,2,FALSE))</f>
        <v>Lieb, Anja</v>
      </c>
      <c r="AB226" s="99">
        <v>7534</v>
      </c>
      <c r="AC226" s="188">
        <v>208</v>
      </c>
      <c r="AD226" s="109">
        <f>IF(SUM(AC226:AC228)+AC238=0,0,IF(SUM(ABS(AC226),ABS(AC227),ABS(AC228))=AC238,0.5,IF(SUM(ABS(AC226),ABS(AC227),ABS(AC228))&gt;AC238,1,0)))</f>
        <v>1</v>
      </c>
      <c r="AE226" s="188">
        <v>210</v>
      </c>
      <c r="AF226" s="109">
        <f>IF(SUM(AE226:AE228)+AE238=0,0,IF(SUM(ABS(AE226),ABS(AE227),ABS(AE228))=AE238,0.5,IF(SUM(ABS(AE226),ABS(AE227),ABS(AE228))&gt;AE238,1,0)))</f>
        <v>1</v>
      </c>
      <c r="AG226" s="188">
        <v>181</v>
      </c>
      <c r="AH226" s="109">
        <f>IF(SUM(AG226:AG228)+AG238=0,0,IF(SUM(ABS(AG226),ABS(AG227),ABS(AG228))=AG238,0.5,IF(SUM(ABS(AG226),ABS(AG227),ABS(AG228))&gt;AG238,1,0)))</f>
        <v>1</v>
      </c>
      <c r="AI226" s="188">
        <v>184</v>
      </c>
      <c r="AJ226" s="109">
        <f>IF(SUM(AI226:AI228)+AI238=0,0,IF(SUM(ABS(AI226),ABS(AI227),ABS(AI228))=AI238,0.5,IF(SUM(ABS(AI226),ABS(AI227),ABS(AI228))&gt;AI238,1,0)))</f>
        <v>0</v>
      </c>
      <c r="AK226" s="188">
        <v>168</v>
      </c>
      <c r="AL226" s="109">
        <f>IF(SUM(AK226:AK228)+AK238=0,0,IF(SUM(ABS(AK226),ABS(AK227),ABS(AK228))=AK238,0.5,IF(SUM(ABS(AK226),ABS(AK227),ABS(AK228))&gt;AK238,1,0)))</f>
        <v>1</v>
      </c>
      <c r="AM226" s="188">
        <v>209</v>
      </c>
      <c r="AN226" s="109">
        <f>IF(SUM(AM226:AM228)+AM238=0,0,IF(SUM(ABS(AM226),ABS(AM227),ABS(AM228))=AM238,0.5,IF(SUM(ABS(AM226),ABS(AM227),ABS(AM228))&gt;AM238,1,0)))</f>
        <v>1</v>
      </c>
      <c r="AO226" s="188">
        <v>220</v>
      </c>
      <c r="AP226" s="109">
        <f>IF(SUM(AO226:AO228)+AO238=0,0,IF(SUM(ABS(AO226),ABS(AO227),ABS(AO228))=AO238,0.5,IF(SUM(ABS(AO226),ABS(AO227),ABS(AO228))&gt;AO238,1,0)))</f>
        <v>1</v>
      </c>
      <c r="AQ226" s="188">
        <v>156</v>
      </c>
      <c r="AR226" s="109">
        <f>IF(SUM(AQ226:AQ228)+AQ238=0,0,IF(SUM(ABS(AQ226),ABS(AQ227),ABS(AQ228))=AQ238,0.5,IF(SUM(ABS(AQ226),ABS(AQ227),ABS(AQ228))&gt;AQ238,1,0)))</f>
        <v>0</v>
      </c>
      <c r="AS226" s="188">
        <v>179</v>
      </c>
      <c r="AT226" s="109">
        <f>IF(SUM(AS226:AS228)+AS238=0,0,IF(SUM(ABS(AS226),ABS(AS227),ABS(AS228))=AS238,0.5,IF(SUM(ABS(AS226),ABS(AS227),ABS(AS228))&gt;AS238,1,0)))</f>
        <v>0</v>
      </c>
      <c r="AU226" s="110">
        <f t="shared" si="265"/>
        <v>1715</v>
      </c>
      <c r="AV226" s="111">
        <f>SUM(AD226+AF226+AH226+AJ226+AL226+AN226+AP226+AR226+AT226)</f>
        <v>6</v>
      </c>
      <c r="AW226" s="101"/>
      <c r="AX226" s="102"/>
      <c r="AZ226" s="63"/>
      <c r="BA226" s="212"/>
      <c r="BB226" s="213"/>
      <c r="BC226" s="214"/>
      <c r="BD226" s="217">
        <f t="shared" si="280"/>
        <v>7534</v>
      </c>
      <c r="BE226" s="213">
        <f t="shared" si="281"/>
        <v>1715</v>
      </c>
      <c r="BF226" s="215">
        <f t="shared" si="282"/>
        <v>9</v>
      </c>
      <c r="BG226" s="215">
        <f t="shared" si="283"/>
        <v>9</v>
      </c>
      <c r="BH226" s="215">
        <f t="shared" si="266"/>
        <v>208</v>
      </c>
      <c r="BI226" s="215">
        <f t="shared" si="267"/>
        <v>210</v>
      </c>
      <c r="BJ226" s="215">
        <f t="shared" si="268"/>
        <v>181</v>
      </c>
      <c r="BK226" s="215">
        <f t="shared" si="269"/>
        <v>184</v>
      </c>
      <c r="BL226" s="215">
        <f t="shared" si="270"/>
        <v>168</v>
      </c>
      <c r="BM226" s="215">
        <f t="shared" si="271"/>
        <v>209</v>
      </c>
      <c r="BN226" s="215">
        <f t="shared" si="272"/>
        <v>220</v>
      </c>
      <c r="BO226" s="215">
        <f t="shared" si="273"/>
        <v>156</v>
      </c>
      <c r="BP226" s="215">
        <f t="shared" si="274"/>
        <v>179</v>
      </c>
      <c r="BQ226" s="216"/>
      <c r="BR226" s="214"/>
      <c r="BS226" s="215">
        <f t="shared" si="284"/>
        <v>220</v>
      </c>
      <c r="BT226" s="215">
        <f t="shared" si="285"/>
        <v>0</v>
      </c>
      <c r="BU226" s="215" t="str">
        <f t="shared" si="286"/>
        <v>EPA München 1</v>
      </c>
      <c r="BV226" s="214">
        <f t="shared" si="287"/>
        <v>2</v>
      </c>
      <c r="BW226" s="215">
        <f t="shared" si="288"/>
        <v>1715</v>
      </c>
      <c r="BX226" s="215">
        <f>IF(COUNTIF(BH226:BP226,"&gt;0")&lt;Spielorte!$A$23,0,BE226/Spielorte!$A$23)</f>
        <v>190.55555555555554</v>
      </c>
      <c r="BY226" s="215">
        <f t="shared" si="289"/>
        <v>0</v>
      </c>
      <c r="BZ226" s="214">
        <f t="shared" si="275"/>
        <v>0</v>
      </c>
    </row>
    <row r="227" spans="1:78" ht="17.2" customHeight="1" x14ac:dyDescent="0.35">
      <c r="A227" s="368"/>
      <c r="B227" s="76" t="str">
        <f>IF(AA227=0,"",AA227)</f>
        <v/>
      </c>
      <c r="C227" s="77" t="str">
        <f t="shared" si="277"/>
        <v/>
      </c>
      <c r="D227" s="78" t="str">
        <f t="shared" si="278"/>
        <v/>
      </c>
      <c r="E227" s="349"/>
      <c r="F227" s="78" t="str">
        <f t="shared" si="257"/>
        <v/>
      </c>
      <c r="G227" s="349"/>
      <c r="H227" s="78" t="str">
        <f t="shared" si="258"/>
        <v/>
      </c>
      <c r="I227" s="349"/>
      <c r="J227" s="78" t="str">
        <f t="shared" si="259"/>
        <v/>
      </c>
      <c r="K227" s="349"/>
      <c r="L227" s="78" t="str">
        <f t="shared" si="260"/>
        <v/>
      </c>
      <c r="M227" s="349"/>
      <c r="N227" s="78" t="str">
        <f t="shared" si="279"/>
        <v/>
      </c>
      <c r="O227" s="349"/>
      <c r="P227" s="78" t="str">
        <f t="shared" si="261"/>
        <v/>
      </c>
      <c r="Q227" s="349"/>
      <c r="R227" s="78" t="str">
        <f t="shared" si="262"/>
        <v/>
      </c>
      <c r="S227" s="349"/>
      <c r="T227" s="78" t="str">
        <f t="shared" si="263"/>
        <v/>
      </c>
      <c r="U227" s="349"/>
      <c r="V227" s="78" t="str">
        <f t="shared" si="264"/>
        <v/>
      </c>
      <c r="W227" s="349"/>
      <c r="Z227" s="352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65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80"/>
        <v>0</v>
      </c>
      <c r="BE227" s="213">
        <f t="shared" si="281"/>
        <v>0</v>
      </c>
      <c r="BF227" s="215">
        <f t="shared" si="282"/>
        <v>0</v>
      </c>
      <c r="BG227" s="215">
        <f t="shared" si="283"/>
        <v>0</v>
      </c>
      <c r="BH227" s="215" t="str">
        <f t="shared" si="266"/>
        <v/>
      </c>
      <c r="BI227" s="215" t="str">
        <f t="shared" si="267"/>
        <v/>
      </c>
      <c r="BJ227" s="215" t="str">
        <f t="shared" si="268"/>
        <v/>
      </c>
      <c r="BK227" s="215" t="str">
        <f t="shared" si="269"/>
        <v/>
      </c>
      <c r="BL227" s="215" t="str">
        <f t="shared" si="270"/>
        <v/>
      </c>
      <c r="BM227" s="215" t="str">
        <f t="shared" si="271"/>
        <v/>
      </c>
      <c r="BN227" s="215" t="str">
        <f t="shared" si="272"/>
        <v/>
      </c>
      <c r="BO227" s="215" t="str">
        <f t="shared" si="273"/>
        <v/>
      </c>
      <c r="BP227" s="215" t="str">
        <f t="shared" si="274"/>
        <v/>
      </c>
      <c r="BQ227" s="216"/>
      <c r="BR227" s="214"/>
      <c r="BS227" s="215">
        <f t="shared" si="284"/>
        <v>0</v>
      </c>
      <c r="BT227" s="215">
        <f t="shared" si="285"/>
        <v>0</v>
      </c>
      <c r="BU227" s="215" t="str">
        <f t="shared" si="286"/>
        <v>EPA München 1</v>
      </c>
      <c r="BV227" s="214">
        <f t="shared" si="287"/>
        <v>2</v>
      </c>
      <c r="BW227" s="215">
        <f t="shared" si="288"/>
        <v>0</v>
      </c>
      <c r="BX227" s="215">
        <f>IF(COUNTIF(BH227:BP227,"&gt;0")&lt;Spielorte!$A$23,0,BE227/Spielorte!$A$23)</f>
        <v>0</v>
      </c>
      <c r="BY227" s="215">
        <f t="shared" si="289"/>
        <v>0</v>
      </c>
      <c r="BZ227" s="214">
        <f t="shared" si="275"/>
        <v>0</v>
      </c>
    </row>
    <row r="228" spans="1:78" ht="17.2" customHeight="1" thickBot="1" x14ac:dyDescent="0.4">
      <c r="A228" s="369"/>
      <c r="B228" s="79" t="str">
        <f>IF(AA228=0,"",AA228)</f>
        <v/>
      </c>
      <c r="C228" s="80" t="str">
        <f t="shared" si="277"/>
        <v/>
      </c>
      <c r="D228" s="69" t="str">
        <f t="shared" si="278"/>
        <v/>
      </c>
      <c r="E228" s="350"/>
      <c r="F228" s="69" t="str">
        <f t="shared" si="257"/>
        <v/>
      </c>
      <c r="G228" s="350"/>
      <c r="H228" s="69" t="str">
        <f t="shared" si="258"/>
        <v/>
      </c>
      <c r="I228" s="350"/>
      <c r="J228" s="69" t="str">
        <f t="shared" si="259"/>
        <v/>
      </c>
      <c r="K228" s="350"/>
      <c r="L228" s="69" t="str">
        <f t="shared" si="260"/>
        <v/>
      </c>
      <c r="M228" s="350"/>
      <c r="N228" s="69" t="str">
        <f t="shared" si="279"/>
        <v/>
      </c>
      <c r="O228" s="350"/>
      <c r="P228" s="69" t="str">
        <f t="shared" si="261"/>
        <v/>
      </c>
      <c r="Q228" s="350"/>
      <c r="R228" s="69" t="str">
        <f t="shared" si="262"/>
        <v/>
      </c>
      <c r="S228" s="350"/>
      <c r="T228" s="69" t="str">
        <f t="shared" si="263"/>
        <v/>
      </c>
      <c r="U228" s="350"/>
      <c r="V228" s="69" t="str">
        <f t="shared" si="264"/>
        <v/>
      </c>
      <c r="W228" s="350"/>
      <c r="Z228" s="353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65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80"/>
        <v>0</v>
      </c>
      <c r="BE228" s="213">
        <f t="shared" si="281"/>
        <v>0</v>
      </c>
      <c r="BF228" s="215">
        <f t="shared" si="282"/>
        <v>0</v>
      </c>
      <c r="BG228" s="215">
        <f t="shared" si="283"/>
        <v>0</v>
      </c>
      <c r="BH228" s="215" t="str">
        <f t="shared" si="266"/>
        <v/>
      </c>
      <c r="BI228" s="215" t="str">
        <f t="shared" si="267"/>
        <v/>
      </c>
      <c r="BJ228" s="215" t="str">
        <f t="shared" si="268"/>
        <v/>
      </c>
      <c r="BK228" s="215" t="str">
        <f t="shared" si="269"/>
        <v/>
      </c>
      <c r="BL228" s="215" t="str">
        <f t="shared" si="270"/>
        <v/>
      </c>
      <c r="BM228" s="215" t="str">
        <f t="shared" si="271"/>
        <v/>
      </c>
      <c r="BN228" s="215" t="str">
        <f t="shared" si="272"/>
        <v/>
      </c>
      <c r="BO228" s="215" t="str">
        <f t="shared" si="273"/>
        <v/>
      </c>
      <c r="BP228" s="215" t="str">
        <f t="shared" si="274"/>
        <v/>
      </c>
      <c r="BQ228" s="216"/>
      <c r="BR228" s="214"/>
      <c r="BS228" s="215">
        <f t="shared" si="284"/>
        <v>0</v>
      </c>
      <c r="BT228" s="215">
        <f t="shared" si="285"/>
        <v>0</v>
      </c>
      <c r="BU228" s="215" t="str">
        <f t="shared" si="286"/>
        <v>EPA München 1</v>
      </c>
      <c r="BV228" s="214">
        <f t="shared" si="287"/>
        <v>2</v>
      </c>
      <c r="BW228" s="215">
        <f t="shared" si="288"/>
        <v>0</v>
      </c>
      <c r="BX228" s="215">
        <f>IF(COUNTIF(BH228:BP228,"&gt;0")&lt;Spielorte!$A$23,0,BE228/Spielorte!$A$23)</f>
        <v>0</v>
      </c>
      <c r="BY228" s="215">
        <f t="shared" si="289"/>
        <v>0</v>
      </c>
      <c r="BZ228" s="214">
        <f t="shared" si="275"/>
        <v>0</v>
      </c>
    </row>
    <row r="229" spans="1:78" ht="27.75" customHeight="1" thickBot="1" x14ac:dyDescent="0.4">
      <c r="B229" s="81" t="str">
        <f>IF(AA229=0,"",AA229)</f>
        <v>Gesamt</v>
      </c>
      <c r="C229" s="82" t="str">
        <f t="shared" si="277"/>
        <v/>
      </c>
      <c r="D229" s="83">
        <f t="shared" si="278"/>
        <v>718</v>
      </c>
      <c r="E229" s="84">
        <f>IF(AD229="","",AD229)</f>
        <v>0</v>
      </c>
      <c r="F229" s="83">
        <f t="shared" si="257"/>
        <v>770</v>
      </c>
      <c r="G229" s="84">
        <f>IF(AF229="","",AF229)</f>
        <v>2</v>
      </c>
      <c r="H229" s="83">
        <f t="shared" si="258"/>
        <v>741</v>
      </c>
      <c r="I229" s="84">
        <f>IF(AH229="","",AH229)</f>
        <v>2</v>
      </c>
      <c r="J229" s="83">
        <f t="shared" si="259"/>
        <v>755</v>
      </c>
      <c r="K229" s="84">
        <f>IF(AJ229="","",AJ229)</f>
        <v>0</v>
      </c>
      <c r="L229" s="83">
        <f t="shared" si="260"/>
        <v>723</v>
      </c>
      <c r="M229" s="84">
        <f>IF(AL229="","",AL229)</f>
        <v>2</v>
      </c>
      <c r="N229" s="83">
        <f t="shared" si="279"/>
        <v>810</v>
      </c>
      <c r="O229" s="84">
        <f>IF(AN229="","",AN229)</f>
        <v>2</v>
      </c>
      <c r="P229" s="83">
        <f t="shared" si="261"/>
        <v>764</v>
      </c>
      <c r="Q229" s="84">
        <f>IF(AP229="","",AP229)</f>
        <v>2</v>
      </c>
      <c r="R229" s="83">
        <f t="shared" si="262"/>
        <v>709</v>
      </c>
      <c r="S229" s="84">
        <f>IF(AR229="","",AR229)</f>
        <v>2</v>
      </c>
      <c r="T229" s="83">
        <f t="shared" si="263"/>
        <v>767</v>
      </c>
      <c r="U229" s="84">
        <f>IF(AT229="","",AT229)</f>
        <v>2</v>
      </c>
      <c r="V229" s="83">
        <f t="shared" si="264"/>
        <v>6757</v>
      </c>
      <c r="W229" s="84">
        <f>IF(AV229="","",AV229)</f>
        <v>14</v>
      </c>
      <c r="AA229" s="81" t="s">
        <v>1799</v>
      </c>
      <c r="AB229" s="120"/>
      <c r="AC229" s="211">
        <f>ABS(SUM(AC217:AC219))+ABS(SUM(AC220:AC222))+ABS(SUM(AC223:AC225))+ABS(SUM(AC226:AC228))</f>
        <v>718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770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741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755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723</v>
      </c>
      <c r="AL229" s="121">
        <f>IF(AK229+AK239=0,0,IF(AK229=AK239,1,IF(AK229&gt;AK239,2,0)))</f>
        <v>2</v>
      </c>
      <c r="AM229" s="211">
        <f>ABS(SUM(AM217:AM219))+ABS(SUM(AM220:AM222))+ABS(SUM(AM223:AM225))+ABS(SUM(AM226:AM228))</f>
        <v>810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764</v>
      </c>
      <c r="AP229" s="121">
        <f>IF(AO229+AO239=0,0,IF(AO229=AO239,1,IF(AO229&gt;AO239,2,0)))</f>
        <v>2</v>
      </c>
      <c r="AQ229" s="211">
        <f>ABS(SUM(AQ217:AQ219))+ABS(SUM(AQ220:AQ222))+ABS(SUM(AQ223:AQ225))+ABS(SUM(AQ226:AQ228))</f>
        <v>709</v>
      </c>
      <c r="AR229" s="121">
        <f>IF(AQ229+AQ239=0,0,IF(AQ229=AQ239,1,IF(AQ229&gt;AQ239,2,0)))</f>
        <v>2</v>
      </c>
      <c r="AS229" s="211">
        <f>ABS(SUM(AS217:AS219))+ABS(SUM(AS220:AS222))+ABS(SUM(AS223:AS225))+ABS(SUM(AS226:AS228))</f>
        <v>767</v>
      </c>
      <c r="AT229" s="121">
        <f>IF(AS229+AS239=0,0,IF(AS229=AS239,1,IF(AS229&gt;AS239,2,0)))</f>
        <v>2</v>
      </c>
      <c r="AU229" s="122">
        <f>SUM(AC229+AE229+AG229+AI229+AK229+AM229+AO229+AQ229+AS229)</f>
        <v>6757</v>
      </c>
      <c r="AV229" s="123">
        <f>SUM(AD229+AF229+AH229+AJ229+AL229+AN229+AP229+AR229+AT229)</f>
        <v>14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4">
      <c r="B230" s="85" t="str">
        <f>IF(AA230=0,"",AA230)</f>
        <v>Gesamt - Punkte</v>
      </c>
      <c r="C230" s="86" t="str">
        <f t="shared" si="277"/>
        <v/>
      </c>
      <c r="D230" s="86" t="str">
        <f t="shared" si="278"/>
        <v/>
      </c>
      <c r="E230" s="87">
        <f>IF(AD230="","",AD230)</f>
        <v>2</v>
      </c>
      <c r="F230" s="86" t="str">
        <f t="shared" si="257"/>
        <v/>
      </c>
      <c r="G230" s="87">
        <f>IF(AF230="","",AF230)</f>
        <v>6</v>
      </c>
      <c r="H230" s="86" t="str">
        <f t="shared" si="258"/>
        <v/>
      </c>
      <c r="I230" s="87">
        <f>IF(AH230="","",AH230)</f>
        <v>5</v>
      </c>
      <c r="J230" s="86" t="str">
        <f t="shared" si="259"/>
        <v/>
      </c>
      <c r="K230" s="87">
        <f>IF(AJ230="","",AJ230)</f>
        <v>2</v>
      </c>
      <c r="L230" s="86" t="str">
        <f t="shared" si="260"/>
        <v/>
      </c>
      <c r="M230" s="87">
        <f>IF(AL230="","",AL230)</f>
        <v>5</v>
      </c>
      <c r="N230" s="86" t="str">
        <f t="shared" si="279"/>
        <v/>
      </c>
      <c r="O230" s="87">
        <f>IF(AN230="","",AN230)</f>
        <v>6</v>
      </c>
      <c r="P230" s="86" t="str">
        <f t="shared" si="261"/>
        <v/>
      </c>
      <c r="Q230" s="87">
        <f>IF(AP230="","",AP230)</f>
        <v>5</v>
      </c>
      <c r="R230" s="86" t="str">
        <f t="shared" si="262"/>
        <v/>
      </c>
      <c r="S230" s="87">
        <f>IF(AR230="","",AR230)</f>
        <v>4</v>
      </c>
      <c r="T230" s="86" t="str">
        <f t="shared" si="263"/>
        <v/>
      </c>
      <c r="U230" s="87">
        <f>IF(AT230="","",AT230)</f>
        <v>3</v>
      </c>
      <c r="V230" s="86" t="str">
        <f t="shared" si="264"/>
        <v/>
      </c>
      <c r="W230" s="87">
        <f>IF(AV230="","",AV230)</f>
        <v>38</v>
      </c>
      <c r="AA230" s="85" t="s">
        <v>1814</v>
      </c>
      <c r="AB230" s="86"/>
      <c r="AC230" s="86"/>
      <c r="AD230" s="124">
        <f>SUM(AD217:AD229)</f>
        <v>2</v>
      </c>
      <c r="AE230" s="86"/>
      <c r="AF230" s="124">
        <f>SUM(AF217:AF229)</f>
        <v>6</v>
      </c>
      <c r="AG230" s="86"/>
      <c r="AH230" s="124">
        <f>SUM(AH217:AH229)</f>
        <v>5</v>
      </c>
      <c r="AI230" s="86"/>
      <c r="AJ230" s="124">
        <f>SUM(AJ217:AJ229)</f>
        <v>2</v>
      </c>
      <c r="AK230" s="86"/>
      <c r="AL230" s="124">
        <f>SUM(AL217:AL229)</f>
        <v>5</v>
      </c>
      <c r="AM230" s="86"/>
      <c r="AN230" s="124">
        <f>SUM(AN217:AN229)</f>
        <v>6</v>
      </c>
      <c r="AO230" s="86"/>
      <c r="AP230" s="124">
        <f>SUM(AP217:AP229)</f>
        <v>5</v>
      </c>
      <c r="AQ230" s="86"/>
      <c r="AR230" s="124">
        <f>SUM(AR217:AR229)</f>
        <v>4</v>
      </c>
      <c r="AS230" s="86"/>
      <c r="AT230" s="124">
        <f>SUM(AT217:AT229)</f>
        <v>3</v>
      </c>
      <c r="AU230" s="86"/>
      <c r="AV230" s="125">
        <f>SUM(AV217:AV229)</f>
        <v>38</v>
      </c>
      <c r="AW230" s="101"/>
      <c r="AX230" s="102"/>
      <c r="BA230" s="212">
        <f>+AV230</f>
        <v>38</v>
      </c>
      <c r="BB230" s="213">
        <f>+AU229</f>
        <v>6757</v>
      </c>
      <c r="BC230" s="214">
        <f>+AA212</f>
        <v>8</v>
      </c>
      <c r="BF230" s="215">
        <f>SUM(BF211:BF229)</f>
        <v>36</v>
      </c>
      <c r="BQ230" s="212">
        <f>+BB230/1000000+BA230</f>
        <v>38.006757</v>
      </c>
      <c r="BR230" s="214">
        <f>RANK(BQ230,BQ:BQ)</f>
        <v>3</v>
      </c>
      <c r="BV230" s="214"/>
      <c r="BZ230" s="214"/>
    </row>
    <row r="231" spans="1:78" ht="11.25" customHeight="1" x14ac:dyDescent="0.3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35">
      <c r="B232" s="88" t="str">
        <f t="shared" ref="B232:B239" si="290">IF(AA232=0,"",AA232)</f>
        <v>Gegner-Nr.:</v>
      </c>
      <c r="C232" s="89" t="str">
        <f t="shared" ref="C232:C239" si="291">IF(AB232=0,"",AB232)</f>
        <v>&gt;&gt;&gt;&gt;</v>
      </c>
      <c r="D232" s="346">
        <f t="shared" ref="D232:M234" si="292">IF(AC232=0,"",AC232)</f>
        <v>10</v>
      </c>
      <c r="E232" s="346" t="str">
        <f t="shared" si="292"/>
        <v/>
      </c>
      <c r="F232" s="346">
        <f t="shared" si="292"/>
        <v>5</v>
      </c>
      <c r="G232" s="346" t="str">
        <f t="shared" si="292"/>
        <v/>
      </c>
      <c r="H232" s="346">
        <f t="shared" si="292"/>
        <v>2</v>
      </c>
      <c r="I232" s="346" t="str">
        <f t="shared" si="292"/>
        <v/>
      </c>
      <c r="J232" s="346">
        <f t="shared" si="292"/>
        <v>6</v>
      </c>
      <c r="K232" s="346" t="str">
        <f t="shared" si="292"/>
        <v/>
      </c>
      <c r="L232" s="346">
        <f t="shared" si="292"/>
        <v>9</v>
      </c>
      <c r="M232" s="346" t="str">
        <f t="shared" si="292"/>
        <v/>
      </c>
      <c r="N232" s="346">
        <f t="shared" ref="N232:U234" si="293">IF(AM232=0,"",AM232)</f>
        <v>4</v>
      </c>
      <c r="O232" s="346" t="str">
        <f t="shared" si="293"/>
        <v/>
      </c>
      <c r="P232" s="346">
        <f t="shared" si="293"/>
        <v>3</v>
      </c>
      <c r="Q232" s="346" t="str">
        <f t="shared" si="293"/>
        <v/>
      </c>
      <c r="R232" s="346">
        <f t="shared" si="293"/>
        <v>7</v>
      </c>
      <c r="S232" s="346" t="str">
        <f t="shared" si="293"/>
        <v/>
      </c>
      <c r="T232" s="346">
        <f t="shared" si="293"/>
        <v>1</v>
      </c>
      <c r="U232" s="346" t="str">
        <f t="shared" si="293"/>
        <v/>
      </c>
      <c r="V232" s="347"/>
      <c r="W232" s="347"/>
      <c r="AA232" s="88" t="s">
        <v>1797</v>
      </c>
      <c r="AB232" s="89" t="s">
        <v>1798</v>
      </c>
      <c r="AC232" s="370">
        <f>VLOOKUP($AA212,Schlüssel!$A$5:$K$14,3)</f>
        <v>10</v>
      </c>
      <c r="AD232" s="371"/>
      <c r="AE232" s="370">
        <f>VLOOKUP($AA212,Schlüssel!$A$5:$K$14,4)</f>
        <v>5</v>
      </c>
      <c r="AF232" s="371"/>
      <c r="AG232" s="370">
        <f>VLOOKUP($AA212,Schlüssel!$A$5:$K$14,5)</f>
        <v>2</v>
      </c>
      <c r="AH232" s="371"/>
      <c r="AI232" s="370">
        <f>VLOOKUP($AA212,Schlüssel!$A$5:$K$14,6)</f>
        <v>6</v>
      </c>
      <c r="AJ232" s="371"/>
      <c r="AK232" s="370">
        <f>VLOOKUP($AA212,Schlüssel!$A$5:$K$14,7)</f>
        <v>9</v>
      </c>
      <c r="AL232" s="371"/>
      <c r="AM232" s="370">
        <f>VLOOKUP($AA212,Schlüssel!$A$5:$K$14,8)</f>
        <v>4</v>
      </c>
      <c r="AN232" s="371"/>
      <c r="AO232" s="370">
        <f>VLOOKUP($AA212,Schlüssel!$A$5:$K$14,9)</f>
        <v>3</v>
      </c>
      <c r="AP232" s="371"/>
      <c r="AQ232" s="370">
        <f>VLOOKUP($AA212,Schlüssel!$A$5:$K$14,10)</f>
        <v>7</v>
      </c>
      <c r="AR232" s="371"/>
      <c r="AS232" s="370">
        <f>VLOOKUP($AA212,Schlüssel!$A$5:$K$14,11)</f>
        <v>1</v>
      </c>
      <c r="AT232" s="371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35">
      <c r="B233" s="90" t="str">
        <f t="shared" si="290"/>
        <v/>
      </c>
      <c r="C233" s="86" t="str">
        <f t="shared" si="291"/>
        <v/>
      </c>
      <c r="D233" s="343" t="str">
        <f t="shared" si="292"/>
        <v>BK München 4</v>
      </c>
      <c r="E233" s="344" t="str">
        <f t="shared" si="292"/>
        <v/>
      </c>
      <c r="F233" s="343" t="str">
        <f t="shared" si="292"/>
        <v xml:space="preserve">Weiß Blau Unterföhring </v>
      </c>
      <c r="G233" s="344" t="str">
        <f t="shared" si="292"/>
        <v/>
      </c>
      <c r="H233" s="343" t="str">
        <f t="shared" si="292"/>
        <v>BK München 2</v>
      </c>
      <c r="I233" s="344" t="str">
        <f t="shared" si="292"/>
        <v/>
      </c>
      <c r="J233" s="343" t="str">
        <f t="shared" si="292"/>
        <v>Phönix 03 Lauf</v>
      </c>
      <c r="K233" s="344" t="str">
        <f t="shared" si="292"/>
        <v/>
      </c>
      <c r="L233" s="343" t="str">
        <f t="shared" si="292"/>
        <v>RW Lichtenhof 69 Stein 2</v>
      </c>
      <c r="M233" s="344" t="str">
        <f t="shared" si="292"/>
        <v/>
      </c>
      <c r="N233" s="343" t="str">
        <f t="shared" si="293"/>
        <v>BK München 3</v>
      </c>
      <c r="O233" s="344" t="str">
        <f t="shared" si="293"/>
        <v/>
      </c>
      <c r="P233" s="343" t="str">
        <f t="shared" si="293"/>
        <v>Highroller Rosenheim</v>
      </c>
      <c r="Q233" s="344" t="str">
        <f t="shared" si="293"/>
        <v/>
      </c>
      <c r="R233" s="343" t="str">
        <f t="shared" si="293"/>
        <v>Frankenpower Nürnberg</v>
      </c>
      <c r="S233" s="344" t="str">
        <f t="shared" si="293"/>
        <v/>
      </c>
      <c r="T233" s="343" t="str">
        <f t="shared" si="293"/>
        <v>Praetoria Regensburg</v>
      </c>
      <c r="U233" s="344" t="str">
        <f t="shared" si="293"/>
        <v/>
      </c>
      <c r="V233" s="345"/>
      <c r="W233" s="345"/>
      <c r="AA233" s="90"/>
      <c r="AB233" s="86"/>
      <c r="AC233" s="343" t="str">
        <f>VLOOKUP(AC232,Schlüssel!$A$5:$K$14,2)</f>
        <v>BK München 4</v>
      </c>
      <c r="AD233" s="344"/>
      <c r="AE233" s="343" t="str">
        <f>VLOOKUP(AE232,Schlüssel!$A$5:$K$14,2)</f>
        <v xml:space="preserve">Weiß Blau Unterföhring </v>
      </c>
      <c r="AF233" s="344"/>
      <c r="AG233" s="343" t="str">
        <f>VLOOKUP(AG232,Schlüssel!$A$5:$K$14,2)</f>
        <v>BK München 2</v>
      </c>
      <c r="AH233" s="344"/>
      <c r="AI233" s="343" t="str">
        <f>VLOOKUP(AI232,Schlüssel!$A$5:$K$14,2)</f>
        <v>Phönix 03 Lauf</v>
      </c>
      <c r="AJ233" s="344"/>
      <c r="AK233" s="343" t="str">
        <f>VLOOKUP(AK232,Schlüssel!$A$5:$K$14,2)</f>
        <v>RW Lichtenhof 69 Stein 2</v>
      </c>
      <c r="AL233" s="344"/>
      <c r="AM233" s="343" t="str">
        <f>VLOOKUP(AM232,Schlüssel!$A$5:$K$14,2)</f>
        <v>BK München 3</v>
      </c>
      <c r="AN233" s="344"/>
      <c r="AO233" s="343" t="str">
        <f>VLOOKUP(AO232,Schlüssel!$A$5:$K$14,2)</f>
        <v>Highroller Rosenheim</v>
      </c>
      <c r="AP233" s="344"/>
      <c r="AQ233" s="343" t="str">
        <f>VLOOKUP(AQ232,Schlüssel!$A$5:$K$14,2)</f>
        <v>Frankenpower Nürnberg</v>
      </c>
      <c r="AR233" s="344"/>
      <c r="AS233" s="343" t="str">
        <f>VLOOKUP(AS232,Schlüssel!$A$5:$K$14,2)</f>
        <v>Praetoria Regensburg</v>
      </c>
      <c r="AT233" s="344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35">
      <c r="B234" s="90" t="str">
        <f t="shared" si="290"/>
        <v/>
      </c>
      <c r="C234" s="86" t="str">
        <f t="shared" si="291"/>
        <v/>
      </c>
      <c r="D234" s="341" t="str">
        <f t="shared" si="292"/>
        <v/>
      </c>
      <c r="E234" s="341" t="str">
        <f t="shared" si="292"/>
        <v/>
      </c>
      <c r="F234" s="341" t="str">
        <f t="shared" si="292"/>
        <v/>
      </c>
      <c r="G234" s="341" t="str">
        <f t="shared" si="292"/>
        <v/>
      </c>
      <c r="H234" s="341" t="str">
        <f t="shared" si="292"/>
        <v/>
      </c>
      <c r="I234" s="341" t="str">
        <f t="shared" si="292"/>
        <v/>
      </c>
      <c r="J234" s="341" t="str">
        <f t="shared" si="292"/>
        <v/>
      </c>
      <c r="K234" s="341" t="str">
        <f t="shared" si="292"/>
        <v/>
      </c>
      <c r="L234" s="341" t="str">
        <f t="shared" si="292"/>
        <v/>
      </c>
      <c r="M234" s="341" t="str">
        <f t="shared" si="292"/>
        <v/>
      </c>
      <c r="N234" s="341" t="str">
        <f t="shared" si="293"/>
        <v/>
      </c>
      <c r="O234" s="341" t="str">
        <f t="shared" si="293"/>
        <v/>
      </c>
      <c r="P234" s="341" t="str">
        <f t="shared" si="293"/>
        <v/>
      </c>
      <c r="Q234" s="341" t="str">
        <f t="shared" si="293"/>
        <v/>
      </c>
      <c r="R234" s="341" t="str">
        <f t="shared" si="293"/>
        <v/>
      </c>
      <c r="S234" s="341" t="str">
        <f t="shared" si="293"/>
        <v/>
      </c>
      <c r="T234" s="341" t="str">
        <f t="shared" si="293"/>
        <v/>
      </c>
      <c r="U234" s="342" t="str">
        <f t="shared" si="293"/>
        <v/>
      </c>
      <c r="V234" s="301"/>
      <c r="W234" s="301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6.05" customHeight="1" x14ac:dyDescent="0.35">
      <c r="B235" s="365" t="str">
        <f t="shared" si="290"/>
        <v>Spieler 1</v>
      </c>
      <c r="C235" s="366" t="str">
        <f t="shared" si="291"/>
        <v/>
      </c>
      <c r="D235" s="339">
        <f>IF(AC235=301,"",AC235)</f>
        <v>136</v>
      </c>
      <c r="E235" s="339" t="str">
        <f>IF(AD235=0,"",AD235)</f>
        <v/>
      </c>
      <c r="F235" s="339">
        <f>IF(AE235=301,"",AE235)</f>
        <v>192</v>
      </c>
      <c r="G235" s="339" t="str">
        <f>IF(AF235=0,"",AF235)</f>
        <v/>
      </c>
      <c r="H235" s="339">
        <f>IF(AG235=301,"",AG235)</f>
        <v>201</v>
      </c>
      <c r="I235" s="339" t="str">
        <f>IF(AH235=0,"",AH235)</f>
        <v/>
      </c>
      <c r="J235" s="339">
        <f>IF(AI235=301,"",AI235)</f>
        <v>158</v>
      </c>
      <c r="K235" s="339" t="str">
        <f>IF(AJ235=0,"",AJ235)</f>
        <v/>
      </c>
      <c r="L235" s="339">
        <f>IF(AK235=301,"",AK235)</f>
        <v>164</v>
      </c>
      <c r="M235" s="339" t="str">
        <f>IF(AL235=0,"",AL235)</f>
        <v/>
      </c>
      <c r="N235" s="339">
        <f>IF(AM235=301,"",AM235)</f>
        <v>0</v>
      </c>
      <c r="O235" s="339" t="str">
        <f>IF(AN235=0,"",AN235)</f>
        <v/>
      </c>
      <c r="P235" s="339">
        <f>IF(AO235=301,"",AO235)</f>
        <v>176</v>
      </c>
      <c r="Q235" s="339" t="str">
        <f>IF(AP235=0,"",AP235)</f>
        <v/>
      </c>
      <c r="R235" s="339">
        <f>IF(AQ235=301,"",AQ235)</f>
        <v>139</v>
      </c>
      <c r="S235" s="339" t="str">
        <f>IF(AR235=0,"",AR235)</f>
        <v/>
      </c>
      <c r="T235" s="339">
        <f>IF(AS235=301,"",AS235)</f>
        <v>190</v>
      </c>
      <c r="U235" s="339" t="str">
        <f>IF(AT235=0,"",AT235)</f>
        <v/>
      </c>
      <c r="V235" s="340"/>
      <c r="W235" s="340"/>
      <c r="AA235" s="91" t="s">
        <v>0</v>
      </c>
      <c r="AB235" s="92"/>
      <c r="AC235" s="372">
        <f>ABS(INDEX(AC:AC,MATCH(AC232,$AA:$AA,0)+5)+INDEX(AC:AC,MATCH(AC232,$AA:$AA,0)+6)+INDEX(AC:AC,MATCH(AC232,$AA:$AA,0)+7))</f>
        <v>136</v>
      </c>
      <c r="AD235" s="373"/>
      <c r="AE235" s="372">
        <f>ABS(INDEX(AE:AE,MATCH(AE232,$AA:$AA,0)+5)+INDEX(AE:AE,MATCH(AE232,$AA:$AA,0)+6)+INDEX(AE:AE,MATCH(AE232,$AA:$AA,0)+7))</f>
        <v>192</v>
      </c>
      <c r="AF235" s="373"/>
      <c r="AG235" s="372">
        <f>ABS(INDEX(AG:AG,MATCH(AG232,$AA:$AA,0)+5)+INDEX(AG:AG,MATCH(AG232,$AA:$AA,0)+6)+INDEX(AG:AG,MATCH(AG232,$AA:$AA,0)+7))</f>
        <v>201</v>
      </c>
      <c r="AH235" s="373"/>
      <c r="AI235" s="372">
        <f>ABS(INDEX(AI:AI,MATCH(AI232,$AA:$AA,0)+5)+INDEX(AI:AI,MATCH(AI232,$AA:$AA,0)+6)+INDEX(AI:AI,MATCH(AI232,$AA:$AA,0)+7))</f>
        <v>158</v>
      </c>
      <c r="AJ235" s="373"/>
      <c r="AK235" s="372">
        <f>ABS(INDEX(AK:AK,MATCH(AK232,$AA:$AA,0)+5)+INDEX(AK:AK,MATCH(AK232,$AA:$AA,0)+6)+INDEX(AK:AK,MATCH(AK232,$AA:$AA,0)+7))</f>
        <v>164</v>
      </c>
      <c r="AL235" s="373"/>
      <c r="AM235" s="372">
        <f>ABS(INDEX(AM:AM,MATCH(AM232,$AA:$AA,0)+5)+INDEX(AM:AM,MATCH(AM232,$AA:$AA,0)+6)+INDEX(AM:AM,MATCH(AM232,$AA:$AA,0)+7))</f>
        <v>0</v>
      </c>
      <c r="AN235" s="373"/>
      <c r="AO235" s="372">
        <f>ABS(INDEX(AO:AO,MATCH(AO232,$AA:$AA,0)+5)+INDEX(AO:AO,MATCH(AO232,$AA:$AA,0)+6)+INDEX(AO:AO,MATCH(AO232,$AA:$AA,0)+7))</f>
        <v>176</v>
      </c>
      <c r="AP235" s="373"/>
      <c r="AQ235" s="372">
        <f>ABS(INDEX(AQ:AQ,MATCH(AQ232,$AA:$AA,0)+5)+INDEX(AQ:AQ,MATCH(AQ232,$AA:$AA,0)+6)+INDEX(AQ:AQ,MATCH(AQ232,$AA:$AA,0)+7))</f>
        <v>139</v>
      </c>
      <c r="AR235" s="373"/>
      <c r="AS235" s="372">
        <f>ABS(INDEX(AS:AS,MATCH(AS232,$AA:$AA,0)+5)+INDEX(AS:AS,MATCH(AS232,$AA:$AA,0)+6)+INDEX(AS:AS,MATCH(AS232,$AA:$AA,0)+7))</f>
        <v>190</v>
      </c>
      <c r="AT235" s="373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6.05" customHeight="1" x14ac:dyDescent="0.35">
      <c r="B236" s="365" t="str">
        <f t="shared" si="290"/>
        <v>Spieler 2</v>
      </c>
      <c r="C236" s="366" t="str">
        <f t="shared" si="291"/>
        <v/>
      </c>
      <c r="D236" s="339">
        <f>IF(AC236=301,"",AC236)</f>
        <v>192</v>
      </c>
      <c r="E236" s="339" t="str">
        <f>IF(AD236=0,"",AD236)</f>
        <v/>
      </c>
      <c r="F236" s="339">
        <f>IF(AE236=301,"",AE236)</f>
        <v>177</v>
      </c>
      <c r="G236" s="339" t="str">
        <f>IF(AF236=0,"",AF236)</f>
        <v/>
      </c>
      <c r="H236" s="339">
        <f>IF(AG236=301,"",AG236)</f>
        <v>181</v>
      </c>
      <c r="I236" s="339" t="str">
        <f>IF(AH236=0,"",AH236)</f>
        <v/>
      </c>
      <c r="J236" s="339">
        <f>IF(AI236=301,"",AI236)</f>
        <v>184</v>
      </c>
      <c r="K236" s="339" t="str">
        <f>IF(AJ236=0,"",AJ236)</f>
        <v/>
      </c>
      <c r="L236" s="339">
        <f>IF(AK236=301,"",AK236)</f>
        <v>184</v>
      </c>
      <c r="M236" s="339" t="str">
        <f>IF(AL236=0,"",AL236)</f>
        <v/>
      </c>
      <c r="N236" s="339">
        <f>IF(AM236=301,"",AM236)</f>
        <v>0</v>
      </c>
      <c r="O236" s="339" t="str">
        <f>IF(AN236=0,"",AN236)</f>
        <v/>
      </c>
      <c r="P236" s="339">
        <f>IF(AO236=301,"",AO236)</f>
        <v>171</v>
      </c>
      <c r="Q236" s="339" t="str">
        <f>IF(AP236=0,"",AP236)</f>
        <v/>
      </c>
      <c r="R236" s="339">
        <f>IF(AQ236=301,"",AQ236)</f>
        <v>182</v>
      </c>
      <c r="S236" s="339" t="str">
        <f>IF(AR236=0,"",AR236)</f>
        <v/>
      </c>
      <c r="T236" s="339">
        <f>IF(AS236=301,"",AS236)</f>
        <v>157</v>
      </c>
      <c r="U236" s="339" t="str">
        <f>IF(AT236=0,"",AT236)</f>
        <v/>
      </c>
      <c r="V236" s="340"/>
      <c r="W236" s="340"/>
      <c r="AA236" s="91" t="s">
        <v>2</v>
      </c>
      <c r="AB236" s="92"/>
      <c r="AC236" s="374">
        <f>ABS(INDEX(AC:AC,MATCH(AC232,$AA:$AA,0)+8)+INDEX(AC:AC,MATCH(AC232,$AA:$AA,0)+9)+INDEX(AC:AC,MATCH(AC232,$AA:$AA,0)+10))</f>
        <v>192</v>
      </c>
      <c r="AD236" s="375"/>
      <c r="AE236" s="374">
        <f>ABS(INDEX(AE:AE,MATCH(AE232,$AA:$AA,0)+8)+INDEX(AE:AE,MATCH(AE232,$AA:$AA,0)+9)+INDEX(AE:AE,MATCH(AE232,$AA:$AA,0)+10))</f>
        <v>177</v>
      </c>
      <c r="AF236" s="375"/>
      <c r="AG236" s="374">
        <f>ABS(INDEX(AG:AG,MATCH(AG232,$AA:$AA,0)+8)+INDEX(AG:AG,MATCH(AG232,$AA:$AA,0)+9)+INDEX(AG:AG,MATCH(AG232,$AA:$AA,0)+10))</f>
        <v>181</v>
      </c>
      <c r="AH236" s="375"/>
      <c r="AI236" s="374">
        <f>ABS(INDEX(AI:AI,MATCH(AI232,$AA:$AA,0)+8)+INDEX(AI:AI,MATCH(AI232,$AA:$AA,0)+9)+INDEX(AI:AI,MATCH(AI232,$AA:$AA,0)+10))</f>
        <v>184</v>
      </c>
      <c r="AJ236" s="375"/>
      <c r="AK236" s="374">
        <f>ABS(INDEX(AK:AK,MATCH(AK232,$AA:$AA,0)+8)+INDEX(AK:AK,MATCH(AK232,$AA:$AA,0)+9)+INDEX(AK:AK,MATCH(AK232,$AA:$AA,0)+10))</f>
        <v>184</v>
      </c>
      <c r="AL236" s="375"/>
      <c r="AM236" s="374">
        <f>ABS(INDEX(AM:AM,MATCH(AM232,$AA:$AA,0)+8)+INDEX(AM:AM,MATCH(AM232,$AA:$AA,0)+9)+INDEX(AM:AM,MATCH(AM232,$AA:$AA,0)+10))</f>
        <v>0</v>
      </c>
      <c r="AN236" s="375"/>
      <c r="AO236" s="374">
        <f>ABS(INDEX(AO:AO,MATCH(AO232,$AA:$AA,0)+8)+INDEX(AO:AO,MATCH(AO232,$AA:$AA,0)+9)+INDEX(AO:AO,MATCH(AO232,$AA:$AA,0)+10))</f>
        <v>171</v>
      </c>
      <c r="AP236" s="375"/>
      <c r="AQ236" s="374">
        <f>ABS(INDEX(AQ:AQ,MATCH(AQ232,$AA:$AA,0)+8)+INDEX(AQ:AQ,MATCH(AQ232,$AA:$AA,0)+9)+INDEX(AQ:AQ,MATCH(AQ232,$AA:$AA,0)+10))</f>
        <v>182</v>
      </c>
      <c r="AR236" s="375"/>
      <c r="AS236" s="374">
        <f>ABS(INDEX(AS:AS,MATCH(AS232,$AA:$AA,0)+8)+INDEX(AS:AS,MATCH(AS232,$AA:$AA,0)+9)+INDEX(AS:AS,MATCH(AS232,$AA:$AA,0)+10))</f>
        <v>157</v>
      </c>
      <c r="AT236" s="37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6.05" customHeight="1" x14ac:dyDescent="0.35">
      <c r="B237" s="365" t="str">
        <f t="shared" si="290"/>
        <v>Spieler 3</v>
      </c>
      <c r="C237" s="366" t="str">
        <f t="shared" si="291"/>
        <v/>
      </c>
      <c r="D237" s="339">
        <f>IF(AC237=301,"",AC237)</f>
        <v>212</v>
      </c>
      <c r="E237" s="339" t="str">
        <f>IF(AD237=0,"",AD237)</f>
        <v/>
      </c>
      <c r="F237" s="339">
        <f>IF(AE237=301,"",AE237)</f>
        <v>141</v>
      </c>
      <c r="G237" s="339" t="str">
        <f>IF(AF237=0,"",AF237)</f>
        <v/>
      </c>
      <c r="H237" s="339">
        <f>IF(AG237=301,"",AG237)</f>
        <v>162</v>
      </c>
      <c r="I237" s="339" t="str">
        <f>IF(AH237=0,"",AH237)</f>
        <v/>
      </c>
      <c r="J237" s="339">
        <f>IF(AI237=301,"",AI237)</f>
        <v>206</v>
      </c>
      <c r="K237" s="339" t="str">
        <f>IF(AJ237=0,"",AJ237)</f>
        <v/>
      </c>
      <c r="L237" s="339">
        <f>IF(AK237=301,"",AK237)</f>
        <v>154</v>
      </c>
      <c r="M237" s="339" t="str">
        <f>IF(AL237=0,"",AL237)</f>
        <v/>
      </c>
      <c r="N237" s="339">
        <f>IF(AM237=301,"",AM237)</f>
        <v>0</v>
      </c>
      <c r="O237" s="339" t="str">
        <f>IF(AN237=0,"",AN237)</f>
        <v/>
      </c>
      <c r="P237" s="339">
        <f>IF(AO237=301,"",AO237)</f>
        <v>127</v>
      </c>
      <c r="Q237" s="339" t="str">
        <f>IF(AP237=0,"",AP237)</f>
        <v/>
      </c>
      <c r="R237" s="339">
        <f>IF(AQ237=301,"",AQ237)</f>
        <v>200</v>
      </c>
      <c r="S237" s="339" t="str">
        <f>IF(AR237=0,"",AR237)</f>
        <v/>
      </c>
      <c r="T237" s="339">
        <f>IF(AS237=301,"",AS237)</f>
        <v>194</v>
      </c>
      <c r="U237" s="339" t="str">
        <f>IF(AT237=0,"",AT237)</f>
        <v/>
      </c>
      <c r="V237" s="340"/>
      <c r="W237" s="340"/>
      <c r="AA237" s="91" t="s">
        <v>3</v>
      </c>
      <c r="AB237" s="92"/>
      <c r="AC237" s="374">
        <f>ABS(INDEX(AC:AC,MATCH(AC232,$AA:$AA,0)+11)+INDEX(AC:AC,MATCH(AC232,$AA:$AA,0)+12)+INDEX(AC:AC,MATCH(AC232,$AA:$AA,0)+13))</f>
        <v>212</v>
      </c>
      <c r="AD237" s="375"/>
      <c r="AE237" s="374">
        <f>ABS(INDEX(AE:AE,MATCH(AE232,$AA:$AA,0)+11)+INDEX(AE:AE,MATCH(AE232,$AA:$AA,0)+12)+INDEX(AE:AE,MATCH(AE232,$AA:$AA,0)+13))</f>
        <v>141</v>
      </c>
      <c r="AF237" s="375"/>
      <c r="AG237" s="374">
        <f>ABS(INDEX(AG:AG,MATCH(AG232,$AA:$AA,0)+11)+INDEX(AG:AG,MATCH(AG232,$AA:$AA,0)+12)+INDEX(AG:AG,MATCH(AG232,$AA:$AA,0)+13))</f>
        <v>162</v>
      </c>
      <c r="AH237" s="375"/>
      <c r="AI237" s="374">
        <f>ABS(INDEX(AI:AI,MATCH(AI232,$AA:$AA,0)+11)+INDEX(AI:AI,MATCH(AI232,$AA:$AA,0)+12)+INDEX(AI:AI,MATCH(AI232,$AA:$AA,0)+13))</f>
        <v>206</v>
      </c>
      <c r="AJ237" s="375"/>
      <c r="AK237" s="374">
        <f>ABS(INDEX(AK:AK,MATCH(AK232,$AA:$AA,0)+11)+INDEX(AK:AK,MATCH(AK232,$AA:$AA,0)+12)+INDEX(AK:AK,MATCH(AK232,$AA:$AA,0)+13))</f>
        <v>154</v>
      </c>
      <c r="AL237" s="375"/>
      <c r="AM237" s="374">
        <f>ABS(INDEX(AM:AM,MATCH(AM232,$AA:$AA,0)+11)+INDEX(AM:AM,MATCH(AM232,$AA:$AA,0)+12)+INDEX(AM:AM,MATCH(AM232,$AA:$AA,0)+13))</f>
        <v>0</v>
      </c>
      <c r="AN237" s="375"/>
      <c r="AO237" s="374">
        <f>ABS(INDEX(AO:AO,MATCH(AO232,$AA:$AA,0)+11)+INDEX(AO:AO,MATCH(AO232,$AA:$AA,0)+12)+INDEX(AO:AO,MATCH(AO232,$AA:$AA,0)+13))</f>
        <v>127</v>
      </c>
      <c r="AP237" s="375"/>
      <c r="AQ237" s="374">
        <f>ABS(INDEX(AQ:AQ,MATCH(AQ232,$AA:$AA,0)+11)+INDEX(AQ:AQ,MATCH(AQ232,$AA:$AA,0)+12)+INDEX(AQ:AQ,MATCH(AQ232,$AA:$AA,0)+13))</f>
        <v>200</v>
      </c>
      <c r="AR237" s="375"/>
      <c r="AS237" s="374">
        <f>ABS(INDEX(AS:AS,MATCH(AS232,$AA:$AA,0)+11)+INDEX(AS:AS,MATCH(AS232,$AA:$AA,0)+12)+INDEX(AS:AS,MATCH(AS232,$AA:$AA,0)+13))</f>
        <v>194</v>
      </c>
      <c r="AT237" s="37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6.05" customHeight="1" x14ac:dyDescent="0.35">
      <c r="B238" s="365" t="str">
        <f t="shared" si="290"/>
        <v>Spieler 4</v>
      </c>
      <c r="C238" s="366" t="str">
        <f t="shared" si="291"/>
        <v/>
      </c>
      <c r="D238" s="339">
        <f>IF(AC238=301,"",AC238)</f>
        <v>203</v>
      </c>
      <c r="E238" s="339" t="str">
        <f>IF(AD238=0,"",AD238)</f>
        <v/>
      </c>
      <c r="F238" s="339">
        <f>IF(AE238=301,"",AE238)</f>
        <v>189</v>
      </c>
      <c r="G238" s="339" t="str">
        <f>IF(AF238=0,"",AF238)</f>
        <v/>
      </c>
      <c r="H238" s="339">
        <f>IF(AG238=301,"",AG238)</f>
        <v>147</v>
      </c>
      <c r="I238" s="339" t="str">
        <f>IF(AH238=0,"",AH238)</f>
        <v/>
      </c>
      <c r="J238" s="339">
        <f>IF(AI238=301,"",AI238)</f>
        <v>236</v>
      </c>
      <c r="K238" s="339" t="str">
        <f>IF(AJ238=0,"",AJ238)</f>
        <v/>
      </c>
      <c r="L238" s="339">
        <f>IF(AK238=301,"",AK238)</f>
        <v>134</v>
      </c>
      <c r="M238" s="339" t="str">
        <f>IF(AL238=0,"",AL238)</f>
        <v/>
      </c>
      <c r="N238" s="339">
        <f>IF(AM238=301,"",AM238)</f>
        <v>0</v>
      </c>
      <c r="O238" s="339" t="str">
        <f>IF(AN238=0,"",AN238)</f>
        <v/>
      </c>
      <c r="P238" s="339">
        <f>IF(AO238=301,"",AO238)</f>
        <v>170</v>
      </c>
      <c r="Q238" s="339" t="str">
        <f>IF(AP238=0,"",AP238)</f>
        <v/>
      </c>
      <c r="R238" s="339">
        <f>IF(AQ238=301,"",AQ238)</f>
        <v>181</v>
      </c>
      <c r="S238" s="339" t="str">
        <f>IF(AR238=0,"",AR238)</f>
        <v/>
      </c>
      <c r="T238" s="339">
        <f>IF(AS238=301,"",AS238)</f>
        <v>180</v>
      </c>
      <c r="U238" s="339" t="str">
        <f>IF(AT238=0,"",AT238)</f>
        <v/>
      </c>
      <c r="V238" s="340"/>
      <c r="W238" s="340"/>
      <c r="AA238" s="91" t="s">
        <v>11</v>
      </c>
      <c r="AB238" s="92"/>
      <c r="AC238" s="374">
        <f>ABS(INDEX(AC:AC,MATCH(AC232,$AA:$AA,0)+14)+INDEX(AC:AC,MATCH(AC232,$AA:$AA,0)+15)+INDEX(AC:AC,MATCH(AC232,$AA:$AA,0)+16))</f>
        <v>203</v>
      </c>
      <c r="AD238" s="375"/>
      <c r="AE238" s="374">
        <f>ABS(INDEX(AE:AE,MATCH(AE232,$AA:$AA,0)+14)+INDEX(AE:AE,MATCH(AE232,$AA:$AA,0)+15)+INDEX(AE:AE,MATCH(AE232,$AA:$AA,0)+16))</f>
        <v>189</v>
      </c>
      <c r="AF238" s="375"/>
      <c r="AG238" s="374">
        <f>ABS(INDEX(AG:AG,MATCH(AG232,$AA:$AA,0)+14)+INDEX(AG:AG,MATCH(AG232,$AA:$AA,0)+15)+INDEX(AG:AG,MATCH(AG232,$AA:$AA,0)+16))</f>
        <v>147</v>
      </c>
      <c r="AH238" s="375"/>
      <c r="AI238" s="374">
        <f>ABS(INDEX(AI:AI,MATCH(AI232,$AA:$AA,0)+14)+INDEX(AI:AI,MATCH(AI232,$AA:$AA,0)+15)+INDEX(AI:AI,MATCH(AI232,$AA:$AA,0)+16))</f>
        <v>236</v>
      </c>
      <c r="AJ238" s="375"/>
      <c r="AK238" s="374">
        <f>ABS(INDEX(AK:AK,MATCH(AK232,$AA:$AA,0)+14)+INDEX(AK:AK,MATCH(AK232,$AA:$AA,0)+15)+INDEX(AK:AK,MATCH(AK232,$AA:$AA,0)+16))</f>
        <v>134</v>
      </c>
      <c r="AL238" s="375"/>
      <c r="AM238" s="374">
        <f>ABS(INDEX(AM:AM,MATCH(AM232,$AA:$AA,0)+14)+INDEX(AM:AM,MATCH(AM232,$AA:$AA,0)+15)+INDEX(AM:AM,MATCH(AM232,$AA:$AA,0)+16))</f>
        <v>0</v>
      </c>
      <c r="AN238" s="375"/>
      <c r="AO238" s="374">
        <f>ABS(INDEX(AO:AO,MATCH(AO232,$AA:$AA,0)+14)+INDEX(AO:AO,MATCH(AO232,$AA:$AA,0)+15)+INDEX(AO:AO,MATCH(AO232,$AA:$AA,0)+16))</f>
        <v>170</v>
      </c>
      <c r="AP238" s="375"/>
      <c r="AQ238" s="374">
        <f>ABS(INDEX(AQ:AQ,MATCH(AQ232,$AA:$AA,0)+14)+INDEX(AQ:AQ,MATCH(AQ232,$AA:$AA,0)+15)+INDEX(AQ:AQ,MATCH(AQ232,$AA:$AA,0)+16))</f>
        <v>181</v>
      </c>
      <c r="AR238" s="375"/>
      <c r="AS238" s="374">
        <f>ABS(INDEX(AS:AS,MATCH(AS232,$AA:$AA,0)+14)+INDEX(AS:AS,MATCH(AS232,$AA:$AA,0)+15)+INDEX(AS:AS,MATCH(AS232,$AA:$AA,0)+16))</f>
        <v>180</v>
      </c>
      <c r="AT238" s="37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6.05" customHeight="1" x14ac:dyDescent="0.35">
      <c r="B239" s="354" t="str">
        <f t="shared" si="290"/>
        <v>Gesamt</v>
      </c>
      <c r="C239" s="355" t="str">
        <f t="shared" si="291"/>
        <v/>
      </c>
      <c r="D239" s="338">
        <f>IF(AC239=1505,"",AC239)</f>
        <v>743</v>
      </c>
      <c r="E239" s="338" t="str">
        <f>IF(AD239=0,"",AD239)</f>
        <v/>
      </c>
      <c r="F239" s="338">
        <f>IF(AE239=1505,"",AE239)</f>
        <v>699</v>
      </c>
      <c r="G239" s="338" t="str">
        <f>IF(AF239=0,"",AF239)</f>
        <v/>
      </c>
      <c r="H239" s="338">
        <f>IF(AG239=1505,"",AG239)</f>
        <v>691</v>
      </c>
      <c r="I239" s="338" t="str">
        <f>IF(AH239=0,"",AH239)</f>
        <v/>
      </c>
      <c r="J239" s="338">
        <f>IF(AI239=1505,"",AI239)</f>
        <v>784</v>
      </c>
      <c r="K239" s="338" t="str">
        <f>IF(AJ239=0,"",AJ239)</f>
        <v/>
      </c>
      <c r="L239" s="338">
        <f>IF(AK239=1505,"",AK239)</f>
        <v>636</v>
      </c>
      <c r="M239" s="338" t="str">
        <f>IF(AL239=0,"",AL239)</f>
        <v/>
      </c>
      <c r="N239" s="338">
        <f>IF(AM239=1505,"",AM239)</f>
        <v>0</v>
      </c>
      <c r="O239" s="338" t="str">
        <f>IF(AN239=0,"",AN239)</f>
        <v/>
      </c>
      <c r="P239" s="338">
        <f>IF(AO239=1505,"",AO239)</f>
        <v>644</v>
      </c>
      <c r="Q239" s="338" t="str">
        <f>IF(AP239=0,"",AP239)</f>
        <v/>
      </c>
      <c r="R239" s="338">
        <f>IF(AQ239=1505,"",AQ239)</f>
        <v>702</v>
      </c>
      <c r="S239" s="338" t="str">
        <f>IF(AR239=0,"",AR239)</f>
        <v/>
      </c>
      <c r="T239" s="338">
        <f>IF(AS239=1505,"",AS239)</f>
        <v>721</v>
      </c>
      <c r="U239" s="338" t="str">
        <f>IF(AT239=0,"",AT239)</f>
        <v/>
      </c>
      <c r="V239" s="290"/>
      <c r="W239" s="290"/>
      <c r="AA239" s="93" t="s">
        <v>1799</v>
      </c>
      <c r="AB239" s="94"/>
      <c r="AC239" s="354">
        <f>SUM(AC235:AC238)</f>
        <v>743</v>
      </c>
      <c r="AD239" s="355"/>
      <c r="AE239" s="354">
        <f>SUM(AE235:AE238)</f>
        <v>699</v>
      </c>
      <c r="AF239" s="355"/>
      <c r="AG239" s="354">
        <f>SUM(AG235:AG238)</f>
        <v>691</v>
      </c>
      <c r="AH239" s="355"/>
      <c r="AI239" s="354">
        <f>SUM(AI235:AI238)</f>
        <v>784</v>
      </c>
      <c r="AJ239" s="355"/>
      <c r="AK239" s="354">
        <f>SUM(AK235:AK238)</f>
        <v>636</v>
      </c>
      <c r="AL239" s="355"/>
      <c r="AM239" s="354">
        <f>SUM(AM235:AM238)</f>
        <v>0</v>
      </c>
      <c r="AN239" s="355"/>
      <c r="AO239" s="354">
        <f>SUM(AO235:AO238)</f>
        <v>644</v>
      </c>
      <c r="AP239" s="355"/>
      <c r="AQ239" s="354">
        <f>SUM(AQ235:AQ238)</f>
        <v>702</v>
      </c>
      <c r="AR239" s="355"/>
      <c r="AS239" s="354">
        <f>SUM(AS235:AS238)</f>
        <v>721</v>
      </c>
      <c r="AT239" s="35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3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7">
      <c r="B241" s="44" t="str">
        <f>AA241</f>
        <v>Team-Nr.</v>
      </c>
      <c r="C241" s="45"/>
      <c r="D241" s="44" t="str">
        <f>AC241</f>
        <v>Liga:</v>
      </c>
      <c r="E241" s="47"/>
      <c r="F241" s="359" t="str">
        <f>AE241</f>
        <v>Bayernliga Frauen</v>
      </c>
      <c r="G241" s="359"/>
      <c r="H241" s="359"/>
      <c r="I241" s="359"/>
      <c r="J241" s="359"/>
      <c r="K241" s="359"/>
      <c r="L241" s="359"/>
      <c r="M241" s="359"/>
      <c r="N241" s="359"/>
      <c r="O241" s="359"/>
      <c r="P241" s="359"/>
      <c r="Q241" s="359"/>
      <c r="R241" s="48"/>
      <c r="S241" s="49" t="s">
        <v>1794</v>
      </c>
      <c r="T241" s="50"/>
      <c r="U241" s="360" t="str">
        <f>AT241</f>
        <v>12.10./13.10.</v>
      </c>
      <c r="V241" s="361"/>
      <c r="W241" s="362"/>
      <c r="X241" s="363"/>
      <c r="Y241" s="364"/>
      <c r="Z241" s="364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0" t="str">
        <f>VLOOKUP(AS242,Spielorte!$A$1:$C$6,2)</f>
        <v>12.10./13.10.</v>
      </c>
      <c r="AU241" s="361"/>
      <c r="AV241" s="362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65">
      <c r="B242" s="53">
        <f>AA242</f>
        <v>9</v>
      </c>
      <c r="D242" s="46" t="s">
        <v>1793</v>
      </c>
      <c r="E242" s="54"/>
      <c r="F242" s="358" t="str">
        <f>AE242</f>
        <v>Unterföhring Dreambowl Palace</v>
      </c>
      <c r="G242" s="358"/>
      <c r="H242" s="358"/>
      <c r="I242" s="358"/>
      <c r="J242" s="358"/>
      <c r="K242" s="358"/>
      <c r="L242" s="358"/>
      <c r="M242" s="358"/>
      <c r="N242" s="358"/>
      <c r="O242" s="358"/>
      <c r="P242" s="55"/>
      <c r="Q242" s="55"/>
      <c r="S242" s="49" t="s">
        <v>1791</v>
      </c>
      <c r="T242" s="56">
        <f>AS242</f>
        <v>1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Unterföhring Dreambowl Palace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1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4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5" thickBot="1" x14ac:dyDescent="0.45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VLOOKUP($AA242,Schlüssel!$A$5:$DZ$14,13)</f>
        <v>10</v>
      </c>
      <c r="AE244" s="65" t="s">
        <v>10</v>
      </c>
      <c r="AF244" s="44">
        <f>VLOOKUP($AA242,Schlüssel!$A$5:$DZ$14,14)</f>
        <v>3</v>
      </c>
      <c r="AG244" s="65" t="s">
        <v>10</v>
      </c>
      <c r="AH244" s="44">
        <f>VLOOKUP($AA242,Schlüssel!$A$5:$DZ$14,15)</f>
        <v>2</v>
      </c>
      <c r="AI244" s="65" t="s">
        <v>10</v>
      </c>
      <c r="AJ244" s="44">
        <f>VLOOKUP($AA242,Schlüssel!$A$5:$DZ$14,16)</f>
        <v>6</v>
      </c>
      <c r="AK244" s="65" t="s">
        <v>10</v>
      </c>
      <c r="AL244" s="44">
        <f>VLOOKUP($AA242,Schlüssel!$A$5:$DZ$14,17)</f>
        <v>9</v>
      </c>
      <c r="AM244" s="65" t="s">
        <v>10</v>
      </c>
      <c r="AN244" s="44">
        <f>VLOOKUP($AA242,Schlüssel!$A$5:$DZ$14,18)</f>
        <v>7</v>
      </c>
      <c r="AO244" s="65" t="s">
        <v>10</v>
      </c>
      <c r="AP244" s="44">
        <f>VLOOKUP($AA242,Schlüssel!$A$5:$DZ$14,19)</f>
        <v>1</v>
      </c>
      <c r="AQ244" s="65" t="s">
        <v>10</v>
      </c>
      <c r="AR244" s="44">
        <f>VLOOKUP($AA242,Schlüssel!$A$5:$DZ$14,20)</f>
        <v>5</v>
      </c>
      <c r="AS244" s="65" t="s">
        <v>10</v>
      </c>
      <c r="AT244" s="44">
        <f>VLOOKUP($AA242,Schlüssel!$A$5:$DZ$14,21)</f>
        <v>4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35">
      <c r="B245" s="67" t="s">
        <v>1</v>
      </c>
      <c r="C245" s="68"/>
      <c r="D245" s="354" t="s">
        <v>1800</v>
      </c>
      <c r="E245" s="355"/>
      <c r="F245" s="354" t="s">
        <v>1801</v>
      </c>
      <c r="G245" s="355"/>
      <c r="H245" s="354" t="s">
        <v>1802</v>
      </c>
      <c r="I245" s="355"/>
      <c r="J245" s="354" t="s">
        <v>1803</v>
      </c>
      <c r="K245" s="355"/>
      <c r="L245" s="354" t="s">
        <v>1804</v>
      </c>
      <c r="M245" s="355"/>
      <c r="N245" s="354" t="s">
        <v>1805</v>
      </c>
      <c r="O245" s="355"/>
      <c r="P245" s="354" t="s">
        <v>1806</v>
      </c>
      <c r="Q245" s="355"/>
      <c r="R245" s="354" t="s">
        <v>1807</v>
      </c>
      <c r="S245" s="355"/>
      <c r="T245" s="354" t="s">
        <v>1808</v>
      </c>
      <c r="U245" s="355"/>
      <c r="V245" s="356" t="s">
        <v>1799</v>
      </c>
      <c r="W245" s="357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4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2" customHeight="1" x14ac:dyDescent="0.35">
      <c r="A247" s="367" t="s">
        <v>0</v>
      </c>
      <c r="B247" s="73" t="str">
        <f>IF(AA247=0,"",AA247)</f>
        <v>Martisko, Petra</v>
      </c>
      <c r="C247" s="74">
        <f>IF(AB247=0,"",AB247)</f>
        <v>7976</v>
      </c>
      <c r="D247" s="75">
        <f>IF(AC247=0,"",AC247)</f>
        <v>212</v>
      </c>
      <c r="E247" s="348">
        <f>IF(AD247="","",AD247)</f>
        <v>1</v>
      </c>
      <c r="F247" s="75">
        <f t="shared" ref="F247:F260" si="294">IF(AE247=0,"",AE247)</f>
        <v>157</v>
      </c>
      <c r="G247" s="348">
        <f>IF(AF247="","",AF247)</f>
        <v>0</v>
      </c>
      <c r="H247" s="75">
        <f t="shared" ref="H247:H260" si="295">IF(AG247=0,"",AG247)</f>
        <v>180</v>
      </c>
      <c r="I247" s="348">
        <f>IF(AH247="","",AH247)</f>
        <v>1</v>
      </c>
      <c r="J247" s="75">
        <f t="shared" ref="J247:J260" si="296">IF(AI247=0,"",AI247)</f>
        <v>180</v>
      </c>
      <c r="K247" s="348">
        <f>IF(AJ247="","",AJ247)</f>
        <v>1</v>
      </c>
      <c r="L247" s="75">
        <f t="shared" ref="L247:L260" si="297">IF(AK247=0,"",AK247)</f>
        <v>164</v>
      </c>
      <c r="M247" s="348">
        <f>IF(AL247="","",AL247)</f>
        <v>0</v>
      </c>
      <c r="N247" s="75">
        <f>IF(AM247=0,"",AM247)</f>
        <v>182</v>
      </c>
      <c r="O247" s="348">
        <f>IF(AN247="","",AN247)</f>
        <v>1</v>
      </c>
      <c r="P247" s="75">
        <f t="shared" ref="P247:P260" si="298">IF(AO247=0,"",AO247)</f>
        <v>212</v>
      </c>
      <c r="Q247" s="348">
        <f>IF(AP247="","",AP247)</f>
        <v>1</v>
      </c>
      <c r="R247" s="75">
        <f t="shared" ref="R247:R260" si="299">IF(AQ247=0,"",AQ247)</f>
        <v>160</v>
      </c>
      <c r="S247" s="348">
        <f>IF(AR247="","",AR247)</f>
        <v>0</v>
      </c>
      <c r="T247" s="75">
        <f t="shared" ref="T247:T260" si="300">IF(AS247=0,"",AS247)</f>
        <v>184</v>
      </c>
      <c r="U247" s="348">
        <f>IF(AT247="","",AT247)</f>
        <v>0</v>
      </c>
      <c r="V247" s="75">
        <f t="shared" ref="V247:V260" si="301">IF(AU247=0,"",AU247)</f>
        <v>1631</v>
      </c>
      <c r="W247" s="348">
        <f>IF(AV247="","",AV247)</f>
        <v>5</v>
      </c>
      <c r="Z247" s="351" t="s">
        <v>0</v>
      </c>
      <c r="AA247" s="108" t="str">
        <f>IF(AB247=0,"",VLOOKUP(AB247,Starter!$A$1:$D$199,2,FALSE))</f>
        <v>Martisko, Petra</v>
      </c>
      <c r="AB247" s="99">
        <v>7976</v>
      </c>
      <c r="AC247" s="185">
        <v>212</v>
      </c>
      <c r="AD247" s="109">
        <f>IF(SUM(AC247:AC249)+AC265=0,0,IF(SUM(ABS(AC247),ABS(AC248),ABS(AC249))=AC265,0.5,IF(SUM(ABS(AC247),ABS(AC248),ABS(AC249))&gt;AC265,1,0)))</f>
        <v>1</v>
      </c>
      <c r="AE247" s="185">
        <v>157</v>
      </c>
      <c r="AF247" s="109">
        <f>IF(SUM(AE247:AE249)+AE265=0,0,IF(SUM(ABS(AE247),ABS(AE248),ABS(AE249))=AE265,0.5,IF(SUM(ABS(AE247),ABS(AE248),ABS(AE249))&gt;AE265,1,0)))</f>
        <v>0</v>
      </c>
      <c r="AG247" s="185">
        <v>180</v>
      </c>
      <c r="AH247" s="109">
        <f>IF(SUM(AG247:AG249)+AG265=0,0,IF(SUM(ABS(AG247),ABS(AG248),ABS(AG249))=AG265,0.5,IF(SUM(ABS(AG247),ABS(AG248),ABS(AG249))&gt;AG265,1,0)))</f>
        <v>1</v>
      </c>
      <c r="AI247" s="185">
        <v>180</v>
      </c>
      <c r="AJ247" s="109">
        <f>IF(SUM(AI247:AI249)+AI265=0,0,IF(SUM(ABS(AI247),ABS(AI248),ABS(AI249))=AI265,0.5,IF(SUM(ABS(AI247),ABS(AI248),ABS(AI249))&gt;AI265,1,0)))</f>
        <v>1</v>
      </c>
      <c r="AK247" s="185">
        <v>164</v>
      </c>
      <c r="AL247" s="109">
        <f>IF(SUM(AK247:AK249)+AK265=0,0,IF(SUM(ABS(AK247),ABS(AK248),ABS(AK249))=AK265,0.5,IF(SUM(ABS(AK247),ABS(AK248),ABS(AK249))&gt;AK265,1,0)))</f>
        <v>0</v>
      </c>
      <c r="AM247" s="185">
        <v>182</v>
      </c>
      <c r="AN247" s="109">
        <f>IF(SUM(AM247:AM249)+AM265=0,0,IF(SUM(ABS(AM247),ABS(AM248),ABS(AM249))=AM265,0.5,IF(SUM(ABS(AM247),ABS(AM248),ABS(AM249))&gt;AM265,1,0)))</f>
        <v>1</v>
      </c>
      <c r="AO247" s="185">
        <v>212</v>
      </c>
      <c r="AP247" s="109">
        <f>IF(SUM(AO247:AO249)+AO265=0,0,IF(SUM(ABS(AO247),ABS(AO248),ABS(AO249))=AO265,0.5,IF(SUM(ABS(AO247),ABS(AO248),ABS(AO249))&gt;AO265,1,0)))</f>
        <v>1</v>
      </c>
      <c r="AQ247" s="185">
        <v>160</v>
      </c>
      <c r="AR247" s="109">
        <f>IF(SUM(AQ247:AQ249)+AQ265=0,0,IF(SUM(ABS(AQ247),ABS(AQ248),ABS(AQ249))=AQ265,0.5,IF(SUM(ABS(AQ247),ABS(AQ248),ABS(AQ249))&gt;AQ265,1,0)))</f>
        <v>0</v>
      </c>
      <c r="AS247" s="185">
        <v>184</v>
      </c>
      <c r="AT247" s="109">
        <f>IF(SUM(AS247:AS249)+AS265=0,0,IF(SUM(ABS(AS247),ABS(AS248),ABS(AS249))=AS265,0.5,IF(SUM(ABS(AS247),ABS(AS248),ABS(AS249))&gt;AS265,1,0)))</f>
        <v>0</v>
      </c>
      <c r="AU247" s="110">
        <f t="shared" ref="AU247:AU258" si="302">ABS(SUM(AC247:AC247))+ABS(SUM(AE247:AE247))+ABS(SUM(AG247:AG247))+ABS(SUM(AI247:AI247))+ABS(SUM(AK247:AK247))+ABS(SUM(AM247:AM247))+ABS(SUM(AO247:AO247))+ABS(SUM(AQ247:AQ247))+ABS(SUM(AS247:AS247))</f>
        <v>1631</v>
      </c>
      <c r="AV247" s="111">
        <f>SUM(AD247+AF247+AH247+AJ247+AL247+AN247+AP247+AR247+AT247)</f>
        <v>5</v>
      </c>
      <c r="AW247" s="101"/>
      <c r="AX247" s="102"/>
      <c r="AZ247" s="63"/>
      <c r="BA247" s="212"/>
      <c r="BB247" s="213"/>
      <c r="BC247" s="214"/>
      <c r="BD247" s="217">
        <f>+AB247</f>
        <v>7976</v>
      </c>
      <c r="BE247" s="213">
        <f>+AU247</f>
        <v>1631</v>
      </c>
      <c r="BF247" s="215">
        <f>COUNT(BH247:BP247)</f>
        <v>9</v>
      </c>
      <c r="BG247" s="215">
        <f>COUNTIF(BH247:BP247,"&gt;0")</f>
        <v>9</v>
      </c>
      <c r="BH247" s="215">
        <f t="shared" ref="BH247:BH258" si="303">IF(AC247=0,"",AC247)</f>
        <v>212</v>
      </c>
      <c r="BI247" s="215">
        <f t="shared" ref="BI247:BI258" si="304">IF(AE247=0,"",AE247)</f>
        <v>157</v>
      </c>
      <c r="BJ247" s="215">
        <f t="shared" ref="BJ247:BJ258" si="305">IF(AG247=0,"",AG247)</f>
        <v>180</v>
      </c>
      <c r="BK247" s="215">
        <f t="shared" ref="BK247:BK258" si="306">IF(AI247=0,"",AI247)</f>
        <v>180</v>
      </c>
      <c r="BL247" s="215">
        <f t="shared" ref="BL247:BL258" si="307">IF(AK247=0,"",AK247)</f>
        <v>164</v>
      </c>
      <c r="BM247" s="215">
        <f t="shared" ref="BM247:BM258" si="308">IF(AM247=0,"",AM247)</f>
        <v>182</v>
      </c>
      <c r="BN247" s="215">
        <f t="shared" ref="BN247:BN258" si="309">IF(AO247=0,"",AO247)</f>
        <v>212</v>
      </c>
      <c r="BO247" s="215">
        <f t="shared" ref="BO247:BO258" si="310">IF(AQ247=0,"",AQ247)</f>
        <v>160</v>
      </c>
      <c r="BP247" s="215">
        <f t="shared" ref="BP247:BP258" si="311">IF(AS247=0,"",AS247)</f>
        <v>184</v>
      </c>
      <c r="BQ247" s="216"/>
      <c r="BR247" s="214"/>
      <c r="BS247" s="215">
        <f>MAX(BH247:BP247)</f>
        <v>212</v>
      </c>
      <c r="BT247" s="215">
        <f>IF(BS247&lt;MAX(BS:BS),0,BS247+ROW()/1000000000)</f>
        <v>0</v>
      </c>
      <c r="BU247" s="215" t="str">
        <f>+AA243</f>
        <v>RW Lichtenhof 69 Stein 2</v>
      </c>
      <c r="BV247" s="214">
        <f>RANK(BT247,BT:BT)</f>
        <v>2</v>
      </c>
      <c r="BW247" s="215">
        <f>SUMIF(BH247:BP247,"&gt;0")</f>
        <v>1631</v>
      </c>
      <c r="BX247" s="215">
        <f>IF(COUNTIF(BH247:BP247,"&gt;0")&lt;Spielorte!$A$23,0,BE247/Spielorte!$A$23)</f>
        <v>181.22222222222223</v>
      </c>
      <c r="BY247" s="215">
        <f>IF(BX247&lt;MAX(BX:BX),0,BX247+ROW()/1000000000)</f>
        <v>0</v>
      </c>
      <c r="BZ247" s="214">
        <f t="shared" ref="BZ247:BZ258" si="312">IF(BY247=0,0,RANK(BY247,BY:BY))</f>
        <v>0</v>
      </c>
    </row>
    <row r="248" spans="1:78" ht="17.2" customHeight="1" x14ac:dyDescent="0.35">
      <c r="A248" s="368"/>
      <c r="B248" s="76" t="str">
        <f t="shared" ref="B248:B255" si="313">IF(AA248=0,"",AA248)</f>
        <v/>
      </c>
      <c r="C248" s="77" t="str">
        <f t="shared" ref="C248:C260" si="314">IF(AB248=0,"",AB248)</f>
        <v/>
      </c>
      <c r="D248" s="78" t="str">
        <f t="shared" ref="D248:D260" si="315">IF(AC248=0,"",AC248)</f>
        <v/>
      </c>
      <c r="E248" s="349"/>
      <c r="F248" s="78" t="str">
        <f t="shared" si="294"/>
        <v/>
      </c>
      <c r="G248" s="349"/>
      <c r="H248" s="78" t="str">
        <f t="shared" si="295"/>
        <v/>
      </c>
      <c r="I248" s="349"/>
      <c r="J248" s="78" t="str">
        <f t="shared" si="296"/>
        <v/>
      </c>
      <c r="K248" s="349"/>
      <c r="L248" s="78" t="str">
        <f t="shared" si="297"/>
        <v/>
      </c>
      <c r="M248" s="349"/>
      <c r="N248" s="78" t="str">
        <f t="shared" ref="N248:N260" si="316">IF(AM248=0,"",AM248)</f>
        <v/>
      </c>
      <c r="O248" s="349"/>
      <c r="P248" s="78" t="str">
        <f t="shared" si="298"/>
        <v/>
      </c>
      <c r="Q248" s="349"/>
      <c r="R248" s="78" t="str">
        <f t="shared" si="299"/>
        <v/>
      </c>
      <c r="S248" s="349"/>
      <c r="T248" s="78" t="str">
        <f t="shared" si="300"/>
        <v/>
      </c>
      <c r="U248" s="349"/>
      <c r="V248" s="78" t="str">
        <f t="shared" si="301"/>
        <v/>
      </c>
      <c r="W248" s="349"/>
      <c r="Z248" s="352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302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17">+AB248</f>
        <v>0</v>
      </c>
      <c r="BE248" s="213">
        <f t="shared" ref="BE248:BE258" si="318">+AU248</f>
        <v>0</v>
      </c>
      <c r="BF248" s="215">
        <f t="shared" ref="BF248:BF258" si="319">COUNT(BH248:BP248)</f>
        <v>0</v>
      </c>
      <c r="BG248" s="215">
        <f t="shared" ref="BG248:BG258" si="320">COUNTIF(BH248:BP248,"&gt;0")</f>
        <v>0</v>
      </c>
      <c r="BH248" s="215" t="str">
        <f t="shared" si="303"/>
        <v/>
      </c>
      <c r="BI248" s="215" t="str">
        <f t="shared" si="304"/>
        <v/>
      </c>
      <c r="BJ248" s="215" t="str">
        <f t="shared" si="305"/>
        <v/>
      </c>
      <c r="BK248" s="215" t="str">
        <f t="shared" si="306"/>
        <v/>
      </c>
      <c r="BL248" s="215" t="str">
        <f t="shared" si="307"/>
        <v/>
      </c>
      <c r="BM248" s="215" t="str">
        <f t="shared" si="308"/>
        <v/>
      </c>
      <c r="BN248" s="215" t="str">
        <f t="shared" si="309"/>
        <v/>
      </c>
      <c r="BO248" s="215" t="str">
        <f t="shared" si="310"/>
        <v/>
      </c>
      <c r="BP248" s="215" t="str">
        <f t="shared" si="311"/>
        <v/>
      </c>
      <c r="BQ248" s="216"/>
      <c r="BR248" s="214"/>
      <c r="BS248" s="215">
        <f t="shared" ref="BS248:BS258" si="321">MAX(BH248:BP248)</f>
        <v>0</v>
      </c>
      <c r="BT248" s="215">
        <f t="shared" ref="BT248:BT258" si="322">IF(BS248&lt;MAX(BS:BS),0,BS248+ROW()/1000000000)</f>
        <v>0</v>
      </c>
      <c r="BU248" s="215" t="str">
        <f t="shared" ref="BU248:BU258" si="323">+BU247</f>
        <v>RW Lichtenhof 69 Stein 2</v>
      </c>
      <c r="BV248" s="214">
        <f t="shared" ref="BV248:BV258" si="324">RANK(BT248,BT:BT)</f>
        <v>2</v>
      </c>
      <c r="BW248" s="215">
        <f t="shared" ref="BW248:BW258" si="325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26">IF(BX248&lt;MAX(BX:BX),0,BX248+ROW()/1000000000)</f>
        <v>0</v>
      </c>
      <c r="BZ248" s="214">
        <f t="shared" si="312"/>
        <v>0</v>
      </c>
    </row>
    <row r="249" spans="1:78" ht="17.2" customHeight="1" thickBot="1" x14ac:dyDescent="0.4">
      <c r="A249" s="369"/>
      <c r="B249" s="79" t="str">
        <f t="shared" si="313"/>
        <v/>
      </c>
      <c r="C249" s="80" t="str">
        <f t="shared" si="314"/>
        <v/>
      </c>
      <c r="D249" s="69" t="str">
        <f t="shared" si="315"/>
        <v/>
      </c>
      <c r="E249" s="350"/>
      <c r="F249" s="69" t="str">
        <f t="shared" si="294"/>
        <v/>
      </c>
      <c r="G249" s="350"/>
      <c r="H249" s="69" t="str">
        <f t="shared" si="295"/>
        <v/>
      </c>
      <c r="I249" s="350"/>
      <c r="J249" s="69" t="str">
        <f t="shared" si="296"/>
        <v/>
      </c>
      <c r="K249" s="350"/>
      <c r="L249" s="69" t="str">
        <f t="shared" si="297"/>
        <v/>
      </c>
      <c r="M249" s="350"/>
      <c r="N249" s="69" t="str">
        <f t="shared" si="316"/>
        <v/>
      </c>
      <c r="O249" s="350"/>
      <c r="P249" s="69" t="str">
        <f t="shared" si="298"/>
        <v/>
      </c>
      <c r="Q249" s="350"/>
      <c r="R249" s="69" t="str">
        <f t="shared" si="299"/>
        <v/>
      </c>
      <c r="S249" s="350"/>
      <c r="T249" s="69" t="str">
        <f t="shared" si="300"/>
        <v/>
      </c>
      <c r="U249" s="350"/>
      <c r="V249" s="69" t="str">
        <f t="shared" si="301"/>
        <v/>
      </c>
      <c r="W249" s="350"/>
      <c r="Z249" s="353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302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17"/>
        <v>0</v>
      </c>
      <c r="BE249" s="213">
        <f t="shared" si="318"/>
        <v>0</v>
      </c>
      <c r="BF249" s="215">
        <f t="shared" si="319"/>
        <v>0</v>
      </c>
      <c r="BG249" s="215">
        <f t="shared" si="320"/>
        <v>0</v>
      </c>
      <c r="BH249" s="215" t="str">
        <f t="shared" si="303"/>
        <v/>
      </c>
      <c r="BI249" s="215" t="str">
        <f t="shared" si="304"/>
        <v/>
      </c>
      <c r="BJ249" s="215" t="str">
        <f t="shared" si="305"/>
        <v/>
      </c>
      <c r="BK249" s="215" t="str">
        <f t="shared" si="306"/>
        <v/>
      </c>
      <c r="BL249" s="215" t="str">
        <f t="shared" si="307"/>
        <v/>
      </c>
      <c r="BM249" s="215" t="str">
        <f t="shared" si="308"/>
        <v/>
      </c>
      <c r="BN249" s="215" t="str">
        <f t="shared" si="309"/>
        <v/>
      </c>
      <c r="BO249" s="215" t="str">
        <f t="shared" si="310"/>
        <v/>
      </c>
      <c r="BP249" s="215" t="str">
        <f t="shared" si="311"/>
        <v/>
      </c>
      <c r="BQ249" s="216"/>
      <c r="BR249" s="214"/>
      <c r="BS249" s="215">
        <f t="shared" si="321"/>
        <v>0</v>
      </c>
      <c r="BT249" s="215">
        <f t="shared" si="322"/>
        <v>0</v>
      </c>
      <c r="BU249" s="215" t="str">
        <f t="shared" si="323"/>
        <v>RW Lichtenhof 69 Stein 2</v>
      </c>
      <c r="BV249" s="214">
        <f t="shared" si="324"/>
        <v>2</v>
      </c>
      <c r="BW249" s="215">
        <f t="shared" si="325"/>
        <v>0</v>
      </c>
      <c r="BX249" s="215">
        <f>IF(COUNTIF(BH249:BP249,"&gt;0")&lt;Spielorte!$A$23,0,BE249/Spielorte!$A$23)</f>
        <v>0</v>
      </c>
      <c r="BY249" s="215">
        <f t="shared" si="326"/>
        <v>0</v>
      </c>
      <c r="BZ249" s="214">
        <f t="shared" si="312"/>
        <v>0</v>
      </c>
    </row>
    <row r="250" spans="1:78" ht="17.2" customHeight="1" x14ac:dyDescent="0.35">
      <c r="A250" s="367" t="s">
        <v>2</v>
      </c>
      <c r="B250" s="73" t="str">
        <f t="shared" si="313"/>
        <v>Thöne, Melanie</v>
      </c>
      <c r="C250" s="74">
        <f t="shared" si="314"/>
        <v>38513</v>
      </c>
      <c r="D250" s="75">
        <f t="shared" si="315"/>
        <v>132</v>
      </c>
      <c r="E250" s="348">
        <f>IF(AD250="","",AD250)</f>
        <v>0</v>
      </c>
      <c r="F250" s="75">
        <f t="shared" si="294"/>
        <v>186</v>
      </c>
      <c r="G250" s="348">
        <f>IF(AF250="","",AF250)</f>
        <v>1</v>
      </c>
      <c r="H250" s="75">
        <f t="shared" si="295"/>
        <v>119</v>
      </c>
      <c r="I250" s="348">
        <f>IF(AH250="","",AH250)</f>
        <v>1</v>
      </c>
      <c r="J250" s="75">
        <f t="shared" si="296"/>
        <v>191</v>
      </c>
      <c r="K250" s="348">
        <f>IF(AJ250="","",AJ250)</f>
        <v>1</v>
      </c>
      <c r="L250" s="75">
        <f t="shared" si="297"/>
        <v>184</v>
      </c>
      <c r="M250" s="348">
        <f>IF(AL250="","",AL250)</f>
        <v>0</v>
      </c>
      <c r="N250" s="75">
        <f t="shared" si="316"/>
        <v>164</v>
      </c>
      <c r="O250" s="348">
        <f>IF(AN250="","",AN250)</f>
        <v>1</v>
      </c>
      <c r="P250" s="75">
        <f t="shared" si="298"/>
        <v>177</v>
      </c>
      <c r="Q250" s="348">
        <f>IF(AP250="","",AP250)</f>
        <v>0</v>
      </c>
      <c r="R250" s="75">
        <f t="shared" si="299"/>
        <v>148</v>
      </c>
      <c r="S250" s="348">
        <f>IF(AR250="","",AR250)</f>
        <v>0</v>
      </c>
      <c r="T250" s="75">
        <f t="shared" si="300"/>
        <v>167</v>
      </c>
      <c r="U250" s="348">
        <f>IF(AT250="","",AT250)</f>
        <v>1</v>
      </c>
      <c r="V250" s="75">
        <f t="shared" si="301"/>
        <v>1468</v>
      </c>
      <c r="W250" s="348">
        <f>IF(AV250="","",AV250)</f>
        <v>5</v>
      </c>
      <c r="Z250" s="351" t="s">
        <v>2</v>
      </c>
      <c r="AA250" s="108" t="str">
        <f>IF(AB250=0,"",VLOOKUP(AB250,Starter!$A$1:$D$199,2,FALSE))</f>
        <v>Thöne, Melanie</v>
      </c>
      <c r="AB250" s="99">
        <v>38513</v>
      </c>
      <c r="AC250" s="188">
        <v>132</v>
      </c>
      <c r="AD250" s="109">
        <f>IF(SUM(AC250:AC252)+AC266=0,0,IF(SUM(ABS(AC250),ABS(AC251),ABS(AC252))=AC266,0.5,IF(SUM(ABS(AC250),ABS(AC251),ABS(AC252))&gt;AC266,1,0)))</f>
        <v>0</v>
      </c>
      <c r="AE250" s="188">
        <v>186</v>
      </c>
      <c r="AF250" s="109">
        <f>IF(SUM(AE250:AE252)+AE266=0,0,IF(SUM(ABS(AE250),ABS(AE251),ABS(AE252))=AE266,0.5,IF(SUM(ABS(AE250),ABS(AE251),ABS(AE252))&gt;AE266,1,0)))</f>
        <v>1</v>
      </c>
      <c r="AG250" s="188">
        <v>119</v>
      </c>
      <c r="AH250" s="109">
        <f>IF(SUM(AG250:AG252)+AG266=0,0,IF(SUM(ABS(AG250),ABS(AG251),ABS(AG252))=AG266,0.5,IF(SUM(ABS(AG250),ABS(AG251),ABS(AG252))&gt;AG266,1,0)))</f>
        <v>1</v>
      </c>
      <c r="AI250" s="188">
        <v>191</v>
      </c>
      <c r="AJ250" s="109">
        <f>IF(SUM(AI250:AI252)+AI266=0,0,IF(SUM(ABS(AI250),ABS(AI251),ABS(AI252))=AI266,0.5,IF(SUM(ABS(AI250),ABS(AI251),ABS(AI252))&gt;AI266,1,0)))</f>
        <v>1</v>
      </c>
      <c r="AK250" s="188">
        <v>184</v>
      </c>
      <c r="AL250" s="109">
        <f>IF(SUM(AK250:AK252)+AK266=0,0,IF(SUM(ABS(AK250),ABS(AK251),ABS(AK252))=AK266,0.5,IF(SUM(ABS(AK250),ABS(AK251),ABS(AK252))&gt;AK266,1,0)))</f>
        <v>0</v>
      </c>
      <c r="AM250" s="188">
        <v>164</v>
      </c>
      <c r="AN250" s="109">
        <f>IF(SUM(AM250:AM252)+AM266=0,0,IF(SUM(ABS(AM250),ABS(AM251),ABS(AM252))=AM266,0.5,IF(SUM(ABS(AM250),ABS(AM251),ABS(AM252))&gt;AM266,1,0)))</f>
        <v>1</v>
      </c>
      <c r="AO250" s="188">
        <v>177</v>
      </c>
      <c r="AP250" s="109">
        <f>IF(SUM(AO250:AO252)+AO266=0,0,IF(SUM(ABS(AO250),ABS(AO251),ABS(AO252))=AO266,0.5,IF(SUM(ABS(AO250),ABS(AO251),ABS(AO252))&gt;AO266,1,0)))</f>
        <v>0</v>
      </c>
      <c r="AQ250" s="188">
        <v>148</v>
      </c>
      <c r="AR250" s="109">
        <f>IF(SUM(AQ250:AQ252)+AQ266=0,0,IF(SUM(ABS(AQ250),ABS(AQ251),ABS(AQ252))=AQ266,0.5,IF(SUM(ABS(AQ250),ABS(AQ251),ABS(AQ252))&gt;AQ266,1,0)))</f>
        <v>0</v>
      </c>
      <c r="AS250" s="188">
        <v>167</v>
      </c>
      <c r="AT250" s="109">
        <f>IF(SUM(AS250:AS252)+AS266=0,0,IF(SUM(ABS(AS250),ABS(AS251),ABS(AS252))=AS266,0.5,IF(SUM(ABS(AS250),ABS(AS251),ABS(AS252))&gt;AS266,1,0)))</f>
        <v>1</v>
      </c>
      <c r="AU250" s="110">
        <f t="shared" si="302"/>
        <v>1468</v>
      </c>
      <c r="AV250" s="111">
        <f>SUM(AD250+AF250+AH250+AJ250+AL250+AN250+AP250+AR250+AT250)</f>
        <v>5</v>
      </c>
      <c r="AW250" s="101"/>
      <c r="AX250" s="102"/>
      <c r="AZ250" s="63"/>
      <c r="BA250" s="212"/>
      <c r="BB250" s="213"/>
      <c r="BC250" s="214"/>
      <c r="BD250" s="217">
        <f t="shared" si="317"/>
        <v>38513</v>
      </c>
      <c r="BE250" s="213">
        <f t="shared" si="318"/>
        <v>1468</v>
      </c>
      <c r="BF250" s="215">
        <f t="shared" si="319"/>
        <v>9</v>
      </c>
      <c r="BG250" s="215">
        <f t="shared" si="320"/>
        <v>9</v>
      </c>
      <c r="BH250" s="215">
        <f t="shared" si="303"/>
        <v>132</v>
      </c>
      <c r="BI250" s="215">
        <f t="shared" si="304"/>
        <v>186</v>
      </c>
      <c r="BJ250" s="215">
        <f t="shared" si="305"/>
        <v>119</v>
      </c>
      <c r="BK250" s="215">
        <f t="shared" si="306"/>
        <v>191</v>
      </c>
      <c r="BL250" s="215">
        <f t="shared" si="307"/>
        <v>184</v>
      </c>
      <c r="BM250" s="215">
        <f t="shared" si="308"/>
        <v>164</v>
      </c>
      <c r="BN250" s="215">
        <f t="shared" si="309"/>
        <v>177</v>
      </c>
      <c r="BO250" s="215">
        <f t="shared" si="310"/>
        <v>148</v>
      </c>
      <c r="BP250" s="215">
        <f t="shared" si="311"/>
        <v>167</v>
      </c>
      <c r="BQ250" s="216"/>
      <c r="BR250" s="214"/>
      <c r="BS250" s="215">
        <f t="shared" si="321"/>
        <v>191</v>
      </c>
      <c r="BT250" s="215">
        <f t="shared" si="322"/>
        <v>0</v>
      </c>
      <c r="BU250" s="215" t="str">
        <f t="shared" si="323"/>
        <v>RW Lichtenhof 69 Stein 2</v>
      </c>
      <c r="BV250" s="214">
        <f t="shared" si="324"/>
        <v>2</v>
      </c>
      <c r="BW250" s="215">
        <f t="shared" si="325"/>
        <v>1468</v>
      </c>
      <c r="BX250" s="215">
        <f>IF(COUNTIF(BH250:BP250,"&gt;0")&lt;Spielorte!$A$23,0,BE250/Spielorte!$A$23)</f>
        <v>163.11111111111111</v>
      </c>
      <c r="BY250" s="215">
        <f t="shared" si="326"/>
        <v>0</v>
      </c>
      <c r="BZ250" s="214">
        <f t="shared" si="312"/>
        <v>0</v>
      </c>
    </row>
    <row r="251" spans="1:78" ht="17.2" customHeight="1" x14ac:dyDescent="0.35">
      <c r="A251" s="368"/>
      <c r="B251" s="76" t="str">
        <f t="shared" si="313"/>
        <v/>
      </c>
      <c r="C251" s="77" t="str">
        <f t="shared" si="314"/>
        <v/>
      </c>
      <c r="D251" s="78" t="str">
        <f t="shared" si="315"/>
        <v/>
      </c>
      <c r="E251" s="349"/>
      <c r="F251" s="78" t="str">
        <f t="shared" si="294"/>
        <v/>
      </c>
      <c r="G251" s="349"/>
      <c r="H251" s="78" t="str">
        <f t="shared" si="295"/>
        <v/>
      </c>
      <c r="I251" s="349"/>
      <c r="J251" s="78" t="str">
        <f t="shared" si="296"/>
        <v/>
      </c>
      <c r="K251" s="349"/>
      <c r="L251" s="78" t="str">
        <f t="shared" si="297"/>
        <v/>
      </c>
      <c r="M251" s="349"/>
      <c r="N251" s="78" t="str">
        <f t="shared" si="316"/>
        <v/>
      </c>
      <c r="O251" s="349"/>
      <c r="P251" s="78" t="str">
        <f t="shared" si="298"/>
        <v/>
      </c>
      <c r="Q251" s="349"/>
      <c r="R251" s="78" t="str">
        <f t="shared" si="299"/>
        <v/>
      </c>
      <c r="S251" s="349"/>
      <c r="T251" s="78" t="str">
        <f t="shared" si="300"/>
        <v/>
      </c>
      <c r="U251" s="349"/>
      <c r="V251" s="78" t="str">
        <f t="shared" si="301"/>
        <v/>
      </c>
      <c r="W251" s="349"/>
      <c r="Z251" s="352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302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17"/>
        <v>0</v>
      </c>
      <c r="BE251" s="213">
        <f t="shared" si="318"/>
        <v>0</v>
      </c>
      <c r="BF251" s="215">
        <f t="shared" si="319"/>
        <v>0</v>
      </c>
      <c r="BG251" s="215">
        <f t="shared" si="320"/>
        <v>0</v>
      </c>
      <c r="BH251" s="215" t="str">
        <f t="shared" si="303"/>
        <v/>
      </c>
      <c r="BI251" s="215" t="str">
        <f t="shared" si="304"/>
        <v/>
      </c>
      <c r="BJ251" s="215" t="str">
        <f t="shared" si="305"/>
        <v/>
      </c>
      <c r="BK251" s="215" t="str">
        <f t="shared" si="306"/>
        <v/>
      </c>
      <c r="BL251" s="215" t="str">
        <f t="shared" si="307"/>
        <v/>
      </c>
      <c r="BM251" s="215" t="str">
        <f t="shared" si="308"/>
        <v/>
      </c>
      <c r="BN251" s="215" t="str">
        <f t="shared" si="309"/>
        <v/>
      </c>
      <c r="BO251" s="215" t="str">
        <f t="shared" si="310"/>
        <v/>
      </c>
      <c r="BP251" s="215" t="str">
        <f t="shared" si="311"/>
        <v/>
      </c>
      <c r="BQ251" s="216"/>
      <c r="BR251" s="214"/>
      <c r="BS251" s="215">
        <f t="shared" si="321"/>
        <v>0</v>
      </c>
      <c r="BT251" s="215">
        <f t="shared" si="322"/>
        <v>0</v>
      </c>
      <c r="BU251" s="215" t="str">
        <f t="shared" si="323"/>
        <v>RW Lichtenhof 69 Stein 2</v>
      </c>
      <c r="BV251" s="214">
        <f t="shared" si="324"/>
        <v>2</v>
      </c>
      <c r="BW251" s="215">
        <f t="shared" si="325"/>
        <v>0</v>
      </c>
      <c r="BX251" s="215">
        <f>IF(COUNTIF(BH251:BP251,"&gt;0")&lt;Spielorte!$A$23,0,BE251/Spielorte!$A$23)</f>
        <v>0</v>
      </c>
      <c r="BY251" s="215">
        <f t="shared" si="326"/>
        <v>0</v>
      </c>
      <c r="BZ251" s="214">
        <f t="shared" si="312"/>
        <v>0</v>
      </c>
    </row>
    <row r="252" spans="1:78" ht="17.2" customHeight="1" thickBot="1" x14ac:dyDescent="0.4">
      <c r="A252" s="369"/>
      <c r="B252" s="79" t="str">
        <f t="shared" si="313"/>
        <v/>
      </c>
      <c r="C252" s="80" t="str">
        <f t="shared" si="314"/>
        <v/>
      </c>
      <c r="D252" s="69" t="str">
        <f t="shared" si="315"/>
        <v/>
      </c>
      <c r="E252" s="350"/>
      <c r="F252" s="69" t="str">
        <f t="shared" si="294"/>
        <v/>
      </c>
      <c r="G252" s="350"/>
      <c r="H252" s="69" t="str">
        <f t="shared" si="295"/>
        <v/>
      </c>
      <c r="I252" s="350"/>
      <c r="J252" s="69" t="str">
        <f t="shared" si="296"/>
        <v/>
      </c>
      <c r="K252" s="350"/>
      <c r="L252" s="69" t="str">
        <f t="shared" si="297"/>
        <v/>
      </c>
      <c r="M252" s="350"/>
      <c r="N252" s="69" t="str">
        <f t="shared" si="316"/>
        <v/>
      </c>
      <c r="O252" s="350"/>
      <c r="P252" s="69" t="str">
        <f t="shared" si="298"/>
        <v/>
      </c>
      <c r="Q252" s="350"/>
      <c r="R252" s="69" t="str">
        <f t="shared" si="299"/>
        <v/>
      </c>
      <c r="S252" s="350"/>
      <c r="T252" s="69" t="str">
        <f t="shared" si="300"/>
        <v/>
      </c>
      <c r="U252" s="350"/>
      <c r="V252" s="69" t="str">
        <f t="shared" si="301"/>
        <v/>
      </c>
      <c r="W252" s="350"/>
      <c r="Z252" s="353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302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17"/>
        <v>0</v>
      </c>
      <c r="BE252" s="213">
        <f t="shared" si="318"/>
        <v>0</v>
      </c>
      <c r="BF252" s="215">
        <f t="shared" si="319"/>
        <v>0</v>
      </c>
      <c r="BG252" s="215">
        <f t="shared" si="320"/>
        <v>0</v>
      </c>
      <c r="BH252" s="215" t="str">
        <f t="shared" si="303"/>
        <v/>
      </c>
      <c r="BI252" s="215" t="str">
        <f t="shared" si="304"/>
        <v/>
      </c>
      <c r="BJ252" s="215" t="str">
        <f t="shared" si="305"/>
        <v/>
      </c>
      <c r="BK252" s="215" t="str">
        <f t="shared" si="306"/>
        <v/>
      </c>
      <c r="BL252" s="215" t="str">
        <f t="shared" si="307"/>
        <v/>
      </c>
      <c r="BM252" s="215" t="str">
        <f t="shared" si="308"/>
        <v/>
      </c>
      <c r="BN252" s="215" t="str">
        <f t="shared" si="309"/>
        <v/>
      </c>
      <c r="BO252" s="215" t="str">
        <f t="shared" si="310"/>
        <v/>
      </c>
      <c r="BP252" s="215" t="str">
        <f t="shared" si="311"/>
        <v/>
      </c>
      <c r="BQ252" s="216"/>
      <c r="BR252" s="214"/>
      <c r="BS252" s="215">
        <f t="shared" si="321"/>
        <v>0</v>
      </c>
      <c r="BT252" s="215">
        <f t="shared" si="322"/>
        <v>0</v>
      </c>
      <c r="BU252" s="215" t="str">
        <f t="shared" si="323"/>
        <v>RW Lichtenhof 69 Stein 2</v>
      </c>
      <c r="BV252" s="214">
        <f t="shared" si="324"/>
        <v>2</v>
      </c>
      <c r="BW252" s="215">
        <f t="shared" si="325"/>
        <v>0</v>
      </c>
      <c r="BX252" s="215">
        <f>IF(COUNTIF(BH252:BP252,"&gt;0")&lt;Spielorte!$A$23,0,BE252/Spielorte!$A$23)</f>
        <v>0</v>
      </c>
      <c r="BY252" s="215">
        <f t="shared" si="326"/>
        <v>0</v>
      </c>
      <c r="BZ252" s="214">
        <f t="shared" si="312"/>
        <v>0</v>
      </c>
    </row>
    <row r="253" spans="1:78" ht="17.2" customHeight="1" x14ac:dyDescent="0.35">
      <c r="A253" s="367" t="s">
        <v>3</v>
      </c>
      <c r="B253" s="73" t="str">
        <f t="shared" si="313"/>
        <v>Wahl, Alexandra</v>
      </c>
      <c r="C253" s="74">
        <f t="shared" si="314"/>
        <v>25551</v>
      </c>
      <c r="D253" s="75">
        <f t="shared" si="315"/>
        <v>138</v>
      </c>
      <c r="E253" s="348">
        <f>IF(AD253="","",AD253)</f>
        <v>0</v>
      </c>
      <c r="F253" s="75">
        <f t="shared" si="294"/>
        <v>149</v>
      </c>
      <c r="G253" s="348">
        <f>IF(AF253="","",AF253)</f>
        <v>0</v>
      </c>
      <c r="H253" s="75">
        <f t="shared" si="295"/>
        <v>156</v>
      </c>
      <c r="I253" s="348">
        <f>IF(AH253="","",AH253)</f>
        <v>1</v>
      </c>
      <c r="J253" s="75">
        <f t="shared" si="296"/>
        <v>136</v>
      </c>
      <c r="K253" s="348">
        <f>IF(AJ253="","",AJ253)</f>
        <v>0</v>
      </c>
      <c r="L253" s="75">
        <f t="shared" si="297"/>
        <v>154</v>
      </c>
      <c r="M253" s="348">
        <f>IF(AL253="","",AL253)</f>
        <v>1</v>
      </c>
      <c r="N253" s="75">
        <f t="shared" si="316"/>
        <v>135</v>
      </c>
      <c r="O253" s="348">
        <f>IF(AN253="","",AN253)</f>
        <v>0</v>
      </c>
      <c r="P253" s="75">
        <f t="shared" si="298"/>
        <v>140</v>
      </c>
      <c r="Q253" s="348">
        <f>IF(AP253="","",AP253)</f>
        <v>0</v>
      </c>
      <c r="R253" s="75">
        <f t="shared" si="299"/>
        <v>157</v>
      </c>
      <c r="S253" s="348">
        <f>IF(AR253="","",AR253)</f>
        <v>0</v>
      </c>
      <c r="T253" s="75">
        <f t="shared" si="300"/>
        <v>177</v>
      </c>
      <c r="U253" s="348">
        <f>IF(AT253="","",AT253)</f>
        <v>1</v>
      </c>
      <c r="V253" s="75">
        <f t="shared" si="301"/>
        <v>1342</v>
      </c>
      <c r="W253" s="348">
        <f>IF(AV253="","",AV253)</f>
        <v>3</v>
      </c>
      <c r="Z253" s="351" t="s">
        <v>3</v>
      </c>
      <c r="AA253" s="108" t="str">
        <f>IF(AB253=0,"",VLOOKUP(AB253,Starter!$A$1:$D$199,2,FALSE))</f>
        <v>Wahl, Alexandra</v>
      </c>
      <c r="AB253" s="99">
        <v>25551</v>
      </c>
      <c r="AC253" s="188">
        <v>138</v>
      </c>
      <c r="AD253" s="109">
        <f>IF(SUM(AC253:AC255)+AC267=0,0,IF(SUM(ABS(AC253),ABS(AC254),ABS(AC255))=AC267,0.5,IF(SUM(ABS(AC253),ABS(AC254),ABS(AC255))&gt;AC267,1,0)))</f>
        <v>0</v>
      </c>
      <c r="AE253" s="188">
        <v>149</v>
      </c>
      <c r="AF253" s="109">
        <f>IF(SUM(AE253:AE255)+AE267=0,0,IF(SUM(ABS(AE253),ABS(AE254),ABS(AE255))=AE267,0.5,IF(SUM(ABS(AE253),ABS(AE254),ABS(AE255))&gt;AE267,1,0)))</f>
        <v>0</v>
      </c>
      <c r="AG253" s="188">
        <v>156</v>
      </c>
      <c r="AH253" s="109">
        <f>IF(SUM(AG253:AG255)+AG267=0,0,IF(SUM(ABS(AG253),ABS(AG254),ABS(AG255))=AG267,0.5,IF(SUM(ABS(AG253),ABS(AG254),ABS(AG255))&gt;AG267,1,0)))</f>
        <v>1</v>
      </c>
      <c r="AI253" s="188">
        <v>136</v>
      </c>
      <c r="AJ253" s="109">
        <f>IF(SUM(AI253:AI255)+AI267=0,0,IF(SUM(ABS(AI253),ABS(AI254),ABS(AI255))=AI267,0.5,IF(SUM(ABS(AI253),ABS(AI254),ABS(AI255))&gt;AI267,1,0)))</f>
        <v>0</v>
      </c>
      <c r="AK253" s="188">
        <v>154</v>
      </c>
      <c r="AL253" s="109">
        <f>IF(SUM(AK253:AK255)+AK267=0,0,IF(SUM(ABS(AK253),ABS(AK254),ABS(AK255))=AK267,0.5,IF(SUM(ABS(AK253),ABS(AK254),ABS(AK255))&gt;AK267,1,0)))</f>
        <v>1</v>
      </c>
      <c r="AM253" s="188">
        <v>135</v>
      </c>
      <c r="AN253" s="109">
        <f>IF(SUM(AM253:AM255)+AM267=0,0,IF(SUM(ABS(AM253),ABS(AM254),ABS(AM255))=AM267,0.5,IF(SUM(ABS(AM253),ABS(AM254),ABS(AM255))&gt;AM267,1,0)))</f>
        <v>0</v>
      </c>
      <c r="AO253" s="188">
        <v>140</v>
      </c>
      <c r="AP253" s="109">
        <f>IF(SUM(AO253:AO255)+AO267=0,0,IF(SUM(ABS(AO253),ABS(AO254),ABS(AO255))=AO267,0.5,IF(SUM(ABS(AO253),ABS(AO254),ABS(AO255))&gt;AO267,1,0)))</f>
        <v>0</v>
      </c>
      <c r="AQ253" s="188">
        <v>157</v>
      </c>
      <c r="AR253" s="109">
        <f>IF(SUM(AQ253:AQ255)+AQ267=0,0,IF(SUM(ABS(AQ253),ABS(AQ254),ABS(AQ255))=AQ267,0.5,IF(SUM(ABS(AQ253),ABS(AQ254),ABS(AQ255))&gt;AQ267,1,0)))</f>
        <v>0</v>
      </c>
      <c r="AS253" s="188">
        <v>177</v>
      </c>
      <c r="AT253" s="109">
        <f>IF(SUM(AS253:AS255)+AS267=0,0,IF(SUM(ABS(AS253),ABS(AS254),ABS(AS255))=AS267,0.5,IF(SUM(ABS(AS253),ABS(AS254),ABS(AS255))&gt;AS267,1,0)))</f>
        <v>1</v>
      </c>
      <c r="AU253" s="110">
        <f t="shared" si="302"/>
        <v>1342</v>
      </c>
      <c r="AV253" s="111">
        <f>SUM(AD253+AF253+AH253+AJ253+AL253+AN253+AP253+AR253+AT253)</f>
        <v>3</v>
      </c>
      <c r="AW253" s="101"/>
      <c r="AX253" s="102"/>
      <c r="AZ253" s="63"/>
      <c r="BA253" s="212"/>
      <c r="BB253" s="213"/>
      <c r="BC253" s="214"/>
      <c r="BD253" s="217">
        <f t="shared" si="317"/>
        <v>25551</v>
      </c>
      <c r="BE253" s="213">
        <f t="shared" si="318"/>
        <v>1342</v>
      </c>
      <c r="BF253" s="215">
        <f t="shared" si="319"/>
        <v>9</v>
      </c>
      <c r="BG253" s="215">
        <f t="shared" si="320"/>
        <v>9</v>
      </c>
      <c r="BH253" s="215">
        <f t="shared" si="303"/>
        <v>138</v>
      </c>
      <c r="BI253" s="215">
        <f t="shared" si="304"/>
        <v>149</v>
      </c>
      <c r="BJ253" s="215">
        <f t="shared" si="305"/>
        <v>156</v>
      </c>
      <c r="BK253" s="215">
        <f t="shared" si="306"/>
        <v>136</v>
      </c>
      <c r="BL253" s="215">
        <f t="shared" si="307"/>
        <v>154</v>
      </c>
      <c r="BM253" s="215">
        <f t="shared" si="308"/>
        <v>135</v>
      </c>
      <c r="BN253" s="215">
        <f t="shared" si="309"/>
        <v>140</v>
      </c>
      <c r="BO253" s="215">
        <f t="shared" si="310"/>
        <v>157</v>
      </c>
      <c r="BP253" s="215">
        <f t="shared" si="311"/>
        <v>177</v>
      </c>
      <c r="BQ253" s="216"/>
      <c r="BR253" s="214"/>
      <c r="BS253" s="215">
        <f t="shared" si="321"/>
        <v>177</v>
      </c>
      <c r="BT253" s="215">
        <f t="shared" si="322"/>
        <v>0</v>
      </c>
      <c r="BU253" s="215" t="str">
        <f t="shared" si="323"/>
        <v>RW Lichtenhof 69 Stein 2</v>
      </c>
      <c r="BV253" s="214">
        <f t="shared" si="324"/>
        <v>2</v>
      </c>
      <c r="BW253" s="215">
        <f t="shared" si="325"/>
        <v>1342</v>
      </c>
      <c r="BX253" s="215">
        <f>IF(COUNTIF(BH253:BP253,"&gt;0")&lt;Spielorte!$A$23,0,BE253/Spielorte!$A$23)</f>
        <v>149.11111111111111</v>
      </c>
      <c r="BY253" s="215">
        <f t="shared" si="326"/>
        <v>0</v>
      </c>
      <c r="BZ253" s="214">
        <f t="shared" si="312"/>
        <v>0</v>
      </c>
    </row>
    <row r="254" spans="1:78" ht="17.2" customHeight="1" x14ac:dyDescent="0.35">
      <c r="A254" s="368"/>
      <c r="B254" s="76" t="str">
        <f t="shared" si="313"/>
        <v/>
      </c>
      <c r="C254" s="77" t="str">
        <f t="shared" si="314"/>
        <v/>
      </c>
      <c r="D254" s="78" t="str">
        <f t="shared" si="315"/>
        <v/>
      </c>
      <c r="E254" s="349"/>
      <c r="F254" s="78" t="str">
        <f t="shared" si="294"/>
        <v/>
      </c>
      <c r="G254" s="349"/>
      <c r="H254" s="78" t="str">
        <f t="shared" si="295"/>
        <v/>
      </c>
      <c r="I254" s="349"/>
      <c r="J254" s="78" t="str">
        <f t="shared" si="296"/>
        <v/>
      </c>
      <c r="K254" s="349"/>
      <c r="L254" s="78" t="str">
        <f t="shared" si="297"/>
        <v/>
      </c>
      <c r="M254" s="349"/>
      <c r="N254" s="78" t="str">
        <f t="shared" si="316"/>
        <v/>
      </c>
      <c r="O254" s="349"/>
      <c r="P254" s="78" t="str">
        <f t="shared" si="298"/>
        <v/>
      </c>
      <c r="Q254" s="349"/>
      <c r="R254" s="78" t="str">
        <f t="shared" si="299"/>
        <v/>
      </c>
      <c r="S254" s="349"/>
      <c r="T254" s="78" t="str">
        <f t="shared" si="300"/>
        <v/>
      </c>
      <c r="U254" s="349"/>
      <c r="V254" s="78" t="str">
        <f t="shared" si="301"/>
        <v/>
      </c>
      <c r="W254" s="349"/>
      <c r="Z254" s="352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302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17"/>
        <v>0</v>
      </c>
      <c r="BE254" s="213">
        <f t="shared" si="318"/>
        <v>0</v>
      </c>
      <c r="BF254" s="215">
        <f t="shared" si="319"/>
        <v>0</v>
      </c>
      <c r="BG254" s="215">
        <f t="shared" si="320"/>
        <v>0</v>
      </c>
      <c r="BH254" s="215" t="str">
        <f t="shared" si="303"/>
        <v/>
      </c>
      <c r="BI254" s="215" t="str">
        <f t="shared" si="304"/>
        <v/>
      </c>
      <c r="BJ254" s="215" t="str">
        <f t="shared" si="305"/>
        <v/>
      </c>
      <c r="BK254" s="215" t="str">
        <f t="shared" si="306"/>
        <v/>
      </c>
      <c r="BL254" s="215" t="str">
        <f t="shared" si="307"/>
        <v/>
      </c>
      <c r="BM254" s="215" t="str">
        <f t="shared" si="308"/>
        <v/>
      </c>
      <c r="BN254" s="215" t="str">
        <f t="shared" si="309"/>
        <v/>
      </c>
      <c r="BO254" s="215" t="str">
        <f t="shared" si="310"/>
        <v/>
      </c>
      <c r="BP254" s="215" t="str">
        <f t="shared" si="311"/>
        <v/>
      </c>
      <c r="BQ254" s="216"/>
      <c r="BR254" s="214"/>
      <c r="BS254" s="215">
        <f t="shared" si="321"/>
        <v>0</v>
      </c>
      <c r="BT254" s="215">
        <f t="shared" si="322"/>
        <v>0</v>
      </c>
      <c r="BU254" s="215" t="str">
        <f t="shared" si="323"/>
        <v>RW Lichtenhof 69 Stein 2</v>
      </c>
      <c r="BV254" s="214">
        <f t="shared" si="324"/>
        <v>2</v>
      </c>
      <c r="BW254" s="215">
        <f t="shared" si="325"/>
        <v>0</v>
      </c>
      <c r="BX254" s="215">
        <f>IF(COUNTIF(BH254:BP254,"&gt;0")&lt;Spielorte!$A$23,0,BE254/Spielorte!$A$23)</f>
        <v>0</v>
      </c>
      <c r="BY254" s="215">
        <f t="shared" si="326"/>
        <v>0</v>
      </c>
      <c r="BZ254" s="214">
        <f t="shared" si="312"/>
        <v>0</v>
      </c>
    </row>
    <row r="255" spans="1:78" ht="17.2" customHeight="1" thickBot="1" x14ac:dyDescent="0.4">
      <c r="A255" s="369"/>
      <c r="B255" s="79" t="str">
        <f t="shared" si="313"/>
        <v/>
      </c>
      <c r="C255" s="80" t="str">
        <f t="shared" si="314"/>
        <v/>
      </c>
      <c r="D255" s="69" t="str">
        <f t="shared" si="315"/>
        <v/>
      </c>
      <c r="E255" s="350"/>
      <c r="F255" s="69" t="str">
        <f t="shared" si="294"/>
        <v/>
      </c>
      <c r="G255" s="350"/>
      <c r="H255" s="69" t="str">
        <f t="shared" si="295"/>
        <v/>
      </c>
      <c r="I255" s="350"/>
      <c r="J255" s="69" t="str">
        <f t="shared" si="296"/>
        <v/>
      </c>
      <c r="K255" s="350"/>
      <c r="L255" s="69" t="str">
        <f t="shared" si="297"/>
        <v/>
      </c>
      <c r="M255" s="350"/>
      <c r="N255" s="69" t="str">
        <f t="shared" si="316"/>
        <v/>
      </c>
      <c r="O255" s="350"/>
      <c r="P255" s="69" t="str">
        <f t="shared" si="298"/>
        <v/>
      </c>
      <c r="Q255" s="350"/>
      <c r="R255" s="69" t="str">
        <f t="shared" si="299"/>
        <v/>
      </c>
      <c r="S255" s="350"/>
      <c r="T255" s="69" t="str">
        <f t="shared" si="300"/>
        <v/>
      </c>
      <c r="U255" s="350"/>
      <c r="V255" s="69" t="str">
        <f t="shared" si="301"/>
        <v/>
      </c>
      <c r="W255" s="350"/>
      <c r="Z255" s="353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302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17"/>
        <v>0</v>
      </c>
      <c r="BE255" s="213">
        <f t="shared" si="318"/>
        <v>0</v>
      </c>
      <c r="BF255" s="215">
        <f t="shared" si="319"/>
        <v>0</v>
      </c>
      <c r="BG255" s="215">
        <f t="shared" si="320"/>
        <v>0</v>
      </c>
      <c r="BH255" s="215" t="str">
        <f t="shared" si="303"/>
        <v/>
      </c>
      <c r="BI255" s="215" t="str">
        <f t="shared" si="304"/>
        <v/>
      </c>
      <c r="BJ255" s="215" t="str">
        <f t="shared" si="305"/>
        <v/>
      </c>
      <c r="BK255" s="215" t="str">
        <f t="shared" si="306"/>
        <v/>
      </c>
      <c r="BL255" s="215" t="str">
        <f t="shared" si="307"/>
        <v/>
      </c>
      <c r="BM255" s="215" t="str">
        <f t="shared" si="308"/>
        <v/>
      </c>
      <c r="BN255" s="215" t="str">
        <f t="shared" si="309"/>
        <v/>
      </c>
      <c r="BO255" s="215" t="str">
        <f t="shared" si="310"/>
        <v/>
      </c>
      <c r="BP255" s="215" t="str">
        <f t="shared" si="311"/>
        <v/>
      </c>
      <c r="BQ255" s="216"/>
      <c r="BR255" s="214"/>
      <c r="BS255" s="215">
        <f t="shared" si="321"/>
        <v>0</v>
      </c>
      <c r="BT255" s="215">
        <f t="shared" si="322"/>
        <v>0</v>
      </c>
      <c r="BU255" s="215" t="str">
        <f t="shared" si="323"/>
        <v>RW Lichtenhof 69 Stein 2</v>
      </c>
      <c r="BV255" s="214">
        <f t="shared" si="324"/>
        <v>2</v>
      </c>
      <c r="BW255" s="215">
        <f t="shared" si="325"/>
        <v>0</v>
      </c>
      <c r="BX255" s="215">
        <f>IF(COUNTIF(BH255:BP255,"&gt;0")&lt;Spielorte!$A$23,0,BE255/Spielorte!$A$23)</f>
        <v>0</v>
      </c>
      <c r="BY255" s="215">
        <f t="shared" si="326"/>
        <v>0</v>
      </c>
      <c r="BZ255" s="214">
        <f t="shared" si="312"/>
        <v>0</v>
      </c>
    </row>
    <row r="256" spans="1:78" ht="17.2" customHeight="1" x14ac:dyDescent="0.35">
      <c r="A256" s="367" t="s">
        <v>11</v>
      </c>
      <c r="B256" s="73" t="str">
        <f>IF(AA256=0,"",AA256)</f>
        <v>Hödl, Renate</v>
      </c>
      <c r="C256" s="74">
        <f t="shared" si="314"/>
        <v>7972</v>
      </c>
      <c r="D256" s="75">
        <f t="shared" si="315"/>
        <v>146</v>
      </c>
      <c r="E256" s="348">
        <f>IF(AD256="","",AD256)</f>
        <v>0</v>
      </c>
      <c r="F256" s="75">
        <f t="shared" si="294"/>
        <v>147</v>
      </c>
      <c r="G256" s="348">
        <f>IF(AF256="","",AF256)</f>
        <v>0</v>
      </c>
      <c r="H256" s="75">
        <f t="shared" si="295"/>
        <v>165</v>
      </c>
      <c r="I256" s="348">
        <f>IF(AH256="","",AH256)</f>
        <v>1</v>
      </c>
      <c r="J256" s="75">
        <f t="shared" si="296"/>
        <v>167</v>
      </c>
      <c r="K256" s="348">
        <f>IF(AJ256="","",AJ256)</f>
        <v>0</v>
      </c>
      <c r="L256" s="75">
        <f t="shared" si="297"/>
        <v>134</v>
      </c>
      <c r="M256" s="348">
        <f>IF(AL256="","",AL256)</f>
        <v>0</v>
      </c>
      <c r="N256" s="75">
        <f t="shared" si="316"/>
        <v>165</v>
      </c>
      <c r="O256" s="348">
        <f>IF(AN256="","",AN256)</f>
        <v>0</v>
      </c>
      <c r="P256" s="75">
        <f t="shared" si="298"/>
        <v>160</v>
      </c>
      <c r="Q256" s="348">
        <f>IF(AP256="","",AP256)</f>
        <v>0</v>
      </c>
      <c r="R256" s="75">
        <f t="shared" si="299"/>
        <v>132</v>
      </c>
      <c r="S256" s="348">
        <f>IF(AR256="","",AR256)</f>
        <v>0</v>
      </c>
      <c r="T256" s="75">
        <f t="shared" si="300"/>
        <v>148</v>
      </c>
      <c r="U256" s="348">
        <f>IF(AT256="","",AT256)</f>
        <v>0</v>
      </c>
      <c r="V256" s="75">
        <f t="shared" si="301"/>
        <v>1364</v>
      </c>
      <c r="W256" s="348">
        <f>IF(AV256="","",AV256)</f>
        <v>1</v>
      </c>
      <c r="Z256" s="351" t="s">
        <v>11</v>
      </c>
      <c r="AA256" s="108" t="str">
        <f>IF(AB256=0,"",VLOOKUP(AB256,Starter!$A$1:$D$199,2,FALSE))</f>
        <v>Hödl, Renate</v>
      </c>
      <c r="AB256" s="99">
        <v>7972</v>
      </c>
      <c r="AC256" s="188">
        <v>146</v>
      </c>
      <c r="AD256" s="109">
        <f>IF(SUM(AC256:AC258)+AC268=0,0,IF(SUM(ABS(AC256),ABS(AC257),ABS(AC258))=AC268,0.5,IF(SUM(ABS(AC256),ABS(AC257),ABS(AC258))&gt;AC268,1,0)))</f>
        <v>0</v>
      </c>
      <c r="AE256" s="188">
        <v>147</v>
      </c>
      <c r="AF256" s="109">
        <f>IF(SUM(AE256:AE258)+AE268=0,0,IF(SUM(ABS(AE256),ABS(AE257),ABS(AE258))=AE268,0.5,IF(SUM(ABS(AE256),ABS(AE257),ABS(AE258))&gt;AE268,1,0)))</f>
        <v>0</v>
      </c>
      <c r="AG256" s="188">
        <v>165</v>
      </c>
      <c r="AH256" s="109">
        <f>IF(SUM(AG256:AG258)+AG268=0,0,IF(SUM(ABS(AG256),ABS(AG257),ABS(AG258))=AG268,0.5,IF(SUM(ABS(AG256),ABS(AG257),ABS(AG258))&gt;AG268,1,0)))</f>
        <v>1</v>
      </c>
      <c r="AI256" s="188">
        <v>167</v>
      </c>
      <c r="AJ256" s="109">
        <f>IF(SUM(AI256:AI258)+AI268=0,0,IF(SUM(ABS(AI256),ABS(AI257),ABS(AI258))=AI268,0.5,IF(SUM(ABS(AI256),ABS(AI257),ABS(AI258))&gt;AI268,1,0)))</f>
        <v>0</v>
      </c>
      <c r="AK256" s="188">
        <v>134</v>
      </c>
      <c r="AL256" s="109">
        <f>IF(SUM(AK256:AK258)+AK268=0,0,IF(SUM(ABS(AK256),ABS(AK257),ABS(AK258))=AK268,0.5,IF(SUM(ABS(AK256),ABS(AK257),ABS(AK258))&gt;AK268,1,0)))</f>
        <v>0</v>
      </c>
      <c r="AM256" s="188">
        <v>165</v>
      </c>
      <c r="AN256" s="109">
        <f>IF(SUM(AM256:AM258)+AM268=0,0,IF(SUM(ABS(AM256),ABS(AM257),ABS(AM258))=AM268,0.5,IF(SUM(ABS(AM256),ABS(AM257),ABS(AM258))&gt;AM268,1,0)))</f>
        <v>0</v>
      </c>
      <c r="AO256" s="188">
        <v>160</v>
      </c>
      <c r="AP256" s="109">
        <f>IF(SUM(AO256:AO258)+AO268=0,0,IF(SUM(ABS(AO256),ABS(AO257),ABS(AO258))=AO268,0.5,IF(SUM(ABS(AO256),ABS(AO257),ABS(AO258))&gt;AO268,1,0)))</f>
        <v>0</v>
      </c>
      <c r="AQ256" s="188">
        <v>132</v>
      </c>
      <c r="AR256" s="109">
        <f>IF(SUM(AQ256:AQ258)+AQ268=0,0,IF(SUM(ABS(AQ256),ABS(AQ257),ABS(AQ258))=AQ268,0.5,IF(SUM(ABS(AQ256),ABS(AQ257),ABS(AQ258))&gt;AQ268,1,0)))</f>
        <v>0</v>
      </c>
      <c r="AS256" s="188">
        <v>148</v>
      </c>
      <c r="AT256" s="109">
        <f>IF(SUM(AS256:AS258)+AS268=0,0,IF(SUM(ABS(AS256),ABS(AS257),ABS(AS258))=AS268,0.5,IF(SUM(ABS(AS256),ABS(AS257),ABS(AS258))&gt;AS268,1,0)))</f>
        <v>0</v>
      </c>
      <c r="AU256" s="110">
        <f t="shared" si="302"/>
        <v>1364</v>
      </c>
      <c r="AV256" s="111">
        <f>SUM(AD256+AF256+AH256+AJ256+AL256+AN256+AP256+AR256+AT256)</f>
        <v>1</v>
      </c>
      <c r="AW256" s="101"/>
      <c r="AX256" s="102"/>
      <c r="AZ256" s="63"/>
      <c r="BA256" s="212"/>
      <c r="BB256" s="213"/>
      <c r="BC256" s="214"/>
      <c r="BD256" s="217">
        <f t="shared" si="317"/>
        <v>7972</v>
      </c>
      <c r="BE256" s="213">
        <f t="shared" si="318"/>
        <v>1364</v>
      </c>
      <c r="BF256" s="215">
        <f t="shared" si="319"/>
        <v>9</v>
      </c>
      <c r="BG256" s="215">
        <f t="shared" si="320"/>
        <v>9</v>
      </c>
      <c r="BH256" s="215">
        <f t="shared" si="303"/>
        <v>146</v>
      </c>
      <c r="BI256" s="215">
        <f t="shared" si="304"/>
        <v>147</v>
      </c>
      <c r="BJ256" s="215">
        <f t="shared" si="305"/>
        <v>165</v>
      </c>
      <c r="BK256" s="215">
        <f t="shared" si="306"/>
        <v>167</v>
      </c>
      <c r="BL256" s="215">
        <f t="shared" si="307"/>
        <v>134</v>
      </c>
      <c r="BM256" s="215">
        <f t="shared" si="308"/>
        <v>165</v>
      </c>
      <c r="BN256" s="215">
        <f t="shared" si="309"/>
        <v>160</v>
      </c>
      <c r="BO256" s="215">
        <f t="shared" si="310"/>
        <v>132</v>
      </c>
      <c r="BP256" s="215">
        <f t="shared" si="311"/>
        <v>148</v>
      </c>
      <c r="BQ256" s="216"/>
      <c r="BR256" s="214"/>
      <c r="BS256" s="215">
        <f t="shared" si="321"/>
        <v>167</v>
      </c>
      <c r="BT256" s="215">
        <f t="shared" si="322"/>
        <v>0</v>
      </c>
      <c r="BU256" s="215" t="str">
        <f t="shared" si="323"/>
        <v>RW Lichtenhof 69 Stein 2</v>
      </c>
      <c r="BV256" s="214">
        <f t="shared" si="324"/>
        <v>2</v>
      </c>
      <c r="BW256" s="215">
        <f t="shared" si="325"/>
        <v>1364</v>
      </c>
      <c r="BX256" s="215">
        <f>IF(COUNTIF(BH256:BP256,"&gt;0")&lt;Spielorte!$A$23,0,BE256/Spielorte!$A$23)</f>
        <v>151.55555555555554</v>
      </c>
      <c r="BY256" s="215">
        <f t="shared" si="326"/>
        <v>0</v>
      </c>
      <c r="BZ256" s="214">
        <f t="shared" si="312"/>
        <v>0</v>
      </c>
    </row>
    <row r="257" spans="1:78" ht="17.2" customHeight="1" x14ac:dyDescent="0.35">
      <c r="A257" s="368"/>
      <c r="B257" s="76" t="str">
        <f>IF(AA257=0,"",AA257)</f>
        <v/>
      </c>
      <c r="C257" s="77" t="str">
        <f t="shared" si="314"/>
        <v/>
      </c>
      <c r="D257" s="78" t="str">
        <f t="shared" si="315"/>
        <v/>
      </c>
      <c r="E257" s="349"/>
      <c r="F257" s="78" t="str">
        <f t="shared" si="294"/>
        <v/>
      </c>
      <c r="G257" s="349"/>
      <c r="H257" s="78" t="str">
        <f t="shared" si="295"/>
        <v/>
      </c>
      <c r="I257" s="349"/>
      <c r="J257" s="78" t="str">
        <f t="shared" si="296"/>
        <v/>
      </c>
      <c r="K257" s="349"/>
      <c r="L257" s="78" t="str">
        <f t="shared" si="297"/>
        <v/>
      </c>
      <c r="M257" s="349"/>
      <c r="N257" s="78" t="str">
        <f t="shared" si="316"/>
        <v/>
      </c>
      <c r="O257" s="349"/>
      <c r="P257" s="78" t="str">
        <f t="shared" si="298"/>
        <v/>
      </c>
      <c r="Q257" s="349"/>
      <c r="R257" s="78" t="str">
        <f t="shared" si="299"/>
        <v/>
      </c>
      <c r="S257" s="349"/>
      <c r="T257" s="78" t="str">
        <f t="shared" si="300"/>
        <v/>
      </c>
      <c r="U257" s="349"/>
      <c r="V257" s="78" t="str">
        <f t="shared" si="301"/>
        <v/>
      </c>
      <c r="W257" s="349"/>
      <c r="Z257" s="352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302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17"/>
        <v>0</v>
      </c>
      <c r="BE257" s="213">
        <f t="shared" si="318"/>
        <v>0</v>
      </c>
      <c r="BF257" s="215">
        <f t="shared" si="319"/>
        <v>0</v>
      </c>
      <c r="BG257" s="215">
        <f t="shared" si="320"/>
        <v>0</v>
      </c>
      <c r="BH257" s="215" t="str">
        <f t="shared" si="303"/>
        <v/>
      </c>
      <c r="BI257" s="215" t="str">
        <f t="shared" si="304"/>
        <v/>
      </c>
      <c r="BJ257" s="215" t="str">
        <f t="shared" si="305"/>
        <v/>
      </c>
      <c r="BK257" s="215" t="str">
        <f t="shared" si="306"/>
        <v/>
      </c>
      <c r="BL257" s="215" t="str">
        <f t="shared" si="307"/>
        <v/>
      </c>
      <c r="BM257" s="215" t="str">
        <f t="shared" si="308"/>
        <v/>
      </c>
      <c r="BN257" s="215" t="str">
        <f t="shared" si="309"/>
        <v/>
      </c>
      <c r="BO257" s="215" t="str">
        <f t="shared" si="310"/>
        <v/>
      </c>
      <c r="BP257" s="215" t="str">
        <f t="shared" si="311"/>
        <v/>
      </c>
      <c r="BQ257" s="216"/>
      <c r="BR257" s="214"/>
      <c r="BS257" s="215">
        <f t="shared" si="321"/>
        <v>0</v>
      </c>
      <c r="BT257" s="215">
        <f t="shared" si="322"/>
        <v>0</v>
      </c>
      <c r="BU257" s="215" t="str">
        <f t="shared" si="323"/>
        <v>RW Lichtenhof 69 Stein 2</v>
      </c>
      <c r="BV257" s="214">
        <f t="shared" si="324"/>
        <v>2</v>
      </c>
      <c r="BW257" s="215">
        <f t="shared" si="325"/>
        <v>0</v>
      </c>
      <c r="BX257" s="215">
        <f>IF(COUNTIF(BH257:BP257,"&gt;0")&lt;Spielorte!$A$23,0,BE257/Spielorte!$A$23)</f>
        <v>0</v>
      </c>
      <c r="BY257" s="215">
        <f t="shared" si="326"/>
        <v>0</v>
      </c>
      <c r="BZ257" s="214">
        <f t="shared" si="312"/>
        <v>0</v>
      </c>
    </row>
    <row r="258" spans="1:78" ht="17.2" customHeight="1" thickBot="1" x14ac:dyDescent="0.4">
      <c r="A258" s="369"/>
      <c r="B258" s="79" t="str">
        <f>IF(AA258=0,"",AA258)</f>
        <v/>
      </c>
      <c r="C258" s="80" t="str">
        <f t="shared" si="314"/>
        <v/>
      </c>
      <c r="D258" s="69" t="str">
        <f t="shared" si="315"/>
        <v/>
      </c>
      <c r="E258" s="350"/>
      <c r="F258" s="69" t="str">
        <f t="shared" si="294"/>
        <v/>
      </c>
      <c r="G258" s="350"/>
      <c r="H258" s="69" t="str">
        <f t="shared" si="295"/>
        <v/>
      </c>
      <c r="I258" s="350"/>
      <c r="J258" s="69" t="str">
        <f t="shared" si="296"/>
        <v/>
      </c>
      <c r="K258" s="350"/>
      <c r="L258" s="69" t="str">
        <f t="shared" si="297"/>
        <v/>
      </c>
      <c r="M258" s="350"/>
      <c r="N258" s="69" t="str">
        <f t="shared" si="316"/>
        <v/>
      </c>
      <c r="O258" s="350"/>
      <c r="P258" s="69" t="str">
        <f t="shared" si="298"/>
        <v/>
      </c>
      <c r="Q258" s="350"/>
      <c r="R258" s="69" t="str">
        <f t="shared" si="299"/>
        <v/>
      </c>
      <c r="S258" s="350"/>
      <c r="T258" s="69" t="str">
        <f t="shared" si="300"/>
        <v/>
      </c>
      <c r="U258" s="350"/>
      <c r="V258" s="69" t="str">
        <f t="shared" si="301"/>
        <v/>
      </c>
      <c r="W258" s="350"/>
      <c r="Z258" s="353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302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17"/>
        <v>0</v>
      </c>
      <c r="BE258" s="213">
        <f t="shared" si="318"/>
        <v>0</v>
      </c>
      <c r="BF258" s="215">
        <f t="shared" si="319"/>
        <v>0</v>
      </c>
      <c r="BG258" s="215">
        <f t="shared" si="320"/>
        <v>0</v>
      </c>
      <c r="BH258" s="215" t="str">
        <f t="shared" si="303"/>
        <v/>
      </c>
      <c r="BI258" s="215" t="str">
        <f t="shared" si="304"/>
        <v/>
      </c>
      <c r="BJ258" s="215" t="str">
        <f t="shared" si="305"/>
        <v/>
      </c>
      <c r="BK258" s="215" t="str">
        <f t="shared" si="306"/>
        <v/>
      </c>
      <c r="BL258" s="215" t="str">
        <f t="shared" si="307"/>
        <v/>
      </c>
      <c r="BM258" s="215" t="str">
        <f t="shared" si="308"/>
        <v/>
      </c>
      <c r="BN258" s="215" t="str">
        <f t="shared" si="309"/>
        <v/>
      </c>
      <c r="BO258" s="215" t="str">
        <f t="shared" si="310"/>
        <v/>
      </c>
      <c r="BP258" s="215" t="str">
        <f t="shared" si="311"/>
        <v/>
      </c>
      <c r="BQ258" s="216"/>
      <c r="BR258" s="214"/>
      <c r="BS258" s="215">
        <f t="shared" si="321"/>
        <v>0</v>
      </c>
      <c r="BT258" s="215">
        <f t="shared" si="322"/>
        <v>0</v>
      </c>
      <c r="BU258" s="215" t="str">
        <f t="shared" si="323"/>
        <v>RW Lichtenhof 69 Stein 2</v>
      </c>
      <c r="BV258" s="214">
        <f t="shared" si="324"/>
        <v>2</v>
      </c>
      <c r="BW258" s="215">
        <f t="shared" si="325"/>
        <v>0</v>
      </c>
      <c r="BX258" s="215">
        <f>IF(COUNTIF(BH258:BP258,"&gt;0")&lt;Spielorte!$A$23,0,BE258/Spielorte!$A$23)</f>
        <v>0</v>
      </c>
      <c r="BY258" s="215">
        <f t="shared" si="326"/>
        <v>0</v>
      </c>
      <c r="BZ258" s="214">
        <f t="shared" si="312"/>
        <v>0</v>
      </c>
    </row>
    <row r="259" spans="1:78" ht="27.75" customHeight="1" thickBot="1" x14ac:dyDescent="0.4">
      <c r="B259" s="81" t="str">
        <f>IF(AA259=0,"",AA259)</f>
        <v>Gesamt</v>
      </c>
      <c r="C259" s="82" t="str">
        <f t="shared" si="314"/>
        <v/>
      </c>
      <c r="D259" s="83">
        <f t="shared" si="315"/>
        <v>628</v>
      </c>
      <c r="E259" s="84">
        <f>IF(AD259="","",AD259)</f>
        <v>0</v>
      </c>
      <c r="F259" s="83">
        <f t="shared" si="294"/>
        <v>639</v>
      </c>
      <c r="G259" s="84">
        <f>IF(AF259="","",AF259)</f>
        <v>0</v>
      </c>
      <c r="H259" s="83">
        <f t="shared" si="295"/>
        <v>620</v>
      </c>
      <c r="I259" s="84">
        <f>IF(AH259="","",AH259)</f>
        <v>2</v>
      </c>
      <c r="J259" s="83">
        <f t="shared" si="296"/>
        <v>674</v>
      </c>
      <c r="K259" s="84">
        <f>IF(AJ259="","",AJ259)</f>
        <v>0</v>
      </c>
      <c r="L259" s="83">
        <f t="shared" si="297"/>
        <v>636</v>
      </c>
      <c r="M259" s="84">
        <f>IF(AL259="","",AL259)</f>
        <v>0</v>
      </c>
      <c r="N259" s="83">
        <f t="shared" si="316"/>
        <v>646</v>
      </c>
      <c r="O259" s="84">
        <f>IF(AN259="","",AN259)</f>
        <v>0</v>
      </c>
      <c r="P259" s="83">
        <f t="shared" si="298"/>
        <v>689</v>
      </c>
      <c r="Q259" s="84">
        <f>IF(AP259="","",AP259)</f>
        <v>0</v>
      </c>
      <c r="R259" s="83">
        <f t="shared" si="299"/>
        <v>597</v>
      </c>
      <c r="S259" s="84">
        <f>IF(AR259="","",AR259)</f>
        <v>0</v>
      </c>
      <c r="T259" s="83">
        <f t="shared" si="300"/>
        <v>676</v>
      </c>
      <c r="U259" s="84">
        <f>IF(AT259="","",AT259)</f>
        <v>0</v>
      </c>
      <c r="V259" s="83">
        <f t="shared" si="301"/>
        <v>5805</v>
      </c>
      <c r="W259" s="84">
        <f>IF(AV259="","",AV259)</f>
        <v>2</v>
      </c>
      <c r="AA259" s="81" t="s">
        <v>1799</v>
      </c>
      <c r="AB259" s="120"/>
      <c r="AC259" s="211">
        <f>ABS(SUM(AC247:AC249))+ABS(SUM(AC250:AC252))+ABS(SUM(AC253:AC255))+ABS(SUM(AC256:AC258))</f>
        <v>628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639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620</v>
      </c>
      <c r="AH259" s="121">
        <f>IF(AG259+AG269=0,0,IF(AG259=AG269,1,IF(AG259&gt;AG269,2,0)))</f>
        <v>2</v>
      </c>
      <c r="AI259" s="211">
        <f>ABS(SUM(AI247:AI249))+ABS(SUM(AI250:AI252))+ABS(SUM(AI253:AI255))+ABS(SUM(AI256:AI258))</f>
        <v>674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636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646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689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597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676</v>
      </c>
      <c r="AT259" s="121">
        <f>IF(AS259+AS269=0,0,IF(AS259=AS269,1,IF(AS259&gt;AS269,2,0)))</f>
        <v>0</v>
      </c>
      <c r="AU259" s="122">
        <f>SUM(AC259+AE259+AG259+AI259+AK259+AM259+AO259+AQ259+AS259)</f>
        <v>5805</v>
      </c>
      <c r="AV259" s="123">
        <f>SUM(AD259+AF259+AH259+AJ259+AL259+AN259+AP259+AR259+AT259)</f>
        <v>2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4">
      <c r="B260" s="85" t="str">
        <f>IF(AA260=0,"",AA260)</f>
        <v>Gesamt - Punkte</v>
      </c>
      <c r="C260" s="86" t="str">
        <f t="shared" si="314"/>
        <v/>
      </c>
      <c r="D260" s="86" t="str">
        <f t="shared" si="315"/>
        <v/>
      </c>
      <c r="E260" s="87">
        <f>IF(AD260="","",AD260)</f>
        <v>1</v>
      </c>
      <c r="F260" s="86" t="str">
        <f t="shared" si="294"/>
        <v/>
      </c>
      <c r="G260" s="87">
        <f>IF(AF260="","",AF260)</f>
        <v>1</v>
      </c>
      <c r="H260" s="86" t="str">
        <f t="shared" si="295"/>
        <v/>
      </c>
      <c r="I260" s="87">
        <f>IF(AH260="","",AH260)</f>
        <v>6</v>
      </c>
      <c r="J260" s="86" t="str">
        <f t="shared" si="296"/>
        <v/>
      </c>
      <c r="K260" s="87">
        <f>IF(AJ260="","",AJ260)</f>
        <v>2</v>
      </c>
      <c r="L260" s="86" t="str">
        <f t="shared" si="297"/>
        <v/>
      </c>
      <c r="M260" s="87">
        <f>IF(AL260="","",AL260)</f>
        <v>1</v>
      </c>
      <c r="N260" s="86" t="str">
        <f t="shared" si="316"/>
        <v/>
      </c>
      <c r="O260" s="87">
        <f>IF(AN260="","",AN260)</f>
        <v>2</v>
      </c>
      <c r="P260" s="86" t="str">
        <f t="shared" si="298"/>
        <v/>
      </c>
      <c r="Q260" s="87">
        <f>IF(AP260="","",AP260)</f>
        <v>1</v>
      </c>
      <c r="R260" s="86" t="str">
        <f t="shared" si="299"/>
        <v/>
      </c>
      <c r="S260" s="87">
        <f>IF(AR260="","",AR260)</f>
        <v>0</v>
      </c>
      <c r="T260" s="86" t="str">
        <f t="shared" si="300"/>
        <v/>
      </c>
      <c r="U260" s="87">
        <f>IF(AT260="","",AT260)</f>
        <v>2</v>
      </c>
      <c r="V260" s="86" t="str">
        <f t="shared" si="301"/>
        <v/>
      </c>
      <c r="W260" s="87">
        <f>IF(AV260="","",AV260)</f>
        <v>16</v>
      </c>
      <c r="AA260" s="85" t="s">
        <v>1814</v>
      </c>
      <c r="AB260" s="86"/>
      <c r="AC260" s="86"/>
      <c r="AD260" s="124">
        <f>SUM(AD247:AD259)</f>
        <v>1</v>
      </c>
      <c r="AE260" s="86"/>
      <c r="AF260" s="124">
        <f>SUM(AF247:AF259)</f>
        <v>1</v>
      </c>
      <c r="AG260" s="86"/>
      <c r="AH260" s="124">
        <f>SUM(AH247:AH259)</f>
        <v>6</v>
      </c>
      <c r="AI260" s="86"/>
      <c r="AJ260" s="124">
        <f>SUM(AJ247:AJ259)</f>
        <v>2</v>
      </c>
      <c r="AK260" s="86"/>
      <c r="AL260" s="124">
        <f>SUM(AL247:AL259)</f>
        <v>1</v>
      </c>
      <c r="AM260" s="86"/>
      <c r="AN260" s="124">
        <f>SUM(AN247:AN259)</f>
        <v>2</v>
      </c>
      <c r="AO260" s="86"/>
      <c r="AP260" s="124">
        <f>SUM(AP247:AP259)</f>
        <v>1</v>
      </c>
      <c r="AQ260" s="86"/>
      <c r="AR260" s="124">
        <f>SUM(AR247:AR259)</f>
        <v>0</v>
      </c>
      <c r="AS260" s="86"/>
      <c r="AT260" s="124">
        <f>SUM(AT247:AT259)</f>
        <v>2</v>
      </c>
      <c r="AU260" s="86"/>
      <c r="AV260" s="125">
        <f>SUM(AV247:AV259)</f>
        <v>16</v>
      </c>
      <c r="AW260" s="101"/>
      <c r="AX260" s="102"/>
      <c r="BA260" s="212">
        <f>+AV260</f>
        <v>16</v>
      </c>
      <c r="BB260" s="213">
        <f>+AU259</f>
        <v>5805</v>
      </c>
      <c r="BC260" s="214">
        <f>+AA242</f>
        <v>9</v>
      </c>
      <c r="BF260" s="215">
        <f>SUM(BF241:BF259)</f>
        <v>36</v>
      </c>
      <c r="BQ260" s="212">
        <f>+BB260/1000000+BA260</f>
        <v>16.005804999999999</v>
      </c>
      <c r="BR260" s="214">
        <f>RANK(BQ260,BQ:BQ)</f>
        <v>9</v>
      </c>
      <c r="BV260" s="214"/>
      <c r="BZ260" s="214"/>
    </row>
    <row r="261" spans="1:78" ht="11.25" customHeight="1" x14ac:dyDescent="0.3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35">
      <c r="B262" s="88" t="str">
        <f t="shared" ref="B262:B269" si="327">IF(AA262=0,"",AA262)</f>
        <v>Gegner-Nr.:</v>
      </c>
      <c r="C262" s="89" t="str">
        <f t="shared" ref="C262:C269" si="328">IF(AB262=0,"",AB262)</f>
        <v>&gt;&gt;&gt;&gt;</v>
      </c>
      <c r="D262" s="346">
        <f t="shared" ref="D262:M264" si="329">IF(AC262=0,"",AC262)</f>
        <v>5</v>
      </c>
      <c r="E262" s="346" t="str">
        <f t="shared" si="329"/>
        <v/>
      </c>
      <c r="F262" s="346">
        <f t="shared" si="329"/>
        <v>1</v>
      </c>
      <c r="G262" s="346" t="str">
        <f t="shared" si="329"/>
        <v/>
      </c>
      <c r="H262" s="346">
        <f t="shared" si="329"/>
        <v>4</v>
      </c>
      <c r="I262" s="346" t="str">
        <f t="shared" si="329"/>
        <v/>
      </c>
      <c r="J262" s="346">
        <f t="shared" si="329"/>
        <v>3</v>
      </c>
      <c r="K262" s="346" t="str">
        <f t="shared" si="329"/>
        <v/>
      </c>
      <c r="L262" s="346">
        <f t="shared" si="329"/>
        <v>8</v>
      </c>
      <c r="M262" s="346" t="str">
        <f t="shared" si="329"/>
        <v/>
      </c>
      <c r="N262" s="346">
        <f t="shared" ref="N262:U264" si="330">IF(AM262=0,"",AM262)</f>
        <v>10</v>
      </c>
      <c r="O262" s="346" t="str">
        <f t="shared" si="330"/>
        <v/>
      </c>
      <c r="P262" s="346">
        <f t="shared" si="330"/>
        <v>7</v>
      </c>
      <c r="Q262" s="346" t="str">
        <f t="shared" si="330"/>
        <v/>
      </c>
      <c r="R262" s="346">
        <f t="shared" si="330"/>
        <v>6</v>
      </c>
      <c r="S262" s="346" t="str">
        <f t="shared" si="330"/>
        <v/>
      </c>
      <c r="T262" s="346">
        <f t="shared" si="330"/>
        <v>2</v>
      </c>
      <c r="U262" s="346" t="str">
        <f t="shared" si="330"/>
        <v/>
      </c>
      <c r="V262" s="347"/>
      <c r="W262" s="347"/>
      <c r="AA262" s="88" t="s">
        <v>1797</v>
      </c>
      <c r="AB262" s="89" t="s">
        <v>1798</v>
      </c>
      <c r="AC262" s="370">
        <f>VLOOKUP($AA242,Schlüssel!$A$5:$K$14,3)</f>
        <v>5</v>
      </c>
      <c r="AD262" s="371"/>
      <c r="AE262" s="370">
        <f>VLOOKUP($AA242,Schlüssel!$A$5:$K$14,4)</f>
        <v>1</v>
      </c>
      <c r="AF262" s="371"/>
      <c r="AG262" s="370">
        <f>VLOOKUP($AA242,Schlüssel!$A$5:$K$14,5)</f>
        <v>4</v>
      </c>
      <c r="AH262" s="371"/>
      <c r="AI262" s="370">
        <f>VLOOKUP($AA242,Schlüssel!$A$5:$K$14,6)</f>
        <v>3</v>
      </c>
      <c r="AJ262" s="371"/>
      <c r="AK262" s="370">
        <f>VLOOKUP($AA242,Schlüssel!$A$5:$K$14,7)</f>
        <v>8</v>
      </c>
      <c r="AL262" s="371"/>
      <c r="AM262" s="370">
        <f>VLOOKUP($AA242,Schlüssel!$A$5:$K$14,8)</f>
        <v>10</v>
      </c>
      <c r="AN262" s="371"/>
      <c r="AO262" s="370">
        <f>VLOOKUP($AA242,Schlüssel!$A$5:$K$14,9)</f>
        <v>7</v>
      </c>
      <c r="AP262" s="371"/>
      <c r="AQ262" s="370">
        <f>VLOOKUP($AA242,Schlüssel!$A$5:$K$14,10)</f>
        <v>6</v>
      </c>
      <c r="AR262" s="371"/>
      <c r="AS262" s="370">
        <f>VLOOKUP($AA242,Schlüssel!$A$5:$K$14,11)</f>
        <v>2</v>
      </c>
      <c r="AT262" s="371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35">
      <c r="B263" s="90" t="str">
        <f t="shared" si="327"/>
        <v/>
      </c>
      <c r="C263" s="86" t="str">
        <f t="shared" si="328"/>
        <v/>
      </c>
      <c r="D263" s="343" t="str">
        <f t="shared" si="329"/>
        <v xml:space="preserve">Weiß Blau Unterföhring </v>
      </c>
      <c r="E263" s="344" t="str">
        <f t="shared" si="329"/>
        <v/>
      </c>
      <c r="F263" s="343" t="str">
        <f t="shared" si="329"/>
        <v>Praetoria Regensburg</v>
      </c>
      <c r="G263" s="344" t="str">
        <f t="shared" si="329"/>
        <v/>
      </c>
      <c r="H263" s="343" t="str">
        <f t="shared" si="329"/>
        <v>BK München 3</v>
      </c>
      <c r="I263" s="344" t="str">
        <f t="shared" si="329"/>
        <v/>
      </c>
      <c r="J263" s="343" t="str">
        <f t="shared" si="329"/>
        <v>Highroller Rosenheim</v>
      </c>
      <c r="K263" s="344" t="str">
        <f t="shared" si="329"/>
        <v/>
      </c>
      <c r="L263" s="343" t="str">
        <f t="shared" si="329"/>
        <v>EPA München 1</v>
      </c>
      <c r="M263" s="344" t="str">
        <f t="shared" si="329"/>
        <v/>
      </c>
      <c r="N263" s="343" t="str">
        <f t="shared" si="330"/>
        <v>BK München 4</v>
      </c>
      <c r="O263" s="344" t="str">
        <f t="shared" si="330"/>
        <v/>
      </c>
      <c r="P263" s="343" t="str">
        <f t="shared" si="330"/>
        <v>Frankenpower Nürnberg</v>
      </c>
      <c r="Q263" s="344" t="str">
        <f t="shared" si="330"/>
        <v/>
      </c>
      <c r="R263" s="343" t="str">
        <f t="shared" si="330"/>
        <v>Phönix 03 Lauf</v>
      </c>
      <c r="S263" s="344" t="str">
        <f t="shared" si="330"/>
        <v/>
      </c>
      <c r="T263" s="343" t="str">
        <f t="shared" si="330"/>
        <v>BK München 2</v>
      </c>
      <c r="U263" s="344" t="str">
        <f t="shared" si="330"/>
        <v/>
      </c>
      <c r="V263" s="345"/>
      <c r="W263" s="345"/>
      <c r="AA263" s="90"/>
      <c r="AB263" s="86"/>
      <c r="AC263" s="343" t="str">
        <f>VLOOKUP(AC262,Schlüssel!$A$5:$K$14,2)</f>
        <v xml:space="preserve">Weiß Blau Unterföhring </v>
      </c>
      <c r="AD263" s="344"/>
      <c r="AE263" s="343" t="str">
        <f>VLOOKUP(AE262,Schlüssel!$A$5:$K$14,2)</f>
        <v>Praetoria Regensburg</v>
      </c>
      <c r="AF263" s="344"/>
      <c r="AG263" s="343" t="str">
        <f>VLOOKUP(AG262,Schlüssel!$A$5:$K$14,2)</f>
        <v>BK München 3</v>
      </c>
      <c r="AH263" s="344"/>
      <c r="AI263" s="343" t="str">
        <f>VLOOKUP(AI262,Schlüssel!$A$5:$K$14,2)</f>
        <v>Highroller Rosenheim</v>
      </c>
      <c r="AJ263" s="344"/>
      <c r="AK263" s="343" t="str">
        <f>VLOOKUP(AK262,Schlüssel!$A$5:$K$14,2)</f>
        <v>EPA München 1</v>
      </c>
      <c r="AL263" s="344"/>
      <c r="AM263" s="343" t="str">
        <f>VLOOKUP(AM262,Schlüssel!$A$5:$K$14,2)</f>
        <v>BK München 4</v>
      </c>
      <c r="AN263" s="344"/>
      <c r="AO263" s="343" t="str">
        <f>VLOOKUP(AO262,Schlüssel!$A$5:$K$14,2)</f>
        <v>Frankenpower Nürnberg</v>
      </c>
      <c r="AP263" s="344"/>
      <c r="AQ263" s="343" t="str">
        <f>VLOOKUP(AQ262,Schlüssel!$A$5:$K$14,2)</f>
        <v>Phönix 03 Lauf</v>
      </c>
      <c r="AR263" s="344"/>
      <c r="AS263" s="343" t="str">
        <f>VLOOKUP(AS262,Schlüssel!$A$5:$K$14,2)</f>
        <v>BK München 2</v>
      </c>
      <c r="AT263" s="344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35">
      <c r="B264" s="90" t="str">
        <f t="shared" si="327"/>
        <v/>
      </c>
      <c r="C264" s="86" t="str">
        <f t="shared" si="328"/>
        <v/>
      </c>
      <c r="D264" s="341" t="str">
        <f t="shared" si="329"/>
        <v/>
      </c>
      <c r="E264" s="341" t="str">
        <f t="shared" si="329"/>
        <v/>
      </c>
      <c r="F264" s="341" t="str">
        <f t="shared" si="329"/>
        <v/>
      </c>
      <c r="G264" s="341" t="str">
        <f t="shared" si="329"/>
        <v/>
      </c>
      <c r="H264" s="341" t="str">
        <f t="shared" si="329"/>
        <v/>
      </c>
      <c r="I264" s="341" t="str">
        <f t="shared" si="329"/>
        <v/>
      </c>
      <c r="J264" s="341" t="str">
        <f t="shared" si="329"/>
        <v/>
      </c>
      <c r="K264" s="341" t="str">
        <f t="shared" si="329"/>
        <v/>
      </c>
      <c r="L264" s="341" t="str">
        <f t="shared" si="329"/>
        <v/>
      </c>
      <c r="M264" s="341" t="str">
        <f t="shared" si="329"/>
        <v/>
      </c>
      <c r="N264" s="341" t="str">
        <f t="shared" si="330"/>
        <v/>
      </c>
      <c r="O264" s="341" t="str">
        <f t="shared" si="330"/>
        <v/>
      </c>
      <c r="P264" s="341" t="str">
        <f t="shared" si="330"/>
        <v/>
      </c>
      <c r="Q264" s="341" t="str">
        <f t="shared" si="330"/>
        <v/>
      </c>
      <c r="R264" s="341" t="str">
        <f t="shared" si="330"/>
        <v/>
      </c>
      <c r="S264" s="341" t="str">
        <f t="shared" si="330"/>
        <v/>
      </c>
      <c r="T264" s="341" t="str">
        <f t="shared" si="330"/>
        <v/>
      </c>
      <c r="U264" s="342" t="str">
        <f t="shared" si="330"/>
        <v/>
      </c>
      <c r="V264" s="301"/>
      <c r="W264" s="301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6.05" customHeight="1" x14ac:dyDescent="0.35">
      <c r="B265" s="365" t="str">
        <f t="shared" si="327"/>
        <v>Spieler 1</v>
      </c>
      <c r="C265" s="366" t="str">
        <f t="shared" si="328"/>
        <v/>
      </c>
      <c r="D265" s="339">
        <f>IF(AC265=301,"",AC265)</f>
        <v>184</v>
      </c>
      <c r="E265" s="339" t="str">
        <f>IF(AD265=0,"",AD265)</f>
        <v/>
      </c>
      <c r="F265" s="339">
        <f>IF(AE265=301,"",AE265)</f>
        <v>180</v>
      </c>
      <c r="G265" s="339" t="str">
        <f>IF(AF265=0,"",AF265)</f>
        <v/>
      </c>
      <c r="H265" s="339">
        <f>IF(AG265=301,"",AG265)</f>
        <v>0</v>
      </c>
      <c r="I265" s="339" t="str">
        <f>IF(AH265=0,"",AH265)</f>
        <v/>
      </c>
      <c r="J265" s="339">
        <f>IF(AI265=301,"",AI265)</f>
        <v>178</v>
      </c>
      <c r="K265" s="339" t="str">
        <f>IF(AJ265=0,"",AJ265)</f>
        <v/>
      </c>
      <c r="L265" s="339">
        <f>IF(AK265=301,"",AK265)</f>
        <v>206</v>
      </c>
      <c r="M265" s="339" t="str">
        <f>IF(AL265=0,"",AL265)</f>
        <v/>
      </c>
      <c r="N265" s="339">
        <f>IF(AM265=301,"",AM265)</f>
        <v>149</v>
      </c>
      <c r="O265" s="339" t="str">
        <f>IF(AN265=0,"",AN265)</f>
        <v/>
      </c>
      <c r="P265" s="339">
        <f>IF(AO265=301,"",AO265)</f>
        <v>181</v>
      </c>
      <c r="Q265" s="339" t="str">
        <f>IF(AP265=0,"",AP265)</f>
        <v/>
      </c>
      <c r="R265" s="339">
        <f>IF(AQ265=301,"",AQ265)</f>
        <v>161</v>
      </c>
      <c r="S265" s="339" t="str">
        <f>IF(AR265=0,"",AR265)</f>
        <v/>
      </c>
      <c r="T265" s="339">
        <f>IF(AS265=301,"",AS265)</f>
        <v>223</v>
      </c>
      <c r="U265" s="339" t="str">
        <f>IF(AT265=0,"",AT265)</f>
        <v/>
      </c>
      <c r="V265" s="340"/>
      <c r="W265" s="340"/>
      <c r="AA265" s="91" t="s">
        <v>0</v>
      </c>
      <c r="AB265" s="92"/>
      <c r="AC265" s="372">
        <f>ABS(INDEX(AC:AC,MATCH(AC262,$AA:$AA,0)+5)+INDEX(AC:AC,MATCH(AC262,$AA:$AA,0)+6)+INDEX(AC:AC,MATCH(AC262,$AA:$AA,0)+7))</f>
        <v>184</v>
      </c>
      <c r="AD265" s="373"/>
      <c r="AE265" s="372">
        <f>ABS(INDEX(AE:AE,MATCH(AE262,$AA:$AA,0)+5)+INDEX(AE:AE,MATCH(AE262,$AA:$AA,0)+6)+INDEX(AE:AE,MATCH(AE262,$AA:$AA,0)+7))</f>
        <v>180</v>
      </c>
      <c r="AF265" s="373"/>
      <c r="AG265" s="372">
        <f>ABS(INDEX(AG:AG,MATCH(AG262,$AA:$AA,0)+5)+INDEX(AG:AG,MATCH(AG262,$AA:$AA,0)+6)+INDEX(AG:AG,MATCH(AG262,$AA:$AA,0)+7))</f>
        <v>0</v>
      </c>
      <c r="AH265" s="373"/>
      <c r="AI265" s="372">
        <f>ABS(INDEX(AI:AI,MATCH(AI262,$AA:$AA,0)+5)+INDEX(AI:AI,MATCH(AI262,$AA:$AA,0)+6)+INDEX(AI:AI,MATCH(AI262,$AA:$AA,0)+7))</f>
        <v>178</v>
      </c>
      <c r="AJ265" s="373"/>
      <c r="AK265" s="372">
        <f>ABS(INDEX(AK:AK,MATCH(AK262,$AA:$AA,0)+5)+INDEX(AK:AK,MATCH(AK262,$AA:$AA,0)+6)+INDEX(AK:AK,MATCH(AK262,$AA:$AA,0)+7))</f>
        <v>206</v>
      </c>
      <c r="AL265" s="373"/>
      <c r="AM265" s="372">
        <f>ABS(INDEX(AM:AM,MATCH(AM262,$AA:$AA,0)+5)+INDEX(AM:AM,MATCH(AM262,$AA:$AA,0)+6)+INDEX(AM:AM,MATCH(AM262,$AA:$AA,0)+7))</f>
        <v>149</v>
      </c>
      <c r="AN265" s="373"/>
      <c r="AO265" s="372">
        <f>ABS(INDEX(AO:AO,MATCH(AO262,$AA:$AA,0)+5)+INDEX(AO:AO,MATCH(AO262,$AA:$AA,0)+6)+INDEX(AO:AO,MATCH(AO262,$AA:$AA,0)+7))</f>
        <v>181</v>
      </c>
      <c r="AP265" s="373"/>
      <c r="AQ265" s="372">
        <f>ABS(INDEX(AQ:AQ,MATCH(AQ262,$AA:$AA,0)+5)+INDEX(AQ:AQ,MATCH(AQ262,$AA:$AA,0)+6)+INDEX(AQ:AQ,MATCH(AQ262,$AA:$AA,0)+7))</f>
        <v>161</v>
      </c>
      <c r="AR265" s="373"/>
      <c r="AS265" s="372">
        <f>ABS(INDEX(AS:AS,MATCH(AS262,$AA:$AA,0)+5)+INDEX(AS:AS,MATCH(AS262,$AA:$AA,0)+6)+INDEX(AS:AS,MATCH(AS262,$AA:$AA,0)+7))</f>
        <v>223</v>
      </c>
      <c r="AT265" s="373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6.05" customHeight="1" x14ac:dyDescent="0.35">
      <c r="B266" s="365" t="str">
        <f t="shared" si="327"/>
        <v>Spieler 2</v>
      </c>
      <c r="C266" s="366" t="str">
        <f t="shared" si="328"/>
        <v/>
      </c>
      <c r="D266" s="339">
        <f>IF(AC266=301,"",AC266)</f>
        <v>156</v>
      </c>
      <c r="E266" s="339" t="str">
        <f>IF(AD266=0,"",AD266)</f>
        <v/>
      </c>
      <c r="F266" s="339">
        <f>IF(AE266=301,"",AE266)</f>
        <v>155</v>
      </c>
      <c r="G266" s="339" t="str">
        <f>IF(AF266=0,"",AF266)</f>
        <v/>
      </c>
      <c r="H266" s="339">
        <f>IF(AG266=301,"",AG266)</f>
        <v>0</v>
      </c>
      <c r="I266" s="339" t="str">
        <f>IF(AH266=0,"",AH266)</f>
        <v/>
      </c>
      <c r="J266" s="339">
        <f>IF(AI266=301,"",AI266)</f>
        <v>147</v>
      </c>
      <c r="K266" s="339" t="str">
        <f>IF(AJ266=0,"",AJ266)</f>
        <v/>
      </c>
      <c r="L266" s="339">
        <f>IF(AK266=301,"",AK266)</f>
        <v>200</v>
      </c>
      <c r="M266" s="339" t="str">
        <f>IF(AL266=0,"",AL266)</f>
        <v/>
      </c>
      <c r="N266" s="339">
        <f>IF(AM266=301,"",AM266)</f>
        <v>129</v>
      </c>
      <c r="O266" s="339" t="str">
        <f>IF(AN266=0,"",AN266)</f>
        <v/>
      </c>
      <c r="P266" s="339">
        <f>IF(AO266=301,"",AO266)</f>
        <v>201</v>
      </c>
      <c r="Q266" s="339" t="str">
        <f>IF(AP266=0,"",AP266)</f>
        <v/>
      </c>
      <c r="R266" s="339">
        <f>IF(AQ266=301,"",AQ266)</f>
        <v>205</v>
      </c>
      <c r="S266" s="339" t="str">
        <f>IF(AR266=0,"",AR266)</f>
        <v/>
      </c>
      <c r="T266" s="339">
        <f>IF(AS266=301,"",AS266)</f>
        <v>154</v>
      </c>
      <c r="U266" s="339" t="str">
        <f>IF(AT266=0,"",AT266)</f>
        <v/>
      </c>
      <c r="V266" s="340"/>
      <c r="W266" s="340"/>
      <c r="AA266" s="91" t="s">
        <v>2</v>
      </c>
      <c r="AB266" s="92"/>
      <c r="AC266" s="374">
        <f>ABS(INDEX(AC:AC,MATCH(AC262,$AA:$AA,0)+8)+INDEX(AC:AC,MATCH(AC262,$AA:$AA,0)+9)+INDEX(AC:AC,MATCH(AC262,$AA:$AA,0)+10))</f>
        <v>156</v>
      </c>
      <c r="AD266" s="375"/>
      <c r="AE266" s="374">
        <f>ABS(INDEX(AE:AE,MATCH(AE262,$AA:$AA,0)+8)+INDEX(AE:AE,MATCH(AE262,$AA:$AA,0)+9)+INDEX(AE:AE,MATCH(AE262,$AA:$AA,0)+10))</f>
        <v>155</v>
      </c>
      <c r="AF266" s="375"/>
      <c r="AG266" s="374">
        <f>ABS(INDEX(AG:AG,MATCH(AG262,$AA:$AA,0)+8)+INDEX(AG:AG,MATCH(AG262,$AA:$AA,0)+9)+INDEX(AG:AG,MATCH(AG262,$AA:$AA,0)+10))</f>
        <v>0</v>
      </c>
      <c r="AH266" s="375"/>
      <c r="AI266" s="374">
        <f>ABS(INDEX(AI:AI,MATCH(AI262,$AA:$AA,0)+8)+INDEX(AI:AI,MATCH(AI262,$AA:$AA,0)+9)+INDEX(AI:AI,MATCH(AI262,$AA:$AA,0)+10))</f>
        <v>147</v>
      </c>
      <c r="AJ266" s="375"/>
      <c r="AK266" s="374">
        <f>ABS(INDEX(AK:AK,MATCH(AK262,$AA:$AA,0)+8)+INDEX(AK:AK,MATCH(AK262,$AA:$AA,0)+9)+INDEX(AK:AK,MATCH(AK262,$AA:$AA,0)+10))</f>
        <v>200</v>
      </c>
      <c r="AL266" s="375"/>
      <c r="AM266" s="374">
        <f>ABS(INDEX(AM:AM,MATCH(AM262,$AA:$AA,0)+8)+INDEX(AM:AM,MATCH(AM262,$AA:$AA,0)+9)+INDEX(AM:AM,MATCH(AM262,$AA:$AA,0)+10))</f>
        <v>129</v>
      </c>
      <c r="AN266" s="375"/>
      <c r="AO266" s="374">
        <f>ABS(INDEX(AO:AO,MATCH(AO262,$AA:$AA,0)+8)+INDEX(AO:AO,MATCH(AO262,$AA:$AA,0)+9)+INDEX(AO:AO,MATCH(AO262,$AA:$AA,0)+10))</f>
        <v>201</v>
      </c>
      <c r="AP266" s="375"/>
      <c r="AQ266" s="374">
        <f>ABS(INDEX(AQ:AQ,MATCH(AQ262,$AA:$AA,0)+8)+INDEX(AQ:AQ,MATCH(AQ262,$AA:$AA,0)+9)+INDEX(AQ:AQ,MATCH(AQ262,$AA:$AA,0)+10))</f>
        <v>205</v>
      </c>
      <c r="AR266" s="375"/>
      <c r="AS266" s="374">
        <f>ABS(INDEX(AS:AS,MATCH(AS262,$AA:$AA,0)+8)+INDEX(AS:AS,MATCH(AS262,$AA:$AA,0)+9)+INDEX(AS:AS,MATCH(AS262,$AA:$AA,0)+10))</f>
        <v>154</v>
      </c>
      <c r="AT266" s="37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6.05" customHeight="1" x14ac:dyDescent="0.35">
      <c r="B267" s="365" t="str">
        <f t="shared" si="327"/>
        <v>Spieler 3</v>
      </c>
      <c r="C267" s="366" t="str">
        <f t="shared" si="328"/>
        <v/>
      </c>
      <c r="D267" s="339">
        <f>IF(AC267=301,"",AC267)</f>
        <v>149</v>
      </c>
      <c r="E267" s="339" t="str">
        <f>IF(AD267=0,"",AD267)</f>
        <v/>
      </c>
      <c r="F267" s="339">
        <f>IF(AE267=301,"",AE267)</f>
        <v>167</v>
      </c>
      <c r="G267" s="339" t="str">
        <f>IF(AF267=0,"",AF267)</f>
        <v/>
      </c>
      <c r="H267" s="339">
        <f>IF(AG267=301,"",AG267)</f>
        <v>0</v>
      </c>
      <c r="I267" s="339" t="str">
        <f>IF(AH267=0,"",AH267)</f>
        <v/>
      </c>
      <c r="J267" s="339">
        <f>IF(AI267=301,"",AI267)</f>
        <v>203</v>
      </c>
      <c r="K267" s="339" t="str">
        <f>IF(AJ267=0,"",AJ267)</f>
        <v/>
      </c>
      <c r="L267" s="339">
        <f>IF(AK267=301,"",AK267)</f>
        <v>149</v>
      </c>
      <c r="M267" s="339" t="str">
        <f>IF(AL267=0,"",AL267)</f>
        <v/>
      </c>
      <c r="N267" s="339">
        <f>IF(AM267=301,"",AM267)</f>
        <v>173</v>
      </c>
      <c r="O267" s="339" t="str">
        <f>IF(AN267=0,"",AN267)</f>
        <v/>
      </c>
      <c r="P267" s="339">
        <f>IF(AO267=301,"",AO267)</f>
        <v>180</v>
      </c>
      <c r="Q267" s="339" t="str">
        <f>IF(AP267=0,"",AP267)</f>
        <v/>
      </c>
      <c r="R267" s="339">
        <f>IF(AQ267=301,"",AQ267)</f>
        <v>172</v>
      </c>
      <c r="S267" s="339" t="str">
        <f>IF(AR267=0,"",AR267)</f>
        <v/>
      </c>
      <c r="T267" s="339">
        <f>IF(AS267=301,"",AS267)</f>
        <v>176</v>
      </c>
      <c r="U267" s="339" t="str">
        <f>IF(AT267=0,"",AT267)</f>
        <v/>
      </c>
      <c r="V267" s="340"/>
      <c r="W267" s="340"/>
      <c r="AA267" s="91" t="s">
        <v>3</v>
      </c>
      <c r="AB267" s="92"/>
      <c r="AC267" s="374">
        <f>ABS(INDEX(AC:AC,MATCH(AC262,$AA:$AA,0)+11)+INDEX(AC:AC,MATCH(AC262,$AA:$AA,0)+12)+INDEX(AC:AC,MATCH(AC262,$AA:$AA,0)+13))</f>
        <v>149</v>
      </c>
      <c r="AD267" s="375"/>
      <c r="AE267" s="374">
        <f>ABS(INDEX(AE:AE,MATCH(AE262,$AA:$AA,0)+11)+INDEX(AE:AE,MATCH(AE262,$AA:$AA,0)+12)+INDEX(AE:AE,MATCH(AE262,$AA:$AA,0)+13))</f>
        <v>167</v>
      </c>
      <c r="AF267" s="375"/>
      <c r="AG267" s="374">
        <f>ABS(INDEX(AG:AG,MATCH(AG262,$AA:$AA,0)+11)+INDEX(AG:AG,MATCH(AG262,$AA:$AA,0)+12)+INDEX(AG:AG,MATCH(AG262,$AA:$AA,0)+13))</f>
        <v>0</v>
      </c>
      <c r="AH267" s="375"/>
      <c r="AI267" s="374">
        <f>ABS(INDEX(AI:AI,MATCH(AI262,$AA:$AA,0)+11)+INDEX(AI:AI,MATCH(AI262,$AA:$AA,0)+12)+INDEX(AI:AI,MATCH(AI262,$AA:$AA,0)+13))</f>
        <v>203</v>
      </c>
      <c r="AJ267" s="375"/>
      <c r="AK267" s="374">
        <f>ABS(INDEX(AK:AK,MATCH(AK262,$AA:$AA,0)+11)+INDEX(AK:AK,MATCH(AK262,$AA:$AA,0)+12)+INDEX(AK:AK,MATCH(AK262,$AA:$AA,0)+13))</f>
        <v>149</v>
      </c>
      <c r="AL267" s="375"/>
      <c r="AM267" s="374">
        <f>ABS(INDEX(AM:AM,MATCH(AM262,$AA:$AA,0)+11)+INDEX(AM:AM,MATCH(AM262,$AA:$AA,0)+12)+INDEX(AM:AM,MATCH(AM262,$AA:$AA,0)+13))</f>
        <v>173</v>
      </c>
      <c r="AN267" s="375"/>
      <c r="AO267" s="374">
        <f>ABS(INDEX(AO:AO,MATCH(AO262,$AA:$AA,0)+11)+INDEX(AO:AO,MATCH(AO262,$AA:$AA,0)+12)+INDEX(AO:AO,MATCH(AO262,$AA:$AA,0)+13))</f>
        <v>180</v>
      </c>
      <c r="AP267" s="375"/>
      <c r="AQ267" s="374">
        <f>ABS(INDEX(AQ:AQ,MATCH(AQ262,$AA:$AA,0)+11)+INDEX(AQ:AQ,MATCH(AQ262,$AA:$AA,0)+12)+INDEX(AQ:AQ,MATCH(AQ262,$AA:$AA,0)+13))</f>
        <v>172</v>
      </c>
      <c r="AR267" s="375"/>
      <c r="AS267" s="374">
        <f>ABS(INDEX(AS:AS,MATCH(AS262,$AA:$AA,0)+11)+INDEX(AS:AS,MATCH(AS262,$AA:$AA,0)+12)+INDEX(AS:AS,MATCH(AS262,$AA:$AA,0)+13))</f>
        <v>176</v>
      </c>
      <c r="AT267" s="37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6.05" customHeight="1" x14ac:dyDescent="0.35">
      <c r="B268" s="365" t="str">
        <f t="shared" si="327"/>
        <v>Spieler 4</v>
      </c>
      <c r="C268" s="366" t="str">
        <f t="shared" si="328"/>
        <v/>
      </c>
      <c r="D268" s="339">
        <f>IF(AC268=301,"",AC268)</f>
        <v>189</v>
      </c>
      <c r="E268" s="339" t="str">
        <f>IF(AD268=0,"",AD268)</f>
        <v/>
      </c>
      <c r="F268" s="339">
        <f>IF(AE268=301,"",AE268)</f>
        <v>172</v>
      </c>
      <c r="G268" s="339" t="str">
        <f>IF(AF268=0,"",AF268)</f>
        <v/>
      </c>
      <c r="H268" s="339">
        <f>IF(AG268=301,"",AG268)</f>
        <v>0</v>
      </c>
      <c r="I268" s="339" t="str">
        <f>IF(AH268=0,"",AH268)</f>
        <v/>
      </c>
      <c r="J268" s="339">
        <f>IF(AI268=301,"",AI268)</f>
        <v>201</v>
      </c>
      <c r="K268" s="339" t="str">
        <f>IF(AJ268=0,"",AJ268)</f>
        <v/>
      </c>
      <c r="L268" s="339">
        <f>IF(AK268=301,"",AK268)</f>
        <v>168</v>
      </c>
      <c r="M268" s="339" t="str">
        <f>IF(AL268=0,"",AL268)</f>
        <v/>
      </c>
      <c r="N268" s="339">
        <f>IF(AM268=301,"",AM268)</f>
        <v>204</v>
      </c>
      <c r="O268" s="339" t="str">
        <f>IF(AN268=0,"",AN268)</f>
        <v/>
      </c>
      <c r="P268" s="339">
        <f>IF(AO268=301,"",AO268)</f>
        <v>180</v>
      </c>
      <c r="Q268" s="339" t="str">
        <f>IF(AP268=0,"",AP268)</f>
        <v/>
      </c>
      <c r="R268" s="339">
        <f>IF(AQ268=301,"",AQ268)</f>
        <v>200</v>
      </c>
      <c r="S268" s="339" t="str">
        <f>IF(AR268=0,"",AR268)</f>
        <v/>
      </c>
      <c r="T268" s="339">
        <f>IF(AS268=301,"",AS268)</f>
        <v>182</v>
      </c>
      <c r="U268" s="339" t="str">
        <f>IF(AT268=0,"",AT268)</f>
        <v/>
      </c>
      <c r="V268" s="340"/>
      <c r="W268" s="340"/>
      <c r="AA268" s="91" t="s">
        <v>11</v>
      </c>
      <c r="AB268" s="92"/>
      <c r="AC268" s="374">
        <f>ABS(INDEX(AC:AC,MATCH(AC262,$AA:$AA,0)+14)+INDEX(AC:AC,MATCH(AC262,$AA:$AA,0)+15)+INDEX(AC:AC,MATCH(AC262,$AA:$AA,0)+16))</f>
        <v>189</v>
      </c>
      <c r="AD268" s="375"/>
      <c r="AE268" s="374">
        <f>ABS(INDEX(AE:AE,MATCH(AE262,$AA:$AA,0)+14)+INDEX(AE:AE,MATCH(AE262,$AA:$AA,0)+15)+INDEX(AE:AE,MATCH(AE262,$AA:$AA,0)+16))</f>
        <v>172</v>
      </c>
      <c r="AF268" s="375"/>
      <c r="AG268" s="374">
        <f>ABS(INDEX(AG:AG,MATCH(AG262,$AA:$AA,0)+14)+INDEX(AG:AG,MATCH(AG262,$AA:$AA,0)+15)+INDEX(AG:AG,MATCH(AG262,$AA:$AA,0)+16))</f>
        <v>0</v>
      </c>
      <c r="AH268" s="375"/>
      <c r="AI268" s="374">
        <f>ABS(INDEX(AI:AI,MATCH(AI262,$AA:$AA,0)+14)+INDEX(AI:AI,MATCH(AI262,$AA:$AA,0)+15)+INDEX(AI:AI,MATCH(AI262,$AA:$AA,0)+16))</f>
        <v>201</v>
      </c>
      <c r="AJ268" s="375"/>
      <c r="AK268" s="374">
        <f>ABS(INDEX(AK:AK,MATCH(AK262,$AA:$AA,0)+14)+INDEX(AK:AK,MATCH(AK262,$AA:$AA,0)+15)+INDEX(AK:AK,MATCH(AK262,$AA:$AA,0)+16))</f>
        <v>168</v>
      </c>
      <c r="AL268" s="375"/>
      <c r="AM268" s="374">
        <f>ABS(INDEX(AM:AM,MATCH(AM262,$AA:$AA,0)+14)+INDEX(AM:AM,MATCH(AM262,$AA:$AA,0)+15)+INDEX(AM:AM,MATCH(AM262,$AA:$AA,0)+16))</f>
        <v>204</v>
      </c>
      <c r="AN268" s="375"/>
      <c r="AO268" s="374">
        <f>ABS(INDEX(AO:AO,MATCH(AO262,$AA:$AA,0)+14)+INDEX(AO:AO,MATCH(AO262,$AA:$AA,0)+15)+INDEX(AO:AO,MATCH(AO262,$AA:$AA,0)+16))</f>
        <v>180</v>
      </c>
      <c r="AP268" s="375"/>
      <c r="AQ268" s="374">
        <f>ABS(INDEX(AQ:AQ,MATCH(AQ262,$AA:$AA,0)+14)+INDEX(AQ:AQ,MATCH(AQ262,$AA:$AA,0)+15)+INDEX(AQ:AQ,MATCH(AQ262,$AA:$AA,0)+16))</f>
        <v>200</v>
      </c>
      <c r="AR268" s="375"/>
      <c r="AS268" s="374">
        <f>ABS(INDEX(AS:AS,MATCH(AS262,$AA:$AA,0)+14)+INDEX(AS:AS,MATCH(AS262,$AA:$AA,0)+15)+INDEX(AS:AS,MATCH(AS262,$AA:$AA,0)+16))</f>
        <v>182</v>
      </c>
      <c r="AT268" s="37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6.05" customHeight="1" x14ac:dyDescent="0.35">
      <c r="B269" s="354" t="str">
        <f t="shared" si="327"/>
        <v>Gesamt</v>
      </c>
      <c r="C269" s="355" t="str">
        <f t="shared" si="328"/>
        <v/>
      </c>
      <c r="D269" s="338">
        <f>IF(AC269=1505,"",AC269)</f>
        <v>678</v>
      </c>
      <c r="E269" s="338" t="str">
        <f>IF(AD269=0,"",AD269)</f>
        <v/>
      </c>
      <c r="F269" s="338">
        <f>IF(AE269=1505,"",AE269)</f>
        <v>674</v>
      </c>
      <c r="G269" s="338" t="str">
        <f>IF(AF269=0,"",AF269)</f>
        <v/>
      </c>
      <c r="H269" s="338">
        <f>IF(AG269=1505,"",AG269)</f>
        <v>0</v>
      </c>
      <c r="I269" s="338" t="str">
        <f>IF(AH269=0,"",AH269)</f>
        <v/>
      </c>
      <c r="J269" s="338">
        <f>IF(AI269=1505,"",AI269)</f>
        <v>729</v>
      </c>
      <c r="K269" s="338" t="str">
        <f>IF(AJ269=0,"",AJ269)</f>
        <v/>
      </c>
      <c r="L269" s="338">
        <f>IF(AK269=1505,"",AK269)</f>
        <v>723</v>
      </c>
      <c r="M269" s="338" t="str">
        <f>IF(AL269=0,"",AL269)</f>
        <v/>
      </c>
      <c r="N269" s="338">
        <f>IF(AM269=1505,"",AM269)</f>
        <v>655</v>
      </c>
      <c r="O269" s="338" t="str">
        <f>IF(AN269=0,"",AN269)</f>
        <v/>
      </c>
      <c r="P269" s="338">
        <f>IF(AO269=1505,"",AO269)</f>
        <v>742</v>
      </c>
      <c r="Q269" s="338" t="str">
        <f>IF(AP269=0,"",AP269)</f>
        <v/>
      </c>
      <c r="R269" s="338">
        <f>IF(AQ269=1505,"",AQ269)</f>
        <v>738</v>
      </c>
      <c r="S269" s="338" t="str">
        <f>IF(AR269=0,"",AR269)</f>
        <v/>
      </c>
      <c r="T269" s="338">
        <f>IF(AS269=1505,"",AS269)</f>
        <v>735</v>
      </c>
      <c r="U269" s="338" t="str">
        <f>IF(AT269=0,"",AT269)</f>
        <v/>
      </c>
      <c r="V269" s="290"/>
      <c r="W269" s="290"/>
      <c r="AA269" s="93" t="s">
        <v>1799</v>
      </c>
      <c r="AB269" s="94"/>
      <c r="AC269" s="354">
        <f>SUM(AC265:AC268)</f>
        <v>678</v>
      </c>
      <c r="AD269" s="355"/>
      <c r="AE269" s="354">
        <f>SUM(AE265:AE268)</f>
        <v>674</v>
      </c>
      <c r="AF269" s="355"/>
      <c r="AG269" s="354">
        <f>SUM(AG265:AG268)</f>
        <v>0</v>
      </c>
      <c r="AH269" s="355"/>
      <c r="AI269" s="354">
        <f>SUM(AI265:AI268)</f>
        <v>729</v>
      </c>
      <c r="AJ269" s="355"/>
      <c r="AK269" s="354">
        <f>SUM(AK265:AK268)</f>
        <v>723</v>
      </c>
      <c r="AL269" s="355"/>
      <c r="AM269" s="354">
        <f>SUM(AM265:AM268)</f>
        <v>655</v>
      </c>
      <c r="AN269" s="355"/>
      <c r="AO269" s="354">
        <f>SUM(AO265:AO268)</f>
        <v>742</v>
      </c>
      <c r="AP269" s="355"/>
      <c r="AQ269" s="354">
        <f>SUM(AQ265:AQ268)</f>
        <v>738</v>
      </c>
      <c r="AR269" s="355"/>
      <c r="AS269" s="354">
        <f>SUM(AS265:AS268)</f>
        <v>735</v>
      </c>
      <c r="AT269" s="35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3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7">
      <c r="B271" s="44" t="str">
        <f>AA271</f>
        <v>Team-Nr.</v>
      </c>
      <c r="C271" s="45"/>
      <c r="D271" s="44" t="str">
        <f>AC271</f>
        <v>Liga:</v>
      </c>
      <c r="E271" s="47"/>
      <c r="F271" s="359" t="str">
        <f>AE271</f>
        <v>Bayernliga Frauen</v>
      </c>
      <c r="G271" s="359"/>
      <c r="H271" s="359"/>
      <c r="I271" s="359"/>
      <c r="J271" s="359"/>
      <c r="K271" s="359"/>
      <c r="L271" s="359"/>
      <c r="M271" s="359"/>
      <c r="N271" s="359"/>
      <c r="O271" s="359"/>
      <c r="P271" s="359"/>
      <c r="Q271" s="359"/>
      <c r="R271" s="48"/>
      <c r="S271" s="49" t="s">
        <v>1794</v>
      </c>
      <c r="T271" s="50"/>
      <c r="U271" s="360" t="str">
        <f>AT271</f>
        <v>12.10./13.10.</v>
      </c>
      <c r="V271" s="361"/>
      <c r="W271" s="362"/>
      <c r="X271" s="363"/>
      <c r="Y271" s="364"/>
      <c r="Z271" s="364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0" t="str">
        <f>VLOOKUP(AS272,Spielorte!$A$1:$C$6,2)</f>
        <v>12.10./13.10.</v>
      </c>
      <c r="AU271" s="361"/>
      <c r="AV271" s="362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65">
      <c r="B272" s="53">
        <f>AA272</f>
        <v>10</v>
      </c>
      <c r="D272" s="46" t="s">
        <v>1793</v>
      </c>
      <c r="E272" s="54"/>
      <c r="F272" s="358" t="str">
        <f>AE272</f>
        <v>Unterföhring Dreambowl Palace</v>
      </c>
      <c r="G272" s="358"/>
      <c r="H272" s="358"/>
      <c r="I272" s="358"/>
      <c r="J272" s="358"/>
      <c r="K272" s="358"/>
      <c r="L272" s="358"/>
      <c r="M272" s="358"/>
      <c r="N272" s="358"/>
      <c r="O272" s="358"/>
      <c r="P272" s="55"/>
      <c r="Q272" s="55"/>
      <c r="S272" s="49" t="s">
        <v>1791</v>
      </c>
      <c r="T272" s="56">
        <f>AS272</f>
        <v>1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Unterföhring Dreambowl Palace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1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4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5" thickBot="1" x14ac:dyDescent="0.45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VLOOKUP($AA272,Schlüssel!$A$5:$DZ$14,13)</f>
        <v>4</v>
      </c>
      <c r="AE274" s="65" t="s">
        <v>10</v>
      </c>
      <c r="AF274" s="44">
        <f>VLOOKUP($AA272,Schlüssel!$A$5:$DZ$14,14)</f>
        <v>1</v>
      </c>
      <c r="AG274" s="65" t="s">
        <v>10</v>
      </c>
      <c r="AH274" s="44">
        <f>VLOOKUP($AA272,Schlüssel!$A$5:$DZ$14,15)</f>
        <v>10</v>
      </c>
      <c r="AI274" s="65" t="s">
        <v>10</v>
      </c>
      <c r="AJ274" s="44">
        <f>VLOOKUP($AA272,Schlüssel!$A$5:$DZ$14,16)</f>
        <v>7</v>
      </c>
      <c r="AK274" s="65" t="s">
        <v>10</v>
      </c>
      <c r="AL274" s="44">
        <f>VLOOKUP($AA272,Schlüssel!$A$5:$DZ$14,17)</f>
        <v>2</v>
      </c>
      <c r="AM274" s="65" t="s">
        <v>10</v>
      </c>
      <c r="AN274" s="44">
        <f>VLOOKUP($AA272,Schlüssel!$A$5:$DZ$14,18)</f>
        <v>8</v>
      </c>
      <c r="AO274" s="65" t="s">
        <v>10</v>
      </c>
      <c r="AP274" s="44">
        <f>VLOOKUP($AA272,Schlüssel!$A$5:$DZ$14,19)</f>
        <v>6</v>
      </c>
      <c r="AQ274" s="65" t="s">
        <v>10</v>
      </c>
      <c r="AR274" s="44">
        <f>VLOOKUP($AA272,Schlüssel!$A$5:$DZ$14,20)</f>
        <v>3</v>
      </c>
      <c r="AS274" s="65" t="s">
        <v>10</v>
      </c>
      <c r="AT274" s="44">
        <f>VLOOKUP($AA272,Schlüssel!$A$5:$DZ$14,21)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35">
      <c r="B275" s="67" t="s">
        <v>1</v>
      </c>
      <c r="C275" s="68"/>
      <c r="D275" s="354" t="s">
        <v>1800</v>
      </c>
      <c r="E275" s="355"/>
      <c r="F275" s="354" t="s">
        <v>1801</v>
      </c>
      <c r="G275" s="355"/>
      <c r="H275" s="354" t="s">
        <v>1802</v>
      </c>
      <c r="I275" s="355"/>
      <c r="J275" s="354" t="s">
        <v>1803</v>
      </c>
      <c r="K275" s="355"/>
      <c r="L275" s="354" t="s">
        <v>1804</v>
      </c>
      <c r="M275" s="355"/>
      <c r="N275" s="354" t="s">
        <v>1805</v>
      </c>
      <c r="O275" s="355"/>
      <c r="P275" s="354" t="s">
        <v>1806</v>
      </c>
      <c r="Q275" s="355"/>
      <c r="R275" s="354" t="s">
        <v>1807</v>
      </c>
      <c r="S275" s="355"/>
      <c r="T275" s="354" t="s">
        <v>1808</v>
      </c>
      <c r="U275" s="355"/>
      <c r="V275" s="356" t="s">
        <v>1799</v>
      </c>
      <c r="W275" s="357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4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2" customHeight="1" x14ac:dyDescent="0.35">
      <c r="A277" s="367" t="s">
        <v>0</v>
      </c>
      <c r="B277" s="73" t="str">
        <f>IF(AA277=0,"",AA277)</f>
        <v>Müller, Angelika</v>
      </c>
      <c r="C277" s="74">
        <f>IF(AB277=0,"",AB277)</f>
        <v>12850</v>
      </c>
      <c r="D277" s="75">
        <f>IF(AC277=0,"",AC277)</f>
        <v>136</v>
      </c>
      <c r="E277" s="348">
        <f>IF(AD277="","",AD277)</f>
        <v>1</v>
      </c>
      <c r="F277" s="75">
        <f t="shared" ref="F277:F290" si="331">IF(AE277=0,"",AE277)</f>
        <v>166</v>
      </c>
      <c r="G277" s="348">
        <f>IF(AF277="","",AF277)</f>
        <v>0</v>
      </c>
      <c r="H277" s="75">
        <f t="shared" ref="H277:H290" si="332">IF(AG277=0,"",AG277)</f>
        <v>145</v>
      </c>
      <c r="I277" s="348">
        <f>IF(AH277="","",AH277)</f>
        <v>1</v>
      </c>
      <c r="J277" s="75">
        <f t="shared" ref="J277:J290" si="333">IF(AI277=0,"",AI277)</f>
        <v>168</v>
      </c>
      <c r="K277" s="348">
        <f>IF(AJ277="","",AJ277)</f>
        <v>1</v>
      </c>
      <c r="L277" s="75" t="str">
        <f t="shared" ref="L277:L290" si="334">IF(AK277=0,"",AK277)</f>
        <v/>
      </c>
      <c r="M277" s="348">
        <f>IF(AL277="","",AL277)</f>
        <v>1</v>
      </c>
      <c r="N277" s="75" t="str">
        <f>IF(AM277=0,"",AM277)</f>
        <v/>
      </c>
      <c r="O277" s="348">
        <f>IF(AN277="","",AN277)</f>
        <v>0</v>
      </c>
      <c r="P277" s="75" t="str">
        <f t="shared" ref="P277:P290" si="335">IF(AO277=0,"",AO277)</f>
        <v/>
      </c>
      <c r="Q277" s="348">
        <f>IF(AP277="","",AP277)</f>
        <v>0</v>
      </c>
      <c r="R277" s="75" t="str">
        <f t="shared" ref="R277:R290" si="336">IF(AQ277=0,"",AQ277)</f>
        <v/>
      </c>
      <c r="S277" s="348">
        <f>IF(AR277="","",AR277)</f>
        <v>0</v>
      </c>
      <c r="T277" s="75" t="str">
        <f t="shared" ref="T277:T290" si="337">IF(AS277=0,"",AS277)</f>
        <v/>
      </c>
      <c r="U277" s="348">
        <f>IF(AT277="","",AT277)</f>
        <v>1</v>
      </c>
      <c r="V277" s="75">
        <f t="shared" ref="V277:V290" si="338">IF(AU277=0,"",AU277)</f>
        <v>615</v>
      </c>
      <c r="W277" s="348">
        <f>IF(AV277="","",AV277)</f>
        <v>5</v>
      </c>
      <c r="Z277" s="351" t="s">
        <v>0</v>
      </c>
      <c r="AA277" s="108" t="str">
        <f>IF(AB277=0,"",VLOOKUP(AB277,Starter!$A$1:$D$199,2,FALSE))</f>
        <v>Müller, Angelika</v>
      </c>
      <c r="AB277" s="99">
        <v>12850</v>
      </c>
      <c r="AC277" s="185">
        <v>136</v>
      </c>
      <c r="AD277" s="109">
        <f>IF(SUM(AC277:AC279)+AC295=0,0,IF(SUM(ABS(AC277),ABS(AC278),ABS(AC279))=AC295,0.5,IF(SUM(ABS(AC277),ABS(AC278),ABS(AC279))&gt;AC295,1,0)))</f>
        <v>1</v>
      </c>
      <c r="AE277" s="185">
        <v>166</v>
      </c>
      <c r="AF277" s="109">
        <f>IF(SUM(AE277:AE279)+AE295=0,0,IF(SUM(ABS(AE277),ABS(AE278),ABS(AE279))=AE295,0.5,IF(SUM(ABS(AE277),ABS(AE278),ABS(AE279))&gt;AE295,1,0)))</f>
        <v>0</v>
      </c>
      <c r="AG277" s="185">
        <v>145</v>
      </c>
      <c r="AH277" s="109">
        <f>IF(SUM(AG277:AG279)+AG295=0,0,IF(SUM(ABS(AG277),ABS(AG278),ABS(AG279))=AG295,0.5,IF(SUM(ABS(AG277),ABS(AG278),ABS(AG279))&gt;AG295,1,0)))</f>
        <v>1</v>
      </c>
      <c r="AI277" s="185">
        <v>168</v>
      </c>
      <c r="AJ277" s="109">
        <f>IF(SUM(AI277:AI279)+AI295=0,0,IF(SUM(ABS(AI277),ABS(AI278),ABS(AI279))=AI295,0.5,IF(SUM(ABS(AI277),ABS(AI278),ABS(AI279))&gt;AI295,1,0)))</f>
        <v>1</v>
      </c>
      <c r="AK277" s="185"/>
      <c r="AL277" s="109">
        <f>IF(SUM(AK277:AK279)+AK295=0,0,IF(SUM(ABS(AK277),ABS(AK278),ABS(AK279))=AK295,0.5,IF(SUM(ABS(AK277),ABS(AK278),ABS(AK279))&gt;AK295,1,0)))</f>
        <v>1</v>
      </c>
      <c r="AM277" s="185"/>
      <c r="AN277" s="109">
        <f>IF(SUM(AM277:AM279)+AM295=0,0,IF(SUM(ABS(AM277),ABS(AM278),ABS(AM279))=AM295,0.5,IF(SUM(ABS(AM277),ABS(AM278),ABS(AM279))&gt;AM295,1,0)))</f>
        <v>0</v>
      </c>
      <c r="AO277" s="185"/>
      <c r="AP277" s="109">
        <f>IF(SUM(AO277:AO279)+AO295=0,0,IF(SUM(ABS(AO277),ABS(AO278),ABS(AO279))=AO295,0.5,IF(SUM(ABS(AO277),ABS(AO278),ABS(AO279))&gt;AO295,1,0)))</f>
        <v>0</v>
      </c>
      <c r="AQ277" s="185"/>
      <c r="AR277" s="109">
        <f>IF(SUM(AQ277:AQ279)+AQ295=0,0,IF(SUM(ABS(AQ277),ABS(AQ278),ABS(AQ279))=AQ295,0.5,IF(SUM(ABS(AQ277),ABS(AQ278),ABS(AQ279))&gt;AQ295,1,0)))</f>
        <v>0</v>
      </c>
      <c r="AS277" s="185"/>
      <c r="AT277" s="109">
        <f>IF(SUM(AS277:AS279)+AS295=0,0,IF(SUM(ABS(AS277),ABS(AS278),ABS(AS279))=AS295,0.5,IF(SUM(ABS(AS277),ABS(AS278),ABS(AS279))&gt;AS295,1,0)))</f>
        <v>1</v>
      </c>
      <c r="AU277" s="110">
        <f t="shared" ref="AU277:AU288" si="339">ABS(SUM(AC277:AC277))+ABS(SUM(AE277:AE277))+ABS(SUM(AG277:AG277))+ABS(SUM(AI277:AI277))+ABS(SUM(AK277:AK277))+ABS(SUM(AM277:AM277))+ABS(SUM(AO277:AO277))+ABS(SUM(AQ277:AQ277))+ABS(SUM(AS277:AS277))</f>
        <v>615</v>
      </c>
      <c r="AV277" s="111">
        <f>SUM(AD277+AF277+AH277+AJ277+AL277+AN277+AP277+AR277+AT277)</f>
        <v>5</v>
      </c>
      <c r="AW277" s="101"/>
      <c r="AX277" s="102"/>
      <c r="AZ277" s="63"/>
      <c r="BA277" s="212"/>
      <c r="BB277" s="213"/>
      <c r="BC277" s="214"/>
      <c r="BD277" s="217">
        <f>+AB277</f>
        <v>12850</v>
      </c>
      <c r="BE277" s="213">
        <f>+AU277</f>
        <v>615</v>
      </c>
      <c r="BF277" s="215">
        <f>COUNT(BH277:BP277)</f>
        <v>4</v>
      </c>
      <c r="BG277" s="215">
        <f>COUNTIF(BH277:BP277,"&gt;0")</f>
        <v>4</v>
      </c>
      <c r="BH277" s="215">
        <f t="shared" ref="BH277:BH288" si="340">IF(AC277=0,"",AC277)</f>
        <v>136</v>
      </c>
      <c r="BI277" s="215">
        <f t="shared" ref="BI277:BI288" si="341">IF(AE277=0,"",AE277)</f>
        <v>166</v>
      </c>
      <c r="BJ277" s="215">
        <f t="shared" ref="BJ277:BJ288" si="342">IF(AG277=0,"",AG277)</f>
        <v>145</v>
      </c>
      <c r="BK277" s="215">
        <f t="shared" ref="BK277:BK288" si="343">IF(AI277=0,"",AI277)</f>
        <v>168</v>
      </c>
      <c r="BL277" s="215" t="str">
        <f t="shared" ref="BL277:BL288" si="344">IF(AK277=0,"",AK277)</f>
        <v/>
      </c>
      <c r="BM277" s="215" t="str">
        <f t="shared" ref="BM277:BM288" si="345">IF(AM277=0,"",AM277)</f>
        <v/>
      </c>
      <c r="BN277" s="215" t="str">
        <f t="shared" ref="BN277:BN288" si="346">IF(AO277=0,"",AO277)</f>
        <v/>
      </c>
      <c r="BO277" s="215" t="str">
        <f t="shared" ref="BO277:BO288" si="347">IF(AQ277=0,"",AQ277)</f>
        <v/>
      </c>
      <c r="BP277" s="215" t="str">
        <f t="shared" ref="BP277:BP288" si="348">IF(AS277=0,"",AS277)</f>
        <v/>
      </c>
      <c r="BQ277" s="216"/>
      <c r="BR277" s="214"/>
      <c r="BS277" s="215">
        <f>MAX(BH277:BP277)</f>
        <v>168</v>
      </c>
      <c r="BT277" s="215">
        <f>IF(BS277&lt;MAX(BS:BS),0,BS277+ROW()/1000000000)</f>
        <v>0</v>
      </c>
      <c r="BU277" s="215" t="str">
        <f>+AA273</f>
        <v>BK München 4</v>
      </c>
      <c r="BV277" s="214">
        <f>RANK(BT277,BT:BT)</f>
        <v>2</v>
      </c>
      <c r="BW277" s="215">
        <f>SUMIF(BH277:BP277,"&gt;0")</f>
        <v>615</v>
      </c>
      <c r="BX277" s="215">
        <f>IF(COUNTIF(BH277:BP277,"&gt;0")&lt;Spielorte!$A$23,0,BE277/Spielorte!$A$23)</f>
        <v>0</v>
      </c>
      <c r="BY277" s="215">
        <f>IF(BX277&lt;MAX(BX:BX),0,BX277+ROW()/1000000000)</f>
        <v>0</v>
      </c>
      <c r="BZ277" s="214">
        <f t="shared" ref="BZ277:BZ288" si="349">IF(BY277=0,0,RANK(BY277,BY:BY))</f>
        <v>0</v>
      </c>
    </row>
    <row r="278" spans="1:78" ht="17.2" customHeight="1" x14ac:dyDescent="0.35">
      <c r="A278" s="368"/>
      <c r="B278" s="76" t="str">
        <f t="shared" ref="B278:B285" si="350">IF(AA278=0,"",AA278)</f>
        <v>Laub, Angela</v>
      </c>
      <c r="C278" s="77">
        <f t="shared" ref="C278:C290" si="351">IF(AB278=0,"",AB278)</f>
        <v>7576</v>
      </c>
      <c r="D278" s="78" t="str">
        <f t="shared" ref="D278:D290" si="352">IF(AC278=0,"",AC278)</f>
        <v/>
      </c>
      <c r="E278" s="349"/>
      <c r="F278" s="78" t="str">
        <f t="shared" si="331"/>
        <v/>
      </c>
      <c r="G278" s="349"/>
      <c r="H278" s="78" t="str">
        <f t="shared" si="332"/>
        <v/>
      </c>
      <c r="I278" s="349"/>
      <c r="J278" s="78" t="str">
        <f t="shared" si="333"/>
        <v/>
      </c>
      <c r="K278" s="349"/>
      <c r="L278" s="78">
        <f t="shared" si="334"/>
        <v>186</v>
      </c>
      <c r="M278" s="349"/>
      <c r="N278" s="78">
        <f t="shared" ref="N278:N290" si="353">IF(AM278=0,"",AM278)</f>
        <v>149</v>
      </c>
      <c r="O278" s="349"/>
      <c r="P278" s="78">
        <f t="shared" si="335"/>
        <v>194</v>
      </c>
      <c r="Q278" s="349"/>
      <c r="R278" s="78" t="str">
        <f t="shared" si="336"/>
        <v/>
      </c>
      <c r="S278" s="349"/>
      <c r="T278" s="78" t="str">
        <f t="shared" si="337"/>
        <v/>
      </c>
      <c r="U278" s="349"/>
      <c r="V278" s="78">
        <f t="shared" si="338"/>
        <v>529</v>
      </c>
      <c r="W278" s="349"/>
      <c r="Z278" s="352"/>
      <c r="AA278" s="108" t="str">
        <f>IF(AB278=0,"",VLOOKUP(AB278,Starter!$A$1:$D$199,2,FALSE))</f>
        <v>Laub, Angela</v>
      </c>
      <c r="AB278" s="98">
        <v>7576</v>
      </c>
      <c r="AC278" s="186"/>
      <c r="AD278" s="112"/>
      <c r="AE278" s="186"/>
      <c r="AF278" s="112"/>
      <c r="AG278" s="186"/>
      <c r="AH278" s="112"/>
      <c r="AI278" s="186"/>
      <c r="AJ278" s="112"/>
      <c r="AK278" s="186">
        <v>186</v>
      </c>
      <c r="AL278" s="112"/>
      <c r="AM278" s="186">
        <v>149</v>
      </c>
      <c r="AN278" s="112"/>
      <c r="AO278" s="186">
        <v>194</v>
      </c>
      <c r="AP278" s="112"/>
      <c r="AQ278" s="186"/>
      <c r="AR278" s="112"/>
      <c r="AS278" s="186"/>
      <c r="AT278" s="112"/>
      <c r="AU278" s="113">
        <f t="shared" si="339"/>
        <v>529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54">+AB278</f>
        <v>7576</v>
      </c>
      <c r="BE278" s="213">
        <f t="shared" ref="BE278:BE288" si="355">+AU278</f>
        <v>529</v>
      </c>
      <c r="BF278" s="215">
        <f t="shared" ref="BF278:BF288" si="356">COUNT(BH278:BP278)</f>
        <v>3</v>
      </c>
      <c r="BG278" s="215">
        <f t="shared" ref="BG278:BG288" si="357">COUNTIF(BH278:BP278,"&gt;0")</f>
        <v>3</v>
      </c>
      <c r="BH278" s="215" t="str">
        <f t="shared" si="340"/>
        <v/>
      </c>
      <c r="BI278" s="215" t="str">
        <f t="shared" si="341"/>
        <v/>
      </c>
      <c r="BJ278" s="215" t="str">
        <f t="shared" si="342"/>
        <v/>
      </c>
      <c r="BK278" s="215" t="str">
        <f t="shared" si="343"/>
        <v/>
      </c>
      <c r="BL278" s="215">
        <f t="shared" si="344"/>
        <v>186</v>
      </c>
      <c r="BM278" s="215">
        <f t="shared" si="345"/>
        <v>149</v>
      </c>
      <c r="BN278" s="215">
        <f t="shared" si="346"/>
        <v>194</v>
      </c>
      <c r="BO278" s="215" t="str">
        <f t="shared" si="347"/>
        <v/>
      </c>
      <c r="BP278" s="215" t="str">
        <f t="shared" si="348"/>
        <v/>
      </c>
      <c r="BQ278" s="216"/>
      <c r="BR278" s="214"/>
      <c r="BS278" s="215">
        <f t="shared" ref="BS278:BS288" si="358">MAX(BH278:BP278)</f>
        <v>194</v>
      </c>
      <c r="BT278" s="215">
        <f t="shared" ref="BT278:BT288" si="359">IF(BS278&lt;MAX(BS:BS),0,BS278+ROW()/1000000000)</f>
        <v>0</v>
      </c>
      <c r="BU278" s="215" t="str">
        <f t="shared" ref="BU278:BU288" si="360">+BU277</f>
        <v>BK München 4</v>
      </c>
      <c r="BV278" s="214">
        <f t="shared" ref="BV278:BV288" si="361">RANK(BT278,BT:BT)</f>
        <v>2</v>
      </c>
      <c r="BW278" s="215">
        <f t="shared" ref="BW278:BW288" si="362">SUMIF(BH278:BP278,"&gt;0")</f>
        <v>529</v>
      </c>
      <c r="BX278" s="215">
        <f>IF(COUNTIF(BH278:BP278,"&gt;0")&lt;Spielorte!$A$23,0,BE278/Spielorte!$A$23)</f>
        <v>0</v>
      </c>
      <c r="BY278" s="215">
        <f t="shared" ref="BY278:BY288" si="363">IF(BX278&lt;MAX(BX:BX),0,BX278+ROW()/1000000000)</f>
        <v>0</v>
      </c>
      <c r="BZ278" s="214">
        <f t="shared" si="349"/>
        <v>0</v>
      </c>
    </row>
    <row r="279" spans="1:78" ht="17.2" customHeight="1" thickBot="1" x14ac:dyDescent="0.4">
      <c r="A279" s="369"/>
      <c r="B279" s="79" t="str">
        <f t="shared" si="350"/>
        <v>Danzer, Andrea</v>
      </c>
      <c r="C279" s="80">
        <f t="shared" si="351"/>
        <v>16879</v>
      </c>
      <c r="D279" s="69" t="str">
        <f t="shared" si="352"/>
        <v/>
      </c>
      <c r="E279" s="350"/>
      <c r="F279" s="69" t="str">
        <f t="shared" si="331"/>
        <v/>
      </c>
      <c r="G279" s="350"/>
      <c r="H279" s="69" t="str">
        <f t="shared" si="332"/>
        <v/>
      </c>
      <c r="I279" s="350"/>
      <c r="J279" s="69" t="str">
        <f t="shared" si="333"/>
        <v/>
      </c>
      <c r="K279" s="350"/>
      <c r="L279" s="69" t="str">
        <f t="shared" si="334"/>
        <v/>
      </c>
      <c r="M279" s="350"/>
      <c r="N279" s="69" t="str">
        <f t="shared" si="353"/>
        <v/>
      </c>
      <c r="O279" s="350"/>
      <c r="P279" s="69" t="str">
        <f t="shared" si="335"/>
        <v/>
      </c>
      <c r="Q279" s="350"/>
      <c r="R279" s="69">
        <f t="shared" si="336"/>
        <v>170</v>
      </c>
      <c r="S279" s="350"/>
      <c r="T279" s="69">
        <f t="shared" si="337"/>
        <v>192</v>
      </c>
      <c r="U279" s="350"/>
      <c r="V279" s="69">
        <f t="shared" si="338"/>
        <v>362</v>
      </c>
      <c r="W279" s="350"/>
      <c r="Z279" s="353"/>
      <c r="AA279" s="115" t="str">
        <f>IF(AB279=0,"",VLOOKUP(AB279,Starter!$A$1:$D$199,2,FALSE))</f>
        <v>Danzer, Andrea</v>
      </c>
      <c r="AB279" s="100">
        <v>16879</v>
      </c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>
        <v>170</v>
      </c>
      <c r="AR279" s="112"/>
      <c r="AS279" s="187">
        <v>192</v>
      </c>
      <c r="AT279" s="112"/>
      <c r="AU279" s="116">
        <f t="shared" si="339"/>
        <v>362</v>
      </c>
      <c r="AV279" s="117"/>
      <c r="AW279" s="101"/>
      <c r="AX279" s="102"/>
      <c r="AZ279" s="63"/>
      <c r="BA279" s="212"/>
      <c r="BB279" s="213"/>
      <c r="BC279" s="214"/>
      <c r="BD279" s="217">
        <f t="shared" si="354"/>
        <v>16879</v>
      </c>
      <c r="BE279" s="213">
        <f t="shared" si="355"/>
        <v>362</v>
      </c>
      <c r="BF279" s="215">
        <f t="shared" si="356"/>
        <v>2</v>
      </c>
      <c r="BG279" s="215">
        <f t="shared" si="357"/>
        <v>2</v>
      </c>
      <c r="BH279" s="215" t="str">
        <f t="shared" si="340"/>
        <v/>
      </c>
      <c r="BI279" s="215" t="str">
        <f t="shared" si="341"/>
        <v/>
      </c>
      <c r="BJ279" s="215" t="str">
        <f t="shared" si="342"/>
        <v/>
      </c>
      <c r="BK279" s="215" t="str">
        <f t="shared" si="343"/>
        <v/>
      </c>
      <c r="BL279" s="215" t="str">
        <f t="shared" si="344"/>
        <v/>
      </c>
      <c r="BM279" s="215" t="str">
        <f t="shared" si="345"/>
        <v/>
      </c>
      <c r="BN279" s="215" t="str">
        <f t="shared" si="346"/>
        <v/>
      </c>
      <c r="BO279" s="215">
        <f t="shared" si="347"/>
        <v>170</v>
      </c>
      <c r="BP279" s="215">
        <f t="shared" si="348"/>
        <v>192</v>
      </c>
      <c r="BQ279" s="216"/>
      <c r="BR279" s="214"/>
      <c r="BS279" s="215">
        <f t="shared" si="358"/>
        <v>192</v>
      </c>
      <c r="BT279" s="215">
        <f t="shared" si="359"/>
        <v>0</v>
      </c>
      <c r="BU279" s="215" t="str">
        <f t="shared" si="360"/>
        <v>BK München 4</v>
      </c>
      <c r="BV279" s="214">
        <f t="shared" si="361"/>
        <v>2</v>
      </c>
      <c r="BW279" s="215">
        <f t="shared" si="362"/>
        <v>362</v>
      </c>
      <c r="BX279" s="215">
        <f>IF(COUNTIF(BH279:BP279,"&gt;0")&lt;Spielorte!$A$23,0,BE279/Spielorte!$A$23)</f>
        <v>0</v>
      </c>
      <c r="BY279" s="215">
        <f t="shared" si="363"/>
        <v>0</v>
      </c>
      <c r="BZ279" s="214">
        <f t="shared" si="349"/>
        <v>0</v>
      </c>
    </row>
    <row r="280" spans="1:78" ht="17.2" customHeight="1" x14ac:dyDescent="0.35">
      <c r="A280" s="367" t="s">
        <v>2</v>
      </c>
      <c r="B280" s="73" t="str">
        <f t="shared" si="350"/>
        <v>Laub, Angela</v>
      </c>
      <c r="C280" s="74">
        <f t="shared" si="351"/>
        <v>7576</v>
      </c>
      <c r="D280" s="75">
        <f t="shared" si="352"/>
        <v>192</v>
      </c>
      <c r="E280" s="348">
        <f>IF(AD280="","",AD280)</f>
        <v>0</v>
      </c>
      <c r="F280" s="75">
        <f t="shared" si="331"/>
        <v>146</v>
      </c>
      <c r="G280" s="348">
        <f>IF(AF280="","",AF280)</f>
        <v>0</v>
      </c>
      <c r="H280" s="75" t="str">
        <f t="shared" si="332"/>
        <v/>
      </c>
      <c r="I280" s="348">
        <f>IF(AH280="","",AH280)</f>
        <v>0</v>
      </c>
      <c r="J280" s="75" t="str">
        <f t="shared" si="333"/>
        <v/>
      </c>
      <c r="K280" s="348">
        <f>IF(AJ280="","",AJ280)</f>
        <v>1</v>
      </c>
      <c r="L280" s="75" t="str">
        <f t="shared" si="334"/>
        <v/>
      </c>
      <c r="M280" s="348">
        <f>IF(AL280="","",AL280)</f>
        <v>0</v>
      </c>
      <c r="N280" s="75" t="str">
        <f t="shared" si="353"/>
        <v/>
      </c>
      <c r="O280" s="348">
        <f>IF(AN280="","",AN280)</f>
        <v>0</v>
      </c>
      <c r="P280" s="75" t="str">
        <f t="shared" si="335"/>
        <v/>
      </c>
      <c r="Q280" s="348">
        <f>IF(AP280="","",AP280)</f>
        <v>0</v>
      </c>
      <c r="R280" s="75" t="str">
        <f t="shared" si="336"/>
        <v/>
      </c>
      <c r="S280" s="348">
        <f>IF(AR280="","",AR280)</f>
        <v>0</v>
      </c>
      <c r="T280" s="75" t="str">
        <f t="shared" si="337"/>
        <v/>
      </c>
      <c r="U280" s="348">
        <f>IF(AT280="","",AT280)</f>
        <v>1</v>
      </c>
      <c r="V280" s="75">
        <f t="shared" si="338"/>
        <v>338</v>
      </c>
      <c r="W280" s="348">
        <f>IF(AV280="","",AV280)</f>
        <v>2</v>
      </c>
      <c r="Z280" s="351" t="s">
        <v>2</v>
      </c>
      <c r="AA280" s="108" t="str">
        <f>IF(AB280=0,"",VLOOKUP(AB280,Starter!$A$1:$D$199,2,FALSE))</f>
        <v>Laub, Angela</v>
      </c>
      <c r="AB280" s="99">
        <v>7576</v>
      </c>
      <c r="AC280" s="188">
        <v>192</v>
      </c>
      <c r="AD280" s="109">
        <f>IF(SUM(AC280:AC282)+AC296=0,0,IF(SUM(ABS(AC280),ABS(AC281),ABS(AC282))=AC296,0.5,IF(SUM(ABS(AC280),ABS(AC281),ABS(AC282))&gt;AC296,1,0)))</f>
        <v>0</v>
      </c>
      <c r="AE280" s="188">
        <v>146</v>
      </c>
      <c r="AF280" s="109">
        <f>IF(SUM(AE280:AE282)+AE296=0,0,IF(SUM(ABS(AE280),ABS(AE281),ABS(AE282))=AE296,0.5,IF(SUM(ABS(AE280),ABS(AE281),ABS(AE282))&gt;AE296,1,0)))</f>
        <v>0</v>
      </c>
      <c r="AG280" s="188"/>
      <c r="AH280" s="109">
        <f>IF(SUM(AG280:AG282)+AG296=0,0,IF(SUM(ABS(AG280),ABS(AG281),ABS(AG282))=AG296,0.5,IF(SUM(ABS(AG280),ABS(AG281),ABS(AG282))&gt;AG296,1,0)))</f>
        <v>0</v>
      </c>
      <c r="AI280" s="188"/>
      <c r="AJ280" s="109">
        <f>IF(SUM(AI280:AI282)+AI296=0,0,IF(SUM(ABS(AI280),ABS(AI281),ABS(AI282))=AI296,0.5,IF(SUM(ABS(AI280),ABS(AI281),ABS(AI282))&gt;AI296,1,0)))</f>
        <v>1</v>
      </c>
      <c r="AK280" s="188"/>
      <c r="AL280" s="109">
        <f>IF(SUM(AK280:AK282)+AK296=0,0,IF(SUM(ABS(AK280),ABS(AK281),ABS(AK282))=AK296,0.5,IF(SUM(ABS(AK280),ABS(AK281),ABS(AK282))&gt;AK296,1,0)))</f>
        <v>0</v>
      </c>
      <c r="AM280" s="188"/>
      <c r="AN280" s="109">
        <f>IF(SUM(AM280:AM282)+AM296=0,0,IF(SUM(ABS(AM280),ABS(AM281),ABS(AM282))=AM296,0.5,IF(SUM(ABS(AM280),ABS(AM281),ABS(AM282))&gt;AM296,1,0)))</f>
        <v>0</v>
      </c>
      <c r="AO280" s="188"/>
      <c r="AP280" s="109">
        <f>IF(SUM(AO280:AO282)+AO296=0,0,IF(SUM(ABS(AO280),ABS(AO281),ABS(AO282))=AO296,0.5,IF(SUM(ABS(AO280),ABS(AO281),ABS(AO282))&gt;AO296,1,0)))</f>
        <v>0</v>
      </c>
      <c r="AQ280" s="188"/>
      <c r="AR280" s="109">
        <f>IF(SUM(AQ280:AQ282)+AQ296=0,0,IF(SUM(ABS(AQ280),ABS(AQ281),ABS(AQ282))=AQ296,0.5,IF(SUM(ABS(AQ280),ABS(AQ281),ABS(AQ282))&gt;AQ296,1,0)))</f>
        <v>0</v>
      </c>
      <c r="AS280" s="188"/>
      <c r="AT280" s="109">
        <f>IF(SUM(AS280:AS282)+AS296=0,0,IF(SUM(ABS(AS280),ABS(AS281),ABS(AS282))=AS296,0.5,IF(SUM(ABS(AS280),ABS(AS281),ABS(AS282))&gt;AS296,1,0)))</f>
        <v>1</v>
      </c>
      <c r="AU280" s="110">
        <f t="shared" si="339"/>
        <v>338</v>
      </c>
      <c r="AV280" s="111">
        <f>SUM(AD280+AF280+AH280+AJ280+AL280+AN280+AP280+AR280+AT280)</f>
        <v>2</v>
      </c>
      <c r="AW280" s="101"/>
      <c r="AX280" s="102"/>
      <c r="AZ280" s="63"/>
      <c r="BA280" s="212"/>
      <c r="BB280" s="213"/>
      <c r="BC280" s="214"/>
      <c r="BD280" s="217">
        <f t="shared" si="354"/>
        <v>7576</v>
      </c>
      <c r="BE280" s="213">
        <f t="shared" si="355"/>
        <v>338</v>
      </c>
      <c r="BF280" s="215">
        <f t="shared" si="356"/>
        <v>2</v>
      </c>
      <c r="BG280" s="215">
        <f t="shared" si="357"/>
        <v>2</v>
      </c>
      <c r="BH280" s="215">
        <f t="shared" si="340"/>
        <v>192</v>
      </c>
      <c r="BI280" s="215">
        <f t="shared" si="341"/>
        <v>146</v>
      </c>
      <c r="BJ280" s="215" t="str">
        <f t="shared" si="342"/>
        <v/>
      </c>
      <c r="BK280" s="215" t="str">
        <f t="shared" si="343"/>
        <v/>
      </c>
      <c r="BL280" s="215" t="str">
        <f t="shared" si="344"/>
        <v/>
      </c>
      <c r="BM280" s="215" t="str">
        <f t="shared" si="345"/>
        <v/>
      </c>
      <c r="BN280" s="215" t="str">
        <f t="shared" si="346"/>
        <v/>
      </c>
      <c r="BO280" s="215" t="str">
        <f t="shared" si="347"/>
        <v/>
      </c>
      <c r="BP280" s="215" t="str">
        <f t="shared" si="348"/>
        <v/>
      </c>
      <c r="BQ280" s="216"/>
      <c r="BR280" s="214"/>
      <c r="BS280" s="215">
        <f t="shared" si="358"/>
        <v>192</v>
      </c>
      <c r="BT280" s="215">
        <f t="shared" si="359"/>
        <v>0</v>
      </c>
      <c r="BU280" s="215" t="str">
        <f t="shared" si="360"/>
        <v>BK München 4</v>
      </c>
      <c r="BV280" s="214">
        <f t="shared" si="361"/>
        <v>2</v>
      </c>
      <c r="BW280" s="215">
        <f t="shared" si="362"/>
        <v>338</v>
      </c>
      <c r="BX280" s="215">
        <f>IF(COUNTIF(BH280:BP280,"&gt;0")&lt;Spielorte!$A$23,0,BE280/Spielorte!$A$23)</f>
        <v>0</v>
      </c>
      <c r="BY280" s="215">
        <f t="shared" si="363"/>
        <v>0</v>
      </c>
      <c r="BZ280" s="214">
        <f t="shared" si="349"/>
        <v>0</v>
      </c>
    </row>
    <row r="281" spans="1:78" ht="17.2" customHeight="1" x14ac:dyDescent="0.35">
      <c r="A281" s="368"/>
      <c r="B281" s="76" t="str">
        <f t="shared" si="350"/>
        <v>Danzer, Andrea</v>
      </c>
      <c r="C281" s="77">
        <f t="shared" si="351"/>
        <v>16879</v>
      </c>
      <c r="D281" s="78" t="str">
        <f t="shared" si="352"/>
        <v/>
      </c>
      <c r="E281" s="349"/>
      <c r="F281" s="78" t="str">
        <f t="shared" si="331"/>
        <v/>
      </c>
      <c r="G281" s="349"/>
      <c r="H281" s="78">
        <f t="shared" si="332"/>
        <v>160</v>
      </c>
      <c r="I281" s="349"/>
      <c r="J281" s="78">
        <f t="shared" si="333"/>
        <v>151</v>
      </c>
      <c r="K281" s="349"/>
      <c r="L281" s="78">
        <f t="shared" si="334"/>
        <v>158</v>
      </c>
      <c r="M281" s="349"/>
      <c r="N281" s="78">
        <f t="shared" si="353"/>
        <v>129</v>
      </c>
      <c r="O281" s="349"/>
      <c r="P281" s="78" t="str">
        <f t="shared" si="335"/>
        <v/>
      </c>
      <c r="Q281" s="349"/>
      <c r="R281" s="78" t="str">
        <f t="shared" si="336"/>
        <v/>
      </c>
      <c r="S281" s="349"/>
      <c r="T281" s="78" t="str">
        <f t="shared" si="337"/>
        <v/>
      </c>
      <c r="U281" s="349"/>
      <c r="V281" s="78">
        <f t="shared" si="338"/>
        <v>598</v>
      </c>
      <c r="W281" s="349"/>
      <c r="Z281" s="352"/>
      <c r="AA281" s="108" t="str">
        <f>IF(AB281=0,"",VLOOKUP(AB281,Starter!$A$1:$D$199,2,FALSE))</f>
        <v>Danzer, Andrea</v>
      </c>
      <c r="AB281" s="98">
        <v>16879</v>
      </c>
      <c r="AC281" s="186"/>
      <c r="AD281" s="112"/>
      <c r="AE281" s="186"/>
      <c r="AF281" s="112"/>
      <c r="AG281" s="186">
        <v>160</v>
      </c>
      <c r="AH281" s="112"/>
      <c r="AI281" s="186">
        <v>151</v>
      </c>
      <c r="AJ281" s="112"/>
      <c r="AK281" s="186">
        <v>158</v>
      </c>
      <c r="AL281" s="112"/>
      <c r="AM281" s="186">
        <v>129</v>
      </c>
      <c r="AN281" s="112"/>
      <c r="AO281" s="190"/>
      <c r="AP281" s="112"/>
      <c r="AQ281" s="190"/>
      <c r="AR281" s="112"/>
      <c r="AS281" s="190"/>
      <c r="AT281" s="112"/>
      <c r="AU281" s="113">
        <f t="shared" si="339"/>
        <v>598</v>
      </c>
      <c r="AV281" s="114"/>
      <c r="AW281" s="101"/>
      <c r="AX281" s="102"/>
      <c r="AZ281" s="63"/>
      <c r="BA281" s="212"/>
      <c r="BB281" s="213"/>
      <c r="BC281" s="214"/>
      <c r="BD281" s="217">
        <f t="shared" si="354"/>
        <v>16879</v>
      </c>
      <c r="BE281" s="213">
        <f t="shared" si="355"/>
        <v>598</v>
      </c>
      <c r="BF281" s="215">
        <f t="shared" si="356"/>
        <v>4</v>
      </c>
      <c r="BG281" s="215">
        <f t="shared" si="357"/>
        <v>4</v>
      </c>
      <c r="BH281" s="215" t="str">
        <f t="shared" si="340"/>
        <v/>
      </c>
      <c r="BI281" s="215" t="str">
        <f t="shared" si="341"/>
        <v/>
      </c>
      <c r="BJ281" s="215">
        <f t="shared" si="342"/>
        <v>160</v>
      </c>
      <c r="BK281" s="215">
        <f t="shared" si="343"/>
        <v>151</v>
      </c>
      <c r="BL281" s="215">
        <f t="shared" si="344"/>
        <v>158</v>
      </c>
      <c r="BM281" s="215">
        <f t="shared" si="345"/>
        <v>129</v>
      </c>
      <c r="BN281" s="215" t="str">
        <f t="shared" si="346"/>
        <v/>
      </c>
      <c r="BO281" s="215" t="str">
        <f t="shared" si="347"/>
        <v/>
      </c>
      <c r="BP281" s="215" t="str">
        <f t="shared" si="348"/>
        <v/>
      </c>
      <c r="BQ281" s="216"/>
      <c r="BR281" s="214"/>
      <c r="BS281" s="215">
        <f t="shared" si="358"/>
        <v>160</v>
      </c>
      <c r="BT281" s="215">
        <f t="shared" si="359"/>
        <v>0</v>
      </c>
      <c r="BU281" s="215" t="str">
        <f t="shared" si="360"/>
        <v>BK München 4</v>
      </c>
      <c r="BV281" s="214">
        <f t="shared" si="361"/>
        <v>2</v>
      </c>
      <c r="BW281" s="215">
        <f t="shared" si="362"/>
        <v>598</v>
      </c>
      <c r="BX281" s="215">
        <f>IF(COUNTIF(BH281:BP281,"&gt;0")&lt;Spielorte!$A$23,0,BE281/Spielorte!$A$23)</f>
        <v>0</v>
      </c>
      <c r="BY281" s="215">
        <f t="shared" si="363"/>
        <v>0</v>
      </c>
      <c r="BZ281" s="214">
        <f t="shared" si="349"/>
        <v>0</v>
      </c>
    </row>
    <row r="282" spans="1:78" ht="17.2" customHeight="1" thickBot="1" x14ac:dyDescent="0.4">
      <c r="A282" s="369"/>
      <c r="B282" s="79" t="str">
        <f t="shared" si="350"/>
        <v>Müller, Angelika</v>
      </c>
      <c r="C282" s="80">
        <f t="shared" si="351"/>
        <v>12850</v>
      </c>
      <c r="D282" s="69" t="str">
        <f t="shared" si="352"/>
        <v/>
      </c>
      <c r="E282" s="350"/>
      <c r="F282" s="69" t="str">
        <f t="shared" si="331"/>
        <v/>
      </c>
      <c r="G282" s="350"/>
      <c r="H282" s="69" t="str">
        <f t="shared" si="332"/>
        <v/>
      </c>
      <c r="I282" s="350"/>
      <c r="J282" s="69" t="str">
        <f t="shared" si="333"/>
        <v/>
      </c>
      <c r="K282" s="350"/>
      <c r="L282" s="69" t="str">
        <f t="shared" si="334"/>
        <v/>
      </c>
      <c r="M282" s="350"/>
      <c r="N282" s="69" t="str">
        <f t="shared" si="353"/>
        <v/>
      </c>
      <c r="O282" s="350"/>
      <c r="P282" s="69">
        <f t="shared" si="335"/>
        <v>147</v>
      </c>
      <c r="Q282" s="350"/>
      <c r="R282" s="69">
        <f t="shared" si="336"/>
        <v>152</v>
      </c>
      <c r="S282" s="350"/>
      <c r="T282" s="69">
        <f t="shared" si="337"/>
        <v>191</v>
      </c>
      <c r="U282" s="350"/>
      <c r="V282" s="69">
        <f t="shared" si="338"/>
        <v>490</v>
      </c>
      <c r="W282" s="350"/>
      <c r="Z282" s="353"/>
      <c r="AA282" s="118" t="str">
        <f>IF(AB282=0,"",VLOOKUP(AB282,Starter!$A$1:$D$199,2,FALSE))</f>
        <v>Müller, Angelika</v>
      </c>
      <c r="AB282" s="100">
        <v>12850</v>
      </c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>
        <v>147</v>
      </c>
      <c r="AP282" s="119"/>
      <c r="AQ282" s="189">
        <v>152</v>
      </c>
      <c r="AR282" s="119"/>
      <c r="AS282" s="189">
        <v>191</v>
      </c>
      <c r="AT282" s="119"/>
      <c r="AU282" s="116">
        <f t="shared" si="339"/>
        <v>490</v>
      </c>
      <c r="AV282" s="117"/>
      <c r="AW282" s="101"/>
      <c r="AX282" s="102"/>
      <c r="AZ282" s="63"/>
      <c r="BA282" s="212"/>
      <c r="BB282" s="213"/>
      <c r="BC282" s="214"/>
      <c r="BD282" s="217">
        <f t="shared" si="354"/>
        <v>12850</v>
      </c>
      <c r="BE282" s="213">
        <f t="shared" si="355"/>
        <v>490</v>
      </c>
      <c r="BF282" s="215">
        <f t="shared" si="356"/>
        <v>3</v>
      </c>
      <c r="BG282" s="215">
        <f t="shared" si="357"/>
        <v>3</v>
      </c>
      <c r="BH282" s="215" t="str">
        <f t="shared" si="340"/>
        <v/>
      </c>
      <c r="BI282" s="215" t="str">
        <f t="shared" si="341"/>
        <v/>
      </c>
      <c r="BJ282" s="215" t="str">
        <f t="shared" si="342"/>
        <v/>
      </c>
      <c r="BK282" s="215" t="str">
        <f t="shared" si="343"/>
        <v/>
      </c>
      <c r="BL282" s="215" t="str">
        <f t="shared" si="344"/>
        <v/>
      </c>
      <c r="BM282" s="215" t="str">
        <f t="shared" si="345"/>
        <v/>
      </c>
      <c r="BN282" s="215">
        <f t="shared" si="346"/>
        <v>147</v>
      </c>
      <c r="BO282" s="215">
        <f t="shared" si="347"/>
        <v>152</v>
      </c>
      <c r="BP282" s="215">
        <f t="shared" si="348"/>
        <v>191</v>
      </c>
      <c r="BQ282" s="216"/>
      <c r="BR282" s="214"/>
      <c r="BS282" s="215">
        <f t="shared" si="358"/>
        <v>191</v>
      </c>
      <c r="BT282" s="215">
        <f t="shared" si="359"/>
        <v>0</v>
      </c>
      <c r="BU282" s="215" t="str">
        <f t="shared" si="360"/>
        <v>BK München 4</v>
      </c>
      <c r="BV282" s="214">
        <f t="shared" si="361"/>
        <v>2</v>
      </c>
      <c r="BW282" s="215">
        <f t="shared" si="362"/>
        <v>490</v>
      </c>
      <c r="BX282" s="215">
        <f>IF(COUNTIF(BH282:BP282,"&gt;0")&lt;Spielorte!$A$23,0,BE282/Spielorte!$A$23)</f>
        <v>0</v>
      </c>
      <c r="BY282" s="215">
        <f t="shared" si="363"/>
        <v>0</v>
      </c>
      <c r="BZ282" s="214">
        <f t="shared" si="349"/>
        <v>0</v>
      </c>
    </row>
    <row r="283" spans="1:78" ht="17.2" customHeight="1" x14ac:dyDescent="0.35">
      <c r="A283" s="367" t="s">
        <v>3</v>
      </c>
      <c r="B283" s="73" t="str">
        <f t="shared" si="350"/>
        <v>Hinterwimmer, Sabine</v>
      </c>
      <c r="C283" s="74">
        <f t="shared" si="351"/>
        <v>7578</v>
      </c>
      <c r="D283" s="75">
        <f t="shared" si="352"/>
        <v>212</v>
      </c>
      <c r="E283" s="348">
        <f>IF(AD283="","",AD283)</f>
        <v>1</v>
      </c>
      <c r="F283" s="75">
        <f t="shared" si="331"/>
        <v>172</v>
      </c>
      <c r="G283" s="348">
        <f>IF(AF283="","",AF283)</f>
        <v>0</v>
      </c>
      <c r="H283" s="75">
        <f t="shared" si="332"/>
        <v>202</v>
      </c>
      <c r="I283" s="348">
        <f>IF(AH283="","",AH283)</f>
        <v>1</v>
      </c>
      <c r="J283" s="75">
        <f t="shared" si="333"/>
        <v>157</v>
      </c>
      <c r="K283" s="348">
        <f>IF(AJ283="","",AJ283)</f>
        <v>1</v>
      </c>
      <c r="L283" s="75">
        <f t="shared" si="334"/>
        <v>170</v>
      </c>
      <c r="M283" s="348">
        <f>IF(AL283="","",AL283)</f>
        <v>0</v>
      </c>
      <c r="N283" s="75">
        <f t="shared" si="353"/>
        <v>173</v>
      </c>
      <c r="O283" s="348">
        <f>IF(AN283="","",AN283)</f>
        <v>1</v>
      </c>
      <c r="P283" s="75">
        <f t="shared" si="335"/>
        <v>187</v>
      </c>
      <c r="Q283" s="348">
        <f>IF(AP283="","",AP283)</f>
        <v>1</v>
      </c>
      <c r="R283" s="75">
        <f t="shared" si="336"/>
        <v>211</v>
      </c>
      <c r="S283" s="348">
        <f>IF(AR283="","",AR283)</f>
        <v>1</v>
      </c>
      <c r="T283" s="75">
        <f t="shared" si="337"/>
        <v>155</v>
      </c>
      <c r="U283" s="348">
        <f>IF(AT283="","",AT283)</f>
        <v>0</v>
      </c>
      <c r="V283" s="75">
        <f t="shared" si="338"/>
        <v>1639</v>
      </c>
      <c r="W283" s="348">
        <f>IF(AV283="","",AV283)</f>
        <v>6</v>
      </c>
      <c r="Z283" s="351" t="s">
        <v>3</v>
      </c>
      <c r="AA283" s="108" t="str">
        <f>IF(AB283=0,"",VLOOKUP(AB283,Starter!$A$1:$D$199,2,FALSE))</f>
        <v>Hinterwimmer, Sabine</v>
      </c>
      <c r="AB283" s="99">
        <v>7578</v>
      </c>
      <c r="AC283" s="188">
        <v>212</v>
      </c>
      <c r="AD283" s="109">
        <f>IF(SUM(AC283:AC285)+AC297=0,0,IF(SUM(ABS(AC283),ABS(AC284),ABS(AC285))=AC297,0.5,IF(SUM(ABS(AC283),ABS(AC284),ABS(AC285))&gt;AC297,1,0)))</f>
        <v>1</v>
      </c>
      <c r="AE283" s="188">
        <v>172</v>
      </c>
      <c r="AF283" s="109">
        <f>IF(SUM(AE283:AE285)+AE297=0,0,IF(SUM(ABS(AE283),ABS(AE284),ABS(AE285))=AE297,0.5,IF(SUM(ABS(AE283),ABS(AE284),ABS(AE285))&gt;AE297,1,0)))</f>
        <v>0</v>
      </c>
      <c r="AG283" s="188">
        <v>202</v>
      </c>
      <c r="AH283" s="109">
        <f>IF(SUM(AG283:AG285)+AG297=0,0,IF(SUM(ABS(AG283),ABS(AG284),ABS(AG285))=AG297,0.5,IF(SUM(ABS(AG283),ABS(AG284),ABS(AG285))&gt;AG297,1,0)))</f>
        <v>1</v>
      </c>
      <c r="AI283" s="188">
        <v>157</v>
      </c>
      <c r="AJ283" s="109">
        <f>IF(SUM(AI283:AI285)+AI297=0,0,IF(SUM(ABS(AI283),ABS(AI284),ABS(AI285))=AI297,0.5,IF(SUM(ABS(AI283),ABS(AI284),ABS(AI285))&gt;AI297,1,0)))</f>
        <v>1</v>
      </c>
      <c r="AK283" s="188">
        <v>170</v>
      </c>
      <c r="AL283" s="109">
        <f>IF(SUM(AK283:AK285)+AK297=0,0,IF(SUM(ABS(AK283),ABS(AK284),ABS(AK285))=AK297,0.5,IF(SUM(ABS(AK283),ABS(AK284),ABS(AK285))&gt;AK297,1,0)))</f>
        <v>0</v>
      </c>
      <c r="AM283" s="188">
        <v>173</v>
      </c>
      <c r="AN283" s="109">
        <f>IF(SUM(AM283:AM285)+AM297=0,0,IF(SUM(ABS(AM283),ABS(AM284),ABS(AM285))=AM297,0.5,IF(SUM(ABS(AM283),ABS(AM284),ABS(AM285))&gt;AM297,1,0)))</f>
        <v>1</v>
      </c>
      <c r="AO283" s="188">
        <v>187</v>
      </c>
      <c r="AP283" s="109">
        <f>IF(SUM(AO283:AO285)+AO297=0,0,IF(SUM(ABS(AO283),ABS(AO284),ABS(AO285))=AO297,0.5,IF(SUM(ABS(AO283),ABS(AO284),ABS(AO285))&gt;AO297,1,0)))</f>
        <v>1</v>
      </c>
      <c r="AQ283" s="188">
        <v>211</v>
      </c>
      <c r="AR283" s="109">
        <f>IF(SUM(AQ283:AQ285)+AQ297=0,0,IF(SUM(ABS(AQ283),ABS(AQ284),ABS(AQ285))=AQ297,0.5,IF(SUM(ABS(AQ283),ABS(AQ284),ABS(AQ285))&gt;AQ297,1,0)))</f>
        <v>1</v>
      </c>
      <c r="AS283" s="188">
        <v>155</v>
      </c>
      <c r="AT283" s="109">
        <f>IF(SUM(AS283:AS285)+AS297=0,0,IF(SUM(ABS(AS283),ABS(AS284),ABS(AS285))=AS297,0.5,IF(SUM(ABS(AS283),ABS(AS284),ABS(AS285))&gt;AS297,1,0)))</f>
        <v>0</v>
      </c>
      <c r="AU283" s="110">
        <f t="shared" si="339"/>
        <v>1639</v>
      </c>
      <c r="AV283" s="111">
        <f>SUM(AD283+AF283+AH283+AJ283+AL283+AN283+AP283+AR283+AT283)</f>
        <v>6</v>
      </c>
      <c r="AW283" s="101"/>
      <c r="AX283" s="102"/>
      <c r="AZ283" s="63"/>
      <c r="BA283" s="212"/>
      <c r="BB283" s="213"/>
      <c r="BC283" s="214"/>
      <c r="BD283" s="217">
        <f t="shared" si="354"/>
        <v>7578</v>
      </c>
      <c r="BE283" s="213">
        <f t="shared" si="355"/>
        <v>1639</v>
      </c>
      <c r="BF283" s="215">
        <f t="shared" si="356"/>
        <v>9</v>
      </c>
      <c r="BG283" s="215">
        <f t="shared" si="357"/>
        <v>9</v>
      </c>
      <c r="BH283" s="215">
        <f t="shared" si="340"/>
        <v>212</v>
      </c>
      <c r="BI283" s="215">
        <f t="shared" si="341"/>
        <v>172</v>
      </c>
      <c r="BJ283" s="215">
        <f t="shared" si="342"/>
        <v>202</v>
      </c>
      <c r="BK283" s="215">
        <f t="shared" si="343"/>
        <v>157</v>
      </c>
      <c r="BL283" s="215">
        <f t="shared" si="344"/>
        <v>170</v>
      </c>
      <c r="BM283" s="215">
        <f t="shared" si="345"/>
        <v>173</v>
      </c>
      <c r="BN283" s="215">
        <f t="shared" si="346"/>
        <v>187</v>
      </c>
      <c r="BO283" s="215">
        <f t="shared" si="347"/>
        <v>211</v>
      </c>
      <c r="BP283" s="215">
        <f t="shared" si="348"/>
        <v>155</v>
      </c>
      <c r="BQ283" s="216"/>
      <c r="BR283" s="214"/>
      <c r="BS283" s="215">
        <f t="shared" si="358"/>
        <v>212</v>
      </c>
      <c r="BT283" s="215">
        <f t="shared" si="359"/>
        <v>0</v>
      </c>
      <c r="BU283" s="215" t="str">
        <f t="shared" si="360"/>
        <v>BK München 4</v>
      </c>
      <c r="BV283" s="214">
        <f t="shared" si="361"/>
        <v>2</v>
      </c>
      <c r="BW283" s="215">
        <f t="shared" si="362"/>
        <v>1639</v>
      </c>
      <c r="BX283" s="215">
        <f>IF(COUNTIF(BH283:BP283,"&gt;0")&lt;Spielorte!$A$23,0,BE283/Spielorte!$A$23)</f>
        <v>182.11111111111111</v>
      </c>
      <c r="BY283" s="215">
        <f t="shared" si="363"/>
        <v>0</v>
      </c>
      <c r="BZ283" s="214">
        <f t="shared" si="349"/>
        <v>0</v>
      </c>
    </row>
    <row r="284" spans="1:78" ht="17.2" customHeight="1" x14ac:dyDescent="0.35">
      <c r="A284" s="368"/>
      <c r="B284" s="76" t="str">
        <f t="shared" si="350"/>
        <v/>
      </c>
      <c r="C284" s="77" t="str">
        <f t="shared" si="351"/>
        <v/>
      </c>
      <c r="D284" s="78" t="str">
        <f t="shared" si="352"/>
        <v/>
      </c>
      <c r="E284" s="349"/>
      <c r="F284" s="78" t="str">
        <f t="shared" si="331"/>
        <v/>
      </c>
      <c r="G284" s="349"/>
      <c r="H284" s="78" t="str">
        <f t="shared" si="332"/>
        <v/>
      </c>
      <c r="I284" s="349"/>
      <c r="J284" s="78" t="str">
        <f t="shared" si="333"/>
        <v/>
      </c>
      <c r="K284" s="349"/>
      <c r="L284" s="78" t="str">
        <f t="shared" si="334"/>
        <v/>
      </c>
      <c r="M284" s="349"/>
      <c r="N284" s="78" t="str">
        <f t="shared" si="353"/>
        <v/>
      </c>
      <c r="O284" s="349"/>
      <c r="P284" s="78" t="str">
        <f t="shared" si="335"/>
        <v/>
      </c>
      <c r="Q284" s="349"/>
      <c r="R284" s="78" t="str">
        <f t="shared" si="336"/>
        <v/>
      </c>
      <c r="S284" s="349"/>
      <c r="T284" s="78" t="str">
        <f t="shared" si="337"/>
        <v/>
      </c>
      <c r="U284" s="349"/>
      <c r="V284" s="78" t="str">
        <f t="shared" si="338"/>
        <v/>
      </c>
      <c r="W284" s="349"/>
      <c r="Z284" s="352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39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54"/>
        <v>0</v>
      </c>
      <c r="BE284" s="213">
        <f t="shared" si="355"/>
        <v>0</v>
      </c>
      <c r="BF284" s="215">
        <f t="shared" si="356"/>
        <v>0</v>
      </c>
      <c r="BG284" s="215">
        <f t="shared" si="357"/>
        <v>0</v>
      </c>
      <c r="BH284" s="215" t="str">
        <f t="shared" si="340"/>
        <v/>
      </c>
      <c r="BI284" s="215" t="str">
        <f t="shared" si="341"/>
        <v/>
      </c>
      <c r="BJ284" s="215" t="str">
        <f t="shared" si="342"/>
        <v/>
      </c>
      <c r="BK284" s="215" t="str">
        <f t="shared" si="343"/>
        <v/>
      </c>
      <c r="BL284" s="215" t="str">
        <f t="shared" si="344"/>
        <v/>
      </c>
      <c r="BM284" s="215" t="str">
        <f t="shared" si="345"/>
        <v/>
      </c>
      <c r="BN284" s="215" t="str">
        <f t="shared" si="346"/>
        <v/>
      </c>
      <c r="BO284" s="215" t="str">
        <f t="shared" si="347"/>
        <v/>
      </c>
      <c r="BP284" s="215" t="str">
        <f t="shared" si="348"/>
        <v/>
      </c>
      <c r="BQ284" s="216"/>
      <c r="BR284" s="214"/>
      <c r="BS284" s="215">
        <f t="shared" si="358"/>
        <v>0</v>
      </c>
      <c r="BT284" s="215">
        <f t="shared" si="359"/>
        <v>0</v>
      </c>
      <c r="BU284" s="215" t="str">
        <f t="shared" si="360"/>
        <v>BK München 4</v>
      </c>
      <c r="BV284" s="214">
        <f t="shared" si="361"/>
        <v>2</v>
      </c>
      <c r="BW284" s="215">
        <f t="shared" si="362"/>
        <v>0</v>
      </c>
      <c r="BX284" s="215">
        <f>IF(COUNTIF(BH284:BP284,"&gt;0")&lt;Spielorte!$A$23,0,BE284/Spielorte!$A$23)</f>
        <v>0</v>
      </c>
      <c r="BY284" s="215">
        <f t="shared" si="363"/>
        <v>0</v>
      </c>
      <c r="BZ284" s="214">
        <f t="shared" si="349"/>
        <v>0</v>
      </c>
    </row>
    <row r="285" spans="1:78" ht="17.2" customHeight="1" thickBot="1" x14ac:dyDescent="0.4">
      <c r="A285" s="369"/>
      <c r="B285" s="79" t="str">
        <f t="shared" si="350"/>
        <v/>
      </c>
      <c r="C285" s="80" t="str">
        <f t="shared" si="351"/>
        <v/>
      </c>
      <c r="D285" s="69" t="str">
        <f t="shared" si="352"/>
        <v/>
      </c>
      <c r="E285" s="350"/>
      <c r="F285" s="69" t="str">
        <f t="shared" si="331"/>
        <v/>
      </c>
      <c r="G285" s="350"/>
      <c r="H285" s="69" t="str">
        <f t="shared" si="332"/>
        <v/>
      </c>
      <c r="I285" s="350"/>
      <c r="J285" s="69" t="str">
        <f t="shared" si="333"/>
        <v/>
      </c>
      <c r="K285" s="350"/>
      <c r="L285" s="69" t="str">
        <f t="shared" si="334"/>
        <v/>
      </c>
      <c r="M285" s="350"/>
      <c r="N285" s="69" t="str">
        <f t="shared" si="353"/>
        <v/>
      </c>
      <c r="O285" s="350"/>
      <c r="P285" s="69" t="str">
        <f t="shared" si="335"/>
        <v/>
      </c>
      <c r="Q285" s="350"/>
      <c r="R285" s="69" t="str">
        <f t="shared" si="336"/>
        <v/>
      </c>
      <c r="S285" s="350"/>
      <c r="T285" s="69" t="str">
        <f t="shared" si="337"/>
        <v/>
      </c>
      <c r="U285" s="350"/>
      <c r="V285" s="69" t="str">
        <f t="shared" si="338"/>
        <v/>
      </c>
      <c r="W285" s="350"/>
      <c r="Z285" s="353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39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54"/>
        <v>0</v>
      </c>
      <c r="BE285" s="213">
        <f t="shared" si="355"/>
        <v>0</v>
      </c>
      <c r="BF285" s="215">
        <f t="shared" si="356"/>
        <v>0</v>
      </c>
      <c r="BG285" s="215">
        <f t="shared" si="357"/>
        <v>0</v>
      </c>
      <c r="BH285" s="215" t="str">
        <f t="shared" si="340"/>
        <v/>
      </c>
      <c r="BI285" s="215" t="str">
        <f t="shared" si="341"/>
        <v/>
      </c>
      <c r="BJ285" s="215" t="str">
        <f t="shared" si="342"/>
        <v/>
      </c>
      <c r="BK285" s="215" t="str">
        <f t="shared" si="343"/>
        <v/>
      </c>
      <c r="BL285" s="215" t="str">
        <f t="shared" si="344"/>
        <v/>
      </c>
      <c r="BM285" s="215" t="str">
        <f t="shared" si="345"/>
        <v/>
      </c>
      <c r="BN285" s="215" t="str">
        <f t="shared" si="346"/>
        <v/>
      </c>
      <c r="BO285" s="215" t="str">
        <f t="shared" si="347"/>
        <v/>
      </c>
      <c r="BP285" s="215" t="str">
        <f t="shared" si="348"/>
        <v/>
      </c>
      <c r="BQ285" s="216"/>
      <c r="BR285" s="214"/>
      <c r="BS285" s="215">
        <f t="shared" si="358"/>
        <v>0</v>
      </c>
      <c r="BT285" s="215">
        <f t="shared" si="359"/>
        <v>0</v>
      </c>
      <c r="BU285" s="215" t="str">
        <f t="shared" si="360"/>
        <v>BK München 4</v>
      </c>
      <c r="BV285" s="214">
        <f t="shared" si="361"/>
        <v>2</v>
      </c>
      <c r="BW285" s="215">
        <f t="shared" si="362"/>
        <v>0</v>
      </c>
      <c r="BX285" s="215">
        <f>IF(COUNTIF(BH285:BP285,"&gt;0")&lt;Spielorte!$A$23,0,BE285/Spielorte!$A$23)</f>
        <v>0</v>
      </c>
      <c r="BY285" s="215">
        <f t="shared" si="363"/>
        <v>0</v>
      </c>
      <c r="BZ285" s="214">
        <f t="shared" si="349"/>
        <v>0</v>
      </c>
    </row>
    <row r="286" spans="1:78" ht="17.2" customHeight="1" x14ac:dyDescent="0.35">
      <c r="A286" s="367" t="s">
        <v>11</v>
      </c>
      <c r="B286" s="73" t="str">
        <f>IF(AA286=0,"",AA286)</f>
        <v>Clemenz, Brigitte</v>
      </c>
      <c r="C286" s="74">
        <f t="shared" si="351"/>
        <v>7574</v>
      </c>
      <c r="D286" s="75">
        <f t="shared" si="352"/>
        <v>203</v>
      </c>
      <c r="E286" s="348">
        <f>IF(AD286="","",AD286)</f>
        <v>0</v>
      </c>
      <c r="F286" s="75">
        <f t="shared" si="331"/>
        <v>166</v>
      </c>
      <c r="G286" s="348">
        <f>IF(AF286="","",AF286)</f>
        <v>1</v>
      </c>
      <c r="H286" s="75">
        <f t="shared" si="332"/>
        <v>179</v>
      </c>
      <c r="I286" s="348">
        <f>IF(AH286="","",AH286)</f>
        <v>1</v>
      </c>
      <c r="J286" s="75">
        <f t="shared" si="333"/>
        <v>189</v>
      </c>
      <c r="K286" s="348">
        <f>IF(AJ286="","",AJ286)</f>
        <v>1</v>
      </c>
      <c r="L286" s="75">
        <f t="shared" si="334"/>
        <v>160</v>
      </c>
      <c r="M286" s="348">
        <f>IF(AL286="","",AL286)</f>
        <v>0</v>
      </c>
      <c r="N286" s="75">
        <f t="shared" si="353"/>
        <v>204</v>
      </c>
      <c r="O286" s="348">
        <f>IF(AN286="","",AN286)</f>
        <v>1</v>
      </c>
      <c r="P286" s="75">
        <f t="shared" si="335"/>
        <v>190</v>
      </c>
      <c r="Q286" s="348">
        <f>IF(AP286="","",AP286)</f>
        <v>0</v>
      </c>
      <c r="R286" s="75">
        <f t="shared" si="336"/>
        <v>188</v>
      </c>
      <c r="S286" s="348">
        <f>IF(AR286="","",AR286)</f>
        <v>1</v>
      </c>
      <c r="T286" s="75">
        <f t="shared" si="337"/>
        <v>168</v>
      </c>
      <c r="U286" s="348">
        <f>IF(AT286="","",AT286)</f>
        <v>0</v>
      </c>
      <c r="V286" s="75">
        <f t="shared" si="338"/>
        <v>1647</v>
      </c>
      <c r="W286" s="348">
        <f>IF(AV286="","",AV286)</f>
        <v>5</v>
      </c>
      <c r="Z286" s="351" t="s">
        <v>11</v>
      </c>
      <c r="AA286" s="108" t="str">
        <f>IF(AB286=0,"",VLOOKUP(AB286,Starter!$A$1:$D$199,2,FALSE))</f>
        <v>Clemenz, Brigitte</v>
      </c>
      <c r="AB286" s="99">
        <v>7574</v>
      </c>
      <c r="AC286" s="188">
        <v>203</v>
      </c>
      <c r="AD286" s="109">
        <f>IF(SUM(AC286:AC288)+AC298=0,0,IF(SUM(ABS(AC286),ABS(AC287),ABS(AC288))=AC298,0.5,IF(SUM(ABS(AC286),ABS(AC287),ABS(AC288))&gt;AC298,1,0)))</f>
        <v>0</v>
      </c>
      <c r="AE286" s="188">
        <v>166</v>
      </c>
      <c r="AF286" s="109">
        <f>IF(SUM(AE286:AE288)+AE298=0,0,IF(SUM(ABS(AE286),ABS(AE287),ABS(AE288))=AE298,0.5,IF(SUM(ABS(AE286),ABS(AE287),ABS(AE288))&gt;AE298,1,0)))</f>
        <v>1</v>
      </c>
      <c r="AG286" s="188">
        <v>179</v>
      </c>
      <c r="AH286" s="109">
        <f>IF(SUM(AG286:AG288)+AG298=0,0,IF(SUM(ABS(AG286),ABS(AG287),ABS(AG288))=AG298,0.5,IF(SUM(ABS(AG286),ABS(AG287),ABS(AG288))&gt;AG298,1,0)))</f>
        <v>1</v>
      </c>
      <c r="AI286" s="188">
        <v>189</v>
      </c>
      <c r="AJ286" s="109">
        <f>IF(SUM(AI286:AI288)+AI298=0,0,IF(SUM(ABS(AI286),ABS(AI287),ABS(AI288))=AI298,0.5,IF(SUM(ABS(AI286),ABS(AI287),ABS(AI288))&gt;AI298,1,0)))</f>
        <v>1</v>
      </c>
      <c r="AK286" s="188">
        <v>160</v>
      </c>
      <c r="AL286" s="109">
        <f>IF(SUM(AK286:AK288)+AK298=0,0,IF(SUM(ABS(AK286),ABS(AK287),ABS(AK288))=AK298,0.5,IF(SUM(ABS(AK286),ABS(AK287),ABS(AK288))&gt;AK298,1,0)))</f>
        <v>0</v>
      </c>
      <c r="AM286" s="188">
        <v>204</v>
      </c>
      <c r="AN286" s="109">
        <f>IF(SUM(AM286:AM288)+AM298=0,0,IF(SUM(ABS(AM286),ABS(AM287),ABS(AM288))=AM298,0.5,IF(SUM(ABS(AM286),ABS(AM287),ABS(AM288))&gt;AM298,1,0)))</f>
        <v>1</v>
      </c>
      <c r="AO286" s="188">
        <v>190</v>
      </c>
      <c r="AP286" s="109">
        <f>IF(SUM(AO286:AO288)+AO298=0,0,IF(SUM(ABS(AO286),ABS(AO287),ABS(AO288))=AO298,0.5,IF(SUM(ABS(AO286),ABS(AO287),ABS(AO288))&gt;AO298,1,0)))</f>
        <v>0</v>
      </c>
      <c r="AQ286" s="188">
        <v>188</v>
      </c>
      <c r="AR286" s="109">
        <f>IF(SUM(AQ286:AQ288)+AQ298=0,0,IF(SUM(ABS(AQ286),ABS(AQ287),ABS(AQ288))=AQ298,0.5,IF(SUM(ABS(AQ286),ABS(AQ287),ABS(AQ288))&gt;AQ298,1,0)))</f>
        <v>1</v>
      </c>
      <c r="AS286" s="188">
        <v>168</v>
      </c>
      <c r="AT286" s="109">
        <f>IF(SUM(AS286:AS288)+AS298=0,0,IF(SUM(ABS(AS286),ABS(AS287),ABS(AS288))=AS298,0.5,IF(SUM(ABS(AS286),ABS(AS287),ABS(AS288))&gt;AS298,1,0)))</f>
        <v>0</v>
      </c>
      <c r="AU286" s="110">
        <f t="shared" si="339"/>
        <v>1647</v>
      </c>
      <c r="AV286" s="111">
        <f>SUM(AD286+AF286+AH286+AJ286+AL286+AN286+AP286+AR286+AT286)</f>
        <v>5</v>
      </c>
      <c r="AW286" s="101"/>
      <c r="AX286" s="102"/>
      <c r="AZ286" s="63"/>
      <c r="BA286" s="212"/>
      <c r="BB286" s="213"/>
      <c r="BC286" s="214"/>
      <c r="BD286" s="217">
        <f t="shared" si="354"/>
        <v>7574</v>
      </c>
      <c r="BE286" s="213">
        <f t="shared" si="355"/>
        <v>1647</v>
      </c>
      <c r="BF286" s="215">
        <f t="shared" si="356"/>
        <v>9</v>
      </c>
      <c r="BG286" s="215">
        <f t="shared" si="357"/>
        <v>9</v>
      </c>
      <c r="BH286" s="215">
        <f t="shared" si="340"/>
        <v>203</v>
      </c>
      <c r="BI286" s="215">
        <f t="shared" si="341"/>
        <v>166</v>
      </c>
      <c r="BJ286" s="215">
        <f t="shared" si="342"/>
        <v>179</v>
      </c>
      <c r="BK286" s="215">
        <f t="shared" si="343"/>
        <v>189</v>
      </c>
      <c r="BL286" s="215">
        <f t="shared" si="344"/>
        <v>160</v>
      </c>
      <c r="BM286" s="215">
        <f t="shared" si="345"/>
        <v>204</v>
      </c>
      <c r="BN286" s="215">
        <f t="shared" si="346"/>
        <v>190</v>
      </c>
      <c r="BO286" s="215">
        <f t="shared" si="347"/>
        <v>188</v>
      </c>
      <c r="BP286" s="215">
        <f t="shared" si="348"/>
        <v>168</v>
      </c>
      <c r="BQ286" s="216"/>
      <c r="BR286" s="214"/>
      <c r="BS286" s="215">
        <f t="shared" si="358"/>
        <v>204</v>
      </c>
      <c r="BT286" s="215">
        <f t="shared" si="359"/>
        <v>0</v>
      </c>
      <c r="BU286" s="215" t="str">
        <f t="shared" si="360"/>
        <v>BK München 4</v>
      </c>
      <c r="BV286" s="214">
        <f t="shared" si="361"/>
        <v>2</v>
      </c>
      <c r="BW286" s="215">
        <f t="shared" si="362"/>
        <v>1647</v>
      </c>
      <c r="BX286" s="215">
        <f>IF(COUNTIF(BH286:BP286,"&gt;0")&lt;Spielorte!$A$23,0,BE286/Spielorte!$A$23)</f>
        <v>183</v>
      </c>
      <c r="BY286" s="215">
        <f t="shared" si="363"/>
        <v>0</v>
      </c>
      <c r="BZ286" s="214">
        <f t="shared" si="349"/>
        <v>0</v>
      </c>
    </row>
    <row r="287" spans="1:78" ht="17.2" customHeight="1" x14ac:dyDescent="0.35">
      <c r="A287" s="368"/>
      <c r="B287" s="76" t="str">
        <f>IF(AA287=0,"",AA287)</f>
        <v/>
      </c>
      <c r="C287" s="77" t="str">
        <f t="shared" si="351"/>
        <v/>
      </c>
      <c r="D287" s="78" t="str">
        <f t="shared" si="352"/>
        <v/>
      </c>
      <c r="E287" s="349"/>
      <c r="F287" s="78" t="str">
        <f t="shared" si="331"/>
        <v/>
      </c>
      <c r="G287" s="349"/>
      <c r="H287" s="78" t="str">
        <f t="shared" si="332"/>
        <v/>
      </c>
      <c r="I287" s="349"/>
      <c r="J287" s="78" t="str">
        <f t="shared" si="333"/>
        <v/>
      </c>
      <c r="K287" s="349"/>
      <c r="L287" s="78" t="str">
        <f t="shared" si="334"/>
        <v/>
      </c>
      <c r="M287" s="349"/>
      <c r="N287" s="78" t="str">
        <f t="shared" si="353"/>
        <v/>
      </c>
      <c r="O287" s="349"/>
      <c r="P287" s="78" t="str">
        <f t="shared" si="335"/>
        <v/>
      </c>
      <c r="Q287" s="349"/>
      <c r="R287" s="78" t="str">
        <f t="shared" si="336"/>
        <v/>
      </c>
      <c r="S287" s="349"/>
      <c r="T287" s="78" t="str">
        <f t="shared" si="337"/>
        <v/>
      </c>
      <c r="U287" s="349"/>
      <c r="V287" s="78" t="str">
        <f t="shared" si="338"/>
        <v/>
      </c>
      <c r="W287" s="349"/>
      <c r="Z287" s="352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39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54"/>
        <v>0</v>
      </c>
      <c r="BE287" s="213">
        <f t="shared" si="355"/>
        <v>0</v>
      </c>
      <c r="BF287" s="215">
        <f t="shared" si="356"/>
        <v>0</v>
      </c>
      <c r="BG287" s="215">
        <f t="shared" si="357"/>
        <v>0</v>
      </c>
      <c r="BH287" s="215" t="str">
        <f t="shared" si="340"/>
        <v/>
      </c>
      <c r="BI287" s="215" t="str">
        <f t="shared" si="341"/>
        <v/>
      </c>
      <c r="BJ287" s="215" t="str">
        <f t="shared" si="342"/>
        <v/>
      </c>
      <c r="BK287" s="215" t="str">
        <f t="shared" si="343"/>
        <v/>
      </c>
      <c r="BL287" s="215" t="str">
        <f t="shared" si="344"/>
        <v/>
      </c>
      <c r="BM287" s="215" t="str">
        <f t="shared" si="345"/>
        <v/>
      </c>
      <c r="BN287" s="215" t="str">
        <f t="shared" si="346"/>
        <v/>
      </c>
      <c r="BO287" s="215" t="str">
        <f t="shared" si="347"/>
        <v/>
      </c>
      <c r="BP287" s="215" t="str">
        <f t="shared" si="348"/>
        <v/>
      </c>
      <c r="BQ287" s="216"/>
      <c r="BR287" s="214"/>
      <c r="BS287" s="215">
        <f t="shared" si="358"/>
        <v>0</v>
      </c>
      <c r="BT287" s="215">
        <f t="shared" si="359"/>
        <v>0</v>
      </c>
      <c r="BU287" s="215" t="str">
        <f t="shared" si="360"/>
        <v>BK München 4</v>
      </c>
      <c r="BV287" s="214">
        <f t="shared" si="361"/>
        <v>2</v>
      </c>
      <c r="BW287" s="215">
        <f t="shared" si="362"/>
        <v>0</v>
      </c>
      <c r="BX287" s="215">
        <f>IF(COUNTIF(BH287:BP287,"&gt;0")&lt;Spielorte!$A$23,0,BE287/Spielorte!$A$23)</f>
        <v>0</v>
      </c>
      <c r="BY287" s="215">
        <f t="shared" si="363"/>
        <v>0</v>
      </c>
      <c r="BZ287" s="214">
        <f t="shared" si="349"/>
        <v>0</v>
      </c>
    </row>
    <row r="288" spans="1:78" ht="17.2" customHeight="1" thickBot="1" x14ac:dyDescent="0.4">
      <c r="A288" s="369"/>
      <c r="B288" s="79" t="str">
        <f>IF(AA288=0,"",AA288)</f>
        <v/>
      </c>
      <c r="C288" s="80" t="str">
        <f t="shared" si="351"/>
        <v/>
      </c>
      <c r="D288" s="69" t="str">
        <f t="shared" si="352"/>
        <v/>
      </c>
      <c r="E288" s="350"/>
      <c r="F288" s="69" t="str">
        <f t="shared" si="331"/>
        <v/>
      </c>
      <c r="G288" s="350"/>
      <c r="H288" s="69" t="str">
        <f t="shared" si="332"/>
        <v/>
      </c>
      <c r="I288" s="350"/>
      <c r="J288" s="69" t="str">
        <f t="shared" si="333"/>
        <v/>
      </c>
      <c r="K288" s="350"/>
      <c r="L288" s="69" t="str">
        <f t="shared" si="334"/>
        <v/>
      </c>
      <c r="M288" s="350"/>
      <c r="N288" s="69" t="str">
        <f t="shared" si="353"/>
        <v/>
      </c>
      <c r="O288" s="350"/>
      <c r="P288" s="69" t="str">
        <f t="shared" si="335"/>
        <v/>
      </c>
      <c r="Q288" s="350"/>
      <c r="R288" s="69" t="str">
        <f t="shared" si="336"/>
        <v/>
      </c>
      <c r="S288" s="350"/>
      <c r="T288" s="69" t="str">
        <f t="shared" si="337"/>
        <v/>
      </c>
      <c r="U288" s="350"/>
      <c r="V288" s="69" t="str">
        <f t="shared" si="338"/>
        <v/>
      </c>
      <c r="W288" s="350"/>
      <c r="Z288" s="353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39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54"/>
        <v>0</v>
      </c>
      <c r="BE288" s="213">
        <f t="shared" si="355"/>
        <v>0</v>
      </c>
      <c r="BF288" s="215">
        <f t="shared" si="356"/>
        <v>0</v>
      </c>
      <c r="BG288" s="215">
        <f t="shared" si="357"/>
        <v>0</v>
      </c>
      <c r="BH288" s="215" t="str">
        <f t="shared" si="340"/>
        <v/>
      </c>
      <c r="BI288" s="215" t="str">
        <f t="shared" si="341"/>
        <v/>
      </c>
      <c r="BJ288" s="215" t="str">
        <f t="shared" si="342"/>
        <v/>
      </c>
      <c r="BK288" s="215" t="str">
        <f t="shared" si="343"/>
        <v/>
      </c>
      <c r="BL288" s="215" t="str">
        <f t="shared" si="344"/>
        <v/>
      </c>
      <c r="BM288" s="215" t="str">
        <f t="shared" si="345"/>
        <v/>
      </c>
      <c r="BN288" s="215" t="str">
        <f t="shared" si="346"/>
        <v/>
      </c>
      <c r="BO288" s="215" t="str">
        <f t="shared" si="347"/>
        <v/>
      </c>
      <c r="BP288" s="215" t="str">
        <f t="shared" si="348"/>
        <v/>
      </c>
      <c r="BQ288" s="216"/>
      <c r="BR288" s="214"/>
      <c r="BS288" s="215">
        <f t="shared" si="358"/>
        <v>0</v>
      </c>
      <c r="BT288" s="215">
        <f t="shared" si="359"/>
        <v>0</v>
      </c>
      <c r="BU288" s="215" t="str">
        <f t="shared" si="360"/>
        <v>BK München 4</v>
      </c>
      <c r="BV288" s="214">
        <f t="shared" si="361"/>
        <v>2</v>
      </c>
      <c r="BW288" s="215">
        <f t="shared" si="362"/>
        <v>0</v>
      </c>
      <c r="BX288" s="215">
        <f>IF(COUNTIF(BH288:BP288,"&gt;0")&lt;Spielorte!$A$23,0,BE288/Spielorte!$A$23)</f>
        <v>0</v>
      </c>
      <c r="BY288" s="215">
        <f t="shared" si="363"/>
        <v>0</v>
      </c>
      <c r="BZ288" s="214">
        <f t="shared" si="349"/>
        <v>0</v>
      </c>
    </row>
    <row r="289" spans="2:78" ht="27.75" customHeight="1" thickBot="1" x14ac:dyDescent="0.4">
      <c r="B289" s="81" t="str">
        <f>IF(AA289=0,"",AA289)</f>
        <v>Gesamt</v>
      </c>
      <c r="C289" s="82" t="str">
        <f t="shared" si="351"/>
        <v/>
      </c>
      <c r="D289" s="83">
        <f t="shared" si="352"/>
        <v>743</v>
      </c>
      <c r="E289" s="84">
        <f>IF(AD289="","",AD289)</f>
        <v>2</v>
      </c>
      <c r="F289" s="83">
        <f t="shared" si="331"/>
        <v>650</v>
      </c>
      <c r="G289" s="84">
        <f>IF(AF289="","",AF289)</f>
        <v>0</v>
      </c>
      <c r="H289" s="83">
        <f t="shared" si="332"/>
        <v>686</v>
      </c>
      <c r="I289" s="84">
        <f>IF(AH289="","",AH289)</f>
        <v>2</v>
      </c>
      <c r="J289" s="83">
        <f t="shared" si="333"/>
        <v>665</v>
      </c>
      <c r="K289" s="84">
        <f>IF(AJ289="","",AJ289)</f>
        <v>2</v>
      </c>
      <c r="L289" s="83">
        <f t="shared" si="334"/>
        <v>674</v>
      </c>
      <c r="M289" s="84">
        <f>IF(AL289="","",AL289)</f>
        <v>0</v>
      </c>
      <c r="N289" s="83">
        <f t="shared" si="353"/>
        <v>655</v>
      </c>
      <c r="O289" s="84">
        <f>IF(AN289="","",AN289)</f>
        <v>2</v>
      </c>
      <c r="P289" s="83">
        <f t="shared" si="335"/>
        <v>718</v>
      </c>
      <c r="Q289" s="84">
        <f>IF(AP289="","",AP289)</f>
        <v>0</v>
      </c>
      <c r="R289" s="83">
        <f t="shared" si="336"/>
        <v>721</v>
      </c>
      <c r="S289" s="84">
        <f>IF(AR289="","",AR289)</f>
        <v>2</v>
      </c>
      <c r="T289" s="83">
        <f t="shared" si="337"/>
        <v>706</v>
      </c>
      <c r="U289" s="84">
        <f>IF(AT289="","",AT289)</f>
        <v>2</v>
      </c>
      <c r="V289" s="83">
        <f t="shared" si="338"/>
        <v>6218</v>
      </c>
      <c r="W289" s="84">
        <f>IF(AV289="","",AV289)</f>
        <v>12</v>
      </c>
      <c r="AA289" s="81" t="s">
        <v>1799</v>
      </c>
      <c r="AB289" s="120"/>
      <c r="AC289" s="211">
        <f>ABS(SUM(AC277:AC279))+ABS(SUM(AC280:AC282))+ABS(SUM(AC283:AC285))+ABS(SUM(AC286:AC288))</f>
        <v>743</v>
      </c>
      <c r="AD289" s="121">
        <f>IF(AC289+AC299=0,0,IF(AC289=AC299,1,IF(AC289&gt;AC299,2,0)))</f>
        <v>2</v>
      </c>
      <c r="AE289" s="211">
        <f>ABS(SUM(AE277:AE279))+ABS(SUM(AE280:AE282))+ABS(SUM(AE283:AE285))+ABS(SUM(AE286:AE288))</f>
        <v>650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686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665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674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655</v>
      </c>
      <c r="AN289" s="121">
        <f>IF(AM289+AM299=0,0,IF(AM289=AM299,1,IF(AM289&gt;AM299,2,0)))</f>
        <v>2</v>
      </c>
      <c r="AO289" s="211">
        <f>ABS(SUM(AO277:AO279))+ABS(SUM(AO280:AO282))+ABS(SUM(AO283:AO285))+ABS(SUM(AO286:AO288))</f>
        <v>718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721</v>
      </c>
      <c r="AR289" s="121">
        <f>IF(AQ289+AQ299=0,0,IF(AQ289=AQ299,1,IF(AQ289&gt;AQ299,2,0)))</f>
        <v>2</v>
      </c>
      <c r="AS289" s="211">
        <f>ABS(SUM(AS277:AS279))+ABS(SUM(AS280:AS282))+ABS(SUM(AS283:AS285))+ABS(SUM(AS286:AS288))</f>
        <v>706</v>
      </c>
      <c r="AT289" s="121">
        <f>IF(AS289+AS299=0,0,IF(AS289=AS299,1,IF(AS289&gt;AS299,2,0)))</f>
        <v>2</v>
      </c>
      <c r="AU289" s="122">
        <f>SUM(AC289+AE289+AG289+AI289+AK289+AM289+AO289+AQ289+AS289)</f>
        <v>6218</v>
      </c>
      <c r="AV289" s="123">
        <f>SUM(AD289+AF289+AH289+AJ289+AL289+AN289+AP289+AR289+AT289)</f>
        <v>12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4">
      <c r="B290" s="85" t="str">
        <f>IF(AA290=0,"",AA290)</f>
        <v>Gesamt - Punkte</v>
      </c>
      <c r="C290" s="86" t="str">
        <f t="shared" si="351"/>
        <v/>
      </c>
      <c r="D290" s="86" t="str">
        <f t="shared" si="352"/>
        <v/>
      </c>
      <c r="E290" s="87">
        <f>IF(AD290="","",AD290)</f>
        <v>4</v>
      </c>
      <c r="F290" s="86" t="str">
        <f t="shared" si="331"/>
        <v/>
      </c>
      <c r="G290" s="87">
        <f>IF(AF290="","",AF290)</f>
        <v>1</v>
      </c>
      <c r="H290" s="86" t="str">
        <f t="shared" si="332"/>
        <v/>
      </c>
      <c r="I290" s="87">
        <f>IF(AH290="","",AH290)</f>
        <v>5</v>
      </c>
      <c r="J290" s="86" t="str">
        <f t="shared" si="333"/>
        <v/>
      </c>
      <c r="K290" s="87">
        <f>IF(AJ290="","",AJ290)</f>
        <v>6</v>
      </c>
      <c r="L290" s="86" t="str">
        <f t="shared" si="334"/>
        <v/>
      </c>
      <c r="M290" s="87">
        <f>IF(AL290="","",AL290)</f>
        <v>1</v>
      </c>
      <c r="N290" s="86" t="str">
        <f t="shared" si="353"/>
        <v/>
      </c>
      <c r="O290" s="87">
        <f>IF(AN290="","",AN290)</f>
        <v>4</v>
      </c>
      <c r="P290" s="86" t="str">
        <f t="shared" si="335"/>
        <v/>
      </c>
      <c r="Q290" s="87">
        <f>IF(AP290="","",AP290)</f>
        <v>1</v>
      </c>
      <c r="R290" s="86" t="str">
        <f t="shared" si="336"/>
        <v/>
      </c>
      <c r="S290" s="87">
        <f>IF(AR290="","",AR290)</f>
        <v>4</v>
      </c>
      <c r="T290" s="86" t="str">
        <f t="shared" si="337"/>
        <v/>
      </c>
      <c r="U290" s="87">
        <f>IF(AT290="","",AT290)</f>
        <v>4</v>
      </c>
      <c r="V290" s="86" t="str">
        <f t="shared" si="338"/>
        <v/>
      </c>
      <c r="W290" s="87">
        <f>IF(AV290="","",AV290)</f>
        <v>30</v>
      </c>
      <c r="AA290" s="85" t="s">
        <v>1814</v>
      </c>
      <c r="AB290" s="86"/>
      <c r="AC290" s="86"/>
      <c r="AD290" s="124">
        <f>SUM(AD277:AD289)</f>
        <v>4</v>
      </c>
      <c r="AE290" s="86"/>
      <c r="AF290" s="124">
        <f>SUM(AF277:AF289)</f>
        <v>1</v>
      </c>
      <c r="AG290" s="86"/>
      <c r="AH290" s="124">
        <f>SUM(AH277:AH289)</f>
        <v>5</v>
      </c>
      <c r="AI290" s="86"/>
      <c r="AJ290" s="124">
        <f>SUM(AJ277:AJ289)</f>
        <v>6</v>
      </c>
      <c r="AK290" s="86"/>
      <c r="AL290" s="124">
        <f>SUM(AL277:AL289)</f>
        <v>1</v>
      </c>
      <c r="AM290" s="86"/>
      <c r="AN290" s="124">
        <f>SUM(AN277:AN289)</f>
        <v>4</v>
      </c>
      <c r="AO290" s="86"/>
      <c r="AP290" s="124">
        <f>SUM(AP277:AP289)</f>
        <v>1</v>
      </c>
      <c r="AQ290" s="86"/>
      <c r="AR290" s="124">
        <f>SUM(AR277:AR289)</f>
        <v>4</v>
      </c>
      <c r="AS290" s="86"/>
      <c r="AT290" s="124">
        <f>SUM(AT277:AT289)</f>
        <v>4</v>
      </c>
      <c r="AU290" s="86"/>
      <c r="AV290" s="125">
        <f>SUM(AV277:AV289)</f>
        <v>30</v>
      </c>
      <c r="AW290" s="101"/>
      <c r="AX290" s="102"/>
      <c r="BA290" s="212">
        <f>+AV290</f>
        <v>30</v>
      </c>
      <c r="BB290" s="213">
        <f>+AU289</f>
        <v>6218</v>
      </c>
      <c r="BC290" s="214">
        <f>+AA272</f>
        <v>10</v>
      </c>
      <c r="BF290" s="215">
        <f>SUM(BF271:BF289)</f>
        <v>36</v>
      </c>
      <c r="BQ290" s="212">
        <f>+BB290/1000000+BA290</f>
        <v>30.006218000000001</v>
      </c>
      <c r="BR290" s="214">
        <f>RANK(BQ290,BQ:BQ)</f>
        <v>5</v>
      </c>
      <c r="BV290" s="214"/>
      <c r="BZ290" s="214"/>
    </row>
    <row r="291" spans="2:78" ht="11.25" customHeight="1" x14ac:dyDescent="0.3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35">
      <c r="B292" s="88" t="str">
        <f t="shared" ref="B292:B299" si="364">IF(AA292=0,"",AA292)</f>
        <v>Gegner-Nr.:</v>
      </c>
      <c r="C292" s="89" t="str">
        <f t="shared" ref="C292:C299" si="365">IF(AB292=0,"",AB292)</f>
        <v>&gt;&gt;&gt;&gt;</v>
      </c>
      <c r="D292" s="346">
        <f t="shared" ref="D292:M294" si="366">IF(AC292=0,"",AC292)</f>
        <v>8</v>
      </c>
      <c r="E292" s="346" t="str">
        <f t="shared" si="366"/>
        <v/>
      </c>
      <c r="F292" s="346">
        <f t="shared" si="366"/>
        <v>3</v>
      </c>
      <c r="G292" s="346" t="str">
        <f t="shared" si="366"/>
        <v/>
      </c>
      <c r="H292" s="346">
        <f t="shared" si="366"/>
        <v>7</v>
      </c>
      <c r="I292" s="346" t="str">
        <f t="shared" si="366"/>
        <v/>
      </c>
      <c r="J292" s="346">
        <f t="shared" si="366"/>
        <v>4</v>
      </c>
      <c r="K292" s="346" t="str">
        <f t="shared" si="366"/>
        <v/>
      </c>
      <c r="L292" s="346">
        <f t="shared" si="366"/>
        <v>1</v>
      </c>
      <c r="M292" s="346" t="str">
        <f t="shared" si="366"/>
        <v/>
      </c>
      <c r="N292" s="346">
        <f t="shared" ref="N292:U294" si="367">IF(AM292=0,"",AM292)</f>
        <v>9</v>
      </c>
      <c r="O292" s="346" t="str">
        <f t="shared" si="367"/>
        <v/>
      </c>
      <c r="P292" s="346">
        <f t="shared" si="367"/>
        <v>2</v>
      </c>
      <c r="Q292" s="346" t="str">
        <f t="shared" si="367"/>
        <v/>
      </c>
      <c r="R292" s="346">
        <f t="shared" si="367"/>
        <v>5</v>
      </c>
      <c r="S292" s="346" t="str">
        <f t="shared" si="367"/>
        <v/>
      </c>
      <c r="T292" s="346">
        <f t="shared" si="367"/>
        <v>6</v>
      </c>
      <c r="U292" s="346" t="str">
        <f t="shared" si="367"/>
        <v/>
      </c>
      <c r="V292" s="347"/>
      <c r="W292" s="347"/>
      <c r="AA292" s="88" t="s">
        <v>1797</v>
      </c>
      <c r="AB292" s="89" t="s">
        <v>1798</v>
      </c>
      <c r="AC292" s="370">
        <f>VLOOKUP($AA272,Schlüssel!$A$5:$K$14,3)</f>
        <v>8</v>
      </c>
      <c r="AD292" s="371"/>
      <c r="AE292" s="370">
        <f>VLOOKUP($AA272,Schlüssel!$A$5:$K$14,4)</f>
        <v>3</v>
      </c>
      <c r="AF292" s="371"/>
      <c r="AG292" s="370">
        <f>VLOOKUP($AA272,Schlüssel!$A$5:$K$14,5)</f>
        <v>7</v>
      </c>
      <c r="AH292" s="371"/>
      <c r="AI292" s="370">
        <f>VLOOKUP($AA272,Schlüssel!$A$5:$K$14,6)</f>
        <v>4</v>
      </c>
      <c r="AJ292" s="371"/>
      <c r="AK292" s="370">
        <f>VLOOKUP($AA272,Schlüssel!$A$5:$K$14,7)</f>
        <v>1</v>
      </c>
      <c r="AL292" s="371"/>
      <c r="AM292" s="370">
        <f>VLOOKUP($AA272,Schlüssel!$A$5:$K$14,8)</f>
        <v>9</v>
      </c>
      <c r="AN292" s="371"/>
      <c r="AO292" s="370">
        <f>VLOOKUP($AA272,Schlüssel!$A$5:$K$14,9)</f>
        <v>2</v>
      </c>
      <c r="AP292" s="371"/>
      <c r="AQ292" s="370">
        <f>VLOOKUP($AA272,Schlüssel!$A$5:$K$14,10)</f>
        <v>5</v>
      </c>
      <c r="AR292" s="371"/>
      <c r="AS292" s="370">
        <f>VLOOKUP($AA272,Schlüssel!$A$5:$K$14,11)</f>
        <v>6</v>
      </c>
      <c r="AT292" s="371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35">
      <c r="B293" s="90" t="str">
        <f t="shared" si="364"/>
        <v/>
      </c>
      <c r="C293" s="86" t="str">
        <f t="shared" si="365"/>
        <v/>
      </c>
      <c r="D293" s="343" t="str">
        <f t="shared" si="366"/>
        <v>EPA München 1</v>
      </c>
      <c r="E293" s="344" t="str">
        <f t="shared" si="366"/>
        <v/>
      </c>
      <c r="F293" s="343" t="str">
        <f t="shared" si="366"/>
        <v>Highroller Rosenheim</v>
      </c>
      <c r="G293" s="344" t="str">
        <f t="shared" si="366"/>
        <v/>
      </c>
      <c r="H293" s="343" t="str">
        <f t="shared" si="366"/>
        <v>Frankenpower Nürnberg</v>
      </c>
      <c r="I293" s="344" t="str">
        <f t="shared" si="366"/>
        <v/>
      </c>
      <c r="J293" s="343" t="str">
        <f t="shared" si="366"/>
        <v>BK München 3</v>
      </c>
      <c r="K293" s="344" t="str">
        <f t="shared" si="366"/>
        <v/>
      </c>
      <c r="L293" s="343" t="str">
        <f t="shared" si="366"/>
        <v>Praetoria Regensburg</v>
      </c>
      <c r="M293" s="344" t="str">
        <f t="shared" si="366"/>
        <v/>
      </c>
      <c r="N293" s="343" t="str">
        <f t="shared" si="367"/>
        <v>RW Lichtenhof 69 Stein 2</v>
      </c>
      <c r="O293" s="344" t="str">
        <f t="shared" si="367"/>
        <v/>
      </c>
      <c r="P293" s="343" t="str">
        <f t="shared" si="367"/>
        <v>BK München 2</v>
      </c>
      <c r="Q293" s="344" t="str">
        <f t="shared" si="367"/>
        <v/>
      </c>
      <c r="R293" s="343" t="str">
        <f t="shared" si="367"/>
        <v xml:space="preserve">Weiß Blau Unterföhring </v>
      </c>
      <c r="S293" s="344" t="str">
        <f t="shared" si="367"/>
        <v/>
      </c>
      <c r="T293" s="343" t="str">
        <f t="shared" si="367"/>
        <v>Phönix 03 Lauf</v>
      </c>
      <c r="U293" s="344" t="str">
        <f t="shared" si="367"/>
        <v/>
      </c>
      <c r="V293" s="345"/>
      <c r="W293" s="345"/>
      <c r="AA293" s="90"/>
      <c r="AB293" s="86"/>
      <c r="AC293" s="343" t="str">
        <f>VLOOKUP(AC292,Schlüssel!$A$5:$K$14,2)</f>
        <v>EPA München 1</v>
      </c>
      <c r="AD293" s="344"/>
      <c r="AE293" s="343" t="str">
        <f>VLOOKUP(AE292,Schlüssel!$A$5:$K$14,2)</f>
        <v>Highroller Rosenheim</v>
      </c>
      <c r="AF293" s="344"/>
      <c r="AG293" s="343" t="str">
        <f>VLOOKUP(AG292,Schlüssel!$A$5:$K$14,2)</f>
        <v>Frankenpower Nürnberg</v>
      </c>
      <c r="AH293" s="344"/>
      <c r="AI293" s="343" t="str">
        <f>VLOOKUP(AI292,Schlüssel!$A$5:$K$14,2)</f>
        <v>BK München 3</v>
      </c>
      <c r="AJ293" s="344"/>
      <c r="AK293" s="343" t="str">
        <f>VLOOKUP(AK292,Schlüssel!$A$5:$K$14,2)</f>
        <v>Praetoria Regensburg</v>
      </c>
      <c r="AL293" s="344"/>
      <c r="AM293" s="343" t="str">
        <f>VLOOKUP(AM292,Schlüssel!$A$5:$K$14,2)</f>
        <v>RW Lichtenhof 69 Stein 2</v>
      </c>
      <c r="AN293" s="344"/>
      <c r="AO293" s="343" t="str">
        <f>VLOOKUP(AO292,Schlüssel!$A$5:$K$14,2)</f>
        <v>BK München 2</v>
      </c>
      <c r="AP293" s="344"/>
      <c r="AQ293" s="343" t="str">
        <f>VLOOKUP(AQ292,Schlüssel!$A$5:$K$14,2)</f>
        <v xml:space="preserve">Weiß Blau Unterföhring </v>
      </c>
      <c r="AR293" s="344"/>
      <c r="AS293" s="343" t="str">
        <f>VLOOKUP(AS292,Schlüssel!$A$5:$K$14,2)</f>
        <v>Phönix 03 Lauf</v>
      </c>
      <c r="AT293" s="344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35">
      <c r="B294" s="90" t="str">
        <f t="shared" si="364"/>
        <v/>
      </c>
      <c r="C294" s="86" t="str">
        <f t="shared" si="365"/>
        <v/>
      </c>
      <c r="D294" s="341" t="str">
        <f t="shared" si="366"/>
        <v/>
      </c>
      <c r="E294" s="341" t="str">
        <f t="shared" si="366"/>
        <v/>
      </c>
      <c r="F294" s="341" t="str">
        <f t="shared" si="366"/>
        <v/>
      </c>
      <c r="G294" s="341" t="str">
        <f t="shared" si="366"/>
        <v/>
      </c>
      <c r="H294" s="341" t="str">
        <f t="shared" si="366"/>
        <v/>
      </c>
      <c r="I294" s="341" t="str">
        <f t="shared" si="366"/>
        <v/>
      </c>
      <c r="J294" s="341" t="str">
        <f t="shared" si="366"/>
        <v/>
      </c>
      <c r="K294" s="341" t="str">
        <f t="shared" si="366"/>
        <v/>
      </c>
      <c r="L294" s="341" t="str">
        <f t="shared" si="366"/>
        <v/>
      </c>
      <c r="M294" s="341" t="str">
        <f t="shared" si="366"/>
        <v/>
      </c>
      <c r="N294" s="341" t="str">
        <f t="shared" si="367"/>
        <v/>
      </c>
      <c r="O294" s="341" t="str">
        <f t="shared" si="367"/>
        <v/>
      </c>
      <c r="P294" s="341" t="str">
        <f t="shared" si="367"/>
        <v/>
      </c>
      <c r="Q294" s="341" t="str">
        <f t="shared" si="367"/>
        <v/>
      </c>
      <c r="R294" s="341" t="str">
        <f t="shared" si="367"/>
        <v/>
      </c>
      <c r="S294" s="341" t="str">
        <f t="shared" si="367"/>
        <v/>
      </c>
      <c r="T294" s="341" t="str">
        <f t="shared" si="367"/>
        <v/>
      </c>
      <c r="U294" s="342" t="str">
        <f t="shared" si="367"/>
        <v/>
      </c>
      <c r="V294" s="301"/>
      <c r="W294" s="301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6.05" customHeight="1" x14ac:dyDescent="0.35">
      <c r="B295" s="365" t="str">
        <f t="shared" si="364"/>
        <v>Spieler 1</v>
      </c>
      <c r="C295" s="366" t="str">
        <f t="shared" si="365"/>
        <v/>
      </c>
      <c r="D295" s="339">
        <f>IF(AC295=301,"",AC295)</f>
        <v>128</v>
      </c>
      <c r="E295" s="339" t="str">
        <f>IF(AD295=0,"",AD295)</f>
        <v/>
      </c>
      <c r="F295" s="339">
        <f>IF(AE295=301,"",AE295)</f>
        <v>203</v>
      </c>
      <c r="G295" s="339" t="str">
        <f>IF(AF295=0,"",AF295)</f>
        <v/>
      </c>
      <c r="H295" s="339">
        <f>IF(AG295=301,"",AG295)</f>
        <v>124</v>
      </c>
      <c r="I295" s="339" t="str">
        <f>IF(AH295=0,"",AH295)</f>
        <v/>
      </c>
      <c r="J295" s="339">
        <f>IF(AI295=301,"",AI295)</f>
        <v>0</v>
      </c>
      <c r="K295" s="339" t="str">
        <f>IF(AJ295=0,"",AJ295)</f>
        <v/>
      </c>
      <c r="L295" s="339">
        <f>IF(AK295=301,"",AK295)</f>
        <v>178</v>
      </c>
      <c r="M295" s="339" t="str">
        <f>IF(AL295=0,"",AL295)</f>
        <v/>
      </c>
      <c r="N295" s="339">
        <f>IF(AM295=301,"",AM295)</f>
        <v>182</v>
      </c>
      <c r="O295" s="339" t="str">
        <f>IF(AN295=0,"",AN295)</f>
        <v/>
      </c>
      <c r="P295" s="339">
        <f>IF(AO295=301,"",AO295)</f>
        <v>237</v>
      </c>
      <c r="Q295" s="339" t="str">
        <f>IF(AP295=0,"",AP295)</f>
        <v/>
      </c>
      <c r="R295" s="339">
        <f>IF(AQ295=301,"",AQ295)</f>
        <v>171</v>
      </c>
      <c r="S295" s="339" t="str">
        <f>IF(AR295=0,"",AR295)</f>
        <v/>
      </c>
      <c r="T295" s="339">
        <f>IF(AS295=301,"",AS295)</f>
        <v>156</v>
      </c>
      <c r="U295" s="339" t="str">
        <f>IF(AT295=0,"",AT295)</f>
        <v/>
      </c>
      <c r="V295" s="340"/>
      <c r="W295" s="340"/>
      <c r="AA295" s="91" t="s">
        <v>0</v>
      </c>
      <c r="AB295" s="92"/>
      <c r="AC295" s="372">
        <f>ABS(INDEX(AC:AC,MATCH(AC292,$AA:$AA,0)+5)+INDEX(AC:AC,MATCH(AC292,$AA:$AA,0)+6)+INDEX(AC:AC,MATCH(AC292,$AA:$AA,0)+7))</f>
        <v>128</v>
      </c>
      <c r="AD295" s="373"/>
      <c r="AE295" s="372">
        <f>ABS(INDEX(AE:AE,MATCH(AE292,$AA:$AA,0)+5)+INDEX(AE:AE,MATCH(AE292,$AA:$AA,0)+6)+INDEX(AE:AE,MATCH(AE292,$AA:$AA,0)+7))</f>
        <v>203</v>
      </c>
      <c r="AF295" s="373"/>
      <c r="AG295" s="372">
        <f>ABS(INDEX(AG:AG,MATCH(AG292,$AA:$AA,0)+5)+INDEX(AG:AG,MATCH(AG292,$AA:$AA,0)+6)+INDEX(AG:AG,MATCH(AG292,$AA:$AA,0)+7))</f>
        <v>124</v>
      </c>
      <c r="AH295" s="373"/>
      <c r="AI295" s="372">
        <f>ABS(INDEX(AI:AI,MATCH(AI292,$AA:$AA,0)+5)+INDEX(AI:AI,MATCH(AI292,$AA:$AA,0)+6)+INDEX(AI:AI,MATCH(AI292,$AA:$AA,0)+7))</f>
        <v>0</v>
      </c>
      <c r="AJ295" s="373"/>
      <c r="AK295" s="372">
        <f>ABS(INDEX(AK:AK,MATCH(AK292,$AA:$AA,0)+5)+INDEX(AK:AK,MATCH(AK292,$AA:$AA,0)+6)+INDEX(AK:AK,MATCH(AK292,$AA:$AA,0)+7))</f>
        <v>178</v>
      </c>
      <c r="AL295" s="373"/>
      <c r="AM295" s="372">
        <f>ABS(INDEX(AM:AM,MATCH(AM292,$AA:$AA,0)+5)+INDEX(AM:AM,MATCH(AM292,$AA:$AA,0)+6)+INDEX(AM:AM,MATCH(AM292,$AA:$AA,0)+7))</f>
        <v>182</v>
      </c>
      <c r="AN295" s="373"/>
      <c r="AO295" s="372">
        <f>ABS(INDEX(AO:AO,MATCH(AO292,$AA:$AA,0)+5)+INDEX(AO:AO,MATCH(AO292,$AA:$AA,0)+6)+INDEX(AO:AO,MATCH(AO292,$AA:$AA,0)+7))</f>
        <v>237</v>
      </c>
      <c r="AP295" s="373"/>
      <c r="AQ295" s="372">
        <f>ABS(INDEX(AQ:AQ,MATCH(AQ292,$AA:$AA,0)+5)+INDEX(AQ:AQ,MATCH(AQ292,$AA:$AA,0)+6)+INDEX(AQ:AQ,MATCH(AQ292,$AA:$AA,0)+7))</f>
        <v>171</v>
      </c>
      <c r="AR295" s="373"/>
      <c r="AS295" s="372">
        <f>ABS(INDEX(AS:AS,MATCH(AS292,$AA:$AA,0)+5)+INDEX(AS:AS,MATCH(AS292,$AA:$AA,0)+6)+INDEX(AS:AS,MATCH(AS292,$AA:$AA,0)+7))</f>
        <v>156</v>
      </c>
      <c r="AT295" s="373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6.05" customHeight="1" x14ac:dyDescent="0.35">
      <c r="B296" s="365" t="str">
        <f t="shared" si="364"/>
        <v>Spieler 2</v>
      </c>
      <c r="C296" s="366" t="str">
        <f t="shared" si="365"/>
        <v/>
      </c>
      <c r="D296" s="339">
        <f>IF(AC296=301,"",AC296)</f>
        <v>193</v>
      </c>
      <c r="E296" s="339" t="str">
        <f>IF(AD296=0,"",AD296)</f>
        <v/>
      </c>
      <c r="F296" s="339">
        <f>IF(AE296=301,"",AE296)</f>
        <v>156</v>
      </c>
      <c r="G296" s="339" t="str">
        <f>IF(AF296=0,"",AF296)</f>
        <v/>
      </c>
      <c r="H296" s="339">
        <f>IF(AG296=301,"",AG296)</f>
        <v>167</v>
      </c>
      <c r="I296" s="339" t="str">
        <f>IF(AH296=0,"",AH296)</f>
        <v/>
      </c>
      <c r="J296" s="339">
        <f>IF(AI296=301,"",AI296)</f>
        <v>0</v>
      </c>
      <c r="K296" s="339" t="str">
        <f>IF(AJ296=0,"",AJ296)</f>
        <v/>
      </c>
      <c r="L296" s="339">
        <f>IF(AK296=301,"",AK296)</f>
        <v>210</v>
      </c>
      <c r="M296" s="339" t="str">
        <f>IF(AL296=0,"",AL296)</f>
        <v/>
      </c>
      <c r="N296" s="339">
        <f>IF(AM296=301,"",AM296)</f>
        <v>164</v>
      </c>
      <c r="O296" s="339" t="str">
        <f>IF(AN296=0,"",AN296)</f>
        <v/>
      </c>
      <c r="P296" s="339">
        <f>IF(AO296=301,"",AO296)</f>
        <v>155</v>
      </c>
      <c r="Q296" s="339" t="str">
        <f>IF(AP296=0,"",AP296)</f>
        <v/>
      </c>
      <c r="R296" s="339">
        <f>IF(AQ296=301,"",AQ296)</f>
        <v>161</v>
      </c>
      <c r="S296" s="339" t="str">
        <f>IF(AR296=0,"",AR296)</f>
        <v/>
      </c>
      <c r="T296" s="339">
        <f>IF(AS296=301,"",AS296)</f>
        <v>159</v>
      </c>
      <c r="U296" s="339" t="str">
        <f>IF(AT296=0,"",AT296)</f>
        <v/>
      </c>
      <c r="V296" s="340"/>
      <c r="W296" s="340"/>
      <c r="AA296" s="91" t="s">
        <v>2</v>
      </c>
      <c r="AB296" s="92"/>
      <c r="AC296" s="374">
        <f>ABS(INDEX(AC:AC,MATCH(AC292,$AA:$AA,0)+8)+INDEX(AC:AC,MATCH(AC292,$AA:$AA,0)+9)+INDEX(AC:AC,MATCH(AC292,$AA:$AA,0)+10))</f>
        <v>193</v>
      </c>
      <c r="AD296" s="375"/>
      <c r="AE296" s="374">
        <f>ABS(INDEX(AE:AE,MATCH(AE292,$AA:$AA,0)+8)+INDEX(AE:AE,MATCH(AE292,$AA:$AA,0)+9)+INDEX(AE:AE,MATCH(AE292,$AA:$AA,0)+10))</f>
        <v>156</v>
      </c>
      <c r="AF296" s="375"/>
      <c r="AG296" s="374">
        <f>ABS(INDEX(AG:AG,MATCH(AG292,$AA:$AA,0)+8)+INDEX(AG:AG,MATCH(AG292,$AA:$AA,0)+9)+INDEX(AG:AG,MATCH(AG292,$AA:$AA,0)+10))</f>
        <v>167</v>
      </c>
      <c r="AH296" s="375"/>
      <c r="AI296" s="374">
        <f>ABS(INDEX(AI:AI,MATCH(AI292,$AA:$AA,0)+8)+INDEX(AI:AI,MATCH(AI292,$AA:$AA,0)+9)+INDEX(AI:AI,MATCH(AI292,$AA:$AA,0)+10))</f>
        <v>0</v>
      </c>
      <c r="AJ296" s="375"/>
      <c r="AK296" s="374">
        <f>ABS(INDEX(AK:AK,MATCH(AK292,$AA:$AA,0)+8)+INDEX(AK:AK,MATCH(AK292,$AA:$AA,0)+9)+INDEX(AK:AK,MATCH(AK292,$AA:$AA,0)+10))</f>
        <v>210</v>
      </c>
      <c r="AL296" s="375"/>
      <c r="AM296" s="374">
        <f>ABS(INDEX(AM:AM,MATCH(AM292,$AA:$AA,0)+8)+INDEX(AM:AM,MATCH(AM292,$AA:$AA,0)+9)+INDEX(AM:AM,MATCH(AM292,$AA:$AA,0)+10))</f>
        <v>164</v>
      </c>
      <c r="AN296" s="375"/>
      <c r="AO296" s="374">
        <f>ABS(INDEX(AO:AO,MATCH(AO292,$AA:$AA,0)+8)+INDEX(AO:AO,MATCH(AO292,$AA:$AA,0)+9)+INDEX(AO:AO,MATCH(AO292,$AA:$AA,0)+10))</f>
        <v>155</v>
      </c>
      <c r="AP296" s="375"/>
      <c r="AQ296" s="374">
        <f>ABS(INDEX(AQ:AQ,MATCH(AQ292,$AA:$AA,0)+8)+INDEX(AQ:AQ,MATCH(AQ292,$AA:$AA,0)+9)+INDEX(AQ:AQ,MATCH(AQ292,$AA:$AA,0)+10))</f>
        <v>161</v>
      </c>
      <c r="AR296" s="375"/>
      <c r="AS296" s="374">
        <f>ABS(INDEX(AS:AS,MATCH(AS292,$AA:$AA,0)+8)+INDEX(AS:AS,MATCH(AS292,$AA:$AA,0)+9)+INDEX(AS:AS,MATCH(AS292,$AA:$AA,0)+10))</f>
        <v>159</v>
      </c>
      <c r="AT296" s="37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6.05" customHeight="1" x14ac:dyDescent="0.35">
      <c r="B297" s="365" t="str">
        <f t="shared" si="364"/>
        <v>Spieler 3</v>
      </c>
      <c r="C297" s="366" t="str">
        <f t="shared" si="365"/>
        <v/>
      </c>
      <c r="D297" s="339">
        <f>IF(AC297=301,"",AC297)</f>
        <v>189</v>
      </c>
      <c r="E297" s="339" t="str">
        <f>IF(AD297=0,"",AD297)</f>
        <v/>
      </c>
      <c r="F297" s="339">
        <f>IF(AE297=301,"",AE297)</f>
        <v>216</v>
      </c>
      <c r="G297" s="339" t="str">
        <f>IF(AF297=0,"",AF297)</f>
        <v/>
      </c>
      <c r="H297" s="339">
        <f>IF(AG297=301,"",AG297)</f>
        <v>165</v>
      </c>
      <c r="I297" s="339" t="str">
        <f>IF(AH297=0,"",AH297)</f>
        <v/>
      </c>
      <c r="J297" s="339">
        <f>IF(AI297=301,"",AI297)</f>
        <v>0</v>
      </c>
      <c r="K297" s="339" t="str">
        <f>IF(AJ297=0,"",AJ297)</f>
        <v/>
      </c>
      <c r="L297" s="339">
        <f>IF(AK297=301,"",AK297)</f>
        <v>230</v>
      </c>
      <c r="M297" s="339" t="str">
        <f>IF(AL297=0,"",AL297)</f>
        <v/>
      </c>
      <c r="N297" s="339">
        <f>IF(AM297=301,"",AM297)</f>
        <v>135</v>
      </c>
      <c r="O297" s="339" t="str">
        <f>IF(AN297=0,"",AN297)</f>
        <v/>
      </c>
      <c r="P297" s="339">
        <f>IF(AO297=301,"",AO297)</f>
        <v>182</v>
      </c>
      <c r="Q297" s="339" t="str">
        <f>IF(AP297=0,"",AP297)</f>
        <v/>
      </c>
      <c r="R297" s="339">
        <f>IF(AQ297=301,"",AQ297)</f>
        <v>147</v>
      </c>
      <c r="S297" s="339" t="str">
        <f>IF(AR297=0,"",AR297)</f>
        <v/>
      </c>
      <c r="T297" s="339">
        <f>IF(AS297=301,"",AS297)</f>
        <v>190</v>
      </c>
      <c r="U297" s="339" t="str">
        <f>IF(AT297=0,"",AT297)</f>
        <v/>
      </c>
      <c r="V297" s="340"/>
      <c r="W297" s="340"/>
      <c r="AA297" s="91" t="s">
        <v>3</v>
      </c>
      <c r="AB297" s="92"/>
      <c r="AC297" s="374">
        <f>ABS(INDEX(AC:AC,MATCH(AC292,$AA:$AA,0)+11)+INDEX(AC:AC,MATCH(AC292,$AA:$AA,0)+12)+INDEX(AC:AC,MATCH(AC292,$AA:$AA,0)+13))</f>
        <v>189</v>
      </c>
      <c r="AD297" s="375"/>
      <c r="AE297" s="374">
        <f>ABS(INDEX(AE:AE,MATCH(AE292,$AA:$AA,0)+11)+INDEX(AE:AE,MATCH(AE292,$AA:$AA,0)+12)+INDEX(AE:AE,MATCH(AE292,$AA:$AA,0)+13))</f>
        <v>216</v>
      </c>
      <c r="AF297" s="375"/>
      <c r="AG297" s="374">
        <f>ABS(INDEX(AG:AG,MATCH(AG292,$AA:$AA,0)+11)+INDEX(AG:AG,MATCH(AG292,$AA:$AA,0)+12)+INDEX(AG:AG,MATCH(AG292,$AA:$AA,0)+13))</f>
        <v>165</v>
      </c>
      <c r="AH297" s="375"/>
      <c r="AI297" s="374">
        <f>ABS(INDEX(AI:AI,MATCH(AI292,$AA:$AA,0)+11)+INDEX(AI:AI,MATCH(AI292,$AA:$AA,0)+12)+INDEX(AI:AI,MATCH(AI292,$AA:$AA,0)+13))</f>
        <v>0</v>
      </c>
      <c r="AJ297" s="375"/>
      <c r="AK297" s="374">
        <f>ABS(INDEX(AK:AK,MATCH(AK292,$AA:$AA,0)+11)+INDEX(AK:AK,MATCH(AK292,$AA:$AA,0)+12)+INDEX(AK:AK,MATCH(AK292,$AA:$AA,0)+13))</f>
        <v>230</v>
      </c>
      <c r="AL297" s="375"/>
      <c r="AM297" s="374">
        <f>ABS(INDEX(AM:AM,MATCH(AM292,$AA:$AA,0)+11)+INDEX(AM:AM,MATCH(AM292,$AA:$AA,0)+12)+INDEX(AM:AM,MATCH(AM292,$AA:$AA,0)+13))</f>
        <v>135</v>
      </c>
      <c r="AN297" s="375"/>
      <c r="AO297" s="374">
        <f>ABS(INDEX(AO:AO,MATCH(AO292,$AA:$AA,0)+11)+INDEX(AO:AO,MATCH(AO292,$AA:$AA,0)+12)+INDEX(AO:AO,MATCH(AO292,$AA:$AA,0)+13))</f>
        <v>182</v>
      </c>
      <c r="AP297" s="375"/>
      <c r="AQ297" s="374">
        <f>ABS(INDEX(AQ:AQ,MATCH(AQ292,$AA:$AA,0)+11)+INDEX(AQ:AQ,MATCH(AQ292,$AA:$AA,0)+12)+INDEX(AQ:AQ,MATCH(AQ292,$AA:$AA,0)+13))</f>
        <v>147</v>
      </c>
      <c r="AR297" s="375"/>
      <c r="AS297" s="374">
        <f>ABS(INDEX(AS:AS,MATCH(AS292,$AA:$AA,0)+11)+INDEX(AS:AS,MATCH(AS292,$AA:$AA,0)+12)+INDEX(AS:AS,MATCH(AS292,$AA:$AA,0)+13))</f>
        <v>190</v>
      </c>
      <c r="AT297" s="37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6.05" customHeight="1" x14ac:dyDescent="0.35">
      <c r="B298" s="365" t="str">
        <f t="shared" si="364"/>
        <v>Spieler 4</v>
      </c>
      <c r="C298" s="366" t="str">
        <f t="shared" si="365"/>
        <v/>
      </c>
      <c r="D298" s="339">
        <f>IF(AC298=301,"",AC298)</f>
        <v>208</v>
      </c>
      <c r="E298" s="339" t="str">
        <f>IF(AD298=0,"",AD298)</f>
        <v/>
      </c>
      <c r="F298" s="339">
        <f>IF(AE298=301,"",AE298)</f>
        <v>165</v>
      </c>
      <c r="G298" s="339" t="str">
        <f>IF(AF298=0,"",AF298)</f>
        <v/>
      </c>
      <c r="H298" s="339">
        <f>IF(AG298=301,"",AG298)</f>
        <v>149</v>
      </c>
      <c r="I298" s="339" t="str">
        <f>IF(AH298=0,"",AH298)</f>
        <v/>
      </c>
      <c r="J298" s="339">
        <f>IF(AI298=301,"",AI298)</f>
        <v>0</v>
      </c>
      <c r="K298" s="339" t="str">
        <f>IF(AJ298=0,"",AJ298)</f>
        <v/>
      </c>
      <c r="L298" s="339">
        <f>IF(AK298=301,"",AK298)</f>
        <v>166</v>
      </c>
      <c r="M298" s="339" t="str">
        <f>IF(AL298=0,"",AL298)</f>
        <v/>
      </c>
      <c r="N298" s="339">
        <f>IF(AM298=301,"",AM298)</f>
        <v>165</v>
      </c>
      <c r="O298" s="339" t="str">
        <f>IF(AN298=0,"",AN298)</f>
        <v/>
      </c>
      <c r="P298" s="339">
        <f>IF(AO298=301,"",AO298)</f>
        <v>211</v>
      </c>
      <c r="Q298" s="339" t="str">
        <f>IF(AP298=0,"",AP298)</f>
        <v/>
      </c>
      <c r="R298" s="339">
        <f>IF(AQ298=301,"",AQ298)</f>
        <v>171</v>
      </c>
      <c r="S298" s="339" t="str">
        <f>IF(AR298=0,"",AR298)</f>
        <v/>
      </c>
      <c r="T298" s="339">
        <f>IF(AS298=301,"",AS298)</f>
        <v>171</v>
      </c>
      <c r="U298" s="339" t="str">
        <f>IF(AT298=0,"",AT298)</f>
        <v/>
      </c>
      <c r="V298" s="340"/>
      <c r="W298" s="340"/>
      <c r="AA298" s="91" t="s">
        <v>11</v>
      </c>
      <c r="AB298" s="92"/>
      <c r="AC298" s="374">
        <f>ABS(INDEX(AC:AC,MATCH(AC292,$AA:$AA,0)+14)+INDEX(AC:AC,MATCH(AC292,$AA:$AA,0)+15)+INDEX(AC:AC,MATCH(AC292,$AA:$AA,0)+16))</f>
        <v>208</v>
      </c>
      <c r="AD298" s="375"/>
      <c r="AE298" s="374">
        <f>ABS(INDEX(AE:AE,MATCH(AE292,$AA:$AA,0)+14)+INDEX(AE:AE,MATCH(AE292,$AA:$AA,0)+15)+INDEX(AE:AE,MATCH(AE292,$AA:$AA,0)+16))</f>
        <v>165</v>
      </c>
      <c r="AF298" s="375"/>
      <c r="AG298" s="374">
        <f>ABS(INDEX(AG:AG,MATCH(AG292,$AA:$AA,0)+14)+INDEX(AG:AG,MATCH(AG292,$AA:$AA,0)+15)+INDEX(AG:AG,MATCH(AG292,$AA:$AA,0)+16))</f>
        <v>149</v>
      </c>
      <c r="AH298" s="375"/>
      <c r="AI298" s="374">
        <f>ABS(INDEX(AI:AI,MATCH(AI292,$AA:$AA,0)+14)+INDEX(AI:AI,MATCH(AI292,$AA:$AA,0)+15)+INDEX(AI:AI,MATCH(AI292,$AA:$AA,0)+16))</f>
        <v>0</v>
      </c>
      <c r="AJ298" s="375"/>
      <c r="AK298" s="374">
        <f>ABS(INDEX(AK:AK,MATCH(AK292,$AA:$AA,0)+14)+INDEX(AK:AK,MATCH(AK292,$AA:$AA,0)+15)+INDEX(AK:AK,MATCH(AK292,$AA:$AA,0)+16))</f>
        <v>166</v>
      </c>
      <c r="AL298" s="375"/>
      <c r="AM298" s="374">
        <f>ABS(INDEX(AM:AM,MATCH(AM292,$AA:$AA,0)+14)+INDEX(AM:AM,MATCH(AM292,$AA:$AA,0)+15)+INDEX(AM:AM,MATCH(AM292,$AA:$AA,0)+16))</f>
        <v>165</v>
      </c>
      <c r="AN298" s="375"/>
      <c r="AO298" s="374">
        <f>ABS(INDEX(AO:AO,MATCH(AO292,$AA:$AA,0)+14)+INDEX(AO:AO,MATCH(AO292,$AA:$AA,0)+15)+INDEX(AO:AO,MATCH(AO292,$AA:$AA,0)+16))</f>
        <v>211</v>
      </c>
      <c r="AP298" s="375"/>
      <c r="AQ298" s="374">
        <f>ABS(INDEX(AQ:AQ,MATCH(AQ292,$AA:$AA,0)+14)+INDEX(AQ:AQ,MATCH(AQ292,$AA:$AA,0)+15)+INDEX(AQ:AQ,MATCH(AQ292,$AA:$AA,0)+16))</f>
        <v>171</v>
      </c>
      <c r="AR298" s="375"/>
      <c r="AS298" s="374">
        <f>ABS(INDEX(AS:AS,MATCH(AS292,$AA:$AA,0)+14)+INDEX(AS:AS,MATCH(AS292,$AA:$AA,0)+15)+INDEX(AS:AS,MATCH(AS292,$AA:$AA,0)+16))</f>
        <v>171</v>
      </c>
      <c r="AT298" s="37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6.05" customHeight="1" x14ac:dyDescent="0.35">
      <c r="B299" s="354" t="str">
        <f t="shared" si="364"/>
        <v>Gesamt</v>
      </c>
      <c r="C299" s="355" t="str">
        <f t="shared" si="365"/>
        <v/>
      </c>
      <c r="D299" s="338">
        <f>IF(AC299=1505,"",AC299)</f>
        <v>718</v>
      </c>
      <c r="E299" s="338" t="str">
        <f>IF(AD299=0,"",AD299)</f>
        <v/>
      </c>
      <c r="F299" s="338">
        <f>IF(AE299=1505,"",AE299)</f>
        <v>740</v>
      </c>
      <c r="G299" s="338" t="str">
        <f>IF(AF299=0,"",AF299)</f>
        <v/>
      </c>
      <c r="H299" s="338">
        <f>IF(AG299=1505,"",AG299)</f>
        <v>605</v>
      </c>
      <c r="I299" s="338" t="str">
        <f>IF(AH299=0,"",AH299)</f>
        <v/>
      </c>
      <c r="J299" s="338">
        <f>IF(AI299=1505,"",AI299)</f>
        <v>0</v>
      </c>
      <c r="K299" s="338" t="str">
        <f>IF(AJ299=0,"",AJ299)</f>
        <v/>
      </c>
      <c r="L299" s="338">
        <f>IF(AK299=1505,"",AK299)</f>
        <v>784</v>
      </c>
      <c r="M299" s="338" t="str">
        <f>IF(AL299=0,"",AL299)</f>
        <v/>
      </c>
      <c r="N299" s="338">
        <f>IF(AM299=1505,"",AM299)</f>
        <v>646</v>
      </c>
      <c r="O299" s="338" t="str">
        <f>IF(AN299=0,"",AN299)</f>
        <v/>
      </c>
      <c r="P299" s="338">
        <f>IF(AO299=1505,"",AO299)</f>
        <v>785</v>
      </c>
      <c r="Q299" s="338" t="str">
        <f>IF(AP299=0,"",AP299)</f>
        <v/>
      </c>
      <c r="R299" s="338">
        <f>IF(AQ299=1505,"",AQ299)</f>
        <v>650</v>
      </c>
      <c r="S299" s="338" t="str">
        <f>IF(AR299=0,"",AR299)</f>
        <v/>
      </c>
      <c r="T299" s="338">
        <f>IF(AS299=1505,"",AS299)</f>
        <v>676</v>
      </c>
      <c r="U299" s="338" t="str">
        <f>IF(AT299=0,"",AT299)</f>
        <v/>
      </c>
      <c r="V299" s="290"/>
      <c r="W299" s="290"/>
      <c r="AA299" s="93" t="s">
        <v>1799</v>
      </c>
      <c r="AB299" s="94"/>
      <c r="AC299" s="354">
        <f>SUM(AC295:AC298)</f>
        <v>718</v>
      </c>
      <c r="AD299" s="355"/>
      <c r="AE299" s="354">
        <f>SUM(AE295:AE298)</f>
        <v>740</v>
      </c>
      <c r="AF299" s="355"/>
      <c r="AG299" s="354">
        <f>SUM(AG295:AG298)</f>
        <v>605</v>
      </c>
      <c r="AH299" s="355"/>
      <c r="AI299" s="354">
        <f>SUM(AI295:AI298)</f>
        <v>0</v>
      </c>
      <c r="AJ299" s="355"/>
      <c r="AK299" s="354">
        <f>SUM(AK295:AK298)</f>
        <v>784</v>
      </c>
      <c r="AL299" s="355"/>
      <c r="AM299" s="354">
        <f>SUM(AM295:AM298)</f>
        <v>646</v>
      </c>
      <c r="AN299" s="355"/>
      <c r="AO299" s="354">
        <f>SUM(AO295:AO298)</f>
        <v>785</v>
      </c>
      <c r="AP299" s="355"/>
      <c r="AQ299" s="354">
        <f>SUM(AQ295:AQ298)</f>
        <v>650</v>
      </c>
      <c r="AR299" s="355"/>
      <c r="AS299" s="354">
        <f>SUM(AS295:AS298)</f>
        <v>676</v>
      </c>
      <c r="AT299" s="35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3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6:AD296"/>
    <mergeCell ref="AE296:AF296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O296:AP296"/>
    <mergeCell ref="AQ296:AR296"/>
    <mergeCell ref="AS296:AT296"/>
    <mergeCell ref="AG296:AH296"/>
    <mergeCell ref="AI296:AJ296"/>
    <mergeCell ref="AK296:AL296"/>
    <mergeCell ref="AM296:AN296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O299:AP299"/>
    <mergeCell ref="AQ299:AR299"/>
    <mergeCell ref="AS299:AT299"/>
    <mergeCell ref="AC299:AD299"/>
    <mergeCell ref="AE299:AF299"/>
    <mergeCell ref="AG299:AH299"/>
    <mergeCell ref="AI299:AJ299"/>
    <mergeCell ref="AK299:AL299"/>
    <mergeCell ref="AM299:AN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S22:AT22"/>
    <mergeCell ref="AS23:AT23"/>
    <mergeCell ref="AS25:AT25"/>
    <mergeCell ref="AS26:AT26"/>
    <mergeCell ref="AS27:AT27"/>
    <mergeCell ref="AS28:AT28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K23:AL23"/>
    <mergeCell ref="AK25:AL25"/>
    <mergeCell ref="AK26:AL26"/>
    <mergeCell ref="AK27:AL27"/>
    <mergeCell ref="AK28:AL28"/>
    <mergeCell ref="AO25:AP25"/>
    <mergeCell ref="AO26:AP26"/>
    <mergeCell ref="AO27:AP27"/>
    <mergeCell ref="AO28:AP28"/>
    <mergeCell ref="AK29:AL29"/>
    <mergeCell ref="AM22:AN22"/>
    <mergeCell ref="AM23:AN23"/>
    <mergeCell ref="AM25:AN25"/>
    <mergeCell ref="AM26:AN26"/>
    <mergeCell ref="AM27:AN27"/>
    <mergeCell ref="AO29:AP29"/>
    <mergeCell ref="AQ22:AR22"/>
    <mergeCell ref="AQ23:AR23"/>
    <mergeCell ref="AQ25:AR25"/>
    <mergeCell ref="AQ26:AR26"/>
    <mergeCell ref="AQ27:AR27"/>
    <mergeCell ref="AQ28:AR28"/>
    <mergeCell ref="AQ29:AR29"/>
    <mergeCell ref="AO22:AP22"/>
    <mergeCell ref="AO23:AP23"/>
    <mergeCell ref="AT1:AV1"/>
    <mergeCell ref="AC22:AD22"/>
    <mergeCell ref="AC23:AD23"/>
    <mergeCell ref="AC25:AD25"/>
    <mergeCell ref="AC26:AD26"/>
    <mergeCell ref="AC27:AD27"/>
    <mergeCell ref="AG22:AH22"/>
    <mergeCell ref="AG23:AH23"/>
    <mergeCell ref="AG25:AH25"/>
    <mergeCell ref="AG26:AH26"/>
    <mergeCell ref="AC28:AD28"/>
    <mergeCell ref="AC29:AD29"/>
    <mergeCell ref="AE22:AF22"/>
    <mergeCell ref="AE23:AF23"/>
    <mergeCell ref="AE25:AF25"/>
    <mergeCell ref="AE26:AF26"/>
    <mergeCell ref="AE27:AF27"/>
    <mergeCell ref="AE28:AF28"/>
    <mergeCell ref="AE29:AF29"/>
    <mergeCell ref="AG27:AH27"/>
    <mergeCell ref="AG28:AH28"/>
    <mergeCell ref="AG29:AH29"/>
    <mergeCell ref="AI22:AJ22"/>
    <mergeCell ref="AI23:AJ23"/>
    <mergeCell ref="AI25:AJ25"/>
    <mergeCell ref="AI26:AJ26"/>
    <mergeCell ref="AI27:AJ27"/>
    <mergeCell ref="AI28:AJ28"/>
    <mergeCell ref="AI29:AJ29"/>
    <mergeCell ref="AM28:AN28"/>
    <mergeCell ref="AM29:AN29"/>
    <mergeCell ref="AK22:AL22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X271:Z271"/>
    <mergeCell ref="X241:Z241"/>
    <mergeCell ref="X31:Z31"/>
    <mergeCell ref="X61:Z61"/>
    <mergeCell ref="X91:Z91"/>
    <mergeCell ref="X121:Z121"/>
    <mergeCell ref="X151:Z151"/>
    <mergeCell ref="Z46:Z48"/>
    <mergeCell ref="Z256:Z258"/>
    <mergeCell ref="Z247:Z249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A247:A249"/>
    <mergeCell ref="E247:E249"/>
    <mergeCell ref="G247:G249"/>
    <mergeCell ref="I247:I249"/>
    <mergeCell ref="K247:K249"/>
    <mergeCell ref="M247:M249"/>
    <mergeCell ref="O247:O249"/>
    <mergeCell ref="A250:A252"/>
    <mergeCell ref="E250:E252"/>
    <mergeCell ref="G250:G252"/>
    <mergeCell ref="I250:I252"/>
    <mergeCell ref="K250:K252"/>
    <mergeCell ref="M250:M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D245:E245"/>
    <mergeCell ref="F245:G245"/>
    <mergeCell ref="H245:I245"/>
    <mergeCell ref="J245:K245"/>
    <mergeCell ref="L245:M245"/>
    <mergeCell ref="N245:O245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O250:O252"/>
    <mergeCell ref="Q250:Q252"/>
    <mergeCell ref="S250:S252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F241:Q241"/>
    <mergeCell ref="U241:W241"/>
    <mergeCell ref="F242:O242"/>
    <mergeCell ref="U1:W1"/>
    <mergeCell ref="F2:O2"/>
    <mergeCell ref="D5:E5"/>
    <mergeCell ref="F5:G5"/>
    <mergeCell ref="H5:I5"/>
    <mergeCell ref="J5:K5"/>
    <mergeCell ref="L5:M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A10:A12"/>
    <mergeCell ref="E10:E12"/>
    <mergeCell ref="M13:M15"/>
    <mergeCell ref="O13:O15"/>
    <mergeCell ref="Q13:Q15"/>
    <mergeCell ref="S13:S15"/>
    <mergeCell ref="U13:U15"/>
    <mergeCell ref="W13:W15"/>
    <mergeCell ref="N23:O23"/>
    <mergeCell ref="P23:Q23"/>
    <mergeCell ref="R23:S23"/>
    <mergeCell ref="T23:U23"/>
    <mergeCell ref="V23:W23"/>
    <mergeCell ref="G10:G12"/>
    <mergeCell ref="I10:I12"/>
    <mergeCell ref="K10:K12"/>
    <mergeCell ref="M10:M12"/>
    <mergeCell ref="M7:M9"/>
    <mergeCell ref="O7:O9"/>
    <mergeCell ref="Q7:Q9"/>
    <mergeCell ref="S7:S9"/>
    <mergeCell ref="U7:U9"/>
    <mergeCell ref="W7:W9"/>
    <mergeCell ref="O16:O18"/>
    <mergeCell ref="Q16:Q18"/>
    <mergeCell ref="S16:S18"/>
    <mergeCell ref="U16:U18"/>
    <mergeCell ref="W16:W18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5:O25"/>
    <mergeCell ref="P25:Q25"/>
    <mergeCell ref="R25:S25"/>
    <mergeCell ref="T25:U25"/>
    <mergeCell ref="V25:W25"/>
    <mergeCell ref="A16:A18"/>
    <mergeCell ref="E16:E18"/>
    <mergeCell ref="G16:G18"/>
    <mergeCell ref="I16:I18"/>
    <mergeCell ref="K16:K18"/>
    <mergeCell ref="M16:M18"/>
    <mergeCell ref="D22:E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7:O27"/>
    <mergeCell ref="P27:Q27"/>
    <mergeCell ref="R27:S27"/>
    <mergeCell ref="D24:E24"/>
    <mergeCell ref="F24:G24"/>
    <mergeCell ref="H24:I24"/>
    <mergeCell ref="J24:K24"/>
    <mergeCell ref="L24:M24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D26:E26"/>
    <mergeCell ref="F26:G26"/>
    <mergeCell ref="H26:I26"/>
    <mergeCell ref="J26:K26"/>
    <mergeCell ref="L26:M26"/>
    <mergeCell ref="F32:O32"/>
    <mergeCell ref="D35:E35"/>
    <mergeCell ref="F35:G35"/>
    <mergeCell ref="H35:I35"/>
    <mergeCell ref="J35:K35"/>
    <mergeCell ref="L35:M35"/>
    <mergeCell ref="N35:O35"/>
    <mergeCell ref="T29:U29"/>
    <mergeCell ref="V29:W29"/>
    <mergeCell ref="N28:O28"/>
    <mergeCell ref="P28:Q28"/>
    <mergeCell ref="R28:S28"/>
    <mergeCell ref="T28:U28"/>
    <mergeCell ref="V28:W28"/>
    <mergeCell ref="P29:Q29"/>
    <mergeCell ref="H29:I29"/>
    <mergeCell ref="J29:K29"/>
    <mergeCell ref="L29:M29"/>
    <mergeCell ref="R29:S29"/>
    <mergeCell ref="O37:O39"/>
    <mergeCell ref="Q37:Q39"/>
    <mergeCell ref="S37:S39"/>
    <mergeCell ref="U37:U39"/>
    <mergeCell ref="W37:W39"/>
    <mergeCell ref="A40:A42"/>
    <mergeCell ref="E40:E42"/>
    <mergeCell ref="G40:G42"/>
    <mergeCell ref="I40:I42"/>
    <mergeCell ref="K40:K42"/>
    <mergeCell ref="P35:Q35"/>
    <mergeCell ref="R35:S35"/>
    <mergeCell ref="T35:U35"/>
    <mergeCell ref="V35:W35"/>
    <mergeCell ref="A37:A39"/>
    <mergeCell ref="E37:E39"/>
    <mergeCell ref="G37:G39"/>
    <mergeCell ref="I37:I39"/>
    <mergeCell ref="K37:K39"/>
    <mergeCell ref="M37:M39"/>
    <mergeCell ref="O43:O45"/>
    <mergeCell ref="Q43:Q45"/>
    <mergeCell ref="S43:S45"/>
    <mergeCell ref="U43:U45"/>
    <mergeCell ref="W43:W45"/>
    <mergeCell ref="A46:A48"/>
    <mergeCell ref="E46:E48"/>
    <mergeCell ref="G46:G48"/>
    <mergeCell ref="I46:I48"/>
    <mergeCell ref="K46:K48"/>
    <mergeCell ref="A43:A45"/>
    <mergeCell ref="E43:E45"/>
    <mergeCell ref="G43:G45"/>
    <mergeCell ref="I43:I45"/>
    <mergeCell ref="K43:K45"/>
    <mergeCell ref="M43:M45"/>
    <mergeCell ref="M40:M42"/>
    <mergeCell ref="O40:O42"/>
    <mergeCell ref="Q40:Q42"/>
    <mergeCell ref="S40:S42"/>
    <mergeCell ref="U40:U42"/>
    <mergeCell ref="W40:W4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M46:M48"/>
    <mergeCell ref="O46:O48"/>
    <mergeCell ref="Q46:Q48"/>
    <mergeCell ref="S46:S48"/>
    <mergeCell ref="U46:U48"/>
    <mergeCell ref="W46:W48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5:O5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R56:S56"/>
    <mergeCell ref="T56:U56"/>
    <mergeCell ref="V56:W56"/>
    <mergeCell ref="D57:E57"/>
    <mergeCell ref="F57:G57"/>
    <mergeCell ref="H57:I57"/>
    <mergeCell ref="J57:K57"/>
    <mergeCell ref="L57:M57"/>
    <mergeCell ref="N57:O57"/>
    <mergeCell ref="T57:U57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6:O56"/>
    <mergeCell ref="F62:O62"/>
    <mergeCell ref="D65:E65"/>
    <mergeCell ref="F65:G65"/>
    <mergeCell ref="H65:I65"/>
    <mergeCell ref="J65:K65"/>
    <mergeCell ref="L65:M65"/>
    <mergeCell ref="N65:O65"/>
    <mergeCell ref="P59:Q59"/>
    <mergeCell ref="R59:S59"/>
    <mergeCell ref="T59:U59"/>
    <mergeCell ref="V59:W59"/>
    <mergeCell ref="U61:W61"/>
    <mergeCell ref="P58:Q58"/>
    <mergeCell ref="R58:S58"/>
    <mergeCell ref="T58:U58"/>
    <mergeCell ref="V58:W58"/>
    <mergeCell ref="D59:E59"/>
    <mergeCell ref="F59:G59"/>
    <mergeCell ref="H59:I59"/>
    <mergeCell ref="J59:K59"/>
    <mergeCell ref="L59:M59"/>
    <mergeCell ref="N59:O59"/>
    <mergeCell ref="D58:E58"/>
    <mergeCell ref="F58:G58"/>
    <mergeCell ref="H58:I58"/>
    <mergeCell ref="J58:K58"/>
    <mergeCell ref="L58:M58"/>
    <mergeCell ref="N58:O58"/>
    <mergeCell ref="M70:M72"/>
    <mergeCell ref="O70:O72"/>
    <mergeCell ref="Q70:Q72"/>
    <mergeCell ref="S70:S72"/>
    <mergeCell ref="U70:U72"/>
    <mergeCell ref="W70:W72"/>
    <mergeCell ref="O67:O69"/>
    <mergeCell ref="Q67:Q69"/>
    <mergeCell ref="S67:S69"/>
    <mergeCell ref="U67:U69"/>
    <mergeCell ref="W67:W69"/>
    <mergeCell ref="A70:A72"/>
    <mergeCell ref="E70:E72"/>
    <mergeCell ref="G70:G72"/>
    <mergeCell ref="I70:I72"/>
    <mergeCell ref="K70:K72"/>
    <mergeCell ref="P65:Q65"/>
    <mergeCell ref="R65:S65"/>
    <mergeCell ref="T65:U65"/>
    <mergeCell ref="V65:W65"/>
    <mergeCell ref="A67:A69"/>
    <mergeCell ref="E67:E69"/>
    <mergeCell ref="G67:G69"/>
    <mergeCell ref="I67:I69"/>
    <mergeCell ref="K67:K69"/>
    <mergeCell ref="M67:M69"/>
    <mergeCell ref="M76:M78"/>
    <mergeCell ref="O76:O78"/>
    <mergeCell ref="Q76:Q78"/>
    <mergeCell ref="S76:S78"/>
    <mergeCell ref="U76:U78"/>
    <mergeCell ref="W76:W78"/>
    <mergeCell ref="O73:O75"/>
    <mergeCell ref="Q73:Q75"/>
    <mergeCell ref="S73:S75"/>
    <mergeCell ref="U73:U75"/>
    <mergeCell ref="W73:W75"/>
    <mergeCell ref="A76:A78"/>
    <mergeCell ref="E76:E78"/>
    <mergeCell ref="G76:G78"/>
    <mergeCell ref="I76:I78"/>
    <mergeCell ref="K76:K78"/>
    <mergeCell ref="A73:A75"/>
    <mergeCell ref="E73:E75"/>
    <mergeCell ref="G73:G75"/>
    <mergeCell ref="I73:I75"/>
    <mergeCell ref="K73:K75"/>
    <mergeCell ref="M73:M7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T85:U85"/>
    <mergeCell ref="V85:W85"/>
    <mergeCell ref="D86:E86"/>
    <mergeCell ref="F86:G86"/>
    <mergeCell ref="H86:I86"/>
    <mergeCell ref="J86:K86"/>
    <mergeCell ref="L86:M86"/>
    <mergeCell ref="N86:O86"/>
    <mergeCell ref="R86:S86"/>
    <mergeCell ref="T86:U86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R85:S85"/>
    <mergeCell ref="R89:S89"/>
    <mergeCell ref="T89:U89"/>
    <mergeCell ref="V89:W89"/>
    <mergeCell ref="U91:W91"/>
    <mergeCell ref="P88:Q88"/>
    <mergeCell ref="R88:S88"/>
    <mergeCell ref="T88:U88"/>
    <mergeCell ref="V88:W88"/>
    <mergeCell ref="D89:E89"/>
    <mergeCell ref="F89:G89"/>
    <mergeCell ref="H89:I89"/>
    <mergeCell ref="J89:K89"/>
    <mergeCell ref="L89:M89"/>
    <mergeCell ref="N89:O89"/>
    <mergeCell ref="F88:G88"/>
    <mergeCell ref="H88:I88"/>
    <mergeCell ref="J88:K88"/>
    <mergeCell ref="L88:M88"/>
    <mergeCell ref="N88:O88"/>
    <mergeCell ref="S97:S99"/>
    <mergeCell ref="U97:U99"/>
    <mergeCell ref="W97:W99"/>
    <mergeCell ref="A100:A102"/>
    <mergeCell ref="E100:E102"/>
    <mergeCell ref="G100:G102"/>
    <mergeCell ref="I100:I102"/>
    <mergeCell ref="K100:K102"/>
    <mergeCell ref="P95:Q95"/>
    <mergeCell ref="R95:S95"/>
    <mergeCell ref="T95:U95"/>
    <mergeCell ref="V95:W95"/>
    <mergeCell ref="A97:A99"/>
    <mergeCell ref="E97:E99"/>
    <mergeCell ref="G97:G99"/>
    <mergeCell ref="I97:I99"/>
    <mergeCell ref="K97:K99"/>
    <mergeCell ref="M97:M99"/>
    <mergeCell ref="D95:E95"/>
    <mergeCell ref="F95:G95"/>
    <mergeCell ref="H95:I95"/>
    <mergeCell ref="J95:K95"/>
    <mergeCell ref="L95:M95"/>
    <mergeCell ref="N95:O95"/>
    <mergeCell ref="S103:S105"/>
    <mergeCell ref="U103:U105"/>
    <mergeCell ref="W103:W105"/>
    <mergeCell ref="A106:A108"/>
    <mergeCell ref="E106:E108"/>
    <mergeCell ref="G106:G108"/>
    <mergeCell ref="I106:I108"/>
    <mergeCell ref="K106:K108"/>
    <mergeCell ref="A103:A105"/>
    <mergeCell ref="E103:E105"/>
    <mergeCell ref="G103:G105"/>
    <mergeCell ref="I103:I105"/>
    <mergeCell ref="K103:K105"/>
    <mergeCell ref="M103:M105"/>
    <mergeCell ref="M100:M102"/>
    <mergeCell ref="O100:O102"/>
    <mergeCell ref="Q100:Q102"/>
    <mergeCell ref="S100:S102"/>
    <mergeCell ref="U100:U102"/>
    <mergeCell ref="W100:W10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M106:M108"/>
    <mergeCell ref="O106:O108"/>
    <mergeCell ref="Q106:Q108"/>
    <mergeCell ref="S106:S108"/>
    <mergeCell ref="U106:U108"/>
    <mergeCell ref="W106:W108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R115:S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V116:W116"/>
    <mergeCell ref="D117:E117"/>
    <mergeCell ref="F117:G117"/>
    <mergeCell ref="H117:I117"/>
    <mergeCell ref="J117:K117"/>
    <mergeCell ref="L117:M117"/>
    <mergeCell ref="N117:O117"/>
    <mergeCell ref="R117:S117"/>
    <mergeCell ref="T117:U117"/>
    <mergeCell ref="V117:W117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R116:S116"/>
    <mergeCell ref="T116:U116"/>
    <mergeCell ref="R119:S119"/>
    <mergeCell ref="T119:U119"/>
    <mergeCell ref="V119:W119"/>
    <mergeCell ref="U121:W121"/>
    <mergeCell ref="P118:Q118"/>
    <mergeCell ref="R118:S118"/>
    <mergeCell ref="T118:U118"/>
    <mergeCell ref="V118:W118"/>
    <mergeCell ref="D119:E119"/>
    <mergeCell ref="F119:G119"/>
    <mergeCell ref="H119:I119"/>
    <mergeCell ref="J119:K119"/>
    <mergeCell ref="L119:M119"/>
    <mergeCell ref="N119:O119"/>
    <mergeCell ref="D118:E118"/>
    <mergeCell ref="F118:G118"/>
    <mergeCell ref="H118:I118"/>
    <mergeCell ref="J118:K118"/>
    <mergeCell ref="L118:M118"/>
    <mergeCell ref="N118:O118"/>
    <mergeCell ref="S127:S129"/>
    <mergeCell ref="U127:U129"/>
    <mergeCell ref="W127:W129"/>
    <mergeCell ref="A130:A132"/>
    <mergeCell ref="E130:E132"/>
    <mergeCell ref="G130:G132"/>
    <mergeCell ref="I130:I132"/>
    <mergeCell ref="K130:K132"/>
    <mergeCell ref="P125:Q125"/>
    <mergeCell ref="R125:S125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D125:E125"/>
    <mergeCell ref="F125:G125"/>
    <mergeCell ref="H125:I125"/>
    <mergeCell ref="J125:K125"/>
    <mergeCell ref="L125:M125"/>
    <mergeCell ref="N125:O125"/>
    <mergeCell ref="S133:S135"/>
    <mergeCell ref="U133:U135"/>
    <mergeCell ref="W133:W135"/>
    <mergeCell ref="A136:A138"/>
    <mergeCell ref="E136:E138"/>
    <mergeCell ref="G136:G138"/>
    <mergeCell ref="I136:I138"/>
    <mergeCell ref="K136:K138"/>
    <mergeCell ref="A133:A135"/>
    <mergeCell ref="E133:E135"/>
    <mergeCell ref="G133:G135"/>
    <mergeCell ref="I133:I135"/>
    <mergeCell ref="K133:K135"/>
    <mergeCell ref="M133:M135"/>
    <mergeCell ref="M130:M132"/>
    <mergeCell ref="O130:O132"/>
    <mergeCell ref="Q130:Q132"/>
    <mergeCell ref="S130:S132"/>
    <mergeCell ref="U130:U132"/>
    <mergeCell ref="W130:W13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M136:M138"/>
    <mergeCell ref="O136:O138"/>
    <mergeCell ref="Q136:Q138"/>
    <mergeCell ref="S136:S138"/>
    <mergeCell ref="U136:U138"/>
    <mergeCell ref="W136:W138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R145:S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V146:W146"/>
    <mergeCell ref="D147:E147"/>
    <mergeCell ref="F147:G147"/>
    <mergeCell ref="H147:I147"/>
    <mergeCell ref="J147:K147"/>
    <mergeCell ref="L147:M147"/>
    <mergeCell ref="N147:O147"/>
    <mergeCell ref="R147:S147"/>
    <mergeCell ref="T147:U147"/>
    <mergeCell ref="V147:W147"/>
    <mergeCell ref="T145:U145"/>
    <mergeCell ref="V145:W145"/>
    <mergeCell ref="D146:E146"/>
    <mergeCell ref="F146:G146"/>
    <mergeCell ref="H146:I146"/>
    <mergeCell ref="J146:K146"/>
    <mergeCell ref="L146:M146"/>
    <mergeCell ref="N146:O146"/>
    <mergeCell ref="R146:S146"/>
    <mergeCell ref="T146:U146"/>
    <mergeCell ref="F152:O152"/>
    <mergeCell ref="D155:E155"/>
    <mergeCell ref="F155:G155"/>
    <mergeCell ref="H155:I155"/>
    <mergeCell ref="J155:K155"/>
    <mergeCell ref="L155:M155"/>
    <mergeCell ref="N155:O155"/>
    <mergeCell ref="P149:Q149"/>
    <mergeCell ref="R149:S149"/>
    <mergeCell ref="T149:U149"/>
    <mergeCell ref="V149:W149"/>
    <mergeCell ref="U151:W151"/>
    <mergeCell ref="P148:Q148"/>
    <mergeCell ref="R148:S148"/>
    <mergeCell ref="T148:U148"/>
    <mergeCell ref="V148:W148"/>
    <mergeCell ref="D149:E149"/>
    <mergeCell ref="F149:G149"/>
    <mergeCell ref="H149:I149"/>
    <mergeCell ref="J149:K149"/>
    <mergeCell ref="L149:M149"/>
    <mergeCell ref="N149:O149"/>
    <mergeCell ref="D148:E148"/>
    <mergeCell ref="F148:G148"/>
    <mergeCell ref="H148:I148"/>
    <mergeCell ref="J148:K148"/>
    <mergeCell ref="L148:M148"/>
    <mergeCell ref="N148:O148"/>
    <mergeCell ref="O157:O159"/>
    <mergeCell ref="Q157:Q159"/>
    <mergeCell ref="S157:S159"/>
    <mergeCell ref="U157:U159"/>
    <mergeCell ref="W157:W159"/>
    <mergeCell ref="A160:A162"/>
    <mergeCell ref="E160:E162"/>
    <mergeCell ref="G160:G162"/>
    <mergeCell ref="I160:I162"/>
    <mergeCell ref="K160:K162"/>
    <mergeCell ref="P155:Q155"/>
    <mergeCell ref="R155:S155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O163:O165"/>
    <mergeCell ref="Q163:Q165"/>
    <mergeCell ref="S163:S165"/>
    <mergeCell ref="U163:U165"/>
    <mergeCell ref="W163:W165"/>
    <mergeCell ref="A166:A168"/>
    <mergeCell ref="E166:E168"/>
    <mergeCell ref="G166:G168"/>
    <mergeCell ref="I166:I168"/>
    <mergeCell ref="K166:K168"/>
    <mergeCell ref="A163:A165"/>
    <mergeCell ref="E163:E165"/>
    <mergeCell ref="G163:G165"/>
    <mergeCell ref="I163:I165"/>
    <mergeCell ref="K163:K165"/>
    <mergeCell ref="M163:M165"/>
    <mergeCell ref="M160:M162"/>
    <mergeCell ref="O160:O162"/>
    <mergeCell ref="Q160:Q162"/>
    <mergeCell ref="S160:S162"/>
    <mergeCell ref="U160:U162"/>
    <mergeCell ref="W160:W162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M166:M168"/>
    <mergeCell ref="O166:O168"/>
    <mergeCell ref="Q166:Q168"/>
    <mergeCell ref="S166:S168"/>
    <mergeCell ref="U166:U168"/>
    <mergeCell ref="W166:W168"/>
    <mergeCell ref="R174:S174"/>
    <mergeCell ref="T174:U174"/>
    <mergeCell ref="V174:W174"/>
    <mergeCell ref="D175:E175"/>
    <mergeCell ref="F175:G175"/>
    <mergeCell ref="H175:I175"/>
    <mergeCell ref="J175:K175"/>
    <mergeCell ref="L175:M175"/>
    <mergeCell ref="N175:O175"/>
    <mergeCell ref="R175:S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V176:W176"/>
    <mergeCell ref="D177:E177"/>
    <mergeCell ref="F177:G177"/>
    <mergeCell ref="H177:I177"/>
    <mergeCell ref="J177:K177"/>
    <mergeCell ref="L177:M177"/>
    <mergeCell ref="N177:O177"/>
    <mergeCell ref="R177:S177"/>
    <mergeCell ref="T177:U177"/>
    <mergeCell ref="V177:W177"/>
    <mergeCell ref="T175:U175"/>
    <mergeCell ref="V175:W175"/>
    <mergeCell ref="D176:E176"/>
    <mergeCell ref="F176:G176"/>
    <mergeCell ref="H176:I176"/>
    <mergeCell ref="J176:K176"/>
    <mergeCell ref="L176:M176"/>
    <mergeCell ref="N176:O176"/>
    <mergeCell ref="R176:S176"/>
    <mergeCell ref="T176:U176"/>
    <mergeCell ref="F182:O182"/>
    <mergeCell ref="D185:E185"/>
    <mergeCell ref="F185:G185"/>
    <mergeCell ref="H185:I185"/>
    <mergeCell ref="J185:K185"/>
    <mergeCell ref="L185:M185"/>
    <mergeCell ref="N185:O185"/>
    <mergeCell ref="P179:Q179"/>
    <mergeCell ref="R179:S179"/>
    <mergeCell ref="T179:U179"/>
    <mergeCell ref="V179:W179"/>
    <mergeCell ref="U181:W181"/>
    <mergeCell ref="P178:Q178"/>
    <mergeCell ref="R178:S178"/>
    <mergeCell ref="T178:U178"/>
    <mergeCell ref="V178:W178"/>
    <mergeCell ref="D179:E179"/>
    <mergeCell ref="F179:G179"/>
    <mergeCell ref="H179:I179"/>
    <mergeCell ref="J179:K179"/>
    <mergeCell ref="L179:M179"/>
    <mergeCell ref="N179:O179"/>
    <mergeCell ref="D178:E178"/>
    <mergeCell ref="F178:G178"/>
    <mergeCell ref="H178:I178"/>
    <mergeCell ref="J178:K178"/>
    <mergeCell ref="L178:M178"/>
    <mergeCell ref="N178:O178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P185:Q185"/>
    <mergeCell ref="R185:S185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O193:O195"/>
    <mergeCell ref="Q193:Q195"/>
    <mergeCell ref="S193:S195"/>
    <mergeCell ref="U193:U195"/>
    <mergeCell ref="W193:W195"/>
    <mergeCell ref="A196:A198"/>
    <mergeCell ref="E196:E198"/>
    <mergeCell ref="G196:G198"/>
    <mergeCell ref="I196:I198"/>
    <mergeCell ref="K196:K198"/>
    <mergeCell ref="A193:A195"/>
    <mergeCell ref="E193:E195"/>
    <mergeCell ref="G193:G195"/>
    <mergeCell ref="I193:I195"/>
    <mergeCell ref="K193:K195"/>
    <mergeCell ref="M193:M195"/>
    <mergeCell ref="M190:M192"/>
    <mergeCell ref="O190:O192"/>
    <mergeCell ref="Q190:Q192"/>
    <mergeCell ref="S190:S192"/>
    <mergeCell ref="U190:U192"/>
    <mergeCell ref="W190:W192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M196:M198"/>
    <mergeCell ref="O196:O198"/>
    <mergeCell ref="Q196:Q198"/>
    <mergeCell ref="S196:S198"/>
    <mergeCell ref="U196:U198"/>
    <mergeCell ref="W196:W198"/>
    <mergeCell ref="R204:S204"/>
    <mergeCell ref="T204:U204"/>
    <mergeCell ref="V204:W204"/>
    <mergeCell ref="D205:E205"/>
    <mergeCell ref="F205:G205"/>
    <mergeCell ref="H205:I205"/>
    <mergeCell ref="J205:K205"/>
    <mergeCell ref="L205:M205"/>
    <mergeCell ref="N205:O205"/>
    <mergeCell ref="R205:S20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V206:W206"/>
    <mergeCell ref="D207:E207"/>
    <mergeCell ref="F207:G207"/>
    <mergeCell ref="H207:I207"/>
    <mergeCell ref="J207:K207"/>
    <mergeCell ref="L207:M207"/>
    <mergeCell ref="N207:O207"/>
    <mergeCell ref="R207:S207"/>
    <mergeCell ref="T207:U207"/>
    <mergeCell ref="V207:W207"/>
    <mergeCell ref="T205:U205"/>
    <mergeCell ref="V205:W205"/>
    <mergeCell ref="D206:E206"/>
    <mergeCell ref="F206:G206"/>
    <mergeCell ref="H206:I206"/>
    <mergeCell ref="J206:K206"/>
    <mergeCell ref="L206:M206"/>
    <mergeCell ref="N206:O206"/>
    <mergeCell ref="R206:S206"/>
    <mergeCell ref="T206:U206"/>
    <mergeCell ref="P205:Q205"/>
    <mergeCell ref="F212:O212"/>
    <mergeCell ref="D215:E215"/>
    <mergeCell ref="F215:G215"/>
    <mergeCell ref="H215:I215"/>
    <mergeCell ref="J215:K215"/>
    <mergeCell ref="L215:M215"/>
    <mergeCell ref="N215:O215"/>
    <mergeCell ref="P209:Q209"/>
    <mergeCell ref="R209:S209"/>
    <mergeCell ref="T209:U209"/>
    <mergeCell ref="V209:W209"/>
    <mergeCell ref="U211:W211"/>
    <mergeCell ref="P208:Q208"/>
    <mergeCell ref="R208:S208"/>
    <mergeCell ref="T208:U208"/>
    <mergeCell ref="V208:W208"/>
    <mergeCell ref="D209:E209"/>
    <mergeCell ref="F209:G209"/>
    <mergeCell ref="H209:I209"/>
    <mergeCell ref="J209:K209"/>
    <mergeCell ref="L209:M209"/>
    <mergeCell ref="N209:O209"/>
    <mergeCell ref="D208:E208"/>
    <mergeCell ref="F208:G208"/>
    <mergeCell ref="H208:I208"/>
    <mergeCell ref="J208:K208"/>
    <mergeCell ref="L208:M208"/>
    <mergeCell ref="N208:O208"/>
    <mergeCell ref="M220:M222"/>
    <mergeCell ref="O220:O222"/>
    <mergeCell ref="Q220:Q222"/>
    <mergeCell ref="S220:S222"/>
    <mergeCell ref="U220:U222"/>
    <mergeCell ref="W220:W222"/>
    <mergeCell ref="O217:O219"/>
    <mergeCell ref="Q217:Q219"/>
    <mergeCell ref="S217:S219"/>
    <mergeCell ref="U217:U219"/>
    <mergeCell ref="W217:W219"/>
    <mergeCell ref="A220:A222"/>
    <mergeCell ref="E220:E222"/>
    <mergeCell ref="G220:G222"/>
    <mergeCell ref="I220:I222"/>
    <mergeCell ref="K220:K222"/>
    <mergeCell ref="P215:Q215"/>
    <mergeCell ref="R215:S215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M226:M228"/>
    <mergeCell ref="O226:O228"/>
    <mergeCell ref="Q226:Q228"/>
    <mergeCell ref="S226:S228"/>
    <mergeCell ref="U226:U228"/>
    <mergeCell ref="W226:W228"/>
    <mergeCell ref="O223:O225"/>
    <mergeCell ref="Q223:Q225"/>
    <mergeCell ref="S223:S225"/>
    <mergeCell ref="U223:U225"/>
    <mergeCell ref="W223:W225"/>
    <mergeCell ref="A226:A228"/>
    <mergeCell ref="E226:E228"/>
    <mergeCell ref="G226:G228"/>
    <mergeCell ref="I226:I228"/>
    <mergeCell ref="K226:K228"/>
    <mergeCell ref="A223:A225"/>
    <mergeCell ref="E223:E225"/>
    <mergeCell ref="G223:G225"/>
    <mergeCell ref="I223:I225"/>
    <mergeCell ref="K223:K225"/>
    <mergeCell ref="M223:M225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D238:E238"/>
    <mergeCell ref="F238:G238"/>
    <mergeCell ref="H238:I238"/>
    <mergeCell ref="J238:K238"/>
    <mergeCell ref="L238:M238"/>
    <mergeCell ref="N238:O238"/>
    <mergeCell ref="P236:Q236"/>
    <mergeCell ref="R236:S236"/>
    <mergeCell ref="T236:U236"/>
    <mergeCell ref="V236:W236"/>
    <mergeCell ref="D237:E237"/>
    <mergeCell ref="F237:G237"/>
    <mergeCell ref="H237:I237"/>
    <mergeCell ref="J237:K237"/>
    <mergeCell ref="L237:M237"/>
    <mergeCell ref="N237:O237"/>
    <mergeCell ref="P235:Q235"/>
    <mergeCell ref="R235:S235"/>
    <mergeCell ref="T235:U235"/>
    <mergeCell ref="V235:W235"/>
    <mergeCell ref="D236:E236"/>
    <mergeCell ref="F236:G236"/>
    <mergeCell ref="H236:I236"/>
    <mergeCell ref="J236:K236"/>
    <mergeCell ref="L236:M236"/>
    <mergeCell ref="N236:O236"/>
    <mergeCell ref="D235:E235"/>
    <mergeCell ref="F235:G235"/>
    <mergeCell ref="H235:I235"/>
    <mergeCell ref="J235:K235"/>
    <mergeCell ref="L235:M235"/>
    <mergeCell ref="N235:O235"/>
    <mergeCell ref="Z67:Z69"/>
    <mergeCell ref="Z76:Z78"/>
    <mergeCell ref="Z73:Z75"/>
    <mergeCell ref="Z10:Z12"/>
    <mergeCell ref="Z7:Z9"/>
    <mergeCell ref="Z16:Z18"/>
    <mergeCell ref="Z37:Z39"/>
    <mergeCell ref="Z43:Z45"/>
    <mergeCell ref="Z40:Z42"/>
    <mergeCell ref="T239:U239"/>
    <mergeCell ref="V239:W239"/>
    <mergeCell ref="P238:Q238"/>
    <mergeCell ref="R238:S238"/>
    <mergeCell ref="T238:U238"/>
    <mergeCell ref="V238:W238"/>
    <mergeCell ref="P239:Q239"/>
    <mergeCell ref="H239:I239"/>
    <mergeCell ref="J239:K239"/>
    <mergeCell ref="L239:M239"/>
    <mergeCell ref="N239:O239"/>
    <mergeCell ref="P237:Q237"/>
    <mergeCell ref="R237:S237"/>
    <mergeCell ref="R239:S239"/>
    <mergeCell ref="T237:U237"/>
    <mergeCell ref="V237:W237"/>
    <mergeCell ref="P234:Q234"/>
    <mergeCell ref="R234:S234"/>
    <mergeCell ref="T234:U234"/>
    <mergeCell ref="V234:W234"/>
    <mergeCell ref="P233:Q233"/>
    <mergeCell ref="R233:S233"/>
    <mergeCell ref="T233:U233"/>
    <mergeCell ref="F1:Q1"/>
    <mergeCell ref="B25:C25"/>
    <mergeCell ref="B26:C26"/>
    <mergeCell ref="B27:C27"/>
    <mergeCell ref="B28:C28"/>
    <mergeCell ref="B29:C29"/>
    <mergeCell ref="N29:O29"/>
    <mergeCell ref="P56:Q56"/>
    <mergeCell ref="Z187:Z189"/>
    <mergeCell ref="Z196:Z198"/>
    <mergeCell ref="Z193:Z195"/>
    <mergeCell ref="Z190:Z192"/>
    <mergeCell ref="Z217:Z219"/>
    <mergeCell ref="Z160:Z162"/>
    <mergeCell ref="X181:Z181"/>
    <mergeCell ref="X211:Z211"/>
    <mergeCell ref="Z226:Z228"/>
    <mergeCell ref="Z223:Z225"/>
    <mergeCell ref="Z220:Z222"/>
    <mergeCell ref="Z127:Z129"/>
    <mergeCell ref="Z136:Z138"/>
    <mergeCell ref="Z133:Z135"/>
    <mergeCell ref="Z130:Z132"/>
    <mergeCell ref="Z157:Z159"/>
    <mergeCell ref="Z166:Z168"/>
    <mergeCell ref="Z163:Z165"/>
    <mergeCell ref="Z70:Z72"/>
    <mergeCell ref="Z97:Z99"/>
    <mergeCell ref="Z106:Z108"/>
    <mergeCell ref="Z103:Z105"/>
    <mergeCell ref="Z100:Z102"/>
    <mergeCell ref="Z13:Z15"/>
    <mergeCell ref="B59:C59"/>
    <mergeCell ref="F61:Q61"/>
    <mergeCell ref="B85:C85"/>
    <mergeCell ref="B86:C86"/>
    <mergeCell ref="B87:C87"/>
    <mergeCell ref="B88:C88"/>
    <mergeCell ref="P87:Q87"/>
    <mergeCell ref="P86:Q86"/>
    <mergeCell ref="P85:Q85"/>
    <mergeCell ref="D88:E88"/>
    <mergeCell ref="D29:E29"/>
    <mergeCell ref="P84:Q84"/>
    <mergeCell ref="F31:Q31"/>
    <mergeCell ref="U31:W31"/>
    <mergeCell ref="B55:C55"/>
    <mergeCell ref="B56:C56"/>
    <mergeCell ref="B57:C57"/>
    <mergeCell ref="B58:C58"/>
    <mergeCell ref="P57:Q57"/>
    <mergeCell ref="R57:S57"/>
    <mergeCell ref="F29:G29"/>
    <mergeCell ref="V57:W57"/>
    <mergeCell ref="V86:W86"/>
    <mergeCell ref="R87:S87"/>
    <mergeCell ref="T87:U87"/>
    <mergeCell ref="V87:W87"/>
    <mergeCell ref="D87:E87"/>
    <mergeCell ref="F87:G87"/>
    <mergeCell ref="H87:I87"/>
    <mergeCell ref="J87:K87"/>
    <mergeCell ref="L87:M87"/>
    <mergeCell ref="N87:O87"/>
    <mergeCell ref="B146:C146"/>
    <mergeCell ref="B147:C147"/>
    <mergeCell ref="B148:C148"/>
    <mergeCell ref="P147:Q147"/>
    <mergeCell ref="P146:Q146"/>
    <mergeCell ref="P145:Q145"/>
    <mergeCell ref="P144:Q144"/>
    <mergeCell ref="B89:C89"/>
    <mergeCell ref="F91:Q91"/>
    <mergeCell ref="B115:C115"/>
    <mergeCell ref="B116:C116"/>
    <mergeCell ref="B117:C117"/>
    <mergeCell ref="B118:C118"/>
    <mergeCell ref="P117:Q117"/>
    <mergeCell ref="P116:Q116"/>
    <mergeCell ref="P115:Q115"/>
    <mergeCell ref="P114:Q114"/>
    <mergeCell ref="P142:Q142"/>
    <mergeCell ref="O133:O135"/>
    <mergeCell ref="Q133:Q135"/>
    <mergeCell ref="O127:O129"/>
    <mergeCell ref="Q127:Q129"/>
    <mergeCell ref="F122:O122"/>
    <mergeCell ref="P119:Q119"/>
    <mergeCell ref="P112:Q112"/>
    <mergeCell ref="O103:O105"/>
    <mergeCell ref="Q103:Q105"/>
    <mergeCell ref="O97:O99"/>
    <mergeCell ref="Q97:Q99"/>
    <mergeCell ref="F92:O92"/>
    <mergeCell ref="P89:Q89"/>
    <mergeCell ref="X1:Z1"/>
    <mergeCell ref="B239:C239"/>
    <mergeCell ref="B209:C209"/>
    <mergeCell ref="F211:Q211"/>
    <mergeCell ref="B235:C235"/>
    <mergeCell ref="B236:C236"/>
    <mergeCell ref="B237:C237"/>
    <mergeCell ref="B238:C238"/>
    <mergeCell ref="P175:Q175"/>
    <mergeCell ref="F239:G239"/>
    <mergeCell ref="B179:C179"/>
    <mergeCell ref="F181:Q181"/>
    <mergeCell ref="B205:C205"/>
    <mergeCell ref="B206:C206"/>
    <mergeCell ref="B207:C207"/>
    <mergeCell ref="B208:C208"/>
    <mergeCell ref="P207:Q207"/>
    <mergeCell ref="D239:E239"/>
    <mergeCell ref="P206:Q206"/>
    <mergeCell ref="P204:Q204"/>
    <mergeCell ref="B149:C149"/>
    <mergeCell ref="F151:Q151"/>
    <mergeCell ref="B175:C175"/>
    <mergeCell ref="B176:C176"/>
    <mergeCell ref="B177:C177"/>
    <mergeCell ref="B178:C178"/>
    <mergeCell ref="P177:Q177"/>
    <mergeCell ref="P176:Q176"/>
    <mergeCell ref="P174:Q174"/>
    <mergeCell ref="B119:C119"/>
    <mergeCell ref="F121:Q121"/>
    <mergeCell ref="B145:C145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06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18" manualBreakCount="18">
    <brk id="30" max="22" man="1"/>
    <brk id="30" min="25" max="47" man="1"/>
    <brk id="60" max="22" man="1"/>
    <brk id="60" min="25" max="47" man="1"/>
    <brk id="90" max="22" man="1"/>
    <brk id="90" min="25" max="47" man="1"/>
    <brk id="120" max="22" man="1"/>
    <brk id="120" min="25" max="47" man="1"/>
    <brk id="150" max="22" man="1"/>
    <brk id="150" min="25" max="47" man="1"/>
    <brk id="180" max="22" man="1"/>
    <brk id="180" min="25" max="47" man="1"/>
    <brk id="210" max="22" man="1"/>
    <brk id="210" min="25" max="47" man="1"/>
    <brk id="240" max="22" man="1"/>
    <brk id="240" min="25" max="47" man="1"/>
    <brk id="270" max="22" man="1"/>
    <brk id="270" min="25" max="47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rgb="FFFFFF00"/>
    <pageSetUpPr fitToPage="1"/>
  </sheetPr>
  <dimension ref="A1:AF26"/>
  <sheetViews>
    <sheetView topLeftCell="A10" workbookViewId="0">
      <selection activeCell="D80" sqref="D80:M80"/>
    </sheetView>
  </sheetViews>
  <sheetFormatPr baseColWidth="10" defaultColWidth="11.33203125" defaultRowHeight="12.75" x14ac:dyDescent="0.35"/>
  <cols>
    <col min="1" max="1" width="4.06640625" customWidth="1"/>
    <col min="2" max="2" width="18.33203125" customWidth="1"/>
    <col min="3" max="3" width="6.265625" customWidth="1"/>
    <col min="4" max="4" width="4.73046875" customWidth="1"/>
    <col min="5" max="5" width="6.265625" customWidth="1"/>
    <col min="6" max="6" width="4.73046875" customWidth="1"/>
    <col min="7" max="7" width="6.265625" customWidth="1"/>
    <col min="8" max="8" width="4.73046875" customWidth="1"/>
    <col min="9" max="9" width="6.265625" customWidth="1"/>
    <col min="10" max="10" width="4.73046875" customWidth="1"/>
    <col min="11" max="11" width="6.265625" customWidth="1"/>
    <col min="12" max="12" width="4.73046875" customWidth="1"/>
    <col min="13" max="13" width="6.265625" customWidth="1"/>
    <col min="14" max="14" width="4.73046875" customWidth="1"/>
    <col min="15" max="15" width="6.265625" customWidth="1"/>
    <col min="16" max="16" width="4.73046875" customWidth="1"/>
    <col min="17" max="17" width="6.265625" customWidth="1"/>
    <col min="18" max="18" width="4.73046875" customWidth="1"/>
    <col min="19" max="19" width="6.265625" customWidth="1"/>
    <col min="20" max="20" width="4.73046875" customWidth="1"/>
    <col min="21" max="21" width="9.33203125" customWidth="1"/>
    <col min="22" max="22" width="7.796875" customWidth="1"/>
    <col min="24" max="24" width="4.33203125" customWidth="1"/>
    <col min="27" max="27" width="14.796875" style="215" hidden="1" customWidth="1"/>
    <col min="28" max="28" width="6.33203125" style="215" hidden="1" customWidth="1"/>
    <col min="29" max="29" width="5" style="215" hidden="1" customWidth="1"/>
    <col min="30" max="30" width="5.06640625" style="215" hidden="1" customWidth="1"/>
    <col min="31" max="31" width="6" style="215" hidden="1" customWidth="1"/>
    <col min="32" max="32" width="11.33203125" hidden="1" customWidth="1"/>
    <col min="33" max="52" width="11.33203125" customWidth="1"/>
  </cols>
  <sheetData>
    <row r="1" spans="1:31" ht="28.5" customHeight="1" x14ac:dyDescent="0.35">
      <c r="A1" s="382" t="str">
        <f>Schlüssel!$C$1</f>
        <v>Bayernliga Frauen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5"/>
      <c r="Y1" s="5"/>
      <c r="AA1" s="215" t="s">
        <v>2080</v>
      </c>
    </row>
    <row r="2" spans="1:31" ht="28.5" customHeight="1" x14ac:dyDescent="0.35">
      <c r="A2" s="383" t="str">
        <f>"Saison "&amp;Spielorte!C18&amp;"     -     Spieltag "&amp;Erfassung1!AS2&amp;"     -     "&amp;Erfassung1!AT1</f>
        <v>Saison 2024/2025     -     Spieltag 1     -     12.10./13.10.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5"/>
      <c r="Y2" s="5"/>
    </row>
    <row r="3" spans="1:31" ht="28.5" customHeight="1" x14ac:dyDescent="0.35">
      <c r="A3" s="383" t="str">
        <f>+Erfassung1!AE2</f>
        <v>Unterföhring Dreambowl Palace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5"/>
      <c r="Y3" s="5"/>
    </row>
    <row r="4" spans="1:31" ht="28.5" customHeight="1" thickBot="1" x14ac:dyDescent="0.6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35">
      <c r="A5" s="386" t="s">
        <v>1816</v>
      </c>
      <c r="B5" s="388" t="s">
        <v>1817</v>
      </c>
      <c r="C5" s="376" t="s">
        <v>1800</v>
      </c>
      <c r="D5" s="377"/>
      <c r="E5" s="376" t="s">
        <v>1801</v>
      </c>
      <c r="F5" s="377"/>
      <c r="G5" s="376" t="s">
        <v>1802</v>
      </c>
      <c r="H5" s="377"/>
      <c r="I5" s="376" t="s">
        <v>1803</v>
      </c>
      <c r="J5" s="377"/>
      <c r="K5" s="376" t="s">
        <v>1804</v>
      </c>
      <c r="L5" s="377"/>
      <c r="M5" s="376" t="s">
        <v>1805</v>
      </c>
      <c r="N5" s="377"/>
      <c r="O5" s="376" t="s">
        <v>1806</v>
      </c>
      <c r="P5" s="377"/>
      <c r="Q5" s="376" t="s">
        <v>1807</v>
      </c>
      <c r="R5" s="377"/>
      <c r="S5" s="378" t="s">
        <v>1808</v>
      </c>
      <c r="T5" s="377"/>
      <c r="U5" s="376" t="s">
        <v>1799</v>
      </c>
      <c r="V5" s="377"/>
      <c r="W5" s="384" t="s">
        <v>1818</v>
      </c>
    </row>
    <row r="6" spans="1:31" ht="13.15" thickBot="1" x14ac:dyDescent="0.4">
      <c r="A6" s="387"/>
      <c r="B6" s="389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5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4">
      <c r="A7" s="223">
        <v>1</v>
      </c>
      <c r="B7" s="128" t="str">
        <f>INDEX(Erfassung1!$AA:$AA,MATCH($A7,Erfassung1!$BR:$BR,0)-17)</f>
        <v>Highroller Rosenheim</v>
      </c>
      <c r="C7" s="129">
        <f>INDEX(Erfassung1!AC:AC,MATCH($A7,Erfassung1!$BR:$BR,0)-1)</f>
        <v>779</v>
      </c>
      <c r="D7" s="130">
        <f>INDEX(Erfassung1!AD:AD,MATCH($A7,Erfassung1!$BR:$BR,0))</f>
        <v>5</v>
      </c>
      <c r="E7" s="129">
        <f>INDEX(Erfassung1!AE:AE,MATCH($A7,Erfassung1!$BR:$BR,0)-1)</f>
        <v>740</v>
      </c>
      <c r="F7" s="130">
        <f>INDEX(Erfassung1!AF:AF,MATCH($A7,Erfassung1!$BR:$BR,0))</f>
        <v>5</v>
      </c>
      <c r="G7" s="129">
        <f>INDEX(Erfassung1!AG:AG,MATCH($A7,Erfassung1!$BR:$BR,0)-1)</f>
        <v>765</v>
      </c>
      <c r="H7" s="130">
        <f>INDEX(Erfassung1!AH:AH,MATCH($A7,Erfassung1!$BR:$BR,0))</f>
        <v>6</v>
      </c>
      <c r="I7" s="129">
        <f>INDEX(Erfassung1!AI:AI,MATCH($A7,Erfassung1!$BR:$BR,0)-1)</f>
        <v>729</v>
      </c>
      <c r="J7" s="130">
        <f>INDEX(Erfassung1!AJ:AJ,MATCH($A7,Erfassung1!$BR:$BR,0))</f>
        <v>4</v>
      </c>
      <c r="K7" s="129">
        <f>INDEX(Erfassung1!AK:AK,MATCH($A7,Erfassung1!$BR:$BR,0)-1)</f>
        <v>845</v>
      </c>
      <c r="L7" s="130">
        <f>INDEX(Erfassung1!AL:AL,MATCH($A7,Erfassung1!$BR:$BR,0))</f>
        <v>6</v>
      </c>
      <c r="M7" s="129">
        <f>INDEX(Erfassung1!AM:AM,MATCH($A7,Erfassung1!$BR:$BR,0)-1)</f>
        <v>759</v>
      </c>
      <c r="N7" s="130">
        <f>INDEX(Erfassung1!AN:AN,MATCH($A7,Erfassung1!$BR:$BR,0))</f>
        <v>5</v>
      </c>
      <c r="O7" s="129">
        <f>INDEX(Erfassung1!AO:AO,MATCH($A7,Erfassung1!$BR:$BR,0)-1)</f>
        <v>644</v>
      </c>
      <c r="P7" s="130">
        <f>INDEX(Erfassung1!AP:AP,MATCH($A7,Erfassung1!$BR:$BR,0))</f>
        <v>1</v>
      </c>
      <c r="Q7" s="129">
        <f>INDEX(Erfassung1!AQ:AQ,MATCH($A7,Erfassung1!$BR:$BR,0)-1)</f>
        <v>719</v>
      </c>
      <c r="R7" s="130">
        <f>INDEX(Erfassung1!AR:AR,MATCH($A7,Erfassung1!$BR:$BR,0))</f>
        <v>6</v>
      </c>
      <c r="S7" s="129">
        <f>INDEX(Erfassung1!AS:AS,MATCH($A7,Erfassung1!$BR:$BR,0)-1)</f>
        <v>778</v>
      </c>
      <c r="T7" s="130">
        <f>INDEX(Erfassung1!AT:AT,MATCH($A7,Erfassung1!$BR:$BR,0))</f>
        <v>4</v>
      </c>
      <c r="U7" s="131">
        <f t="shared" ref="U7:U16" si="0">SUM(C7+E7+G7+I7+K7+M7+O7+Q7+S7)</f>
        <v>6758</v>
      </c>
      <c r="V7" s="132">
        <f t="shared" ref="V7:V16" si="1">SUM(D7+F7+H7+J7+L7+N7+P7+R7+T7)</f>
        <v>42</v>
      </c>
      <c r="W7" s="224">
        <f>IFERROR(U7/INDEX(Erfassung1!BF:BF,MATCH(A7,Erfassung1!BR:BR,0)),0)</f>
        <v>187.72222222222223</v>
      </c>
      <c r="X7" s="25"/>
      <c r="AE7" s="215">
        <f>SUMIF(Erfassung1!BU:BU,B7,Erfassung1!BF:BF)</f>
        <v>36</v>
      </c>
    </row>
    <row r="8" spans="1:31" ht="42" customHeight="1" thickBot="1" x14ac:dyDescent="0.4">
      <c r="A8" s="223">
        <v>2</v>
      </c>
      <c r="B8" s="128" t="str">
        <f>INDEX(Erfassung1!$AA:$AA,MATCH($A8,Erfassung1!$BR:$BR,0)-17)</f>
        <v>Phönix 03 Lauf</v>
      </c>
      <c r="C8" s="129">
        <f>INDEX(Erfassung1!AC:AC,MATCH($A8,Erfassung1!$BR:$BR,0)-1)</f>
        <v>732</v>
      </c>
      <c r="D8" s="130">
        <f>INDEX(Erfassung1!AD:AD,MATCH($A8,Erfassung1!$BR:$BR,0))</f>
        <v>6</v>
      </c>
      <c r="E8" s="129">
        <f>INDEX(Erfassung1!AE:AE,MATCH($A8,Erfassung1!$BR:$BR,0)-1)</f>
        <v>739</v>
      </c>
      <c r="F8" s="130">
        <f>INDEX(Erfassung1!AF:AF,MATCH($A8,Erfassung1!$BR:$BR,0))</f>
        <v>4</v>
      </c>
      <c r="G8" s="129">
        <f>INDEX(Erfassung1!AG:AG,MATCH($A8,Erfassung1!$BR:$BR,0)-1)</f>
        <v>747</v>
      </c>
      <c r="H8" s="130">
        <f>INDEX(Erfassung1!AH:AH,MATCH($A8,Erfassung1!$BR:$BR,0))</f>
        <v>6</v>
      </c>
      <c r="I8" s="129">
        <f>INDEX(Erfassung1!AI:AI,MATCH($A8,Erfassung1!$BR:$BR,0)-1)</f>
        <v>784</v>
      </c>
      <c r="J8" s="130">
        <f>INDEX(Erfassung1!AJ:AJ,MATCH($A8,Erfassung1!$BR:$BR,0))</f>
        <v>4</v>
      </c>
      <c r="K8" s="129">
        <f>INDEX(Erfassung1!AK:AK,MATCH($A8,Erfassung1!$BR:$BR,0)-1)</f>
        <v>782</v>
      </c>
      <c r="L8" s="130">
        <f>INDEX(Erfassung1!AL:AL,MATCH($A8,Erfassung1!$BR:$BR,0))</f>
        <v>6</v>
      </c>
      <c r="M8" s="129">
        <f>INDEX(Erfassung1!AM:AM,MATCH($A8,Erfassung1!$BR:$BR,0)-1)</f>
        <v>734</v>
      </c>
      <c r="N8" s="130">
        <f>INDEX(Erfassung1!AN:AN,MATCH($A8,Erfassung1!$BR:$BR,0))</f>
        <v>1</v>
      </c>
      <c r="O8" s="129">
        <f>INDEX(Erfassung1!AO:AO,MATCH($A8,Erfassung1!$BR:$BR,0)-1)</f>
        <v>770</v>
      </c>
      <c r="P8" s="130">
        <f>INDEX(Erfassung1!AP:AP,MATCH($A8,Erfassung1!$BR:$BR,0))</f>
        <v>6</v>
      </c>
      <c r="Q8" s="129">
        <f>INDEX(Erfassung1!AQ:AQ,MATCH($A8,Erfassung1!$BR:$BR,0)-1)</f>
        <v>738</v>
      </c>
      <c r="R8" s="130">
        <f>INDEX(Erfassung1!AR:AR,MATCH($A8,Erfassung1!$BR:$BR,0))</f>
        <v>6</v>
      </c>
      <c r="S8" s="129">
        <f>INDEX(Erfassung1!AS:AS,MATCH($A8,Erfassung1!$BR:$BR,0)-1)</f>
        <v>676</v>
      </c>
      <c r="T8" s="130">
        <f>INDEX(Erfassung1!AT:AT,MATCH($A8,Erfassung1!$BR:$BR,0))</f>
        <v>2</v>
      </c>
      <c r="U8" s="131">
        <f t="shared" si="0"/>
        <v>6702</v>
      </c>
      <c r="V8" s="132">
        <f t="shared" si="1"/>
        <v>41</v>
      </c>
      <c r="W8" s="224">
        <f>IFERROR(U8/INDEX(Erfassung1!BF:BF,MATCH(A8,Erfassung1!BR:BR,0)),0)</f>
        <v>186.16666666666666</v>
      </c>
      <c r="X8" s="25"/>
      <c r="AE8" s="215">
        <f>SUMIF(Erfassung1!BU:BU,B8,Erfassung1!BF:BF)</f>
        <v>36</v>
      </c>
    </row>
    <row r="9" spans="1:31" ht="42" customHeight="1" thickBot="1" x14ac:dyDescent="0.4">
      <c r="A9" s="223">
        <v>3</v>
      </c>
      <c r="B9" s="128" t="str">
        <f>INDEX(Erfassung1!$AA:$AA,MATCH($A9,Erfassung1!$BR:$BR,0)-17)</f>
        <v>EPA München 1</v>
      </c>
      <c r="C9" s="129">
        <f>INDEX(Erfassung1!AC:AC,MATCH($A9,Erfassung1!$BR:$BR,0)-1)</f>
        <v>718</v>
      </c>
      <c r="D9" s="130">
        <f>INDEX(Erfassung1!AD:AD,MATCH($A9,Erfassung1!$BR:$BR,0))</f>
        <v>2</v>
      </c>
      <c r="E9" s="129">
        <f>INDEX(Erfassung1!AE:AE,MATCH($A9,Erfassung1!$BR:$BR,0)-1)</f>
        <v>770</v>
      </c>
      <c r="F9" s="130">
        <f>INDEX(Erfassung1!AF:AF,MATCH($A9,Erfassung1!$BR:$BR,0))</f>
        <v>6</v>
      </c>
      <c r="G9" s="129">
        <f>INDEX(Erfassung1!AG:AG,MATCH($A9,Erfassung1!$BR:$BR,0)-1)</f>
        <v>741</v>
      </c>
      <c r="H9" s="130">
        <f>INDEX(Erfassung1!AH:AH,MATCH($A9,Erfassung1!$BR:$BR,0))</f>
        <v>5</v>
      </c>
      <c r="I9" s="129">
        <f>INDEX(Erfassung1!AI:AI,MATCH($A9,Erfassung1!$BR:$BR,0)-1)</f>
        <v>755</v>
      </c>
      <c r="J9" s="130">
        <f>INDEX(Erfassung1!AJ:AJ,MATCH($A9,Erfassung1!$BR:$BR,0))</f>
        <v>2</v>
      </c>
      <c r="K9" s="129">
        <f>INDEX(Erfassung1!AK:AK,MATCH($A9,Erfassung1!$BR:$BR,0)-1)</f>
        <v>723</v>
      </c>
      <c r="L9" s="130">
        <f>INDEX(Erfassung1!AL:AL,MATCH($A9,Erfassung1!$BR:$BR,0))</f>
        <v>5</v>
      </c>
      <c r="M9" s="129">
        <f>INDEX(Erfassung1!AM:AM,MATCH($A9,Erfassung1!$BR:$BR,0)-1)</f>
        <v>810</v>
      </c>
      <c r="N9" s="130">
        <f>INDEX(Erfassung1!AN:AN,MATCH($A9,Erfassung1!$BR:$BR,0))</f>
        <v>6</v>
      </c>
      <c r="O9" s="129">
        <f>INDEX(Erfassung1!AO:AO,MATCH($A9,Erfassung1!$BR:$BR,0)-1)</f>
        <v>764</v>
      </c>
      <c r="P9" s="130">
        <f>INDEX(Erfassung1!AP:AP,MATCH($A9,Erfassung1!$BR:$BR,0))</f>
        <v>5</v>
      </c>
      <c r="Q9" s="129">
        <f>INDEX(Erfassung1!AQ:AQ,MATCH($A9,Erfassung1!$BR:$BR,0)-1)</f>
        <v>709</v>
      </c>
      <c r="R9" s="130">
        <f>INDEX(Erfassung1!AR:AR,MATCH($A9,Erfassung1!$BR:$BR,0))</f>
        <v>4</v>
      </c>
      <c r="S9" s="129">
        <f>INDEX(Erfassung1!AS:AS,MATCH($A9,Erfassung1!$BR:$BR,0)-1)</f>
        <v>767</v>
      </c>
      <c r="T9" s="130">
        <f>INDEX(Erfassung1!AT:AT,MATCH($A9,Erfassung1!$BR:$BR,0))</f>
        <v>3</v>
      </c>
      <c r="U9" s="131">
        <f t="shared" si="0"/>
        <v>6757</v>
      </c>
      <c r="V9" s="132">
        <f t="shared" si="1"/>
        <v>38</v>
      </c>
      <c r="W9" s="224">
        <f>IFERROR(U9/INDEX(Erfassung1!BF:BF,MATCH(A9,Erfassung1!BR:BR,0)),0)</f>
        <v>187.69444444444446</v>
      </c>
      <c r="X9" s="25"/>
      <c r="AE9" s="215">
        <f>SUMIF(Erfassung1!BU:BU,B9,Erfassung1!BF:BF)</f>
        <v>36</v>
      </c>
    </row>
    <row r="10" spans="1:31" ht="42" customHeight="1" thickBot="1" x14ac:dyDescent="0.4">
      <c r="A10" s="223">
        <v>4</v>
      </c>
      <c r="B10" s="128" t="str">
        <f>INDEX(Erfassung1!$AA:$AA,MATCH($A10,Erfassung1!$BR:$BR,0)-17)</f>
        <v>BK München 2</v>
      </c>
      <c r="C10" s="129">
        <f>INDEX(Erfassung1!AC:AC,MATCH($A10,Erfassung1!$BR:$BR,0)-1)</f>
        <v>659</v>
      </c>
      <c r="D10" s="130">
        <f>INDEX(Erfassung1!AD:AD,MATCH($A10,Erfassung1!$BR:$BR,0))</f>
        <v>0</v>
      </c>
      <c r="E10" s="129">
        <f>INDEX(Erfassung1!AE:AE,MATCH($A10,Erfassung1!$BR:$BR,0)-1)</f>
        <v>649</v>
      </c>
      <c r="F10" s="130">
        <f>INDEX(Erfassung1!AF:AF,MATCH($A10,Erfassung1!$BR:$BR,0))</f>
        <v>6</v>
      </c>
      <c r="G10" s="129">
        <f>INDEX(Erfassung1!AG:AG,MATCH($A10,Erfassung1!$BR:$BR,0)-1)</f>
        <v>691</v>
      </c>
      <c r="H10" s="130">
        <f>INDEX(Erfassung1!AH:AH,MATCH($A10,Erfassung1!$BR:$BR,0))</f>
        <v>1</v>
      </c>
      <c r="I10" s="129">
        <f>INDEX(Erfassung1!AI:AI,MATCH($A10,Erfassung1!$BR:$BR,0)-1)</f>
        <v>668</v>
      </c>
      <c r="J10" s="130">
        <f>INDEX(Erfassung1!AJ:AJ,MATCH($A10,Erfassung1!$BR:$BR,0))</f>
        <v>4.5</v>
      </c>
      <c r="K10" s="129">
        <f>INDEX(Erfassung1!AK:AK,MATCH($A10,Erfassung1!$BR:$BR,0)-1)</f>
        <v>763</v>
      </c>
      <c r="L10" s="130">
        <f>INDEX(Erfassung1!AL:AL,MATCH($A10,Erfassung1!$BR:$BR,0))</f>
        <v>0</v>
      </c>
      <c r="M10" s="129">
        <f>INDEX(Erfassung1!AM:AM,MATCH($A10,Erfassung1!$BR:$BR,0)-1)</f>
        <v>847</v>
      </c>
      <c r="N10" s="130">
        <f>INDEX(Erfassung1!AN:AN,MATCH($A10,Erfassung1!$BR:$BR,0))</f>
        <v>5</v>
      </c>
      <c r="O10" s="129">
        <f>INDEX(Erfassung1!AO:AO,MATCH($A10,Erfassung1!$BR:$BR,0)-1)</f>
        <v>785</v>
      </c>
      <c r="P10" s="130">
        <f>INDEX(Erfassung1!AP:AP,MATCH($A10,Erfassung1!$BR:$BR,0))</f>
        <v>5</v>
      </c>
      <c r="Q10" s="129">
        <f>INDEX(Erfassung1!AQ:AQ,MATCH($A10,Erfassung1!$BR:$BR,0)-1)</f>
        <v>812</v>
      </c>
      <c r="R10" s="130">
        <f>INDEX(Erfassung1!AR:AR,MATCH($A10,Erfassung1!$BR:$BR,0))</f>
        <v>6</v>
      </c>
      <c r="S10" s="129">
        <f>INDEX(Erfassung1!AS:AS,MATCH($A10,Erfassung1!$BR:$BR,0)-1)</f>
        <v>735</v>
      </c>
      <c r="T10" s="130">
        <f>INDEX(Erfassung1!AT:AT,MATCH($A10,Erfassung1!$BR:$BR,0))</f>
        <v>4</v>
      </c>
      <c r="U10" s="131">
        <f t="shared" si="0"/>
        <v>6609</v>
      </c>
      <c r="V10" s="132">
        <f t="shared" si="1"/>
        <v>31.5</v>
      </c>
      <c r="W10" s="224">
        <f>IFERROR(U10/INDEX(Erfassung1!BF:BF,MATCH(A10,Erfassung1!BR:BR,0)),0)</f>
        <v>183.58333333333334</v>
      </c>
      <c r="X10" s="25"/>
      <c r="AE10" s="215">
        <f>SUMIF(Erfassung1!BU:BU,B10,Erfassung1!BF:BF)</f>
        <v>36</v>
      </c>
    </row>
    <row r="11" spans="1:31" ht="42" customHeight="1" thickBot="1" x14ac:dyDescent="0.4">
      <c r="A11" s="223">
        <v>5</v>
      </c>
      <c r="B11" s="128" t="str">
        <f>INDEX(Erfassung1!$AA:$AA,MATCH($A11,Erfassung1!$BR:$BR,0)-17)</f>
        <v>BK München 4</v>
      </c>
      <c r="C11" s="129">
        <f>INDEX(Erfassung1!AC:AC,MATCH($A11,Erfassung1!$BR:$BR,0)-1)</f>
        <v>743</v>
      </c>
      <c r="D11" s="130">
        <f>INDEX(Erfassung1!AD:AD,MATCH($A11,Erfassung1!$BR:$BR,0))</f>
        <v>4</v>
      </c>
      <c r="E11" s="129">
        <f>INDEX(Erfassung1!AE:AE,MATCH($A11,Erfassung1!$BR:$BR,0)-1)</f>
        <v>650</v>
      </c>
      <c r="F11" s="130">
        <f>INDEX(Erfassung1!AF:AF,MATCH($A11,Erfassung1!$BR:$BR,0))</f>
        <v>1</v>
      </c>
      <c r="G11" s="129">
        <f>INDEX(Erfassung1!AG:AG,MATCH($A11,Erfassung1!$BR:$BR,0)-1)</f>
        <v>686</v>
      </c>
      <c r="H11" s="130">
        <f>INDEX(Erfassung1!AH:AH,MATCH($A11,Erfassung1!$BR:$BR,0))</f>
        <v>5</v>
      </c>
      <c r="I11" s="129">
        <f>INDEX(Erfassung1!AI:AI,MATCH($A11,Erfassung1!$BR:$BR,0)-1)</f>
        <v>665</v>
      </c>
      <c r="J11" s="130">
        <f>INDEX(Erfassung1!AJ:AJ,MATCH($A11,Erfassung1!$BR:$BR,0))</f>
        <v>6</v>
      </c>
      <c r="K11" s="129">
        <f>INDEX(Erfassung1!AK:AK,MATCH($A11,Erfassung1!$BR:$BR,0)-1)</f>
        <v>674</v>
      </c>
      <c r="L11" s="130">
        <f>INDEX(Erfassung1!AL:AL,MATCH($A11,Erfassung1!$BR:$BR,0))</f>
        <v>1</v>
      </c>
      <c r="M11" s="129">
        <f>INDEX(Erfassung1!AM:AM,MATCH($A11,Erfassung1!$BR:$BR,0)-1)</f>
        <v>655</v>
      </c>
      <c r="N11" s="130">
        <f>INDEX(Erfassung1!AN:AN,MATCH($A11,Erfassung1!$BR:$BR,0))</f>
        <v>4</v>
      </c>
      <c r="O11" s="129">
        <f>INDEX(Erfassung1!AO:AO,MATCH($A11,Erfassung1!$BR:$BR,0)-1)</f>
        <v>718</v>
      </c>
      <c r="P11" s="130">
        <f>INDEX(Erfassung1!AP:AP,MATCH($A11,Erfassung1!$BR:$BR,0))</f>
        <v>1</v>
      </c>
      <c r="Q11" s="129">
        <f>INDEX(Erfassung1!AQ:AQ,MATCH($A11,Erfassung1!$BR:$BR,0)-1)</f>
        <v>721</v>
      </c>
      <c r="R11" s="130">
        <f>INDEX(Erfassung1!AR:AR,MATCH($A11,Erfassung1!$BR:$BR,0))</f>
        <v>4</v>
      </c>
      <c r="S11" s="129">
        <f>INDEX(Erfassung1!AS:AS,MATCH($A11,Erfassung1!$BR:$BR,0)-1)</f>
        <v>706</v>
      </c>
      <c r="T11" s="130">
        <f>INDEX(Erfassung1!AT:AT,MATCH($A11,Erfassung1!$BR:$BR,0))</f>
        <v>4</v>
      </c>
      <c r="U11" s="131">
        <f t="shared" si="0"/>
        <v>6218</v>
      </c>
      <c r="V11" s="132">
        <f t="shared" si="1"/>
        <v>30</v>
      </c>
      <c r="W11" s="224">
        <f>IFERROR(U11/INDEX(Erfassung1!BF:BF,MATCH(A11,Erfassung1!BR:BR,0)),0)</f>
        <v>172.72222222222223</v>
      </c>
      <c r="X11" s="25"/>
      <c r="AE11" s="215">
        <f>SUMIF(Erfassung1!BU:BU,B11,Erfassung1!BF:BF)</f>
        <v>36</v>
      </c>
    </row>
    <row r="12" spans="1:31" ht="42" customHeight="1" thickBot="1" x14ac:dyDescent="0.4">
      <c r="A12" s="223">
        <v>6</v>
      </c>
      <c r="B12" s="128" t="str">
        <f>INDEX(Erfassung1!$AA:$AA,MATCH($A12,Erfassung1!$BR:$BR,0)-17)</f>
        <v>Praetoria Regensburg</v>
      </c>
      <c r="C12" s="129">
        <f>INDEX(Erfassung1!AC:AC,MATCH($A12,Erfassung1!$BR:$BR,0)-1)</f>
        <v>687</v>
      </c>
      <c r="D12" s="130">
        <f>INDEX(Erfassung1!AD:AD,MATCH($A12,Erfassung1!$BR:$BR,0))</f>
        <v>1</v>
      </c>
      <c r="E12" s="129">
        <f>INDEX(Erfassung1!AE:AE,MATCH($A12,Erfassung1!$BR:$BR,0)-1)</f>
        <v>674</v>
      </c>
      <c r="F12" s="130">
        <f>INDEX(Erfassung1!AF:AF,MATCH($A12,Erfassung1!$BR:$BR,0))</f>
        <v>5</v>
      </c>
      <c r="G12" s="129">
        <f>INDEX(Erfassung1!AG:AG,MATCH($A12,Erfassung1!$BR:$BR,0)-1)</f>
        <v>680</v>
      </c>
      <c r="H12" s="130">
        <f>INDEX(Erfassung1!AH:AH,MATCH($A12,Erfassung1!$BR:$BR,0))</f>
        <v>0</v>
      </c>
      <c r="I12" s="129">
        <f>INDEX(Erfassung1!AI:AI,MATCH($A12,Erfassung1!$BR:$BR,0)-1)</f>
        <v>707</v>
      </c>
      <c r="J12" s="130">
        <f>INDEX(Erfassung1!AJ:AJ,MATCH($A12,Erfassung1!$BR:$BR,0))</f>
        <v>5</v>
      </c>
      <c r="K12" s="129">
        <f>INDEX(Erfassung1!AK:AK,MATCH($A12,Erfassung1!$BR:$BR,0)-1)</f>
        <v>784</v>
      </c>
      <c r="L12" s="130">
        <f>INDEX(Erfassung1!AL:AL,MATCH($A12,Erfassung1!$BR:$BR,0))</f>
        <v>5</v>
      </c>
      <c r="M12" s="129">
        <f>INDEX(Erfassung1!AM:AM,MATCH($A12,Erfassung1!$BR:$BR,0)-1)</f>
        <v>699</v>
      </c>
      <c r="N12" s="130">
        <f>INDEX(Erfassung1!AN:AN,MATCH($A12,Erfassung1!$BR:$BR,0))</f>
        <v>4</v>
      </c>
      <c r="O12" s="129">
        <f>INDEX(Erfassung1!AO:AO,MATCH($A12,Erfassung1!$BR:$BR,0)-1)</f>
        <v>728</v>
      </c>
      <c r="P12" s="130">
        <f>INDEX(Erfassung1!AP:AP,MATCH($A12,Erfassung1!$BR:$BR,0))</f>
        <v>6</v>
      </c>
      <c r="Q12" s="129">
        <f>INDEX(Erfassung1!AQ:AQ,MATCH($A12,Erfassung1!$BR:$BR,0)-1)</f>
        <v>727</v>
      </c>
      <c r="R12" s="130">
        <f>INDEX(Erfassung1!AR:AR,MATCH($A12,Erfassung1!$BR:$BR,0))</f>
        <v>0</v>
      </c>
      <c r="S12" s="129">
        <f>INDEX(Erfassung1!AS:AS,MATCH($A12,Erfassung1!$BR:$BR,0)-1)</f>
        <v>721</v>
      </c>
      <c r="T12" s="130">
        <f>INDEX(Erfassung1!AT:AT,MATCH($A12,Erfassung1!$BR:$BR,0))</f>
        <v>3</v>
      </c>
      <c r="U12" s="131">
        <f t="shared" si="0"/>
        <v>6407</v>
      </c>
      <c r="V12" s="132">
        <f t="shared" si="1"/>
        <v>29</v>
      </c>
      <c r="W12" s="224">
        <f>IFERROR(U12/INDEX(Erfassung1!BF:BF,MATCH(A12,Erfassung1!BR:BR,0)),0)</f>
        <v>177.97222222222223</v>
      </c>
      <c r="X12" s="25"/>
      <c r="AE12" s="215">
        <f>SUMIF(Erfassung1!BU:BU,B12,Erfassung1!BF:BF)</f>
        <v>36</v>
      </c>
    </row>
    <row r="13" spans="1:31" ht="42" customHeight="1" thickBot="1" x14ac:dyDescent="0.4">
      <c r="A13" s="223">
        <v>7</v>
      </c>
      <c r="B13" s="128" t="str">
        <f>INDEX(Erfassung1!$AA:$AA,MATCH($A13,Erfassung1!$BR:$BR,0)-17)</f>
        <v>Frankenpower Nürnberg</v>
      </c>
      <c r="C13" s="129">
        <f>INDEX(Erfassung1!AC:AC,MATCH($A13,Erfassung1!$BR:$BR,0)-1)</f>
        <v>685</v>
      </c>
      <c r="D13" s="130">
        <f>INDEX(Erfassung1!AD:AD,MATCH($A13,Erfassung1!$BR:$BR,0))</f>
        <v>6</v>
      </c>
      <c r="E13" s="129">
        <f>INDEX(Erfassung1!AE:AE,MATCH($A13,Erfassung1!$BR:$BR,0)-1)</f>
        <v>705</v>
      </c>
      <c r="F13" s="130">
        <f>INDEX(Erfassung1!AF:AF,MATCH($A13,Erfassung1!$BR:$BR,0))</f>
        <v>2</v>
      </c>
      <c r="G13" s="129">
        <f>INDEX(Erfassung1!AG:AG,MATCH($A13,Erfassung1!$BR:$BR,0)-1)</f>
        <v>605</v>
      </c>
      <c r="H13" s="130">
        <f>INDEX(Erfassung1!AH:AH,MATCH($A13,Erfassung1!$BR:$BR,0))</f>
        <v>1</v>
      </c>
      <c r="I13" s="129">
        <f>INDEX(Erfassung1!AI:AI,MATCH($A13,Erfassung1!$BR:$BR,0)-1)</f>
        <v>627</v>
      </c>
      <c r="J13" s="130">
        <f>INDEX(Erfassung1!AJ:AJ,MATCH($A13,Erfassung1!$BR:$BR,0))</f>
        <v>1.5</v>
      </c>
      <c r="K13" s="129">
        <f>INDEX(Erfassung1!AK:AK,MATCH($A13,Erfassung1!$BR:$BR,0)-1)</f>
        <v>690</v>
      </c>
      <c r="L13" s="130">
        <f>INDEX(Erfassung1!AL:AL,MATCH($A13,Erfassung1!$BR:$BR,0))</f>
        <v>5</v>
      </c>
      <c r="M13" s="129">
        <f>INDEX(Erfassung1!AM:AM,MATCH($A13,Erfassung1!$BR:$BR,0)-1)</f>
        <v>664</v>
      </c>
      <c r="N13" s="130">
        <f>INDEX(Erfassung1!AN:AN,MATCH($A13,Erfassung1!$BR:$BR,0))</f>
        <v>2</v>
      </c>
      <c r="O13" s="129">
        <f>INDEX(Erfassung1!AO:AO,MATCH($A13,Erfassung1!$BR:$BR,0)-1)</f>
        <v>742</v>
      </c>
      <c r="P13" s="130">
        <f>INDEX(Erfassung1!AP:AP,MATCH($A13,Erfassung1!$BR:$BR,0))</f>
        <v>5</v>
      </c>
      <c r="Q13" s="129">
        <f>INDEX(Erfassung1!AQ:AQ,MATCH($A13,Erfassung1!$BR:$BR,0)-1)</f>
        <v>702</v>
      </c>
      <c r="R13" s="130">
        <f>INDEX(Erfassung1!AR:AR,MATCH($A13,Erfassung1!$BR:$BR,0))</f>
        <v>2</v>
      </c>
      <c r="S13" s="129">
        <f>INDEX(Erfassung1!AS:AS,MATCH($A13,Erfassung1!$BR:$BR,0)-1)</f>
        <v>736</v>
      </c>
      <c r="T13" s="130">
        <f>INDEX(Erfassung1!AT:AT,MATCH($A13,Erfassung1!$BR:$BR,0))</f>
        <v>2</v>
      </c>
      <c r="U13" s="131">
        <f t="shared" si="0"/>
        <v>6156</v>
      </c>
      <c r="V13" s="132">
        <f t="shared" si="1"/>
        <v>26.5</v>
      </c>
      <c r="W13" s="224">
        <f>IFERROR(U13/INDEX(Erfassung1!BF:BF,MATCH(A13,Erfassung1!BR:BR,0)),0)</f>
        <v>171</v>
      </c>
      <c r="X13" s="25"/>
      <c r="AE13" s="215">
        <f>SUMIF(Erfassung1!BU:BU,B13,Erfassung1!BF:BF)</f>
        <v>36</v>
      </c>
    </row>
    <row r="14" spans="1:31" ht="42" customHeight="1" thickBot="1" x14ac:dyDescent="0.4">
      <c r="A14" s="223">
        <v>8</v>
      </c>
      <c r="B14" s="128" t="str">
        <f>INDEX(Erfassung1!$AA:$AA,MATCH($A14,Erfassung1!$BR:$BR,0)-17)</f>
        <v xml:space="preserve">Weiß Blau Unterföhring </v>
      </c>
      <c r="C14" s="129">
        <f>INDEX(Erfassung1!AC:AC,MATCH($A14,Erfassung1!$BR:$BR,0)-1)</f>
        <v>678</v>
      </c>
      <c r="D14" s="130">
        <f>INDEX(Erfassung1!AD:AD,MATCH($A14,Erfassung1!$BR:$BR,0))</f>
        <v>5</v>
      </c>
      <c r="E14" s="129">
        <f>INDEX(Erfassung1!AE:AE,MATCH($A14,Erfassung1!$BR:$BR,0)-1)</f>
        <v>699</v>
      </c>
      <c r="F14" s="130">
        <f>INDEX(Erfassung1!AF:AF,MATCH($A14,Erfassung1!$BR:$BR,0))</f>
        <v>0</v>
      </c>
      <c r="G14" s="129">
        <f>INDEX(Erfassung1!AG:AG,MATCH($A14,Erfassung1!$BR:$BR,0)-1)</f>
        <v>604</v>
      </c>
      <c r="H14" s="130">
        <f>INDEX(Erfassung1!AH:AH,MATCH($A14,Erfassung1!$BR:$BR,0))</f>
        <v>0</v>
      </c>
      <c r="I14" s="129">
        <f>INDEX(Erfassung1!AI:AI,MATCH($A14,Erfassung1!$BR:$BR,0)-1)</f>
        <v>634</v>
      </c>
      <c r="J14" s="130">
        <f>INDEX(Erfassung1!AJ:AJ,MATCH($A14,Erfassung1!$BR:$BR,0))</f>
        <v>1</v>
      </c>
      <c r="K14" s="129">
        <f>INDEX(Erfassung1!AK:AK,MATCH($A14,Erfassung1!$BR:$BR,0)-1)</f>
        <v>664</v>
      </c>
      <c r="L14" s="130">
        <f>INDEX(Erfassung1!AL:AL,MATCH($A14,Erfassung1!$BR:$BR,0))</f>
        <v>1</v>
      </c>
      <c r="M14" s="129">
        <f>INDEX(Erfassung1!AM:AM,MATCH($A14,Erfassung1!$BR:$BR,0)-1)</f>
        <v>734</v>
      </c>
      <c r="N14" s="130">
        <f>INDEX(Erfassung1!AN:AN,MATCH($A14,Erfassung1!$BR:$BR,0))</f>
        <v>1</v>
      </c>
      <c r="O14" s="129">
        <f>INDEX(Erfassung1!AO:AO,MATCH($A14,Erfassung1!$BR:$BR,0)-1)</f>
        <v>635</v>
      </c>
      <c r="P14" s="130">
        <f>INDEX(Erfassung1!AP:AP,MATCH($A14,Erfassung1!$BR:$BR,0))</f>
        <v>0</v>
      </c>
      <c r="Q14" s="129">
        <f>INDEX(Erfassung1!AQ:AQ,MATCH($A14,Erfassung1!$BR:$BR,0)-1)</f>
        <v>650</v>
      </c>
      <c r="R14" s="130">
        <f>INDEX(Erfassung1!AR:AR,MATCH($A14,Erfassung1!$BR:$BR,0))</f>
        <v>2</v>
      </c>
      <c r="S14" s="129">
        <f>INDEX(Erfassung1!AS:AS,MATCH($A14,Erfassung1!$BR:$BR,0)-1)</f>
        <v>585</v>
      </c>
      <c r="T14" s="130">
        <f>INDEX(Erfassung1!AT:AT,MATCH($A14,Erfassung1!$BR:$BR,0))</f>
        <v>6</v>
      </c>
      <c r="U14" s="131">
        <f t="shared" si="0"/>
        <v>5883</v>
      </c>
      <c r="V14" s="132">
        <f t="shared" si="1"/>
        <v>16</v>
      </c>
      <c r="W14" s="224">
        <f>IFERROR(U14/INDEX(Erfassung1!BF:BF,MATCH(A14,Erfassung1!BR:BR,0)),0)</f>
        <v>163.41666666666666</v>
      </c>
      <c r="X14" s="25"/>
      <c r="AE14" s="215">
        <f>SUMIF(Erfassung1!BU:BU,B14,Erfassung1!BF:BF)</f>
        <v>36</v>
      </c>
    </row>
    <row r="15" spans="1:31" ht="42" customHeight="1" thickBot="1" x14ac:dyDescent="0.4">
      <c r="A15" s="223">
        <v>9</v>
      </c>
      <c r="B15" s="128" t="str">
        <f>INDEX(Erfassung1!$AA:$AA,MATCH($A15,Erfassung1!$BR:$BR,0)-17)</f>
        <v>RW Lichtenhof 69 Stein 2</v>
      </c>
      <c r="C15" s="129">
        <f>INDEX(Erfassung1!AC:AC,MATCH($A15,Erfassung1!$BR:$BR,0)-1)</f>
        <v>628</v>
      </c>
      <c r="D15" s="130">
        <f>INDEX(Erfassung1!AD:AD,MATCH($A15,Erfassung1!$BR:$BR,0))</f>
        <v>1</v>
      </c>
      <c r="E15" s="129">
        <f>INDEX(Erfassung1!AE:AE,MATCH($A15,Erfassung1!$BR:$BR,0)-1)</f>
        <v>639</v>
      </c>
      <c r="F15" s="130">
        <f>INDEX(Erfassung1!AF:AF,MATCH($A15,Erfassung1!$BR:$BR,0))</f>
        <v>1</v>
      </c>
      <c r="G15" s="129">
        <f>INDEX(Erfassung1!AG:AG,MATCH($A15,Erfassung1!$BR:$BR,0)-1)</f>
        <v>620</v>
      </c>
      <c r="H15" s="130">
        <f>INDEX(Erfassung1!AH:AH,MATCH($A15,Erfassung1!$BR:$BR,0))</f>
        <v>6</v>
      </c>
      <c r="I15" s="129">
        <f>INDEX(Erfassung1!AI:AI,MATCH($A15,Erfassung1!$BR:$BR,0)-1)</f>
        <v>674</v>
      </c>
      <c r="J15" s="130">
        <f>INDEX(Erfassung1!AJ:AJ,MATCH($A15,Erfassung1!$BR:$BR,0))</f>
        <v>2</v>
      </c>
      <c r="K15" s="129">
        <f>INDEX(Erfassung1!AK:AK,MATCH($A15,Erfassung1!$BR:$BR,0)-1)</f>
        <v>636</v>
      </c>
      <c r="L15" s="130">
        <f>INDEX(Erfassung1!AL:AL,MATCH($A15,Erfassung1!$BR:$BR,0))</f>
        <v>1</v>
      </c>
      <c r="M15" s="129">
        <f>INDEX(Erfassung1!AM:AM,MATCH($A15,Erfassung1!$BR:$BR,0)-1)</f>
        <v>646</v>
      </c>
      <c r="N15" s="130">
        <f>INDEX(Erfassung1!AN:AN,MATCH($A15,Erfassung1!$BR:$BR,0))</f>
        <v>2</v>
      </c>
      <c r="O15" s="129">
        <f>INDEX(Erfassung1!AO:AO,MATCH($A15,Erfassung1!$BR:$BR,0)-1)</f>
        <v>689</v>
      </c>
      <c r="P15" s="130">
        <f>INDEX(Erfassung1!AP:AP,MATCH($A15,Erfassung1!$BR:$BR,0))</f>
        <v>1</v>
      </c>
      <c r="Q15" s="129">
        <f>INDEX(Erfassung1!AQ:AQ,MATCH($A15,Erfassung1!$BR:$BR,0)-1)</f>
        <v>597</v>
      </c>
      <c r="R15" s="130">
        <f>INDEX(Erfassung1!AR:AR,MATCH($A15,Erfassung1!$BR:$BR,0))</f>
        <v>0</v>
      </c>
      <c r="S15" s="129">
        <f>INDEX(Erfassung1!AS:AS,MATCH($A15,Erfassung1!$BR:$BR,0)-1)</f>
        <v>676</v>
      </c>
      <c r="T15" s="130">
        <f>INDEX(Erfassung1!AT:AT,MATCH($A15,Erfassung1!$BR:$BR,0))</f>
        <v>2</v>
      </c>
      <c r="U15" s="131">
        <f t="shared" si="0"/>
        <v>5805</v>
      </c>
      <c r="V15" s="132">
        <f t="shared" si="1"/>
        <v>16</v>
      </c>
      <c r="W15" s="224">
        <f>IFERROR(U15/INDEX(Erfassung1!BF:BF,MATCH(A15,Erfassung1!BR:BR,0)),0)</f>
        <v>161.25</v>
      </c>
      <c r="X15" s="25"/>
      <c r="AE15" s="215">
        <f>SUMIF(Erfassung1!BU:BU,B15,Erfassung1!BF:BF)</f>
        <v>36</v>
      </c>
    </row>
    <row r="16" spans="1:31" ht="42" customHeight="1" thickBot="1" x14ac:dyDescent="0.4">
      <c r="A16" s="223">
        <v>10</v>
      </c>
      <c r="B16" s="128" t="str">
        <f>INDEX(Erfassung1!$AA:$AA,MATCH($A16,Erfassung1!$BR:$BR,0)-17)</f>
        <v>BK München 3</v>
      </c>
      <c r="C16" s="129">
        <f>INDEX(Erfassung1!AC:AC,MATCH($A16,Erfassung1!$BR:$BR,0)-1)</f>
        <v>0</v>
      </c>
      <c r="D16" s="130">
        <f>INDEX(Erfassung1!AD:AD,MATCH($A16,Erfassung1!$BR:$BR,0))</f>
        <v>0</v>
      </c>
      <c r="E16" s="129">
        <f>INDEX(Erfassung1!AE:AE,MATCH($A16,Erfassung1!$BR:$BR,0)-1)</f>
        <v>0</v>
      </c>
      <c r="F16" s="130">
        <f>INDEX(Erfassung1!AF:AF,MATCH($A16,Erfassung1!$BR:$BR,0))</f>
        <v>0</v>
      </c>
      <c r="G16" s="129">
        <f>INDEX(Erfassung1!AG:AG,MATCH($A16,Erfassung1!$BR:$BR,0)-1)</f>
        <v>0</v>
      </c>
      <c r="H16" s="130">
        <f>INDEX(Erfassung1!AH:AH,MATCH($A16,Erfassung1!$BR:$BR,0))</f>
        <v>0</v>
      </c>
      <c r="I16" s="129">
        <f>INDEX(Erfassung1!AI:AI,MATCH($A16,Erfassung1!$BR:$BR,0)-1)</f>
        <v>0</v>
      </c>
      <c r="J16" s="130">
        <f>INDEX(Erfassung1!AJ:AJ,MATCH($A16,Erfassung1!$BR:$BR,0))</f>
        <v>0</v>
      </c>
      <c r="K16" s="129">
        <f>INDEX(Erfassung1!AK:AK,MATCH($A16,Erfassung1!$BR:$BR,0)-1)</f>
        <v>0</v>
      </c>
      <c r="L16" s="130">
        <f>INDEX(Erfassung1!AL:AL,MATCH($A16,Erfassung1!$BR:$BR,0))</f>
        <v>0</v>
      </c>
      <c r="M16" s="129">
        <f>INDEX(Erfassung1!AM:AM,MATCH($A16,Erfassung1!$BR:$BR,0)-1)</f>
        <v>0</v>
      </c>
      <c r="N16" s="130">
        <f>INDEX(Erfassung1!AN:AN,MATCH($A16,Erfassung1!$BR:$BR,0))</f>
        <v>0</v>
      </c>
      <c r="O16" s="129">
        <f>INDEX(Erfassung1!AO:AO,MATCH($A16,Erfassung1!$BR:$BR,0)-1)</f>
        <v>0</v>
      </c>
      <c r="P16" s="130">
        <f>INDEX(Erfassung1!AP:AP,MATCH($A16,Erfassung1!$BR:$BR,0))</f>
        <v>0</v>
      </c>
      <c r="Q16" s="129">
        <f>INDEX(Erfassung1!AQ:AQ,MATCH($A16,Erfassung1!$BR:$BR,0)-1)</f>
        <v>0</v>
      </c>
      <c r="R16" s="130">
        <f>INDEX(Erfassung1!AR:AR,MATCH($A16,Erfassung1!$BR:$BR,0))</f>
        <v>0</v>
      </c>
      <c r="S16" s="129">
        <f>INDEX(Erfassung1!AS:AS,MATCH($A16,Erfassung1!$BR:$BR,0)-1)</f>
        <v>0</v>
      </c>
      <c r="T16" s="130">
        <f>INDEX(Erfassung1!AT:AT,MATCH($A16,Erfassung1!$BR:$BR,0))</f>
        <v>0</v>
      </c>
      <c r="U16" s="131">
        <f t="shared" si="0"/>
        <v>0</v>
      </c>
      <c r="V16" s="132">
        <f t="shared" si="1"/>
        <v>0</v>
      </c>
      <c r="W16" s="224">
        <f>IFERROR(U16/INDEX(Erfassung1!BF:BF,MATCH(A16,Erfassung1!BR:BR,0)),0)</f>
        <v>0</v>
      </c>
      <c r="X16" s="25"/>
      <c r="AE16" s="215">
        <f>SUMIF(Erfassung1!BU:BU,B16,Erfassung1!BF:BF)</f>
        <v>0</v>
      </c>
    </row>
    <row r="19" spans="2:23" ht="15" x14ac:dyDescent="0.4">
      <c r="B19" s="379" t="s">
        <v>1827</v>
      </c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80"/>
      <c r="V19" s="380"/>
      <c r="W19" s="380"/>
    </row>
    <row r="20" spans="2:23" x14ac:dyDescent="0.35">
      <c r="C20" s="380"/>
      <c r="D20" s="380"/>
      <c r="E20" s="380"/>
      <c r="F20" s="380"/>
      <c r="G20" s="380"/>
      <c r="H20" s="380"/>
    </row>
    <row r="21" spans="2:23" ht="13.15" x14ac:dyDescent="0.4">
      <c r="B21" s="166" t="s">
        <v>1826</v>
      </c>
      <c r="C21" t="str">
        <f>IFERROR(INDEX(Erfassung1!AA:AA,MATCH(1,Erfassung1!BV:BV,0)),"")</f>
        <v>Hassforth, Lea</v>
      </c>
      <c r="H21" t="str">
        <f>INDEX(Erfassung1!BU:BU,MATCH(C21,Erfassung1!AA:AA,0))</f>
        <v>BK München 2</v>
      </c>
      <c r="N21" s="133">
        <f>IFERROR(ROUND(INDEX(Erfassung1!BT:BT,MATCH(1,Erfassung1!BV:BV,0)),0),"")</f>
        <v>269</v>
      </c>
    </row>
    <row r="22" spans="2:23" ht="13.15" x14ac:dyDescent="0.4">
      <c r="B22" s="166"/>
      <c r="C22" t="str">
        <f>IF(N22="","",IFERROR(INDEX(Erfassung1!AA:AA,MATCH(2,Erfassung1!BV:BV,0)),""))</f>
        <v/>
      </c>
      <c r="H22" t="str">
        <f>IF(C22="","",INDEX(Erfassung1!BU:BU,MATCH(C22,Erfassung1!AA:AA,0)))</f>
        <v/>
      </c>
      <c r="N22" s="134" t="str">
        <f>IF(IFERROR(ROUND(INDEX(Erfassung1!BT:BT,MATCH(2,Erfassung1!BV:BV,0)),0),0)=0,"",IFERROR(ROUND(INDEX(Erfassung1!BT:BT,MATCH(2,Erfassung1!BV:BV,0)),0),0))</f>
        <v/>
      </c>
    </row>
    <row r="23" spans="2:23" ht="13.15" x14ac:dyDescent="0.4">
      <c r="B23" s="166"/>
      <c r="C23" t="str">
        <f>IF(N23="","",IFERROR(INDEX(Erfassung1!AA:AA,MATCH(3,Erfassung1!BV:BV,0)),""))</f>
        <v/>
      </c>
      <c r="H23" t="str">
        <f>IF(C23="","",INDEX(Erfassung1!BU:BU,MATCH(C23,Erfassung1!AA:AA,0)))</f>
        <v/>
      </c>
      <c r="N23" s="134" t="str">
        <f>IF(IFERROR(ROUND(INDEX(Erfassung1!BT:BT,MATCH(3,Erfassung1!BV:BV,0)),0),0)=0,"",IFERROR(ROUND(INDEX(Erfassung1!BT:BT,MATCH(3,Erfassung1!BV:BV,0)),0),""))</f>
        <v/>
      </c>
    </row>
    <row r="24" spans="2:23" ht="13.15" x14ac:dyDescent="0.4">
      <c r="B24" s="166" t="s">
        <v>1828</v>
      </c>
      <c r="C24" t="str">
        <f>IFERROR(INDEX(Erfassung1!AA:AA,MATCH(1,Erfassung1!BZ:BZ,0)),"")</f>
        <v>Hassforth, Lea</v>
      </c>
      <c r="H24" t="str">
        <f>INDEX(Erfassung1!BU:BU,MATCH(C24,Erfassung1!AA:AA,0))</f>
        <v>BK München 2</v>
      </c>
      <c r="N24" s="381" t="str">
        <f>IFERROR(ROUND(INDEX(Erfassung1!BW:BW,MATCH(1,Erfassung1!BZ:BZ,0)),0),"")&amp;"  /  "&amp;ROUND(IFERROR(ROUND(INDEX(Erfassung1!BW:BW,MATCH(1,Erfassung1!BZ:BZ,0)),0),"")/9,2)</f>
        <v>1898  /  210,89</v>
      </c>
      <c r="O24" s="381"/>
      <c r="P24" s="381"/>
    </row>
    <row r="25" spans="2:23" x14ac:dyDescent="0.35">
      <c r="C25" t="str">
        <f>IF(N25="","",IFERROR(INDEX(Erfassung1!AA:AA,MATCH(2,Erfassung1!BZ:BZ,0)),""))</f>
        <v/>
      </c>
      <c r="E25" s="2"/>
      <c r="H25" t="str">
        <f>IF(C25="","",INDEX(Erfassung1!BU:BU,MATCH(C25,Erfassung1!AA:AA,0)))</f>
        <v/>
      </c>
      <c r="N25" s="134" t="str">
        <f>IF(IFERROR(ROUND(INDEX(Erfassung1!BW:BW,MATCH(2,Erfassung1!BZ:BZ,0)),0),0)=0,"",IFERROR(ROUND(INDEX(Erfassung1!BW:BW,MATCH(2,Erfassung1!BZ:BZ,0)),0),0))</f>
        <v/>
      </c>
    </row>
    <row r="26" spans="2:23" x14ac:dyDescent="0.35">
      <c r="C26" t="str">
        <f>IF(N26="","",IFERROR(INDEX(Erfassung1!AA:AA,MATCH(3,Erfassung1!BZ:BZ,0)),""))</f>
        <v/>
      </c>
      <c r="E26" s="2"/>
      <c r="H26" t="str">
        <f>IF(C26="","",INDEX(Erfassung1!BU:BU,MATCH(C26,Erfassung1!AA:AA,0)))</f>
        <v/>
      </c>
      <c r="N26" s="134" t="str">
        <f>IF(IFERROR(ROUND(INDEX(Erfassung1!BW:BW,MATCH(3,Erfassung1!BZ:BZ,0)),0),0)=0,"",IFERROR(ROUND(INDEX(Erfassung1!BW:BW,MATCH(3,Erfassung1!BZ:BZ,0)),0),0))</f>
        <v/>
      </c>
    </row>
  </sheetData>
  <sheetProtection password="D19C" sheet="1" formatCells="0" formatColumns="0" formatRows="0"/>
  <mergeCells count="20">
    <mergeCell ref="C20:H20"/>
    <mergeCell ref="N24:P24"/>
    <mergeCell ref="A1:W1"/>
    <mergeCell ref="A2:W2"/>
    <mergeCell ref="A3:W3"/>
    <mergeCell ref="U5:V5"/>
    <mergeCell ref="W5:W6"/>
    <mergeCell ref="I5:J5"/>
    <mergeCell ref="K5:L5"/>
    <mergeCell ref="M5:N5"/>
    <mergeCell ref="O5:P5"/>
    <mergeCell ref="A5:A6"/>
    <mergeCell ref="B5:B6"/>
    <mergeCell ref="C5:D5"/>
    <mergeCell ref="E5:F5"/>
    <mergeCell ref="G5:H5"/>
    <mergeCell ref="Q5:R5"/>
    <mergeCell ref="S5:T5"/>
    <mergeCell ref="B19:T19"/>
    <mergeCell ref="U19:W19"/>
  </mergeCells>
  <conditionalFormatting sqref="C7:T16">
    <cfRule type="top10" dxfId="12" priority="1" stopIfTrue="1" rank="1"/>
  </conditionalFormatting>
  <conditionalFormatting sqref="U7:U16">
    <cfRule type="top10" dxfId="11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3" orientation="landscape" r:id="rId1"/>
  <headerFooter alignWithMargins="0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5">
    <tabColor rgb="FF7030A0"/>
    <pageSetUpPr fitToPage="1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33203125" defaultRowHeight="12.75" x14ac:dyDescent="0.35"/>
  <cols>
    <col min="1" max="1" width="5.265625" customWidth="1"/>
    <col min="2" max="2" width="8.265625" customWidth="1"/>
    <col min="3" max="4" width="27.73046875" customWidth="1"/>
    <col min="5" max="5" width="7.73046875" style="102" customWidth="1"/>
    <col min="6" max="6" width="7.73046875" customWidth="1"/>
    <col min="7" max="7" width="7.73046875" style="137" customWidth="1"/>
    <col min="12" max="12" width="11.33203125" style="227" hidden="1" customWidth="1"/>
    <col min="13" max="16" width="11.33203125" hidden="1" customWidth="1"/>
    <col min="17" max="18" width="11.33203125" customWidth="1"/>
  </cols>
  <sheetData>
    <row r="1" spans="1:16" ht="28.5" customHeight="1" x14ac:dyDescent="0.7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6">
      <c r="A2" s="138" t="s">
        <v>1791</v>
      </c>
      <c r="C2" s="50">
        <v>1</v>
      </c>
      <c r="D2" s="50" t="s">
        <v>1829</v>
      </c>
      <c r="E2" s="139"/>
      <c r="F2" s="54"/>
      <c r="L2" s="227">
        <f>INDEX(Starter!A:A,ROW()-1)</f>
        <v>25751</v>
      </c>
      <c r="M2">
        <f>SUMIF(Erfassung1!BD:BD,L2,Erfassung1!BW:BW)</f>
        <v>1211</v>
      </c>
      <c r="N2">
        <f>SUMIF(Erfassung1!BD:BD,L2,Erfassung1!BG:BG)</f>
        <v>7</v>
      </c>
      <c r="O2">
        <f>IF(N2=0,0,M2/N2-ROW()/1000000000)</f>
        <v>172.99999999799999</v>
      </c>
      <c r="P2">
        <f t="shared" ref="P2:P33" si="0">RANK(O2,O:O)</f>
        <v>25</v>
      </c>
    </row>
    <row r="3" spans="1:16" x14ac:dyDescent="0.35">
      <c r="L3" s="227">
        <f>INDEX(Starter!A:A,ROW()-1)</f>
        <v>38258</v>
      </c>
      <c r="M3">
        <f>SUMIF(Erfassung1!BD:BD,L3,Erfassung1!BW:BW)</f>
        <v>0</v>
      </c>
      <c r="N3">
        <f>SUMIF(Erfassung1!BD:BD,L3,Erfassung1!BG:BG)</f>
        <v>0</v>
      </c>
      <c r="O3">
        <f t="shared" ref="O3:O66" si="1">IF(N3=0,0,M3/N3-ROW()/1000000000)</f>
        <v>0</v>
      </c>
      <c r="P3">
        <f t="shared" si="0"/>
        <v>42</v>
      </c>
    </row>
    <row r="4" spans="1:16" x14ac:dyDescent="0.3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SUMIF(Erfassung1!BD:BD,L4,Erfassung1!BW:BW)</f>
        <v>1681</v>
      </c>
      <c r="N4">
        <f>SUMIF(Erfassung1!BD:BD,L4,Erfassung1!BG:BG)</f>
        <v>9</v>
      </c>
      <c r="O4">
        <f t="shared" si="1"/>
        <v>186.77777777377779</v>
      </c>
      <c r="P4">
        <f t="shared" si="0"/>
        <v>7</v>
      </c>
    </row>
    <row r="5" spans="1:16" x14ac:dyDescent="0.35">
      <c r="A5">
        <v>1</v>
      </c>
      <c r="B5">
        <f t="shared" ref="B5:B36" si="2">IFERROR(INDEX(L:L,MATCH(A5,P:P,0)),"")</f>
        <v>38438</v>
      </c>
      <c r="C5" t="str">
        <f>IFERROR(INDEX(Starter!B:B,MATCH(B5,Starter!A:A,0)),"")</f>
        <v>Hassforth, Lea</v>
      </c>
      <c r="D5" t="str">
        <f>IFERROR(INDEX(Starter!C:C,MATCH(B5,Starter!A:A,0)),"")</f>
        <v>BK München</v>
      </c>
      <c r="E5" s="102">
        <f t="shared" ref="E5:E36" si="3">IFERROR(INDEX(M:M,MATCH(A5,P:P,0)),"")</f>
        <v>1898</v>
      </c>
      <c r="F5">
        <f t="shared" ref="F5:F36" si="4">IFERROR(INDEX(N:N,MATCH(A5,P:P,0)),"")</f>
        <v>9</v>
      </c>
      <c r="G5" s="137">
        <f t="shared" ref="G5:G36" si="5">IFERROR(INDEX(O:O,MATCH(A5,P:P,0)),"")</f>
        <v>210.8888888798889</v>
      </c>
      <c r="L5" s="227">
        <f>INDEX(Starter!A:A,ROW()-1)</f>
        <v>7903</v>
      </c>
      <c r="M5">
        <f>SUMIF(Erfassung1!BD:BD,L5,Erfassung1!BW:BW)</f>
        <v>262</v>
      </c>
      <c r="N5">
        <f>SUMIF(Erfassung1!BD:BD,L5,Erfassung1!BG:BG)</f>
        <v>2</v>
      </c>
      <c r="O5">
        <f t="shared" si="1"/>
        <v>130.999999995</v>
      </c>
      <c r="P5">
        <f t="shared" si="0"/>
        <v>41</v>
      </c>
    </row>
    <row r="6" spans="1:16" x14ac:dyDescent="0.35">
      <c r="A6">
        <f t="shared" ref="A6:A37" si="6">IFERROR(IF(A5+1&gt;MAX(P:P)-1,"",A5+1),"")</f>
        <v>2</v>
      </c>
      <c r="B6">
        <f t="shared" si="2"/>
        <v>7801</v>
      </c>
      <c r="C6" t="str">
        <f>IFERROR(INDEX(Starter!B:B,MATCH(B6,Starter!A:A,0)),"")</f>
        <v>Schuster, Katharina</v>
      </c>
      <c r="D6" t="str">
        <f>IFERROR(INDEX(Starter!C:C,MATCH(B6,Starter!A:A,0)),"")</f>
        <v>BC Phönix 03 Lauf</v>
      </c>
      <c r="E6" s="102">
        <f t="shared" si="3"/>
        <v>1881</v>
      </c>
      <c r="F6">
        <f t="shared" si="4"/>
        <v>9</v>
      </c>
      <c r="G6" s="137">
        <f t="shared" si="5"/>
        <v>208.999999944</v>
      </c>
      <c r="L6" s="227">
        <f>INDEX(Starter!A:A,ROW()-1)</f>
        <v>16170</v>
      </c>
      <c r="M6">
        <f>SUMIF(Erfassung1!BD:BD,L6,Erfassung1!BW:BW)</f>
        <v>1586</v>
      </c>
      <c r="N6">
        <f>SUMIF(Erfassung1!BD:BD,L6,Erfassung1!BG:BG)</f>
        <v>9</v>
      </c>
      <c r="O6">
        <f t="shared" si="1"/>
        <v>176.22222221622224</v>
      </c>
      <c r="P6">
        <f t="shared" si="0"/>
        <v>21</v>
      </c>
    </row>
    <row r="7" spans="1:16" x14ac:dyDescent="0.35">
      <c r="A7">
        <f t="shared" si="6"/>
        <v>3</v>
      </c>
      <c r="B7">
        <f t="shared" si="2"/>
        <v>38458</v>
      </c>
      <c r="C7" t="str">
        <f>IFERROR(INDEX(Starter!B:B,MATCH(B7,Starter!A:A,0)),"")</f>
        <v>Lindner, Theresa</v>
      </c>
      <c r="D7" t="str">
        <f>IFERROR(INDEX(Starter!C:C,MATCH(B7,Starter!A:A,0)),"")</f>
        <v>BSC Highroller Rosenheim</v>
      </c>
      <c r="E7" s="102">
        <f t="shared" si="3"/>
        <v>1872</v>
      </c>
      <c r="F7">
        <f t="shared" si="4"/>
        <v>9</v>
      </c>
      <c r="G7" s="137">
        <f t="shared" si="5"/>
        <v>207.99999993500001</v>
      </c>
      <c r="L7" s="227">
        <f>INDEX(Starter!A:A,ROW()-1)</f>
        <v>7889</v>
      </c>
      <c r="M7">
        <f>SUMIF(Erfassung1!BD:BD,L7,Erfassung1!BW:BW)</f>
        <v>1667</v>
      </c>
      <c r="N7">
        <f>SUMIF(Erfassung1!BD:BD,L7,Erfassung1!BG:BG)</f>
        <v>9</v>
      </c>
      <c r="O7">
        <f t="shared" si="1"/>
        <v>185.22222221522222</v>
      </c>
      <c r="P7">
        <f t="shared" si="0"/>
        <v>9</v>
      </c>
    </row>
    <row r="8" spans="1:16" x14ac:dyDescent="0.35">
      <c r="A8">
        <f t="shared" si="6"/>
        <v>4</v>
      </c>
      <c r="B8">
        <f t="shared" si="2"/>
        <v>25714</v>
      </c>
      <c r="C8" t="str">
        <f>IFERROR(INDEX(Starter!B:B,MATCH(B8,Starter!A:A,0)),"")</f>
        <v>Schulz, Carolin</v>
      </c>
      <c r="D8" t="str">
        <f>IFERROR(INDEX(Starter!C:C,MATCH(B8,Starter!A:A,0)),"")</f>
        <v>BC E.P.A. München</v>
      </c>
      <c r="E8" s="102">
        <f t="shared" si="3"/>
        <v>1858</v>
      </c>
      <c r="F8">
        <f t="shared" si="4"/>
        <v>9</v>
      </c>
      <c r="G8" s="137">
        <f t="shared" si="5"/>
        <v>206.44444437444446</v>
      </c>
      <c r="L8" s="227">
        <f>INDEX(Starter!A:A,ROW()-1)</f>
        <v>38222</v>
      </c>
      <c r="M8">
        <f>SUMIF(Erfassung1!BD:BD,L8,Erfassung1!BW:BW)</f>
        <v>1479</v>
      </c>
      <c r="N8">
        <f>SUMIF(Erfassung1!BD:BD,L8,Erfassung1!BG:BG)</f>
        <v>9</v>
      </c>
      <c r="O8">
        <f t="shared" si="1"/>
        <v>164.33333332533334</v>
      </c>
      <c r="P8">
        <f t="shared" si="0"/>
        <v>30</v>
      </c>
    </row>
    <row r="9" spans="1:16" x14ac:dyDescent="0.35">
      <c r="A9">
        <f t="shared" si="6"/>
        <v>5</v>
      </c>
      <c r="B9">
        <f t="shared" si="2"/>
        <v>7534</v>
      </c>
      <c r="C9" t="str">
        <f>IFERROR(INDEX(Starter!B:B,MATCH(B9,Starter!A:A,0)),"")</f>
        <v>Lieb, Anja</v>
      </c>
      <c r="D9" t="str">
        <f>IFERROR(INDEX(Starter!C:C,MATCH(B9,Starter!A:A,0)),"")</f>
        <v>BC E.P.A. München</v>
      </c>
      <c r="E9" s="102">
        <f t="shared" si="3"/>
        <v>1715</v>
      </c>
      <c r="F9">
        <f t="shared" si="4"/>
        <v>9</v>
      </c>
      <c r="G9" s="137">
        <f t="shared" si="5"/>
        <v>190.55555548455555</v>
      </c>
      <c r="L9" s="227">
        <f>INDEX(Starter!A:A,ROW()-1)</f>
        <v>38438</v>
      </c>
      <c r="M9">
        <f>SUMIF(Erfassung1!BD:BD,L9,Erfassung1!BW:BW)</f>
        <v>1898</v>
      </c>
      <c r="N9">
        <f>SUMIF(Erfassung1!BD:BD,L9,Erfassung1!BG:BG)</f>
        <v>9</v>
      </c>
      <c r="O9">
        <f t="shared" si="1"/>
        <v>210.8888888798889</v>
      </c>
      <c r="P9">
        <f t="shared" si="0"/>
        <v>1</v>
      </c>
    </row>
    <row r="10" spans="1:16" x14ac:dyDescent="0.35">
      <c r="A10">
        <f t="shared" si="6"/>
        <v>6</v>
      </c>
      <c r="B10">
        <f t="shared" si="2"/>
        <v>25298</v>
      </c>
      <c r="C10" t="str">
        <f>IFERROR(INDEX(Starter!B:B,MATCH(B10,Starter!A:A,0)),"")</f>
        <v>Auer, Cornelia</v>
      </c>
      <c r="D10" t="str">
        <f>IFERROR(INDEX(Starter!C:C,MATCH(B10,Starter!A:A,0)),"")</f>
        <v>BSC Highroller Rosenheim</v>
      </c>
      <c r="E10" s="102">
        <f t="shared" si="3"/>
        <v>1691</v>
      </c>
      <c r="F10">
        <f t="shared" si="4"/>
        <v>9</v>
      </c>
      <c r="G10" s="137">
        <f t="shared" si="5"/>
        <v>187.88888886488888</v>
      </c>
      <c r="L10" s="227">
        <f>INDEX(Starter!A:A,ROW()-1)</f>
        <v>38553</v>
      </c>
      <c r="M10">
        <f>SUMIF(Erfassung1!BD:BD,L10,Erfassung1!BW:BW)</f>
        <v>1647</v>
      </c>
      <c r="N10">
        <f>SUMIF(Erfassung1!BD:BD,L10,Erfassung1!BG:BG)</f>
        <v>9</v>
      </c>
      <c r="O10">
        <f t="shared" si="1"/>
        <v>182.99999998999999</v>
      </c>
      <c r="P10">
        <f t="shared" si="0"/>
        <v>12</v>
      </c>
    </row>
    <row r="11" spans="1:16" x14ac:dyDescent="0.35">
      <c r="A11">
        <f t="shared" si="6"/>
        <v>7</v>
      </c>
      <c r="B11">
        <f t="shared" si="2"/>
        <v>25798</v>
      </c>
      <c r="C11" t="str">
        <f>IFERROR(INDEX(Starter!B:B,MATCH(B11,Starter!A:A,0)),"")</f>
        <v>Kicker-Mihatsch, Elvira</v>
      </c>
      <c r="D11" t="str">
        <f>IFERROR(INDEX(Starter!C:C,MATCH(B11,Starter!A:A,0)),"")</f>
        <v>BC Praetoria</v>
      </c>
      <c r="E11" s="102">
        <f t="shared" si="3"/>
        <v>1681</v>
      </c>
      <c r="F11">
        <f t="shared" si="4"/>
        <v>9</v>
      </c>
      <c r="G11" s="137">
        <f t="shared" si="5"/>
        <v>186.77777777377779</v>
      </c>
      <c r="L11" s="227">
        <f>INDEX(Starter!A:A,ROW()-1)</f>
        <v>38350</v>
      </c>
      <c r="M11">
        <f>SUMIF(Erfassung1!BD:BD,L11,Erfassung1!BW:BW)</f>
        <v>1585</v>
      </c>
      <c r="N11">
        <f>SUMIF(Erfassung1!BD:BD,L11,Erfassung1!BG:BG)</f>
        <v>9</v>
      </c>
      <c r="O11">
        <f t="shared" si="1"/>
        <v>176.11111110011112</v>
      </c>
      <c r="P11">
        <f t="shared" si="0"/>
        <v>22</v>
      </c>
    </row>
    <row r="12" spans="1:16" x14ac:dyDescent="0.35">
      <c r="A12">
        <f t="shared" si="6"/>
        <v>8</v>
      </c>
      <c r="B12">
        <f t="shared" si="2"/>
        <v>38560</v>
      </c>
      <c r="C12" t="str">
        <f>IFERROR(INDEX(Starter!B:B,MATCH(B12,Starter!A:A,0)),"")</f>
        <v>Reng, Verena</v>
      </c>
      <c r="D12" t="str">
        <f>IFERROR(INDEX(Starter!C:C,MATCH(B12,Starter!A:A,0)),"")</f>
        <v>BC Frankenpower</v>
      </c>
      <c r="E12" s="102">
        <f t="shared" si="3"/>
        <v>1681</v>
      </c>
      <c r="F12">
        <f t="shared" si="4"/>
        <v>9</v>
      </c>
      <c r="G12" s="137">
        <f t="shared" si="5"/>
        <v>186.77777774577777</v>
      </c>
      <c r="L12" s="227">
        <f>INDEX(Starter!A:A,ROW()-1)</f>
        <v>16594</v>
      </c>
      <c r="M12">
        <f>SUMIF(Erfassung1!BD:BD,L12,Erfassung1!BW:BW)</f>
        <v>0</v>
      </c>
      <c r="N12">
        <f>SUMIF(Erfassung1!BD:BD,L12,Erfassung1!BG:BG)</f>
        <v>0</v>
      </c>
      <c r="O12">
        <f t="shared" si="1"/>
        <v>0</v>
      </c>
      <c r="P12">
        <f t="shared" si="0"/>
        <v>42</v>
      </c>
    </row>
    <row r="13" spans="1:16" x14ac:dyDescent="0.35">
      <c r="A13">
        <f t="shared" si="6"/>
        <v>9</v>
      </c>
      <c r="B13">
        <f t="shared" si="2"/>
        <v>7889</v>
      </c>
      <c r="C13" t="str">
        <f>IFERROR(INDEX(Starter!B:B,MATCH(B13,Starter!A:A,0)),"")</f>
        <v>Zahner, Barbara</v>
      </c>
      <c r="D13" t="str">
        <f>IFERROR(INDEX(Starter!C:C,MATCH(B13,Starter!A:A,0)),"")</f>
        <v>BC Praetoria</v>
      </c>
      <c r="E13" s="102">
        <f t="shared" si="3"/>
        <v>1667</v>
      </c>
      <c r="F13">
        <f t="shared" si="4"/>
        <v>9</v>
      </c>
      <c r="G13" s="137">
        <f t="shared" si="5"/>
        <v>185.22222221522222</v>
      </c>
      <c r="L13" s="227">
        <f>INDEX(Starter!A:A,ROW()-1)</f>
        <v>16595</v>
      </c>
      <c r="M13">
        <f>SUMIF(Erfassung1!BD:BD,L13,Erfassung1!BW:BW)</f>
        <v>0</v>
      </c>
      <c r="N13">
        <f>SUMIF(Erfassung1!BD:BD,L13,Erfassung1!BG:BG)</f>
        <v>0</v>
      </c>
      <c r="O13">
        <f t="shared" si="1"/>
        <v>0</v>
      </c>
      <c r="P13">
        <f t="shared" si="0"/>
        <v>42</v>
      </c>
    </row>
    <row r="14" spans="1:16" x14ac:dyDescent="0.35">
      <c r="A14">
        <f t="shared" si="6"/>
        <v>10</v>
      </c>
      <c r="B14">
        <f t="shared" si="2"/>
        <v>38757</v>
      </c>
      <c r="C14" t="str">
        <f>IFERROR(INDEX(Starter!B:B,MATCH(B14,Starter!A:A,0)),"")</f>
        <v>Schanze, Bianka</v>
      </c>
      <c r="D14" t="str">
        <f>IFERROR(INDEX(Starter!C:C,MATCH(B14,Starter!A:A,0)),"")</f>
        <v>BSC Highroller Rosenheim</v>
      </c>
      <c r="E14" s="102">
        <f t="shared" si="3"/>
        <v>1662</v>
      </c>
      <c r="F14">
        <f t="shared" si="4"/>
        <v>9</v>
      </c>
      <c r="G14" s="137">
        <f t="shared" si="5"/>
        <v>184.66666664166667</v>
      </c>
      <c r="L14" s="227">
        <f>INDEX(Starter!A:A,ROW()-1)</f>
        <v>7061</v>
      </c>
      <c r="M14">
        <f>SUMIF(Erfassung1!BD:BD,L14,Erfassung1!BW:BW)</f>
        <v>0</v>
      </c>
      <c r="N14">
        <f>SUMIF(Erfassung1!BD:BD,L14,Erfassung1!BG:BG)</f>
        <v>0</v>
      </c>
      <c r="O14">
        <f t="shared" si="1"/>
        <v>0</v>
      </c>
      <c r="P14">
        <f t="shared" si="0"/>
        <v>42</v>
      </c>
    </row>
    <row r="15" spans="1:16" x14ac:dyDescent="0.35">
      <c r="A15">
        <f t="shared" si="6"/>
        <v>11</v>
      </c>
      <c r="B15">
        <f t="shared" si="2"/>
        <v>7786</v>
      </c>
      <c r="C15" t="str">
        <f>IFERROR(INDEX(Starter!B:B,MATCH(B15,Starter!A:A,0)),"")</f>
        <v>Reichel, Christina</v>
      </c>
      <c r="D15" t="str">
        <f>IFERROR(INDEX(Starter!C:C,MATCH(B15,Starter!A:A,0)),"")</f>
        <v>BC Phönix 03 Lauf</v>
      </c>
      <c r="E15" s="102">
        <f t="shared" si="3"/>
        <v>1655</v>
      </c>
      <c r="F15">
        <f t="shared" si="4"/>
        <v>9</v>
      </c>
      <c r="G15" s="137">
        <f t="shared" si="5"/>
        <v>183.8888888338889</v>
      </c>
      <c r="L15" s="227">
        <f>INDEX(Starter!A:A,ROW()-1)</f>
        <v>25550</v>
      </c>
      <c r="M15">
        <f>SUMIF(Erfassung1!BD:BD,L15,Erfassung1!BW:BW)</f>
        <v>0</v>
      </c>
      <c r="N15">
        <f>SUMIF(Erfassung1!BD:BD,L15,Erfassung1!BG:BG)</f>
        <v>0</v>
      </c>
      <c r="O15">
        <f t="shared" si="1"/>
        <v>0</v>
      </c>
      <c r="P15">
        <f t="shared" si="0"/>
        <v>42</v>
      </c>
    </row>
    <row r="16" spans="1:16" x14ac:dyDescent="0.35">
      <c r="A16">
        <f t="shared" si="6"/>
        <v>12</v>
      </c>
      <c r="B16">
        <f t="shared" si="2"/>
        <v>38553</v>
      </c>
      <c r="C16" t="str">
        <f>IFERROR(INDEX(Starter!B:B,MATCH(B16,Starter!A:A,0)),"")</f>
        <v>Kirschke, Saskia</v>
      </c>
      <c r="D16" t="str">
        <f>IFERROR(INDEX(Starter!C:C,MATCH(B16,Starter!A:A,0)),"")</f>
        <v>BK München</v>
      </c>
      <c r="E16" s="102">
        <f t="shared" si="3"/>
        <v>1647</v>
      </c>
      <c r="F16">
        <f t="shared" si="4"/>
        <v>9</v>
      </c>
      <c r="G16" s="137">
        <f t="shared" si="5"/>
        <v>182.99999998999999</v>
      </c>
      <c r="L16" s="227">
        <f>INDEX(Starter!A:A,ROW()-1)</f>
        <v>7578</v>
      </c>
      <c r="M16">
        <f>SUMIF(Erfassung1!BD:BD,L16,Erfassung1!BW:BW)</f>
        <v>1639</v>
      </c>
      <c r="N16">
        <f>SUMIF(Erfassung1!BD:BD,L16,Erfassung1!BG:BG)</f>
        <v>9</v>
      </c>
      <c r="O16">
        <f t="shared" si="1"/>
        <v>182.11111109511111</v>
      </c>
      <c r="P16">
        <f t="shared" si="0"/>
        <v>14</v>
      </c>
    </row>
    <row r="17" spans="1:16" x14ac:dyDescent="0.35">
      <c r="A17">
        <f t="shared" si="6"/>
        <v>13</v>
      </c>
      <c r="B17">
        <f t="shared" si="2"/>
        <v>7574</v>
      </c>
      <c r="C17" t="str">
        <f>IFERROR(INDEX(Starter!B:B,MATCH(B17,Starter!A:A,0)),"")</f>
        <v>Clemenz, Brigitte</v>
      </c>
      <c r="D17" t="str">
        <f>IFERROR(INDEX(Starter!C:C,MATCH(B17,Starter!A:A,0)),"")</f>
        <v>BK München</v>
      </c>
      <c r="E17" s="102">
        <f t="shared" si="3"/>
        <v>1647</v>
      </c>
      <c r="F17">
        <f t="shared" si="4"/>
        <v>9</v>
      </c>
      <c r="G17" s="137">
        <f t="shared" si="5"/>
        <v>182.99999998199999</v>
      </c>
      <c r="L17" s="227">
        <f>INDEX(Starter!A:A,ROW()-1)</f>
        <v>7575</v>
      </c>
      <c r="M17">
        <f>SUMIF(Erfassung1!BD:BD,L17,Erfassung1!BW:BW)</f>
        <v>0</v>
      </c>
      <c r="N17">
        <f>SUMIF(Erfassung1!BD:BD,L17,Erfassung1!BG:BG)</f>
        <v>0</v>
      </c>
      <c r="O17">
        <f t="shared" si="1"/>
        <v>0</v>
      </c>
      <c r="P17">
        <f t="shared" si="0"/>
        <v>42</v>
      </c>
    </row>
    <row r="18" spans="1:16" x14ac:dyDescent="0.35">
      <c r="A18">
        <f t="shared" si="6"/>
        <v>14</v>
      </c>
      <c r="B18">
        <f t="shared" si="2"/>
        <v>7578</v>
      </c>
      <c r="C18" t="str">
        <f>IFERROR(INDEX(Starter!B:B,MATCH(B18,Starter!A:A,0)),"")</f>
        <v>Hinterwimmer, Sabine</v>
      </c>
      <c r="D18" t="str">
        <f>IFERROR(INDEX(Starter!C:C,MATCH(B18,Starter!A:A,0)),"")</f>
        <v>BK München</v>
      </c>
      <c r="E18" s="102">
        <f t="shared" si="3"/>
        <v>1639</v>
      </c>
      <c r="F18">
        <f t="shared" si="4"/>
        <v>9</v>
      </c>
      <c r="G18" s="137">
        <f t="shared" si="5"/>
        <v>182.11111109511111</v>
      </c>
      <c r="L18" s="227">
        <f>INDEX(Starter!A:A,ROW()-1)</f>
        <v>7574</v>
      </c>
      <c r="M18">
        <f>SUMIF(Erfassung1!BD:BD,L18,Erfassung1!BW:BW)</f>
        <v>1647</v>
      </c>
      <c r="N18">
        <f>SUMIF(Erfassung1!BD:BD,L18,Erfassung1!BG:BG)</f>
        <v>9</v>
      </c>
      <c r="O18">
        <f t="shared" si="1"/>
        <v>182.99999998199999</v>
      </c>
      <c r="P18">
        <f t="shared" si="0"/>
        <v>13</v>
      </c>
    </row>
    <row r="19" spans="1:16" x14ac:dyDescent="0.35">
      <c r="A19">
        <f t="shared" si="6"/>
        <v>15</v>
      </c>
      <c r="B19">
        <f t="shared" si="2"/>
        <v>7976</v>
      </c>
      <c r="C19" t="str">
        <f>IFERROR(INDEX(Starter!B:B,MATCH(B19,Starter!A:A,0)),"")</f>
        <v>Martisko, Petra</v>
      </c>
      <c r="D19" t="str">
        <f>IFERROR(INDEX(Starter!C:C,MATCH(B19,Starter!A:A,0)),"")</f>
        <v>BF Rot-Weiß Lichtenhof 69</v>
      </c>
      <c r="E19" s="102">
        <f t="shared" si="3"/>
        <v>1631</v>
      </c>
      <c r="F19">
        <f t="shared" si="4"/>
        <v>9</v>
      </c>
      <c r="G19" s="137">
        <f t="shared" si="5"/>
        <v>181.22222216122222</v>
      </c>
      <c r="L19" s="227">
        <f>INDEX(Starter!A:A,ROW()-1)</f>
        <v>7576</v>
      </c>
      <c r="M19">
        <f>SUMIF(Erfassung1!BD:BD,L19,Erfassung1!BW:BW)</f>
        <v>867</v>
      </c>
      <c r="N19">
        <f>SUMIF(Erfassung1!BD:BD,L19,Erfassung1!BG:BG)</f>
        <v>5</v>
      </c>
      <c r="O19">
        <f t="shared" si="1"/>
        <v>173.39999998100001</v>
      </c>
      <c r="P19">
        <f t="shared" si="0"/>
        <v>24</v>
      </c>
    </row>
    <row r="20" spans="1:16" x14ac:dyDescent="0.35">
      <c r="A20">
        <f t="shared" si="6"/>
        <v>16</v>
      </c>
      <c r="B20">
        <f t="shared" si="2"/>
        <v>38210</v>
      </c>
      <c r="C20" t="str">
        <f>IFERROR(INDEX(Starter!B:B,MATCH(B20,Starter!A:A,0)),"")</f>
        <v>Kulzer, Katharina</v>
      </c>
      <c r="D20" t="str">
        <f>IFERROR(INDEX(Starter!C:C,MATCH(B20,Starter!A:A,0)),"")</f>
        <v>BC Phönix 03 Lauf</v>
      </c>
      <c r="E20" s="102">
        <f t="shared" si="3"/>
        <v>1626</v>
      </c>
      <c r="F20">
        <f t="shared" si="4"/>
        <v>9</v>
      </c>
      <c r="G20" s="137">
        <f t="shared" si="5"/>
        <v>180.66666659966666</v>
      </c>
      <c r="L20" s="227">
        <f>INDEX(Starter!A:A,ROW()-1)</f>
        <v>12850</v>
      </c>
      <c r="M20">
        <f>SUMIF(Erfassung1!BD:BD,L20,Erfassung1!BW:BW)</f>
        <v>1105</v>
      </c>
      <c r="N20">
        <f>SUMIF(Erfassung1!BD:BD,L20,Erfassung1!BG:BG)</f>
        <v>7</v>
      </c>
      <c r="O20">
        <f t="shared" si="1"/>
        <v>157.85714283714287</v>
      </c>
      <c r="P20">
        <f t="shared" si="0"/>
        <v>35</v>
      </c>
    </row>
    <row r="21" spans="1:16" x14ac:dyDescent="0.35">
      <c r="A21">
        <f t="shared" si="6"/>
        <v>17</v>
      </c>
      <c r="B21">
        <f t="shared" si="2"/>
        <v>25192</v>
      </c>
      <c r="C21" t="str">
        <f>IFERROR(INDEX(Starter!B:B,MATCH(B21,Starter!A:A,0)),"")</f>
        <v>Bess, Vanessa</v>
      </c>
      <c r="D21" t="str">
        <f>IFERROR(INDEX(Starter!C:C,MATCH(B21,Starter!A:A,0)),"")</f>
        <v>BC E.P.A. München</v>
      </c>
      <c r="E21" s="102">
        <f t="shared" si="3"/>
        <v>1434</v>
      </c>
      <c r="F21">
        <f t="shared" si="4"/>
        <v>8</v>
      </c>
      <c r="G21" s="137">
        <f t="shared" si="5"/>
        <v>179.24999993099999</v>
      </c>
      <c r="L21" s="227">
        <f>INDEX(Starter!A:A,ROW()-1)</f>
        <v>16879</v>
      </c>
      <c r="M21">
        <f>SUMIF(Erfassung1!BD:BD,L21,Erfassung1!BW:BW)</f>
        <v>960</v>
      </c>
      <c r="N21">
        <f>SUMIF(Erfassung1!BD:BD,L21,Erfassung1!BG:BG)</f>
        <v>6</v>
      </c>
      <c r="O21">
        <f t="shared" si="1"/>
        <v>159.99999997899999</v>
      </c>
      <c r="P21">
        <f t="shared" si="0"/>
        <v>33</v>
      </c>
    </row>
    <row r="22" spans="1:16" x14ac:dyDescent="0.35">
      <c r="A22">
        <f t="shared" si="6"/>
        <v>18</v>
      </c>
      <c r="B22">
        <f t="shared" si="2"/>
        <v>7431</v>
      </c>
      <c r="C22" t="str">
        <f>IFERROR(INDEX(Starter!B:B,MATCH(B22,Starter!A:A,0)),"")</f>
        <v>Denz, Angelika</v>
      </c>
      <c r="D22" t="str">
        <f>IFERROR(INDEX(Starter!C:C,MATCH(B22,Starter!A:A,0)),"")</f>
        <v>BF Weiß-Blau</v>
      </c>
      <c r="E22" s="102">
        <f t="shared" si="3"/>
        <v>1608</v>
      </c>
      <c r="F22">
        <f t="shared" si="4"/>
        <v>9</v>
      </c>
      <c r="G22" s="137">
        <f t="shared" si="5"/>
        <v>178.66666662266667</v>
      </c>
      <c r="L22" s="227">
        <f>INDEX(Starter!A:A,ROW()-1)</f>
        <v>7991</v>
      </c>
      <c r="M22">
        <f>SUMIF(Erfassung1!BD:BD,L22,Erfassung1!BW:BW)</f>
        <v>0</v>
      </c>
      <c r="N22">
        <f>SUMIF(Erfassung1!BD:BD,L22,Erfassung1!BG:BG)</f>
        <v>0</v>
      </c>
      <c r="O22">
        <f t="shared" si="1"/>
        <v>0</v>
      </c>
      <c r="P22">
        <f t="shared" si="0"/>
        <v>42</v>
      </c>
    </row>
    <row r="23" spans="1:16" x14ac:dyDescent="0.35">
      <c r="A23">
        <f t="shared" si="6"/>
        <v>19</v>
      </c>
      <c r="B23">
        <f t="shared" si="2"/>
        <v>7753</v>
      </c>
      <c r="C23" t="str">
        <f>IFERROR(INDEX(Starter!B:B,MATCH(B23,Starter!A:A,0)),"")</f>
        <v>Krämer, Gisela</v>
      </c>
      <c r="D23" t="str">
        <f>IFERROR(INDEX(Starter!C:C,MATCH(B23,Starter!A:A,0)),"")</f>
        <v>BC Frankenpower</v>
      </c>
      <c r="E23" s="102">
        <f t="shared" si="3"/>
        <v>1599</v>
      </c>
      <c r="F23">
        <f t="shared" si="4"/>
        <v>9</v>
      </c>
      <c r="G23" s="137">
        <f t="shared" si="5"/>
        <v>177.66666663766665</v>
      </c>
      <c r="L23" s="227">
        <f>INDEX(Starter!A:A,ROW()-1)</f>
        <v>7024</v>
      </c>
      <c r="M23">
        <f>SUMIF(Erfassung1!BD:BD,L23,Erfassung1!BW:BW)</f>
        <v>0</v>
      </c>
      <c r="N23">
        <f>SUMIF(Erfassung1!BD:BD,L23,Erfassung1!BG:BG)</f>
        <v>0</v>
      </c>
      <c r="O23">
        <f t="shared" si="1"/>
        <v>0</v>
      </c>
      <c r="P23">
        <f t="shared" si="0"/>
        <v>42</v>
      </c>
    </row>
    <row r="24" spans="1:16" x14ac:dyDescent="0.35">
      <c r="A24">
        <f t="shared" si="6"/>
        <v>20</v>
      </c>
      <c r="B24">
        <f t="shared" si="2"/>
        <v>7549</v>
      </c>
      <c r="C24" t="str">
        <f>IFERROR(INDEX(Starter!B:B,MATCH(B24,Starter!A:A,0)),"")</f>
        <v>Hernitschek, Angelika</v>
      </c>
      <c r="D24" t="str">
        <f>IFERROR(INDEX(Starter!C:C,MATCH(B24,Starter!A:A,0)),"")</f>
        <v>BC E.P.A. München</v>
      </c>
      <c r="E24" s="102">
        <f t="shared" si="3"/>
        <v>885</v>
      </c>
      <c r="F24">
        <f t="shared" si="4"/>
        <v>5</v>
      </c>
      <c r="G24" s="137">
        <f t="shared" si="5"/>
        <v>176.99999993200001</v>
      </c>
      <c r="L24" s="227">
        <f>INDEX(Starter!A:A,ROW()-1)</f>
        <v>25298</v>
      </c>
      <c r="M24">
        <f>SUMIF(Erfassung1!BD:BD,L24,Erfassung1!BW:BW)</f>
        <v>1691</v>
      </c>
      <c r="N24">
        <f>SUMIF(Erfassung1!BD:BD,L24,Erfassung1!BG:BG)</f>
        <v>9</v>
      </c>
      <c r="O24">
        <f t="shared" si="1"/>
        <v>187.88888886488888</v>
      </c>
      <c r="P24">
        <f t="shared" si="0"/>
        <v>6</v>
      </c>
    </row>
    <row r="25" spans="1:16" x14ac:dyDescent="0.35">
      <c r="A25">
        <f t="shared" si="6"/>
        <v>21</v>
      </c>
      <c r="B25">
        <f t="shared" si="2"/>
        <v>16170</v>
      </c>
      <c r="C25" t="str">
        <f>IFERROR(INDEX(Starter!B:B,MATCH(B25,Starter!A:A,0)),"")</f>
        <v>Wölki, Elisabeth</v>
      </c>
      <c r="D25" t="str">
        <f>IFERROR(INDEX(Starter!C:C,MATCH(B25,Starter!A:A,0)),"")</f>
        <v>BC Praetoria</v>
      </c>
      <c r="E25" s="102">
        <f t="shared" si="3"/>
        <v>1586</v>
      </c>
      <c r="F25">
        <f t="shared" si="4"/>
        <v>9</v>
      </c>
      <c r="G25" s="137">
        <f t="shared" si="5"/>
        <v>176.22222221622224</v>
      </c>
      <c r="L25" s="227">
        <f>INDEX(Starter!A:A,ROW()-1)</f>
        <v>38757</v>
      </c>
      <c r="M25">
        <f>SUMIF(Erfassung1!BD:BD,L25,Erfassung1!BW:BW)</f>
        <v>1662</v>
      </c>
      <c r="N25">
        <f>SUMIF(Erfassung1!BD:BD,L25,Erfassung1!BG:BG)</f>
        <v>9</v>
      </c>
      <c r="O25">
        <f t="shared" si="1"/>
        <v>184.66666664166667</v>
      </c>
      <c r="P25">
        <f t="shared" si="0"/>
        <v>10</v>
      </c>
    </row>
    <row r="26" spans="1:16" x14ac:dyDescent="0.35">
      <c r="A26">
        <f t="shared" si="6"/>
        <v>22</v>
      </c>
      <c r="B26">
        <f t="shared" si="2"/>
        <v>38350</v>
      </c>
      <c r="C26" t="str">
        <f>IFERROR(INDEX(Starter!B:B,MATCH(B26,Starter!A:A,0)),"")</f>
        <v>Seeger, Melanie</v>
      </c>
      <c r="D26" t="str">
        <f>IFERROR(INDEX(Starter!C:C,MATCH(B26,Starter!A:A,0)),"")</f>
        <v>BK München</v>
      </c>
      <c r="E26" s="102">
        <f t="shared" si="3"/>
        <v>1585</v>
      </c>
      <c r="F26">
        <f t="shared" si="4"/>
        <v>9</v>
      </c>
      <c r="G26" s="137">
        <f t="shared" si="5"/>
        <v>176.11111110011112</v>
      </c>
      <c r="L26" s="227">
        <f>INDEX(Starter!A:A,ROW()-1)</f>
        <v>25630</v>
      </c>
      <c r="M26">
        <f>SUMIF(Erfassung1!BD:BD,L26,Erfassung1!BW:BW)</f>
        <v>658</v>
      </c>
      <c r="N26">
        <f>SUMIF(Erfassung1!BD:BD,L26,Erfassung1!BG:BG)</f>
        <v>4</v>
      </c>
      <c r="O26">
        <f t="shared" si="1"/>
        <v>164.49999997399999</v>
      </c>
      <c r="P26">
        <f t="shared" si="0"/>
        <v>29</v>
      </c>
    </row>
    <row r="27" spans="1:16" x14ac:dyDescent="0.35">
      <c r="A27">
        <f t="shared" si="6"/>
        <v>23</v>
      </c>
      <c r="B27">
        <f t="shared" si="2"/>
        <v>38758</v>
      </c>
      <c r="C27" t="str">
        <f>IFERROR(INDEX(Starter!B:B,MATCH(B27,Starter!A:A,0)),"")</f>
        <v>Rauscher, Julia</v>
      </c>
      <c r="D27" t="str">
        <f>IFERROR(INDEX(Starter!C:C,MATCH(B27,Starter!A:A,0)),"")</f>
        <v>BSC Highroller Rosenheim</v>
      </c>
      <c r="E27" s="102">
        <f t="shared" si="3"/>
        <v>875</v>
      </c>
      <c r="F27">
        <f t="shared" si="4"/>
        <v>5</v>
      </c>
      <c r="G27" s="137">
        <f t="shared" si="5"/>
        <v>174.999999973</v>
      </c>
      <c r="L27" s="227">
        <f>INDEX(Starter!A:A,ROW()-1)</f>
        <v>38758</v>
      </c>
      <c r="M27">
        <f>SUMIF(Erfassung1!BD:BD,L27,Erfassung1!BW:BW)</f>
        <v>875</v>
      </c>
      <c r="N27">
        <f>SUMIF(Erfassung1!BD:BD,L27,Erfassung1!BG:BG)</f>
        <v>5</v>
      </c>
      <c r="O27">
        <f t="shared" si="1"/>
        <v>174.999999973</v>
      </c>
      <c r="P27">
        <f t="shared" si="0"/>
        <v>23</v>
      </c>
    </row>
    <row r="28" spans="1:16" x14ac:dyDescent="0.35">
      <c r="A28">
        <f t="shared" si="6"/>
        <v>24</v>
      </c>
      <c r="B28">
        <f t="shared" si="2"/>
        <v>7576</v>
      </c>
      <c r="C28" t="str">
        <f>IFERROR(INDEX(Starter!B:B,MATCH(B28,Starter!A:A,0)),"")</f>
        <v>Laub, Angela</v>
      </c>
      <c r="D28" t="str">
        <f>IFERROR(INDEX(Starter!C:C,MATCH(B28,Starter!A:A,0)),"")</f>
        <v>BK München</v>
      </c>
      <c r="E28" s="102">
        <f t="shared" si="3"/>
        <v>867</v>
      </c>
      <c r="F28">
        <f t="shared" si="4"/>
        <v>5</v>
      </c>
      <c r="G28" s="137">
        <f t="shared" si="5"/>
        <v>173.39999998100001</v>
      </c>
      <c r="L28" s="227">
        <f>INDEX(Starter!A:A,ROW()-1)</f>
        <v>7754</v>
      </c>
      <c r="M28">
        <f>SUMIF(Erfassung1!BD:BD,L28,Erfassung1!BW:BW)</f>
        <v>0</v>
      </c>
      <c r="N28">
        <f>SUMIF(Erfassung1!BD:BD,L28,Erfassung1!BG:BG)</f>
        <v>0</v>
      </c>
      <c r="O28">
        <f t="shared" si="1"/>
        <v>0</v>
      </c>
      <c r="P28">
        <f t="shared" si="0"/>
        <v>42</v>
      </c>
    </row>
    <row r="29" spans="1:16" x14ac:dyDescent="0.35">
      <c r="A29">
        <f t="shared" si="6"/>
        <v>25</v>
      </c>
      <c r="B29">
        <f t="shared" si="2"/>
        <v>25751</v>
      </c>
      <c r="C29" t="str">
        <f>IFERROR(INDEX(Starter!B:B,MATCH(B29,Starter!A:A,0)),"")</f>
        <v>Schlundt, Sabrina</v>
      </c>
      <c r="D29" t="str">
        <f>IFERROR(INDEX(Starter!C:C,MATCH(B29,Starter!A:A,0)),"")</f>
        <v>BC Praetoria</v>
      </c>
      <c r="E29" s="102">
        <f t="shared" si="3"/>
        <v>1211</v>
      </c>
      <c r="F29">
        <f t="shared" si="4"/>
        <v>7</v>
      </c>
      <c r="G29" s="137">
        <f t="shared" si="5"/>
        <v>172.99999999799999</v>
      </c>
      <c r="L29" s="227">
        <f>INDEX(Starter!A:A,ROW()-1)</f>
        <v>7753</v>
      </c>
      <c r="M29">
        <f>SUMIF(Erfassung1!BD:BD,L29,Erfassung1!BW:BW)</f>
        <v>1599</v>
      </c>
      <c r="N29">
        <f>SUMIF(Erfassung1!BD:BD,L29,Erfassung1!BG:BG)</f>
        <v>9</v>
      </c>
      <c r="O29">
        <f t="shared" si="1"/>
        <v>177.66666663766665</v>
      </c>
      <c r="P29">
        <f t="shared" si="0"/>
        <v>19</v>
      </c>
    </row>
    <row r="30" spans="1:16" x14ac:dyDescent="0.35">
      <c r="A30">
        <f t="shared" si="6"/>
        <v>26</v>
      </c>
      <c r="B30">
        <f t="shared" si="2"/>
        <v>25397</v>
      </c>
      <c r="C30" t="str">
        <f>IFERROR(INDEX(Starter!B:B,MATCH(B30,Starter!A:A,0)),"")</f>
        <v>Weninger, Diana</v>
      </c>
      <c r="D30" t="str">
        <f>IFERROR(INDEX(Starter!C:C,MATCH(B30,Starter!A:A,0)),"")</f>
        <v>BC E.P.A. München</v>
      </c>
      <c r="E30" s="102">
        <f t="shared" si="3"/>
        <v>865</v>
      </c>
      <c r="F30">
        <f t="shared" si="4"/>
        <v>5</v>
      </c>
      <c r="G30" s="137">
        <f t="shared" si="5"/>
        <v>172.99999995799999</v>
      </c>
      <c r="L30" s="227">
        <f>INDEX(Starter!A:A,ROW()-1)</f>
        <v>7758</v>
      </c>
      <c r="M30">
        <f>SUMIF(Erfassung1!BD:BD,L30,Erfassung1!BW:BW)</f>
        <v>1441</v>
      </c>
      <c r="N30">
        <f>SUMIF(Erfassung1!BD:BD,L30,Erfassung1!BG:BG)</f>
        <v>9</v>
      </c>
      <c r="O30">
        <f t="shared" si="1"/>
        <v>160.11111108111112</v>
      </c>
      <c r="P30">
        <f t="shared" si="0"/>
        <v>32</v>
      </c>
    </row>
    <row r="31" spans="1:16" x14ac:dyDescent="0.35">
      <c r="A31">
        <f t="shared" si="6"/>
        <v>27</v>
      </c>
      <c r="B31">
        <f t="shared" si="2"/>
        <v>7787</v>
      </c>
      <c r="C31" t="str">
        <f>IFERROR(INDEX(Starter!B:B,MATCH(B31,Starter!A:A,0)),"")</f>
        <v>Kleim, Helga</v>
      </c>
      <c r="D31" t="str">
        <f>IFERROR(INDEX(Starter!C:C,MATCH(B31,Starter!A:A,0)),"")</f>
        <v>BC Phönix 03 Lauf</v>
      </c>
      <c r="E31" s="102">
        <f t="shared" si="3"/>
        <v>1540</v>
      </c>
      <c r="F31">
        <f t="shared" si="4"/>
        <v>9</v>
      </c>
      <c r="G31" s="137">
        <f t="shared" si="5"/>
        <v>171.11111105711112</v>
      </c>
      <c r="L31" s="227">
        <f>INDEX(Starter!A:A,ROW()-1)</f>
        <v>7757</v>
      </c>
      <c r="M31">
        <f>SUMIF(Erfassung1!BD:BD,L31,Erfassung1!BW:BW)</f>
        <v>1435</v>
      </c>
      <c r="N31">
        <f>SUMIF(Erfassung1!BD:BD,L31,Erfassung1!BG:BG)</f>
        <v>9</v>
      </c>
      <c r="O31">
        <f t="shared" si="1"/>
        <v>159.44444441344444</v>
      </c>
      <c r="P31">
        <f t="shared" si="0"/>
        <v>34</v>
      </c>
    </row>
    <row r="32" spans="1:16" x14ac:dyDescent="0.35">
      <c r="A32">
        <f t="shared" si="6"/>
        <v>28</v>
      </c>
      <c r="B32">
        <f t="shared" si="2"/>
        <v>7087</v>
      </c>
      <c r="C32" t="str">
        <f>IFERROR(INDEX(Starter!B:B,MATCH(B32,Starter!A:A,0)),"")</f>
        <v>Albert, Beate</v>
      </c>
      <c r="D32" t="str">
        <f>IFERROR(INDEX(Starter!C:C,MATCH(B32,Starter!A:A,0)),"")</f>
        <v>BF Weiß-Blau</v>
      </c>
      <c r="E32" s="102">
        <f t="shared" si="3"/>
        <v>1506</v>
      </c>
      <c r="F32">
        <f t="shared" si="4"/>
        <v>9</v>
      </c>
      <c r="G32" s="137">
        <f t="shared" si="5"/>
        <v>167.33333328833334</v>
      </c>
      <c r="L32" s="227">
        <f>INDEX(Starter!A:A,ROW()-1)</f>
        <v>38560</v>
      </c>
      <c r="M32">
        <f>SUMIF(Erfassung1!BD:BD,L32,Erfassung1!BW:BW)</f>
        <v>1681</v>
      </c>
      <c r="N32">
        <f>SUMIF(Erfassung1!BD:BD,L32,Erfassung1!BG:BG)</f>
        <v>9</v>
      </c>
      <c r="O32">
        <f t="shared" si="1"/>
        <v>186.77777774577777</v>
      </c>
      <c r="P32">
        <f t="shared" si="0"/>
        <v>8</v>
      </c>
    </row>
    <row r="33" spans="1:16" x14ac:dyDescent="0.35">
      <c r="A33">
        <f t="shared" si="6"/>
        <v>29</v>
      </c>
      <c r="B33">
        <f t="shared" si="2"/>
        <v>25630</v>
      </c>
      <c r="C33" t="str">
        <f>IFERROR(INDEX(Starter!B:B,MATCH(B33,Starter!A:A,0)),"")</f>
        <v>Groll, Hanni</v>
      </c>
      <c r="D33" t="str">
        <f>IFERROR(INDEX(Starter!C:C,MATCH(B33,Starter!A:A,0)),"")</f>
        <v>BSC Highroller Rosenheim</v>
      </c>
      <c r="E33" s="102">
        <f t="shared" si="3"/>
        <v>658</v>
      </c>
      <c r="F33">
        <f t="shared" si="4"/>
        <v>4</v>
      </c>
      <c r="G33" s="137">
        <f t="shared" si="5"/>
        <v>164.49999997399999</v>
      </c>
      <c r="L33" s="227">
        <f>INDEX(Starter!A:A,ROW()-1)</f>
        <v>7755</v>
      </c>
      <c r="M33">
        <f>SUMIF(Erfassung1!BD:BD,L33,Erfassung1!BW:BW)</f>
        <v>0</v>
      </c>
      <c r="N33">
        <f>SUMIF(Erfassung1!BD:BD,L33,Erfassung1!BG:BG)</f>
        <v>0</v>
      </c>
      <c r="O33">
        <f t="shared" si="1"/>
        <v>0</v>
      </c>
      <c r="P33">
        <f t="shared" si="0"/>
        <v>42</v>
      </c>
    </row>
    <row r="34" spans="1:16" x14ac:dyDescent="0.35">
      <c r="A34">
        <f t="shared" si="6"/>
        <v>30</v>
      </c>
      <c r="B34">
        <f t="shared" si="2"/>
        <v>38222</v>
      </c>
      <c r="C34" t="str">
        <f>IFERROR(INDEX(Starter!B:B,MATCH(B34,Starter!A:A,0)),"")</f>
        <v>Helmbrecht, Carolin</v>
      </c>
      <c r="D34" t="str">
        <f>IFERROR(INDEX(Starter!C:C,MATCH(B34,Starter!A:A,0)),"")</f>
        <v>BK München</v>
      </c>
      <c r="E34" s="102">
        <f t="shared" si="3"/>
        <v>1479</v>
      </c>
      <c r="F34">
        <f t="shared" si="4"/>
        <v>9</v>
      </c>
      <c r="G34" s="137">
        <f t="shared" si="5"/>
        <v>164.33333332533334</v>
      </c>
      <c r="L34" s="227">
        <f>INDEX(Starter!A:A,ROW()-1)</f>
        <v>7676</v>
      </c>
      <c r="M34">
        <f>SUMIF(Erfassung1!BD:BD,L34,Erfassung1!BW:BW)</f>
        <v>0</v>
      </c>
      <c r="N34">
        <f>SUMIF(Erfassung1!BD:BD,L34,Erfassung1!BG:BG)</f>
        <v>0</v>
      </c>
      <c r="O34">
        <f t="shared" si="1"/>
        <v>0</v>
      </c>
      <c r="P34">
        <f t="shared" ref="P34:P65" si="7">RANK(O34,O:O)</f>
        <v>42</v>
      </c>
    </row>
    <row r="35" spans="1:16" x14ac:dyDescent="0.35">
      <c r="A35">
        <f t="shared" si="6"/>
        <v>31</v>
      </c>
      <c r="B35">
        <f t="shared" si="2"/>
        <v>38513</v>
      </c>
      <c r="C35" t="str">
        <f>IFERROR(INDEX(Starter!B:B,MATCH(B35,Starter!A:A,0)),"")</f>
        <v>Thöne, Melanie</v>
      </c>
      <c r="D35" t="str">
        <f>IFERROR(INDEX(Starter!C:C,MATCH(B35,Starter!A:A,0)),"")</f>
        <v>BF Rot-Weiß Lichtenhof 69</v>
      </c>
      <c r="E35" s="102">
        <f t="shared" si="3"/>
        <v>1468</v>
      </c>
      <c r="F35">
        <f t="shared" si="4"/>
        <v>9</v>
      </c>
      <c r="G35" s="137">
        <f t="shared" si="5"/>
        <v>163.11111105211111</v>
      </c>
      <c r="L35" s="227">
        <f>INDEX(Starter!A:A,ROW()-1)</f>
        <v>16804</v>
      </c>
      <c r="M35">
        <f>SUMIF(Erfassung1!BD:BD,L35,Erfassung1!BW:BW)</f>
        <v>0</v>
      </c>
      <c r="N35">
        <f>SUMIF(Erfassung1!BD:BD,L35,Erfassung1!BG:BG)</f>
        <v>0</v>
      </c>
      <c r="O35">
        <f t="shared" si="1"/>
        <v>0</v>
      </c>
      <c r="P35">
        <f t="shared" si="7"/>
        <v>42</v>
      </c>
    </row>
    <row r="36" spans="1:16" x14ac:dyDescent="0.35">
      <c r="A36">
        <f t="shared" si="6"/>
        <v>32</v>
      </c>
      <c r="B36">
        <f t="shared" si="2"/>
        <v>7758</v>
      </c>
      <c r="C36" t="str">
        <f>IFERROR(INDEX(Starter!B:B,MATCH(B36,Starter!A:A,0)),"")</f>
        <v>Deinlein, Christine</v>
      </c>
      <c r="D36" t="str">
        <f>IFERROR(INDEX(Starter!C:C,MATCH(B36,Starter!A:A,0)),"")</f>
        <v>BC Frankenpower</v>
      </c>
      <c r="E36" s="102">
        <f t="shared" si="3"/>
        <v>1441</v>
      </c>
      <c r="F36">
        <f t="shared" si="4"/>
        <v>9</v>
      </c>
      <c r="G36" s="137">
        <f t="shared" si="5"/>
        <v>160.11111108111112</v>
      </c>
      <c r="L36" s="227">
        <f>INDEX(Starter!A:A,ROW()-1)</f>
        <v>7978</v>
      </c>
      <c r="M36">
        <f>SUMIF(Erfassung1!BD:BD,L36,Erfassung1!BW:BW)</f>
        <v>0</v>
      </c>
      <c r="N36">
        <f>SUMIF(Erfassung1!BD:BD,L36,Erfassung1!BG:BG)</f>
        <v>0</v>
      </c>
      <c r="O36">
        <f t="shared" si="1"/>
        <v>0</v>
      </c>
      <c r="P36">
        <f t="shared" si="7"/>
        <v>42</v>
      </c>
    </row>
    <row r="37" spans="1:16" x14ac:dyDescent="0.35">
      <c r="A37">
        <f t="shared" si="6"/>
        <v>33</v>
      </c>
      <c r="B37">
        <f t="shared" ref="B37:B68" si="8">IFERROR(INDEX(L:L,MATCH(A37,P:P,0)),"")</f>
        <v>16879</v>
      </c>
      <c r="C37" t="str">
        <f>IFERROR(INDEX(Starter!B:B,MATCH(B37,Starter!A:A,0)),"")</f>
        <v>Danzer, Andrea</v>
      </c>
      <c r="D37" t="str">
        <f>IFERROR(INDEX(Starter!C:C,MATCH(B37,Starter!A:A,0)),"")</f>
        <v>BK München</v>
      </c>
      <c r="E37" s="102">
        <f t="shared" ref="E37:E68" si="9">IFERROR(INDEX(M:M,MATCH(A37,P:P,0)),"")</f>
        <v>960</v>
      </c>
      <c r="F37">
        <f t="shared" ref="F37:F68" si="10">IFERROR(INDEX(N:N,MATCH(A37,P:P,0)),"")</f>
        <v>6</v>
      </c>
      <c r="G37" s="137">
        <f t="shared" ref="G37:G68" si="11">IFERROR(INDEX(O:O,MATCH(A37,P:P,0)),"")</f>
        <v>159.99999997899999</v>
      </c>
      <c r="L37" s="227">
        <f>INDEX(Starter!A:A,ROW()-1)</f>
        <v>16029</v>
      </c>
      <c r="M37">
        <f>SUMIF(Erfassung1!BD:BD,L37,Erfassung1!BW:BW)</f>
        <v>0</v>
      </c>
      <c r="N37">
        <f>SUMIF(Erfassung1!BD:BD,L37,Erfassung1!BG:BG)</f>
        <v>0</v>
      </c>
      <c r="O37">
        <f t="shared" si="1"/>
        <v>0</v>
      </c>
      <c r="P37">
        <f t="shared" si="7"/>
        <v>42</v>
      </c>
    </row>
    <row r="38" spans="1:16" x14ac:dyDescent="0.35">
      <c r="A38">
        <f t="shared" ref="A38:A69" si="12">IFERROR(IF(A37+1&gt;MAX(P:P)-1,"",A37+1),"")</f>
        <v>34</v>
      </c>
      <c r="B38">
        <f t="shared" si="8"/>
        <v>7757</v>
      </c>
      <c r="C38" t="str">
        <f>IFERROR(INDEX(Starter!B:B,MATCH(B38,Starter!A:A,0)),"")</f>
        <v>Legl, Renate</v>
      </c>
      <c r="D38" t="str">
        <f>IFERROR(INDEX(Starter!C:C,MATCH(B38,Starter!A:A,0)),"")</f>
        <v>BC Frankenpower</v>
      </c>
      <c r="E38" s="102">
        <f t="shared" si="9"/>
        <v>1435</v>
      </c>
      <c r="F38">
        <f t="shared" si="10"/>
        <v>9</v>
      </c>
      <c r="G38" s="137">
        <f t="shared" si="11"/>
        <v>159.44444441344444</v>
      </c>
      <c r="L38" s="227">
        <f>INDEX(Starter!A:A,ROW()-1)</f>
        <v>7082</v>
      </c>
      <c r="M38">
        <f>SUMIF(Erfassung1!BD:BD,L38,Erfassung1!BW:BW)</f>
        <v>0</v>
      </c>
      <c r="N38">
        <f>SUMIF(Erfassung1!BD:BD,L38,Erfassung1!BG:BG)</f>
        <v>0</v>
      </c>
      <c r="O38">
        <f t="shared" si="1"/>
        <v>0</v>
      </c>
      <c r="P38">
        <f t="shared" si="7"/>
        <v>42</v>
      </c>
    </row>
    <row r="39" spans="1:16" x14ac:dyDescent="0.35">
      <c r="A39">
        <f t="shared" si="12"/>
        <v>35</v>
      </c>
      <c r="B39">
        <f t="shared" si="8"/>
        <v>12850</v>
      </c>
      <c r="C39" t="str">
        <f>IFERROR(INDEX(Starter!B:B,MATCH(B39,Starter!A:A,0)),"")</f>
        <v>Müller, Angelika</v>
      </c>
      <c r="D39" t="str">
        <f>IFERROR(INDEX(Starter!C:C,MATCH(B39,Starter!A:A,0)),"")</f>
        <v>BK München</v>
      </c>
      <c r="E39" s="102">
        <f t="shared" si="9"/>
        <v>1105</v>
      </c>
      <c r="F39">
        <f t="shared" si="10"/>
        <v>7</v>
      </c>
      <c r="G39" s="137">
        <f t="shared" si="11"/>
        <v>157.85714283714287</v>
      </c>
      <c r="L39" s="227">
        <f>INDEX(Starter!A:A,ROW()-1)</f>
        <v>16700</v>
      </c>
      <c r="M39">
        <f>SUMIF(Erfassung1!BD:BD,L39,Erfassung1!BW:BW)</f>
        <v>0</v>
      </c>
      <c r="N39">
        <f>SUMIF(Erfassung1!BD:BD,L39,Erfassung1!BG:BG)</f>
        <v>0</v>
      </c>
      <c r="O39">
        <f t="shared" si="1"/>
        <v>0</v>
      </c>
      <c r="P39">
        <f t="shared" si="7"/>
        <v>42</v>
      </c>
    </row>
    <row r="40" spans="1:16" x14ac:dyDescent="0.35">
      <c r="A40">
        <f t="shared" si="12"/>
        <v>36</v>
      </c>
      <c r="B40">
        <f t="shared" si="8"/>
        <v>7551</v>
      </c>
      <c r="C40" t="str">
        <f>IFERROR(INDEX(Starter!B:B,MATCH(B40,Starter!A:A,0)),"")</f>
        <v>Zehner, Gabriele</v>
      </c>
      <c r="D40" t="str">
        <f>IFERROR(INDEX(Starter!C:C,MATCH(B40,Starter!A:A,0)),"")</f>
        <v>BF Weiß-Blau</v>
      </c>
      <c r="E40" s="102">
        <f t="shared" si="9"/>
        <v>1102</v>
      </c>
      <c r="F40">
        <f t="shared" si="10"/>
        <v>7</v>
      </c>
      <c r="G40" s="137">
        <f t="shared" si="11"/>
        <v>157.42857137657143</v>
      </c>
      <c r="L40" s="227">
        <f>INDEX(Starter!A:A,ROW()-1)</f>
        <v>38737</v>
      </c>
      <c r="M40">
        <f>SUMIF(Erfassung1!BD:BD,L40,Erfassung1!BW:BW)</f>
        <v>0</v>
      </c>
      <c r="N40">
        <f>SUMIF(Erfassung1!BD:BD,L40,Erfassung1!BG:BG)</f>
        <v>0</v>
      </c>
      <c r="O40">
        <f t="shared" si="1"/>
        <v>0</v>
      </c>
      <c r="P40">
        <f t="shared" si="7"/>
        <v>42</v>
      </c>
    </row>
    <row r="41" spans="1:16" x14ac:dyDescent="0.35">
      <c r="A41">
        <f t="shared" si="12"/>
        <v>37</v>
      </c>
      <c r="B41">
        <f t="shared" si="8"/>
        <v>16414</v>
      </c>
      <c r="C41" t="str">
        <f>IFERROR(INDEX(Starter!B:B,MATCH(B41,Starter!A:A,0)),"")</f>
        <v>Dornacher, Hannelore</v>
      </c>
      <c r="D41" t="str">
        <f>IFERROR(INDEX(Starter!C:C,MATCH(B41,Starter!A:A,0)),"")</f>
        <v>BF Weiß-Blau</v>
      </c>
      <c r="E41" s="102">
        <f t="shared" si="9"/>
        <v>1092</v>
      </c>
      <c r="F41">
        <f t="shared" si="10"/>
        <v>7</v>
      </c>
      <c r="G41" s="137">
        <f t="shared" si="11"/>
        <v>155.999999954</v>
      </c>
      <c r="L41" s="227">
        <f>INDEX(Starter!A:A,ROW()-1)</f>
        <v>7752</v>
      </c>
      <c r="M41">
        <f>SUMIF(Erfassung1!BD:BD,L41,Erfassung1!BW:BW)</f>
        <v>0</v>
      </c>
      <c r="N41">
        <f>SUMIF(Erfassung1!BD:BD,L41,Erfassung1!BG:BG)</f>
        <v>0</v>
      </c>
      <c r="O41">
        <f t="shared" si="1"/>
        <v>0</v>
      </c>
      <c r="P41">
        <f t="shared" si="7"/>
        <v>42</v>
      </c>
    </row>
    <row r="42" spans="1:16" x14ac:dyDescent="0.35">
      <c r="A42">
        <f t="shared" si="12"/>
        <v>38</v>
      </c>
      <c r="B42">
        <f t="shared" si="8"/>
        <v>7972</v>
      </c>
      <c r="C42" t="str">
        <f>IFERROR(INDEX(Starter!B:B,MATCH(B42,Starter!A:A,0)),"")</f>
        <v>Hödl, Renate</v>
      </c>
      <c r="D42" t="str">
        <f>IFERROR(INDEX(Starter!C:C,MATCH(B42,Starter!A:A,0)),"")</f>
        <v>BF Rot-Weiß Lichtenhof 69</v>
      </c>
      <c r="E42" s="102">
        <f t="shared" si="9"/>
        <v>1364</v>
      </c>
      <c r="F42">
        <f t="shared" si="10"/>
        <v>9</v>
      </c>
      <c r="G42" s="137">
        <f t="shared" si="11"/>
        <v>151.55555549555555</v>
      </c>
      <c r="L42" s="227">
        <f>INDEX(Starter!A:A,ROW()-1)</f>
        <v>25397</v>
      </c>
      <c r="M42">
        <f>SUMIF(Erfassung1!BD:BD,L42,Erfassung1!BW:BW)</f>
        <v>865</v>
      </c>
      <c r="N42">
        <f>SUMIF(Erfassung1!BD:BD,L42,Erfassung1!BG:BG)</f>
        <v>5</v>
      </c>
      <c r="O42">
        <f t="shared" si="1"/>
        <v>172.99999995799999</v>
      </c>
      <c r="P42">
        <f t="shared" si="7"/>
        <v>26</v>
      </c>
    </row>
    <row r="43" spans="1:16" x14ac:dyDescent="0.35">
      <c r="A43">
        <f t="shared" si="12"/>
        <v>39</v>
      </c>
      <c r="B43">
        <f t="shared" si="8"/>
        <v>25551</v>
      </c>
      <c r="C43" t="str">
        <f>IFERROR(INDEX(Starter!B:B,MATCH(B43,Starter!A:A,0)),"")</f>
        <v>Wahl, Alexandra</v>
      </c>
      <c r="D43" t="str">
        <f>IFERROR(INDEX(Starter!C:C,MATCH(B43,Starter!A:A,0)),"")</f>
        <v>BF Rot-Weiß Lichtenhof 69</v>
      </c>
      <c r="E43" s="102">
        <f t="shared" si="9"/>
        <v>1342</v>
      </c>
      <c r="F43">
        <f t="shared" si="10"/>
        <v>9</v>
      </c>
      <c r="G43" s="137">
        <f t="shared" si="11"/>
        <v>149.11111105411112</v>
      </c>
      <c r="L43" s="227">
        <f>INDEX(Starter!A:A,ROW()-1)</f>
        <v>38061</v>
      </c>
      <c r="M43">
        <f>SUMIF(Erfassung1!BD:BD,L43,Erfassung1!BW:BW)</f>
        <v>0</v>
      </c>
      <c r="N43">
        <f>SUMIF(Erfassung1!BD:BD,L43,Erfassung1!BG:BG)</f>
        <v>0</v>
      </c>
      <c r="O43">
        <f t="shared" si="1"/>
        <v>0</v>
      </c>
      <c r="P43">
        <f t="shared" si="7"/>
        <v>42</v>
      </c>
    </row>
    <row r="44" spans="1:16" x14ac:dyDescent="0.35">
      <c r="A44">
        <f t="shared" si="12"/>
        <v>40</v>
      </c>
      <c r="B44">
        <f t="shared" si="8"/>
        <v>7546</v>
      </c>
      <c r="C44" t="str">
        <f>IFERROR(INDEX(Starter!B:B,MATCH(B44,Starter!A:A,0)),"")</f>
        <v>Mc Fadden, Brigitte</v>
      </c>
      <c r="D44" t="str">
        <f>IFERROR(INDEX(Starter!C:C,MATCH(B44,Starter!A:A,0)),"")</f>
        <v>BF Weiß-Blau</v>
      </c>
      <c r="E44" s="102">
        <f t="shared" si="9"/>
        <v>575</v>
      </c>
      <c r="F44">
        <f t="shared" si="10"/>
        <v>4</v>
      </c>
      <c r="G44" s="137">
        <f t="shared" si="11"/>
        <v>143.74999995100001</v>
      </c>
      <c r="L44" s="227">
        <f>INDEX(Starter!A:A,ROW()-1)</f>
        <v>7431</v>
      </c>
      <c r="M44">
        <f>SUMIF(Erfassung1!BD:BD,L44,Erfassung1!BW:BW)</f>
        <v>1608</v>
      </c>
      <c r="N44">
        <f>SUMIF(Erfassung1!BD:BD,L44,Erfassung1!BG:BG)</f>
        <v>9</v>
      </c>
      <c r="O44">
        <f t="shared" si="1"/>
        <v>178.66666662266667</v>
      </c>
      <c r="P44">
        <f t="shared" si="7"/>
        <v>18</v>
      </c>
    </row>
    <row r="45" spans="1:16" x14ac:dyDescent="0.35">
      <c r="A45">
        <f t="shared" si="12"/>
        <v>41</v>
      </c>
      <c r="B45">
        <f t="shared" si="8"/>
        <v>7903</v>
      </c>
      <c r="C45" t="str">
        <f>IFERROR(INDEX(Starter!B:B,MATCH(B45,Starter!A:A,0)),"")</f>
        <v>Spieler, Regina</v>
      </c>
      <c r="D45" t="str">
        <f>IFERROR(INDEX(Starter!C:C,MATCH(B45,Starter!A:A,0)),"")</f>
        <v>BC Praetoria</v>
      </c>
      <c r="E45" s="102">
        <f t="shared" si="9"/>
        <v>262</v>
      </c>
      <c r="F45">
        <f t="shared" si="10"/>
        <v>2</v>
      </c>
      <c r="G45" s="137">
        <f t="shared" si="11"/>
        <v>130.999999995</v>
      </c>
      <c r="L45" s="227">
        <f>INDEX(Starter!A:A,ROW()-1)</f>
        <v>7087</v>
      </c>
      <c r="M45">
        <f>SUMIF(Erfassung1!BD:BD,L45,Erfassung1!BW:BW)</f>
        <v>1506</v>
      </c>
      <c r="N45">
        <f>SUMIF(Erfassung1!BD:BD,L45,Erfassung1!BG:BG)</f>
        <v>9</v>
      </c>
      <c r="O45">
        <f t="shared" si="1"/>
        <v>167.33333328833334</v>
      </c>
      <c r="P45">
        <f t="shared" si="7"/>
        <v>28</v>
      </c>
    </row>
    <row r="46" spans="1:16" x14ac:dyDescent="0.35">
      <c r="A46" t="str">
        <f t="shared" si="12"/>
        <v/>
      </c>
      <c r="B46" t="str">
        <f t="shared" si="8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102" t="str">
        <f t="shared" si="9"/>
        <v/>
      </c>
      <c r="F46" t="str">
        <f t="shared" si="10"/>
        <v/>
      </c>
      <c r="G46" s="137" t="str">
        <f t="shared" si="11"/>
        <v/>
      </c>
      <c r="L46" s="227">
        <f>INDEX(Starter!A:A,ROW()-1)</f>
        <v>16414</v>
      </c>
      <c r="M46">
        <f>SUMIF(Erfassung1!BD:BD,L46,Erfassung1!BW:BW)</f>
        <v>1092</v>
      </c>
      <c r="N46">
        <f>SUMIF(Erfassung1!BD:BD,L46,Erfassung1!BG:BG)</f>
        <v>7</v>
      </c>
      <c r="O46">
        <f t="shared" si="1"/>
        <v>155.999999954</v>
      </c>
      <c r="P46">
        <f t="shared" si="7"/>
        <v>37</v>
      </c>
    </row>
    <row r="47" spans="1:16" x14ac:dyDescent="0.35">
      <c r="A47" t="str">
        <f t="shared" si="12"/>
        <v/>
      </c>
      <c r="B47" t="str">
        <f t="shared" si="8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9"/>
        <v/>
      </c>
      <c r="F47" t="str">
        <f t="shared" si="10"/>
        <v/>
      </c>
      <c r="G47" s="137" t="str">
        <f t="shared" si="11"/>
        <v/>
      </c>
      <c r="L47" s="227">
        <f>INDEX(Starter!A:A,ROW()-1)</f>
        <v>16713</v>
      </c>
      <c r="M47">
        <f>SUMIF(Erfassung1!BD:BD,L47,Erfassung1!BW:BW)</f>
        <v>0</v>
      </c>
      <c r="N47">
        <f>SUMIF(Erfassung1!BD:BD,L47,Erfassung1!BG:BG)</f>
        <v>0</v>
      </c>
      <c r="O47">
        <f t="shared" si="1"/>
        <v>0</v>
      </c>
      <c r="P47">
        <f t="shared" si="7"/>
        <v>42</v>
      </c>
    </row>
    <row r="48" spans="1:16" x14ac:dyDescent="0.35">
      <c r="A48" t="str">
        <f t="shared" si="12"/>
        <v/>
      </c>
      <c r="B48" t="str">
        <f t="shared" si="8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9"/>
        <v/>
      </c>
      <c r="F48" t="str">
        <f t="shared" si="10"/>
        <v/>
      </c>
      <c r="G48" s="137" t="str">
        <f t="shared" si="11"/>
        <v/>
      </c>
      <c r="L48" s="227">
        <f>INDEX(Starter!A:A,ROW()-1)</f>
        <v>7541</v>
      </c>
      <c r="M48">
        <f>SUMIF(Erfassung1!BD:BD,L48,Erfassung1!BW:BW)</f>
        <v>0</v>
      </c>
      <c r="N48">
        <f>SUMIF(Erfassung1!BD:BD,L48,Erfassung1!BG:BG)</f>
        <v>0</v>
      </c>
      <c r="O48">
        <f t="shared" si="1"/>
        <v>0</v>
      </c>
      <c r="P48">
        <f t="shared" si="7"/>
        <v>42</v>
      </c>
    </row>
    <row r="49" spans="1:16" x14ac:dyDescent="0.35">
      <c r="A49" t="str">
        <f t="shared" si="12"/>
        <v/>
      </c>
      <c r="B49" t="str">
        <f t="shared" si="8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9"/>
        <v/>
      </c>
      <c r="F49" t="str">
        <f t="shared" si="10"/>
        <v/>
      </c>
      <c r="G49" s="137" t="str">
        <f t="shared" si="11"/>
        <v/>
      </c>
      <c r="L49" s="227">
        <f>INDEX(Starter!A:A,ROW()-1)</f>
        <v>7546</v>
      </c>
      <c r="M49">
        <f>SUMIF(Erfassung1!BD:BD,L49,Erfassung1!BW:BW)</f>
        <v>575</v>
      </c>
      <c r="N49">
        <f>SUMIF(Erfassung1!BD:BD,L49,Erfassung1!BG:BG)</f>
        <v>4</v>
      </c>
      <c r="O49">
        <f t="shared" si="1"/>
        <v>143.74999995100001</v>
      </c>
      <c r="P49">
        <f t="shared" si="7"/>
        <v>40</v>
      </c>
    </row>
    <row r="50" spans="1:16" x14ac:dyDescent="0.35">
      <c r="A50" t="str">
        <f t="shared" si="12"/>
        <v/>
      </c>
      <c r="B50" t="str">
        <f t="shared" si="8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9"/>
        <v/>
      </c>
      <c r="F50" t="str">
        <f t="shared" si="10"/>
        <v/>
      </c>
      <c r="G50" s="137" t="str">
        <f t="shared" si="11"/>
        <v/>
      </c>
      <c r="L50" s="227">
        <f>INDEX(Starter!A:A,ROW()-1)</f>
        <v>16953</v>
      </c>
      <c r="M50">
        <f>SUMIF(Erfassung1!BD:BD,L50,Erfassung1!BW:BW)</f>
        <v>0</v>
      </c>
      <c r="N50">
        <f>SUMIF(Erfassung1!BD:BD,L50,Erfassung1!BG:BG)</f>
        <v>0</v>
      </c>
      <c r="O50">
        <f t="shared" si="1"/>
        <v>0</v>
      </c>
      <c r="P50">
        <f t="shared" si="7"/>
        <v>42</v>
      </c>
    </row>
    <row r="51" spans="1:16" x14ac:dyDescent="0.35">
      <c r="A51" t="str">
        <f t="shared" si="12"/>
        <v/>
      </c>
      <c r="B51" t="str">
        <f t="shared" si="8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9"/>
        <v/>
      </c>
      <c r="F51" t="str">
        <f t="shared" si="10"/>
        <v/>
      </c>
      <c r="G51" s="137" t="str">
        <f t="shared" si="11"/>
        <v/>
      </c>
      <c r="L51" s="227">
        <f>INDEX(Starter!A:A,ROW()-1)</f>
        <v>21185</v>
      </c>
      <c r="M51">
        <f>SUMIF(Erfassung1!BD:BD,L51,Erfassung1!BW:BW)</f>
        <v>0</v>
      </c>
      <c r="N51">
        <f>SUMIF(Erfassung1!BD:BD,L51,Erfassung1!BG:BG)</f>
        <v>0</v>
      </c>
      <c r="O51">
        <f t="shared" si="1"/>
        <v>0</v>
      </c>
      <c r="P51">
        <f t="shared" si="7"/>
        <v>42</v>
      </c>
    </row>
    <row r="52" spans="1:16" x14ac:dyDescent="0.35">
      <c r="A52" t="str">
        <f t="shared" si="12"/>
        <v/>
      </c>
      <c r="B52" t="str">
        <f t="shared" si="8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9"/>
        <v/>
      </c>
      <c r="F52" t="str">
        <f t="shared" si="10"/>
        <v/>
      </c>
      <c r="G52" s="137" t="str">
        <f t="shared" si="11"/>
        <v/>
      </c>
      <c r="L52" s="227">
        <f>INDEX(Starter!A:A,ROW()-1)</f>
        <v>7551</v>
      </c>
      <c r="M52">
        <f>SUMIF(Erfassung1!BD:BD,L52,Erfassung1!BW:BW)</f>
        <v>1102</v>
      </c>
      <c r="N52">
        <f>SUMIF(Erfassung1!BD:BD,L52,Erfassung1!BG:BG)</f>
        <v>7</v>
      </c>
      <c r="O52">
        <f t="shared" si="1"/>
        <v>157.42857137657143</v>
      </c>
      <c r="P52">
        <f t="shared" si="7"/>
        <v>36</v>
      </c>
    </row>
    <row r="53" spans="1:16" x14ac:dyDescent="0.35">
      <c r="A53" t="str">
        <f t="shared" si="12"/>
        <v/>
      </c>
      <c r="B53" t="str">
        <f t="shared" si="8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9"/>
        <v/>
      </c>
      <c r="F53" t="str">
        <f t="shared" si="10"/>
        <v/>
      </c>
      <c r="G53" s="137" t="str">
        <f t="shared" si="11"/>
        <v/>
      </c>
      <c r="L53" s="227">
        <f>INDEX(Starter!A:A,ROW()-1)</f>
        <v>16900</v>
      </c>
      <c r="M53">
        <f>SUMIF(Erfassung1!BD:BD,L53,Erfassung1!BW:BW)</f>
        <v>0</v>
      </c>
      <c r="N53">
        <f>SUMIF(Erfassung1!BD:BD,L53,Erfassung1!BG:BG)</f>
        <v>0</v>
      </c>
      <c r="O53">
        <f t="shared" si="1"/>
        <v>0</v>
      </c>
      <c r="P53">
        <f t="shared" si="7"/>
        <v>42</v>
      </c>
    </row>
    <row r="54" spans="1:16" x14ac:dyDescent="0.35">
      <c r="A54" t="str">
        <f t="shared" si="12"/>
        <v/>
      </c>
      <c r="B54" t="str">
        <f t="shared" si="8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9"/>
        <v/>
      </c>
      <c r="F54" t="str">
        <f t="shared" si="10"/>
        <v/>
      </c>
      <c r="G54" s="137" t="str">
        <f t="shared" si="11"/>
        <v/>
      </c>
      <c r="L54" s="227">
        <f>INDEX(Starter!A:A,ROW()-1)</f>
        <v>7787</v>
      </c>
      <c r="M54">
        <f>SUMIF(Erfassung1!BD:BD,L54,Erfassung1!BW:BW)</f>
        <v>1540</v>
      </c>
      <c r="N54">
        <f>SUMIF(Erfassung1!BD:BD,L54,Erfassung1!BG:BG)</f>
        <v>9</v>
      </c>
      <c r="O54">
        <f t="shared" si="1"/>
        <v>171.11111105711112</v>
      </c>
      <c r="P54">
        <f t="shared" si="7"/>
        <v>27</v>
      </c>
    </row>
    <row r="55" spans="1:16" x14ac:dyDescent="0.35">
      <c r="A55" t="str">
        <f t="shared" si="12"/>
        <v/>
      </c>
      <c r="B55" t="str">
        <f t="shared" si="8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9"/>
        <v/>
      </c>
      <c r="F55" t="str">
        <f t="shared" si="10"/>
        <v/>
      </c>
      <c r="G55" s="137" t="str">
        <f t="shared" si="11"/>
        <v/>
      </c>
      <c r="L55" s="227">
        <f>INDEX(Starter!A:A,ROW()-1)</f>
        <v>7786</v>
      </c>
      <c r="M55">
        <f>SUMIF(Erfassung1!BD:BD,L55,Erfassung1!BW:BW)</f>
        <v>1655</v>
      </c>
      <c r="N55">
        <f>SUMIF(Erfassung1!BD:BD,L55,Erfassung1!BG:BG)</f>
        <v>9</v>
      </c>
      <c r="O55">
        <f t="shared" si="1"/>
        <v>183.8888888338889</v>
      </c>
      <c r="P55">
        <f t="shared" si="7"/>
        <v>11</v>
      </c>
    </row>
    <row r="56" spans="1:16" x14ac:dyDescent="0.35">
      <c r="A56" t="str">
        <f t="shared" si="12"/>
        <v/>
      </c>
      <c r="B56" t="str">
        <f t="shared" si="8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9"/>
        <v/>
      </c>
      <c r="F56" t="str">
        <f t="shared" si="10"/>
        <v/>
      </c>
      <c r="G56" s="137" t="str">
        <f t="shared" si="11"/>
        <v/>
      </c>
      <c r="L56" s="227">
        <f>INDEX(Starter!A:A,ROW()-1)</f>
        <v>7801</v>
      </c>
      <c r="M56">
        <f>SUMIF(Erfassung1!BD:BD,L56,Erfassung1!BW:BW)</f>
        <v>1881</v>
      </c>
      <c r="N56">
        <f>SUMIF(Erfassung1!BD:BD,L56,Erfassung1!BG:BG)</f>
        <v>9</v>
      </c>
      <c r="O56">
        <f t="shared" si="1"/>
        <v>208.999999944</v>
      </c>
      <c r="P56">
        <f t="shared" si="7"/>
        <v>2</v>
      </c>
    </row>
    <row r="57" spans="1:16" x14ac:dyDescent="0.35">
      <c r="A57" t="str">
        <f t="shared" si="12"/>
        <v/>
      </c>
      <c r="B57" t="str">
        <f t="shared" si="8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9"/>
        <v/>
      </c>
      <c r="F57" t="str">
        <f t="shared" si="10"/>
        <v/>
      </c>
      <c r="G57" s="137" t="str">
        <f t="shared" si="11"/>
        <v/>
      </c>
      <c r="L57" s="227">
        <f>INDEX(Starter!A:A,ROW()-1)</f>
        <v>25551</v>
      </c>
      <c r="M57">
        <f>SUMIF(Erfassung1!BD:BD,L57,Erfassung1!BW:BW)</f>
        <v>1342</v>
      </c>
      <c r="N57">
        <f>SUMIF(Erfassung1!BD:BD,L57,Erfassung1!BG:BG)</f>
        <v>9</v>
      </c>
      <c r="O57">
        <f t="shared" si="1"/>
        <v>149.11111105411112</v>
      </c>
      <c r="P57">
        <f t="shared" si="7"/>
        <v>39</v>
      </c>
    </row>
    <row r="58" spans="1:16" x14ac:dyDescent="0.35">
      <c r="A58" t="str">
        <f t="shared" si="12"/>
        <v/>
      </c>
      <c r="B58" t="str">
        <f t="shared" si="8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9"/>
        <v/>
      </c>
      <c r="F58" t="str">
        <f t="shared" si="10"/>
        <v/>
      </c>
      <c r="G58" s="137" t="str">
        <f t="shared" si="11"/>
        <v/>
      </c>
      <c r="L58" s="227">
        <f>INDEX(Starter!A:A,ROW()-1)</f>
        <v>25982</v>
      </c>
      <c r="M58">
        <f>SUMIF(Erfassung1!BD:BD,L58,Erfassung1!BW:BW)</f>
        <v>0</v>
      </c>
      <c r="N58">
        <f>SUMIF(Erfassung1!BD:BD,L58,Erfassung1!BG:BG)</f>
        <v>0</v>
      </c>
      <c r="O58">
        <f t="shared" si="1"/>
        <v>0</v>
      </c>
      <c r="P58">
        <f t="shared" si="7"/>
        <v>42</v>
      </c>
    </row>
    <row r="59" spans="1:16" x14ac:dyDescent="0.35">
      <c r="A59" t="str">
        <f t="shared" si="12"/>
        <v/>
      </c>
      <c r="B59" t="str">
        <f t="shared" si="8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9"/>
        <v/>
      </c>
      <c r="F59" t="str">
        <f t="shared" si="10"/>
        <v/>
      </c>
      <c r="G59" s="137" t="str">
        <f t="shared" si="11"/>
        <v/>
      </c>
      <c r="L59" s="227">
        <f>INDEX(Starter!A:A,ROW()-1)</f>
        <v>38513</v>
      </c>
      <c r="M59">
        <f>SUMIF(Erfassung1!BD:BD,L59,Erfassung1!BW:BW)</f>
        <v>1468</v>
      </c>
      <c r="N59">
        <f>SUMIF(Erfassung1!BD:BD,L59,Erfassung1!BG:BG)</f>
        <v>9</v>
      </c>
      <c r="O59">
        <f t="shared" si="1"/>
        <v>163.11111105211111</v>
      </c>
      <c r="P59">
        <f t="shared" si="7"/>
        <v>31</v>
      </c>
    </row>
    <row r="60" spans="1:16" x14ac:dyDescent="0.35">
      <c r="A60" t="str">
        <f t="shared" si="12"/>
        <v/>
      </c>
      <c r="B60" t="str">
        <f t="shared" si="8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9"/>
        <v/>
      </c>
      <c r="F60" t="str">
        <f t="shared" si="10"/>
        <v/>
      </c>
      <c r="G60" s="137" t="str">
        <f t="shared" si="11"/>
        <v/>
      </c>
      <c r="L60" s="227">
        <f>INDEX(Starter!A:A,ROW()-1)</f>
        <v>7972</v>
      </c>
      <c r="M60">
        <f>SUMIF(Erfassung1!BD:BD,L60,Erfassung1!BW:BW)</f>
        <v>1364</v>
      </c>
      <c r="N60">
        <f>SUMIF(Erfassung1!BD:BD,L60,Erfassung1!BG:BG)</f>
        <v>9</v>
      </c>
      <c r="O60">
        <f t="shared" si="1"/>
        <v>151.55555549555555</v>
      </c>
      <c r="P60">
        <f t="shared" si="7"/>
        <v>38</v>
      </c>
    </row>
    <row r="61" spans="1:16" x14ac:dyDescent="0.35">
      <c r="A61" t="str">
        <f t="shared" si="12"/>
        <v/>
      </c>
      <c r="B61" t="str">
        <f t="shared" si="8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9"/>
        <v/>
      </c>
      <c r="F61" t="str">
        <f t="shared" si="10"/>
        <v/>
      </c>
      <c r="G61" s="137" t="str">
        <f t="shared" si="11"/>
        <v/>
      </c>
      <c r="L61" s="227">
        <f>INDEX(Starter!A:A,ROW()-1)</f>
        <v>7976</v>
      </c>
      <c r="M61">
        <f>SUMIF(Erfassung1!BD:BD,L61,Erfassung1!BW:BW)</f>
        <v>1631</v>
      </c>
      <c r="N61">
        <f>SUMIF(Erfassung1!BD:BD,L61,Erfassung1!BG:BG)</f>
        <v>9</v>
      </c>
      <c r="O61">
        <f t="shared" si="1"/>
        <v>181.22222216122222</v>
      </c>
      <c r="P61">
        <f t="shared" si="7"/>
        <v>15</v>
      </c>
    </row>
    <row r="62" spans="1:16" x14ac:dyDescent="0.35">
      <c r="A62" t="str">
        <f t="shared" si="12"/>
        <v/>
      </c>
      <c r="B62" t="str">
        <f t="shared" si="8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9"/>
        <v/>
      </c>
      <c r="F62" t="str">
        <f t="shared" si="10"/>
        <v/>
      </c>
      <c r="G62" s="137" t="str">
        <f t="shared" si="11"/>
        <v/>
      </c>
      <c r="L62" s="227">
        <f>INDEX(Starter!A:A,ROW()-1)</f>
        <v>7977</v>
      </c>
      <c r="M62">
        <f>SUMIF(Erfassung1!BD:BD,L62,Erfassung1!BW:BW)</f>
        <v>0</v>
      </c>
      <c r="N62">
        <f>SUMIF(Erfassung1!BD:BD,L62,Erfassung1!BG:BG)</f>
        <v>0</v>
      </c>
      <c r="O62">
        <f t="shared" si="1"/>
        <v>0</v>
      </c>
      <c r="P62">
        <f t="shared" si="7"/>
        <v>42</v>
      </c>
    </row>
    <row r="63" spans="1:16" x14ac:dyDescent="0.35">
      <c r="A63" t="str">
        <f t="shared" si="12"/>
        <v/>
      </c>
      <c r="B63" t="str">
        <f t="shared" si="8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9"/>
        <v/>
      </c>
      <c r="F63" t="str">
        <f t="shared" si="10"/>
        <v/>
      </c>
      <c r="G63" s="137" t="str">
        <f t="shared" si="11"/>
        <v/>
      </c>
      <c r="L63" s="227">
        <f>INDEX(Starter!A:A,ROW()-1)</f>
        <v>7975</v>
      </c>
      <c r="M63">
        <f>SUMIF(Erfassung1!BD:BD,L63,Erfassung1!BW:BW)</f>
        <v>0</v>
      </c>
      <c r="N63">
        <f>SUMIF(Erfassung1!BD:BD,L63,Erfassung1!BG:BG)</f>
        <v>0</v>
      </c>
      <c r="O63">
        <f t="shared" si="1"/>
        <v>0</v>
      </c>
      <c r="P63">
        <f t="shared" si="7"/>
        <v>42</v>
      </c>
    </row>
    <row r="64" spans="1:16" x14ac:dyDescent="0.35">
      <c r="A64" t="str">
        <f t="shared" si="12"/>
        <v/>
      </c>
      <c r="B64" t="str">
        <f t="shared" si="8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9"/>
        <v/>
      </c>
      <c r="F64" t="str">
        <f t="shared" si="10"/>
        <v/>
      </c>
      <c r="G64" s="137" t="str">
        <f t="shared" si="11"/>
        <v/>
      </c>
      <c r="L64" s="227">
        <f>INDEX(Starter!A:A,ROW()-1)</f>
        <v>16475</v>
      </c>
      <c r="M64">
        <f>SUMIF(Erfassung1!BD:BD,L64,Erfassung1!BW:BW)</f>
        <v>0</v>
      </c>
      <c r="N64">
        <f>SUMIF(Erfassung1!BD:BD,L64,Erfassung1!BG:BG)</f>
        <v>0</v>
      </c>
      <c r="O64">
        <f t="shared" si="1"/>
        <v>0</v>
      </c>
      <c r="P64">
        <f t="shared" si="7"/>
        <v>42</v>
      </c>
    </row>
    <row r="65" spans="1:16" x14ac:dyDescent="0.35">
      <c r="A65" t="str">
        <f t="shared" si="12"/>
        <v/>
      </c>
      <c r="B65" t="str">
        <f t="shared" si="8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9"/>
        <v/>
      </c>
      <c r="F65" t="str">
        <f t="shared" si="10"/>
        <v/>
      </c>
      <c r="G65" s="137" t="str">
        <f t="shared" si="11"/>
        <v/>
      </c>
      <c r="L65" s="227">
        <f>INDEX(Starter!A:A,ROW()-1)</f>
        <v>38458</v>
      </c>
      <c r="M65">
        <f>SUMIF(Erfassung1!BD:BD,L65,Erfassung1!BW:BW)</f>
        <v>1872</v>
      </c>
      <c r="N65">
        <f>SUMIF(Erfassung1!BD:BD,L65,Erfassung1!BG:BG)</f>
        <v>9</v>
      </c>
      <c r="O65">
        <f t="shared" si="1"/>
        <v>207.99999993500001</v>
      </c>
      <c r="P65">
        <f t="shared" si="7"/>
        <v>3</v>
      </c>
    </row>
    <row r="66" spans="1:16" x14ac:dyDescent="0.35">
      <c r="A66" t="str">
        <f t="shared" si="12"/>
        <v/>
      </c>
      <c r="B66" t="str">
        <f t="shared" si="8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9"/>
        <v/>
      </c>
      <c r="F66" t="str">
        <f t="shared" si="10"/>
        <v/>
      </c>
      <c r="G66" s="137" t="str">
        <f t="shared" si="11"/>
        <v/>
      </c>
      <c r="L66" s="227">
        <f>INDEX(Starter!A:A,ROW()-1)</f>
        <v>25808</v>
      </c>
      <c r="M66">
        <f>SUMIF(Erfassung1!BD:BD,L66,Erfassung1!BW:BW)</f>
        <v>0</v>
      </c>
      <c r="N66">
        <f>SUMIF(Erfassung1!BD:BD,L66,Erfassung1!BG:BG)</f>
        <v>0</v>
      </c>
      <c r="O66">
        <f t="shared" si="1"/>
        <v>0</v>
      </c>
      <c r="P66">
        <f t="shared" ref="P66:P97" si="13">RANK(O66,O:O)</f>
        <v>42</v>
      </c>
    </row>
    <row r="67" spans="1:16" x14ac:dyDescent="0.35">
      <c r="A67" t="str">
        <f t="shared" si="12"/>
        <v/>
      </c>
      <c r="B67" t="str">
        <f t="shared" si="8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9"/>
        <v/>
      </c>
      <c r="F67" t="str">
        <f t="shared" si="10"/>
        <v/>
      </c>
      <c r="G67" s="137" t="str">
        <f t="shared" si="11"/>
        <v/>
      </c>
      <c r="L67" s="227">
        <f>INDEX(Starter!A:A,ROW()-1)</f>
        <v>38210</v>
      </c>
      <c r="M67">
        <f>SUMIF(Erfassung1!BD:BD,L67,Erfassung1!BW:BW)</f>
        <v>1626</v>
      </c>
      <c r="N67">
        <f>SUMIF(Erfassung1!BD:BD,L67,Erfassung1!BG:BG)</f>
        <v>9</v>
      </c>
      <c r="O67">
        <f t="shared" ref="O67:O104" si="14">IF(N67=0,0,M67/N67-ROW()/1000000000)</f>
        <v>180.66666659966666</v>
      </c>
      <c r="P67">
        <f t="shared" si="13"/>
        <v>16</v>
      </c>
    </row>
    <row r="68" spans="1:16" x14ac:dyDescent="0.35">
      <c r="A68" t="str">
        <f t="shared" si="12"/>
        <v/>
      </c>
      <c r="B68" t="str">
        <f t="shared" si="8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9"/>
        <v/>
      </c>
      <c r="F68" t="str">
        <f t="shared" si="10"/>
        <v/>
      </c>
      <c r="G68" s="137" t="str">
        <f t="shared" si="11"/>
        <v/>
      </c>
      <c r="L68" s="227">
        <f>INDEX(Starter!A:A,ROW()-1)</f>
        <v>7549</v>
      </c>
      <c r="M68">
        <f>SUMIF(Erfassung1!BD:BD,L68,Erfassung1!BW:BW)</f>
        <v>885</v>
      </c>
      <c r="N68">
        <f>SUMIF(Erfassung1!BD:BD,L68,Erfassung1!BG:BG)</f>
        <v>5</v>
      </c>
      <c r="O68">
        <f t="shared" si="14"/>
        <v>176.99999993200001</v>
      </c>
      <c r="P68">
        <f t="shared" si="13"/>
        <v>20</v>
      </c>
    </row>
    <row r="69" spans="1:16" x14ac:dyDescent="0.35">
      <c r="A69" t="str">
        <f t="shared" si="12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SUMIF(Erfassung1!BD:BD,L69,Erfassung1!BW:BW)</f>
        <v>1434</v>
      </c>
      <c r="N69">
        <f>SUMIF(Erfassung1!BD:BD,L69,Erfassung1!BG:BG)</f>
        <v>8</v>
      </c>
      <c r="O69">
        <f t="shared" si="14"/>
        <v>179.24999993099999</v>
      </c>
      <c r="P69">
        <f t="shared" si="13"/>
        <v>17</v>
      </c>
    </row>
    <row r="70" spans="1:16" x14ac:dyDescent="0.3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SUMIF(Erfassung1!BD:BD,L70,Erfassung1!BW:BW)</f>
        <v>1858</v>
      </c>
      <c r="N70">
        <f>SUMIF(Erfassung1!BD:BD,L70,Erfassung1!BG:BG)</f>
        <v>9</v>
      </c>
      <c r="O70">
        <f t="shared" si="14"/>
        <v>206.44444437444446</v>
      </c>
      <c r="P70">
        <f t="shared" si="13"/>
        <v>4</v>
      </c>
    </row>
    <row r="71" spans="1:16" x14ac:dyDescent="0.3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SUMIF(Erfassung1!BD:BD,L71,Erfassung1!BW:BW)</f>
        <v>1715</v>
      </c>
      <c r="N71">
        <f>SUMIF(Erfassung1!BD:BD,L71,Erfassung1!BG:BG)</f>
        <v>9</v>
      </c>
      <c r="O71">
        <f t="shared" si="14"/>
        <v>190.55555548455555</v>
      </c>
      <c r="P71">
        <f t="shared" si="13"/>
        <v>5</v>
      </c>
    </row>
    <row r="72" spans="1:16" x14ac:dyDescent="0.3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SUMIF(Erfassung1!BD:BD,L72,Erfassung1!BW:BW)</f>
        <v>0</v>
      </c>
      <c r="N72">
        <f>SUMIF(Erfassung1!BD:BD,L72,Erfassung1!BG:BG)</f>
        <v>0</v>
      </c>
      <c r="O72">
        <f t="shared" si="14"/>
        <v>0</v>
      </c>
      <c r="P72">
        <f t="shared" si="13"/>
        <v>42</v>
      </c>
    </row>
    <row r="73" spans="1:16" x14ac:dyDescent="0.3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SUMIF(Erfassung1!BD:BD,L73,Erfassung1!BW:BW)</f>
        <v>0</v>
      </c>
      <c r="N73">
        <f>SUMIF(Erfassung1!BD:BD,L73,Erfassung1!BG:BG)</f>
        <v>0</v>
      </c>
      <c r="O73">
        <f t="shared" si="14"/>
        <v>0</v>
      </c>
      <c r="P73">
        <f t="shared" si="13"/>
        <v>42</v>
      </c>
    </row>
    <row r="74" spans="1:16" x14ac:dyDescent="0.3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38607</v>
      </c>
      <c r="M74">
        <f>SUMIF(Erfassung1!BD:BD,L74,Erfassung1!BW:BW)</f>
        <v>0</v>
      </c>
      <c r="N74">
        <f>SUMIF(Erfassung1!BD:BD,L74,Erfassung1!BG:BG)</f>
        <v>0</v>
      </c>
      <c r="O74">
        <f t="shared" si="14"/>
        <v>0</v>
      </c>
      <c r="P74">
        <f t="shared" si="13"/>
        <v>42</v>
      </c>
    </row>
    <row r="75" spans="1:16" x14ac:dyDescent="0.3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SUMIF(Erfassung1!BD:BD,L75,Erfassung1!BW:BW)</f>
        <v>0</v>
      </c>
      <c r="N75">
        <f>SUMIF(Erfassung1!BD:BD,L75,Erfassung1!BG:BG)</f>
        <v>0</v>
      </c>
      <c r="O75">
        <f t="shared" si="14"/>
        <v>0</v>
      </c>
      <c r="P75">
        <f t="shared" si="13"/>
        <v>42</v>
      </c>
    </row>
    <row r="76" spans="1:16" x14ac:dyDescent="0.3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SUMIF(Erfassung1!BD:BD,L76,Erfassung1!BW:BW)</f>
        <v>0</v>
      </c>
      <c r="N76">
        <f>SUMIF(Erfassung1!BD:BD,L76,Erfassung1!BG:BG)</f>
        <v>0</v>
      </c>
      <c r="O76">
        <f t="shared" si="14"/>
        <v>0</v>
      </c>
      <c r="P76">
        <f t="shared" si="13"/>
        <v>42</v>
      </c>
    </row>
    <row r="77" spans="1:16" x14ac:dyDescent="0.3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SUMIF(Erfassung1!BD:BD,L77,Erfassung1!BW:BW)</f>
        <v>0</v>
      </c>
      <c r="N77">
        <f>SUMIF(Erfassung1!BD:BD,L77,Erfassung1!BG:BG)</f>
        <v>0</v>
      </c>
      <c r="O77">
        <f t="shared" si="14"/>
        <v>0</v>
      </c>
      <c r="P77">
        <f t="shared" si="13"/>
        <v>42</v>
      </c>
    </row>
    <row r="78" spans="1:16" x14ac:dyDescent="0.3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SUMIF(Erfassung1!BD:BD,L78,Erfassung1!BW:BW)</f>
        <v>0</v>
      </c>
      <c r="N78">
        <f>SUMIF(Erfassung1!BD:BD,L78,Erfassung1!BG:BG)</f>
        <v>0</v>
      </c>
      <c r="O78">
        <f t="shared" si="14"/>
        <v>0</v>
      </c>
      <c r="P78">
        <f t="shared" si="13"/>
        <v>42</v>
      </c>
    </row>
    <row r="79" spans="1:16" x14ac:dyDescent="0.3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SUMIF(Erfassung1!BD:BD,L79,Erfassung1!BW:BW)</f>
        <v>0</v>
      </c>
      <c r="N79">
        <f>SUMIF(Erfassung1!BD:BD,L79,Erfassung1!BG:BG)</f>
        <v>0</v>
      </c>
      <c r="O79">
        <f t="shared" si="14"/>
        <v>0</v>
      </c>
      <c r="P79">
        <f t="shared" si="13"/>
        <v>42</v>
      </c>
    </row>
    <row r="80" spans="1:16" x14ac:dyDescent="0.3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SUMIF(Erfassung1!BD:BD,L80,Erfassung1!BW:BW)</f>
        <v>0</v>
      </c>
      <c r="N80">
        <f>SUMIF(Erfassung1!BD:BD,L80,Erfassung1!BG:BG)</f>
        <v>0</v>
      </c>
      <c r="O80">
        <f t="shared" si="14"/>
        <v>0</v>
      </c>
      <c r="P80">
        <f t="shared" si="13"/>
        <v>42</v>
      </c>
    </row>
    <row r="81" spans="1:16" x14ac:dyDescent="0.3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SUMIF(Erfassung1!BD:BD,L81,Erfassung1!BW:BW)</f>
        <v>0</v>
      </c>
      <c r="N81">
        <f>SUMIF(Erfassung1!BD:BD,L81,Erfassung1!BG:BG)</f>
        <v>0</v>
      </c>
      <c r="O81">
        <f t="shared" si="14"/>
        <v>0</v>
      </c>
      <c r="P81">
        <f t="shared" si="13"/>
        <v>42</v>
      </c>
    </row>
    <row r="82" spans="1:16" x14ac:dyDescent="0.3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SUMIF(Erfassung1!BD:BD,L82,Erfassung1!BW:BW)</f>
        <v>0</v>
      </c>
      <c r="N82">
        <f>SUMIF(Erfassung1!BD:BD,L82,Erfassung1!BG:BG)</f>
        <v>0</v>
      </c>
      <c r="O82">
        <f t="shared" si="14"/>
        <v>0</v>
      </c>
      <c r="P82">
        <f t="shared" si="13"/>
        <v>42</v>
      </c>
    </row>
    <row r="83" spans="1:16" x14ac:dyDescent="0.3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SUMIF(Erfassung1!BD:BD,L83,Erfassung1!BW:BW)</f>
        <v>0</v>
      </c>
      <c r="N83">
        <f>SUMIF(Erfassung1!BD:BD,L83,Erfassung1!BG:BG)</f>
        <v>0</v>
      </c>
      <c r="O83">
        <f t="shared" si="14"/>
        <v>0</v>
      </c>
      <c r="P83">
        <f t="shared" si="13"/>
        <v>42</v>
      </c>
    </row>
    <row r="84" spans="1:16" x14ac:dyDescent="0.3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SUMIF(Erfassung1!BD:BD,L84,Erfassung1!BW:BW)</f>
        <v>0</v>
      </c>
      <c r="N84">
        <f>SUMIF(Erfassung1!BD:BD,L84,Erfassung1!BG:BG)</f>
        <v>0</v>
      </c>
      <c r="O84">
        <f t="shared" si="14"/>
        <v>0</v>
      </c>
      <c r="P84">
        <f t="shared" si="13"/>
        <v>42</v>
      </c>
    </row>
    <row r="85" spans="1:16" x14ac:dyDescent="0.3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SUMIF(Erfassung1!BD:BD,L85,Erfassung1!BW:BW)</f>
        <v>0</v>
      </c>
      <c r="N85">
        <f>SUMIF(Erfassung1!BD:BD,L85,Erfassung1!BG:BG)</f>
        <v>0</v>
      </c>
      <c r="O85">
        <f t="shared" si="14"/>
        <v>0</v>
      </c>
      <c r="P85">
        <f t="shared" si="13"/>
        <v>42</v>
      </c>
    </row>
    <row r="86" spans="1:16" x14ac:dyDescent="0.3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SUMIF(Erfassung1!BD:BD,L86,Erfassung1!BW:BW)</f>
        <v>0</v>
      </c>
      <c r="N86">
        <f>SUMIF(Erfassung1!BD:BD,L86,Erfassung1!BG:BG)</f>
        <v>0</v>
      </c>
      <c r="O86">
        <f t="shared" si="14"/>
        <v>0</v>
      </c>
      <c r="P86">
        <f t="shared" si="13"/>
        <v>42</v>
      </c>
    </row>
    <row r="87" spans="1:16" x14ac:dyDescent="0.3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SUMIF(Erfassung1!BD:BD,L87,Erfassung1!BW:BW)</f>
        <v>0</v>
      </c>
      <c r="N87">
        <f>SUMIF(Erfassung1!BD:BD,L87,Erfassung1!BG:BG)</f>
        <v>0</v>
      </c>
      <c r="O87">
        <f t="shared" si="14"/>
        <v>0</v>
      </c>
      <c r="P87">
        <f t="shared" si="13"/>
        <v>42</v>
      </c>
    </row>
    <row r="88" spans="1:16" x14ac:dyDescent="0.3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SUMIF(Erfassung1!BD:BD,L88,Erfassung1!BW:BW)</f>
        <v>0</v>
      </c>
      <c r="N88">
        <f>SUMIF(Erfassung1!BD:BD,L88,Erfassung1!BG:BG)</f>
        <v>0</v>
      </c>
      <c r="O88">
        <f t="shared" si="14"/>
        <v>0</v>
      </c>
      <c r="P88">
        <f t="shared" si="13"/>
        <v>42</v>
      </c>
    </row>
    <row r="89" spans="1:16" x14ac:dyDescent="0.3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SUMIF(Erfassung1!BD:BD,L89,Erfassung1!BW:BW)</f>
        <v>0</v>
      </c>
      <c r="N89">
        <f>SUMIF(Erfassung1!BD:BD,L89,Erfassung1!BG:BG)</f>
        <v>0</v>
      </c>
      <c r="O89">
        <f t="shared" si="14"/>
        <v>0</v>
      </c>
      <c r="P89">
        <f t="shared" si="13"/>
        <v>42</v>
      </c>
    </row>
    <row r="90" spans="1:16" x14ac:dyDescent="0.3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SUMIF(Erfassung1!BD:BD,L90,Erfassung1!BW:BW)</f>
        <v>0</v>
      </c>
      <c r="N90">
        <f>SUMIF(Erfassung1!BD:BD,L90,Erfassung1!BG:BG)</f>
        <v>0</v>
      </c>
      <c r="O90">
        <f t="shared" si="14"/>
        <v>0</v>
      </c>
      <c r="P90">
        <f t="shared" si="13"/>
        <v>42</v>
      </c>
    </row>
    <row r="91" spans="1:16" x14ac:dyDescent="0.3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SUMIF(Erfassung1!BD:BD,L91,Erfassung1!BW:BW)</f>
        <v>0</v>
      </c>
      <c r="N91">
        <f>SUMIF(Erfassung1!BD:BD,L91,Erfassung1!BG:BG)</f>
        <v>0</v>
      </c>
      <c r="O91">
        <f t="shared" si="14"/>
        <v>0</v>
      </c>
      <c r="P91">
        <f t="shared" si="13"/>
        <v>42</v>
      </c>
    </row>
    <row r="92" spans="1:16" x14ac:dyDescent="0.3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SUMIF(Erfassung1!BD:BD,L92,Erfassung1!BW:BW)</f>
        <v>0</v>
      </c>
      <c r="N92">
        <f>SUMIF(Erfassung1!BD:BD,L92,Erfassung1!BG:BG)</f>
        <v>0</v>
      </c>
      <c r="O92">
        <f t="shared" si="14"/>
        <v>0</v>
      </c>
      <c r="P92">
        <f t="shared" si="13"/>
        <v>42</v>
      </c>
    </row>
    <row r="93" spans="1:16" x14ac:dyDescent="0.3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SUMIF(Erfassung1!BD:BD,L93,Erfassung1!BW:BW)</f>
        <v>0</v>
      </c>
      <c r="N93">
        <f>SUMIF(Erfassung1!BD:BD,L93,Erfassung1!BG:BG)</f>
        <v>0</v>
      </c>
      <c r="O93">
        <f t="shared" si="14"/>
        <v>0</v>
      </c>
      <c r="P93">
        <f t="shared" si="13"/>
        <v>42</v>
      </c>
    </row>
    <row r="94" spans="1:16" x14ac:dyDescent="0.3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SUMIF(Erfassung1!BD:BD,L94,Erfassung1!BW:BW)</f>
        <v>0</v>
      </c>
      <c r="N94">
        <f>SUMIF(Erfassung1!BD:BD,L94,Erfassung1!BG:BG)</f>
        <v>0</v>
      </c>
      <c r="O94">
        <f t="shared" si="14"/>
        <v>0</v>
      </c>
      <c r="P94">
        <f t="shared" si="13"/>
        <v>42</v>
      </c>
    </row>
    <row r="95" spans="1:16" x14ac:dyDescent="0.3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SUMIF(Erfassung1!BD:BD,L95,Erfassung1!BW:BW)</f>
        <v>0</v>
      </c>
      <c r="N95">
        <f>SUMIF(Erfassung1!BD:BD,L95,Erfassung1!BG:BG)</f>
        <v>0</v>
      </c>
      <c r="O95">
        <f t="shared" si="14"/>
        <v>0</v>
      </c>
      <c r="P95">
        <f t="shared" si="13"/>
        <v>42</v>
      </c>
    </row>
    <row r="96" spans="1:16" x14ac:dyDescent="0.3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SUMIF(Erfassung1!BD:BD,L96,Erfassung1!BW:BW)</f>
        <v>0</v>
      </c>
      <c r="N96">
        <f>SUMIF(Erfassung1!BD:BD,L96,Erfassung1!BG:BG)</f>
        <v>0</v>
      </c>
      <c r="O96">
        <f t="shared" si="14"/>
        <v>0</v>
      </c>
      <c r="P96">
        <f t="shared" si="13"/>
        <v>42</v>
      </c>
    </row>
    <row r="97" spans="1:16" x14ac:dyDescent="0.3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SUMIF(Erfassung1!BD:BD,L97,Erfassung1!BW:BW)</f>
        <v>0</v>
      </c>
      <c r="N97">
        <f>SUMIF(Erfassung1!BD:BD,L97,Erfassung1!BG:BG)</f>
        <v>0</v>
      </c>
      <c r="O97">
        <f t="shared" si="14"/>
        <v>0</v>
      </c>
      <c r="P97">
        <f t="shared" si="13"/>
        <v>42</v>
      </c>
    </row>
    <row r="98" spans="1:16" x14ac:dyDescent="0.3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SUMIF(Erfassung1!BD:BD,L98,Erfassung1!BW:BW)</f>
        <v>0</v>
      </c>
      <c r="N98">
        <f>SUMIF(Erfassung1!BD:BD,L98,Erfassung1!BG:BG)</f>
        <v>0</v>
      </c>
      <c r="O98">
        <f t="shared" si="14"/>
        <v>0</v>
      </c>
      <c r="P98">
        <f t="shared" ref="P98:P104" si="20">RANK(O98,O:O)</f>
        <v>42</v>
      </c>
    </row>
    <row r="99" spans="1:16" x14ac:dyDescent="0.3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SUMIF(Erfassung1!BD:BD,L99,Erfassung1!BW:BW)</f>
        <v>0</v>
      </c>
      <c r="N99">
        <f>SUMIF(Erfassung1!BD:BD,L99,Erfassung1!BG:BG)</f>
        <v>0</v>
      </c>
      <c r="O99">
        <f t="shared" si="14"/>
        <v>0</v>
      </c>
      <c r="P99">
        <f t="shared" si="20"/>
        <v>42</v>
      </c>
    </row>
    <row r="100" spans="1:16" x14ac:dyDescent="0.3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SUMIF(Erfassung1!BD:BD,L100,Erfassung1!BW:BW)</f>
        <v>0</v>
      </c>
      <c r="N100">
        <f>SUMIF(Erfassung1!BD:BD,L100,Erfassung1!BG:BG)</f>
        <v>0</v>
      </c>
      <c r="O100">
        <f t="shared" si="14"/>
        <v>0</v>
      </c>
      <c r="P100">
        <f t="shared" si="20"/>
        <v>42</v>
      </c>
    </row>
    <row r="101" spans="1:16" x14ac:dyDescent="0.3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SUMIF(Erfassung1!BD:BD,L101,Erfassung1!BW:BW)</f>
        <v>0</v>
      </c>
      <c r="N101">
        <f>SUMIF(Erfassung1!BD:BD,L101,Erfassung1!BG:BG)</f>
        <v>0</v>
      </c>
      <c r="O101">
        <f t="shared" si="14"/>
        <v>0</v>
      </c>
      <c r="P101">
        <f t="shared" si="20"/>
        <v>42</v>
      </c>
    </row>
    <row r="102" spans="1:16" x14ac:dyDescent="0.3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SUMIF(Erfassung1!BD:BD,L102,Erfassung1!BW:BW)</f>
        <v>0</v>
      </c>
      <c r="N102">
        <f>SUMIF(Erfassung1!BD:BD,L102,Erfassung1!BG:BG)</f>
        <v>0</v>
      </c>
      <c r="O102">
        <f t="shared" si="14"/>
        <v>0</v>
      </c>
      <c r="P102">
        <f t="shared" si="20"/>
        <v>42</v>
      </c>
    </row>
    <row r="103" spans="1:16" x14ac:dyDescent="0.3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SUMIF(Erfassung1!BD:BD,L103,Erfassung1!BW:BW)</f>
        <v>0</v>
      </c>
      <c r="N103">
        <f>SUMIF(Erfassung1!BD:BD,L103,Erfassung1!BG:BG)</f>
        <v>0</v>
      </c>
      <c r="O103">
        <f t="shared" si="14"/>
        <v>0</v>
      </c>
      <c r="P103">
        <f t="shared" si="20"/>
        <v>42</v>
      </c>
    </row>
    <row r="104" spans="1:16" x14ac:dyDescent="0.3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SUMIF(Erfassung1!BD:BD,L104,Erfassung1!BW:BW)</f>
        <v>0</v>
      </c>
      <c r="N104">
        <f>SUMIF(Erfassung1!BD:BD,L104,Erfassung1!BG:BG)</f>
        <v>0</v>
      </c>
      <c r="O104">
        <f t="shared" si="14"/>
        <v>0</v>
      </c>
      <c r="P104">
        <f t="shared" si="20"/>
        <v>42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  <pageSetUpPr autoPageBreaks="0"/>
  </sheetPr>
  <dimension ref="A1:V81"/>
  <sheetViews>
    <sheetView showGridLines="0" zoomScaleNormal="100" workbookViewId="0">
      <selection activeCell="C19" sqref="C19:T19"/>
    </sheetView>
  </sheetViews>
  <sheetFormatPr baseColWidth="10" defaultColWidth="0" defaultRowHeight="12.75" x14ac:dyDescent="0.35"/>
  <cols>
    <col min="1" max="1" width="1.06640625" customWidth="1"/>
    <col min="2" max="2" width="3.59765625" customWidth="1"/>
    <col min="3" max="3" width="10.796875" customWidth="1"/>
    <col min="4" max="4" width="1.33203125" customWidth="1"/>
    <col min="5" max="5" width="3.73046875" customWidth="1"/>
    <col min="6" max="6" width="3" customWidth="1"/>
    <col min="7" max="7" width="2" customWidth="1"/>
    <col min="8" max="8" width="11.06640625" customWidth="1"/>
    <col min="9" max="9" width="2.06640625" customWidth="1"/>
    <col min="10" max="10" width="3.06640625" customWidth="1"/>
    <col min="11" max="11" width="0.796875" customWidth="1"/>
    <col min="12" max="12" width="9.265625" customWidth="1"/>
    <col min="13" max="13" width="2.06640625" customWidth="1"/>
    <col min="14" max="14" width="3.06640625" customWidth="1"/>
    <col min="15" max="15" width="0.796875" customWidth="1"/>
    <col min="16" max="16" width="11.06640625" customWidth="1"/>
    <col min="17" max="17" width="2.06640625" customWidth="1"/>
    <col min="18" max="18" width="3.06640625" customWidth="1"/>
    <col min="19" max="19" width="0.796875" customWidth="1"/>
    <col min="20" max="20" width="11.796875" customWidth="1"/>
    <col min="21" max="21" width="2.06640625" customWidth="1"/>
    <col min="22" max="22" width="1" customWidth="1"/>
    <col min="23" max="16384" width="9.06640625" hidden="1"/>
  </cols>
  <sheetData>
    <row r="1" spans="2:21" ht="3.75" customHeight="1" x14ac:dyDescent="0.35"/>
    <row r="2" spans="2:21" ht="25.15" x14ac:dyDescent="0.7">
      <c r="B2" s="314" t="s">
        <v>1837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</row>
    <row r="3" spans="2:21" ht="11.25" customHeight="1" x14ac:dyDescent="0.7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4">
      <c r="P4" s="157"/>
      <c r="Q4" s="315"/>
      <c r="R4" s="315"/>
      <c r="S4" s="315"/>
      <c r="T4" s="315"/>
      <c r="U4" s="315"/>
    </row>
    <row r="5" spans="2:21" ht="11.25" customHeight="1" x14ac:dyDescent="0.3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35">
      <c r="B6" s="17"/>
      <c r="C6" s="140" t="s">
        <v>1795</v>
      </c>
      <c r="D6" s="140"/>
      <c r="E6" s="316">
        <f>+Spielzettel2!T2</f>
        <v>2</v>
      </c>
      <c r="F6" s="317"/>
      <c r="P6" s="140" t="s">
        <v>1838</v>
      </c>
      <c r="Q6" s="318" t="str">
        <f>+Spielzettel2!U1</f>
        <v>02.11./03.11.</v>
      </c>
      <c r="R6" s="319">
        <v>0</v>
      </c>
      <c r="S6" s="319">
        <v>0</v>
      </c>
      <c r="T6" s="320">
        <v>0</v>
      </c>
      <c r="U6" s="18"/>
    </row>
    <row r="7" spans="2:21" x14ac:dyDescent="0.35">
      <c r="B7" s="17"/>
      <c r="C7" s="140"/>
      <c r="D7" s="140"/>
      <c r="U7" s="18"/>
    </row>
    <row r="8" spans="2:21" x14ac:dyDescent="0.35">
      <c r="B8" s="17"/>
      <c r="C8" s="140" t="s">
        <v>1839</v>
      </c>
      <c r="D8" s="140"/>
      <c r="E8" s="321" t="str">
        <f>+Spielzettel2!F2</f>
        <v>Regensburg Super Bowl</v>
      </c>
      <c r="F8" s="322"/>
      <c r="G8" s="322"/>
      <c r="H8" s="322">
        <v>0</v>
      </c>
      <c r="I8" s="322"/>
      <c r="J8" s="323"/>
      <c r="N8" s="140" t="s">
        <v>1840</v>
      </c>
      <c r="P8" s="321" t="str">
        <f>+Spielzettel2!F1</f>
        <v>Bayernliga Frauen</v>
      </c>
      <c r="Q8" s="322"/>
      <c r="R8" s="322"/>
      <c r="S8" s="322"/>
      <c r="T8" s="323"/>
      <c r="U8" s="18"/>
    </row>
    <row r="9" spans="2:21" ht="11.25" customHeight="1" thickBot="1" x14ac:dyDescent="0.4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15" thickBot="1" x14ac:dyDescent="0.4"/>
    <row r="11" spans="2:21" s="1" customFormat="1" ht="30" customHeight="1" thickBot="1" x14ac:dyDescent="0.4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4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>
        <v>0.35416666666666669</v>
      </c>
      <c r="M12" s="165" t="s">
        <v>1843</v>
      </c>
      <c r="P12" s="166"/>
      <c r="U12" s="18"/>
    </row>
    <row r="13" spans="2:21" ht="6.75" customHeight="1" thickBot="1" x14ac:dyDescent="0.55000000000000004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35">
      <c r="B14" s="17"/>
      <c r="U14" s="18"/>
    </row>
    <row r="15" spans="2:21" ht="13.15" x14ac:dyDescent="0.4">
      <c r="B15" s="17"/>
      <c r="C15" s="148" t="s">
        <v>1844</v>
      </c>
      <c r="D15" s="148"/>
      <c r="F15" s="151" t="s">
        <v>2555</v>
      </c>
      <c r="G15" s="154"/>
      <c r="H15" t="s">
        <v>1845</v>
      </c>
      <c r="J15" s="151"/>
      <c r="L15" t="s">
        <v>1846</v>
      </c>
      <c r="U15" s="18"/>
    </row>
    <row r="16" spans="2:21" ht="13.15" x14ac:dyDescent="0.4">
      <c r="B16" s="17"/>
      <c r="C16" s="148"/>
      <c r="D16" s="148"/>
      <c r="F16" s="44"/>
      <c r="J16" s="153"/>
      <c r="U16" s="18"/>
    </row>
    <row r="17" spans="2:21" ht="13.15" x14ac:dyDescent="0.4">
      <c r="B17" s="17"/>
      <c r="C17" s="148" t="s">
        <v>1847</v>
      </c>
      <c r="D17" s="148"/>
      <c r="F17" s="151" t="s">
        <v>2555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3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200000000000003" customHeight="1" x14ac:dyDescent="0.35">
      <c r="B19" s="17"/>
      <c r="C19" s="326"/>
      <c r="D19" s="327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9"/>
      <c r="U19" s="18"/>
    </row>
    <row r="20" spans="2:21" ht="12.75" customHeight="1" x14ac:dyDescent="0.3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35">
      <c r="B21" s="17"/>
      <c r="C21" s="148" t="s">
        <v>1849</v>
      </c>
      <c r="D21" s="148"/>
      <c r="U21" s="18"/>
    </row>
    <row r="22" spans="2:21" ht="13.15" x14ac:dyDescent="0.4">
      <c r="B22" s="17"/>
      <c r="C22" s="148" t="s">
        <v>1850</v>
      </c>
      <c r="D22" s="148"/>
      <c r="F22" s="151"/>
      <c r="H22" t="s">
        <v>1845</v>
      </c>
      <c r="J22" s="151" t="s">
        <v>2555</v>
      </c>
      <c r="L22" t="s">
        <v>1846</v>
      </c>
      <c r="U22" s="18"/>
    </row>
    <row r="23" spans="2:21" ht="18.75" customHeight="1" x14ac:dyDescent="0.3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200000000000003" customHeight="1" x14ac:dyDescent="0.35">
      <c r="B24" s="17"/>
      <c r="C24" s="326" t="s">
        <v>2556</v>
      </c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30"/>
      <c r="U24" s="18"/>
    </row>
    <row r="25" spans="2:21" ht="12.75" customHeight="1" thickBot="1" x14ac:dyDescent="0.4">
      <c r="B25" s="17"/>
      <c r="C25" s="171"/>
      <c r="D25" s="171"/>
      <c r="U25" s="18"/>
    </row>
    <row r="26" spans="2:21" s="175" customFormat="1" ht="21.75" customHeight="1" x14ac:dyDescent="0.4">
      <c r="B26" s="172" t="s">
        <v>1852</v>
      </c>
      <c r="C26" s="173"/>
      <c r="D26" s="173"/>
      <c r="E26" s="173"/>
      <c r="F26" s="173"/>
      <c r="G26" s="173"/>
      <c r="H26" s="152">
        <v>0.5</v>
      </c>
      <c r="I26" s="173"/>
      <c r="J26" s="174" t="s">
        <v>1853</v>
      </c>
      <c r="K26" s="174"/>
      <c r="L26" s="152">
        <v>0.51388888888888884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55000000000000004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5">
      <c r="B28" s="177"/>
      <c r="U28" s="18"/>
    </row>
    <row r="29" spans="2:21" ht="13.15" x14ac:dyDescent="0.4">
      <c r="B29" s="17"/>
      <c r="C29" s="148" t="s">
        <v>1854</v>
      </c>
      <c r="D29" s="148"/>
      <c r="F29" s="151" t="s">
        <v>2555</v>
      </c>
      <c r="H29" t="s">
        <v>1845</v>
      </c>
      <c r="J29" s="151"/>
      <c r="L29" t="s">
        <v>1846</v>
      </c>
      <c r="U29" s="18"/>
    </row>
    <row r="30" spans="2:21" ht="17.25" customHeight="1" x14ac:dyDescent="0.35">
      <c r="B30" s="17"/>
      <c r="C30" s="148" t="s">
        <v>1855</v>
      </c>
      <c r="D30" s="148"/>
      <c r="F30" s="331"/>
      <c r="G30" s="331"/>
      <c r="H30" s="148"/>
      <c r="U30" s="18"/>
    </row>
    <row r="31" spans="2:21" ht="17.25" customHeight="1" x14ac:dyDescent="0.3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200000000000003" customHeight="1" x14ac:dyDescent="0.35">
      <c r="B32" s="17"/>
      <c r="C32" s="326" t="s">
        <v>2562</v>
      </c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30"/>
      <c r="U32" s="18"/>
    </row>
    <row r="33" spans="2:21" x14ac:dyDescent="0.35">
      <c r="B33" s="17"/>
      <c r="C33" s="171"/>
      <c r="D33" s="171"/>
      <c r="U33" s="18"/>
    </row>
    <row r="34" spans="2:21" ht="6.75" customHeight="1" x14ac:dyDescent="0.35">
      <c r="B34" s="17"/>
      <c r="C34" s="171"/>
      <c r="D34" s="171"/>
      <c r="U34" s="18"/>
    </row>
    <row r="35" spans="2:21" ht="13.15" x14ac:dyDescent="0.4">
      <c r="B35" s="17"/>
      <c r="C35" s="148" t="s">
        <v>1857</v>
      </c>
      <c r="D35" s="148"/>
      <c r="F35" s="151" t="s">
        <v>2555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35">
      <c r="B36" s="17"/>
      <c r="C36" s="149" t="s">
        <v>1861</v>
      </c>
      <c r="D36" s="149"/>
      <c r="F36" s="332"/>
      <c r="G36" s="332"/>
      <c r="H36" s="332"/>
      <c r="U36" s="18"/>
    </row>
    <row r="37" spans="2:21" ht="11.25" customHeight="1" x14ac:dyDescent="0.35">
      <c r="B37" s="17"/>
      <c r="U37" s="18"/>
    </row>
    <row r="38" spans="2:21" ht="13.9" x14ac:dyDescent="0.4">
      <c r="B38" s="179" t="s">
        <v>1862</v>
      </c>
      <c r="U38" s="18"/>
    </row>
    <row r="39" spans="2:21" ht="9" customHeight="1" x14ac:dyDescent="0.35">
      <c r="B39" s="17"/>
      <c r="U39" s="18"/>
    </row>
    <row r="40" spans="2:21" ht="80.25" customHeight="1" x14ac:dyDescent="0.35">
      <c r="B40" s="17"/>
      <c r="C40" s="326" t="s">
        <v>2560</v>
      </c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30"/>
      <c r="U40" s="18"/>
    </row>
    <row r="41" spans="2:21" ht="11.25" customHeight="1" thickBot="1" x14ac:dyDescent="0.4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15" thickBot="1" x14ac:dyDescent="0.4"/>
    <row r="43" spans="2:21" s="1" customFormat="1" ht="30" customHeight="1" thickBot="1" x14ac:dyDescent="0.4">
      <c r="B43" s="162"/>
      <c r="C43" s="324" t="s">
        <v>1863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163"/>
    </row>
    <row r="44" spans="2:21" ht="9" customHeight="1" x14ac:dyDescent="0.35">
      <c r="B44" s="17"/>
      <c r="U44" s="18"/>
    </row>
    <row r="45" spans="2:21" ht="13.9" x14ac:dyDescent="0.4">
      <c r="B45" s="179"/>
      <c r="C45" s="166" t="s">
        <v>1864</v>
      </c>
      <c r="D45" s="166"/>
      <c r="U45" s="18"/>
    </row>
    <row r="46" spans="2:21" ht="9" customHeight="1" x14ac:dyDescent="0.35">
      <c r="B46" s="17"/>
      <c r="U46" s="18"/>
    </row>
    <row r="47" spans="2:21" ht="36.75" customHeight="1" x14ac:dyDescent="0.35">
      <c r="B47" s="17"/>
      <c r="C47" s="326"/>
      <c r="D47" s="327"/>
      <c r="E47" s="327"/>
      <c r="F47" s="327"/>
      <c r="G47" s="327"/>
      <c r="H47" s="327"/>
      <c r="I47" s="327"/>
      <c r="J47" s="327"/>
      <c r="K47" s="327"/>
      <c r="L47" s="327"/>
      <c r="M47" s="327"/>
      <c r="N47" s="327"/>
      <c r="O47" s="327"/>
      <c r="P47" s="327"/>
      <c r="Q47" s="327"/>
      <c r="R47" s="327"/>
      <c r="S47" s="327"/>
      <c r="T47" s="330"/>
      <c r="U47" s="18"/>
    </row>
    <row r="48" spans="2:21" ht="12.75" customHeight="1" x14ac:dyDescent="0.35">
      <c r="B48" s="17"/>
      <c r="C48" s="171"/>
      <c r="D48" s="171"/>
      <c r="U48" s="18"/>
    </row>
    <row r="49" spans="2:21" ht="12.75" customHeight="1" x14ac:dyDescent="0.4">
      <c r="B49" s="179"/>
      <c r="C49" s="166" t="s">
        <v>1865</v>
      </c>
      <c r="D49" s="166"/>
      <c r="U49" s="18"/>
    </row>
    <row r="50" spans="2:21" ht="6.75" customHeight="1" x14ac:dyDescent="0.35">
      <c r="B50" s="17"/>
      <c r="U50" s="18"/>
    </row>
    <row r="51" spans="2:21" ht="36.75" customHeight="1" x14ac:dyDescent="0.35">
      <c r="B51" s="17"/>
      <c r="C51" s="326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30"/>
      <c r="U51" s="18"/>
    </row>
    <row r="52" spans="2:21" ht="12.75" customHeight="1" x14ac:dyDescent="0.35">
      <c r="B52" s="17"/>
      <c r="C52" s="171"/>
      <c r="D52" s="171"/>
      <c r="U52" s="18"/>
    </row>
    <row r="53" spans="2:21" ht="12.75" customHeight="1" x14ac:dyDescent="0.4">
      <c r="B53" s="179"/>
      <c r="C53" s="166" t="s">
        <v>1866</v>
      </c>
      <c r="D53" s="166"/>
      <c r="U53" s="18"/>
    </row>
    <row r="54" spans="2:21" ht="6.75" customHeight="1" x14ac:dyDescent="0.35">
      <c r="B54" s="17"/>
      <c r="U54" s="18"/>
    </row>
    <row r="55" spans="2:21" ht="36.75" customHeight="1" x14ac:dyDescent="0.35">
      <c r="B55" s="17"/>
      <c r="C55" s="326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7"/>
      <c r="Q55" s="327"/>
      <c r="R55" s="327"/>
      <c r="S55" s="327"/>
      <c r="T55" s="330"/>
      <c r="U55" s="18"/>
    </row>
    <row r="56" spans="2:21" ht="11.25" customHeight="1" x14ac:dyDescent="0.35">
      <c r="B56" s="17"/>
      <c r="C56" s="171"/>
      <c r="D56" s="171"/>
      <c r="U56" s="18"/>
    </row>
    <row r="57" spans="2:21" ht="13.5" customHeight="1" x14ac:dyDescent="0.4">
      <c r="B57" s="179"/>
      <c r="C57" s="166" t="s">
        <v>1867</v>
      </c>
      <c r="D57" s="166"/>
      <c r="U57" s="18"/>
    </row>
    <row r="58" spans="2:21" ht="6.75" customHeight="1" x14ac:dyDescent="0.35">
      <c r="B58" s="17"/>
      <c r="U58" s="18"/>
    </row>
    <row r="59" spans="2:21" ht="36.75" customHeight="1" x14ac:dyDescent="0.35">
      <c r="B59" s="17"/>
      <c r="C59" s="326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30"/>
      <c r="U59" s="18"/>
    </row>
    <row r="60" spans="2:21" ht="11.25" customHeight="1" x14ac:dyDescent="0.35">
      <c r="B60" s="17"/>
      <c r="C60" s="171"/>
      <c r="D60" s="171"/>
      <c r="U60" s="18"/>
    </row>
    <row r="61" spans="2:21" ht="13.9" x14ac:dyDescent="0.4">
      <c r="B61" s="179"/>
      <c r="C61" s="166" t="s">
        <v>1868</v>
      </c>
      <c r="D61" s="166"/>
      <c r="U61" s="18"/>
    </row>
    <row r="62" spans="2:21" ht="6" customHeight="1" x14ac:dyDescent="0.35">
      <c r="B62" s="17"/>
      <c r="U62" s="18"/>
    </row>
    <row r="63" spans="2:21" ht="36.75" customHeight="1" x14ac:dyDescent="0.35">
      <c r="B63" s="17"/>
      <c r="C63" s="326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  <c r="T63" s="330"/>
      <c r="U63" s="18"/>
    </row>
    <row r="64" spans="2:21" ht="12.75" customHeight="1" x14ac:dyDescent="0.35">
      <c r="B64" s="17"/>
      <c r="C64" s="171"/>
      <c r="D64" s="171"/>
      <c r="U64" s="18"/>
    </row>
    <row r="65" spans="1:21" ht="12.75" customHeight="1" x14ac:dyDescent="0.4">
      <c r="B65" s="179"/>
      <c r="C65" s="166" t="s">
        <v>1869</v>
      </c>
      <c r="D65" s="166"/>
      <c r="U65" s="18"/>
    </row>
    <row r="66" spans="1:21" ht="6.75" customHeight="1" x14ac:dyDescent="0.35">
      <c r="B66" s="17"/>
      <c r="U66" s="18"/>
    </row>
    <row r="67" spans="1:21" ht="36.75" customHeight="1" x14ac:dyDescent="0.35">
      <c r="B67" s="17"/>
      <c r="C67" s="326" t="s">
        <v>2561</v>
      </c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30"/>
      <c r="U67" s="18"/>
    </row>
    <row r="68" spans="1:21" ht="11.25" customHeight="1" thickBot="1" x14ac:dyDescent="0.4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4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5">
      <c r="B70" s="177"/>
      <c r="U70" s="18"/>
    </row>
    <row r="71" spans="1:21" s="52" customFormat="1" ht="18" customHeight="1" x14ac:dyDescent="0.5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35">
      <c r="B72" s="17"/>
      <c r="P72" s="52"/>
      <c r="Q72" s="52"/>
      <c r="U72" s="18"/>
    </row>
    <row r="73" spans="1:21" ht="6" customHeight="1" x14ac:dyDescent="0.3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200000000000003" customHeight="1" x14ac:dyDescent="0.35">
      <c r="B74" s="17"/>
      <c r="C74" s="335" t="s">
        <v>2558</v>
      </c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7"/>
      <c r="U74" s="18"/>
    </row>
    <row r="75" spans="1:21" ht="11.25" customHeight="1" thickBot="1" x14ac:dyDescent="0.4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35"/>
    <row r="77" spans="1:21" ht="13.15" x14ac:dyDescent="0.4">
      <c r="B77" s="166" t="s">
        <v>1871</v>
      </c>
      <c r="D77" s="333" t="s">
        <v>2559</v>
      </c>
      <c r="E77" s="334"/>
      <c r="F77" s="334"/>
      <c r="G77" s="334"/>
      <c r="H77" s="334"/>
      <c r="I77" s="334"/>
      <c r="J77" s="334"/>
      <c r="K77" s="334"/>
      <c r="L77" s="334"/>
      <c r="M77" s="334"/>
      <c r="P77" s="334"/>
      <c r="Q77" s="334"/>
      <c r="R77" s="334"/>
      <c r="S77" s="334"/>
      <c r="T77" s="334"/>
      <c r="U77" s="334"/>
    </row>
    <row r="78" spans="1:21" x14ac:dyDescent="0.3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35"/>
    <row r="80" spans="1:21" ht="13.15" x14ac:dyDescent="0.4">
      <c r="B80" s="166" t="s">
        <v>1874</v>
      </c>
      <c r="D80" s="333" t="s">
        <v>2557</v>
      </c>
      <c r="E80" s="334"/>
      <c r="F80" s="334"/>
      <c r="G80" s="334"/>
      <c r="H80" s="334"/>
      <c r="I80" s="334"/>
      <c r="J80" s="334"/>
      <c r="K80" s="334"/>
      <c r="L80" s="334"/>
      <c r="M80" s="334"/>
      <c r="P80" s="334"/>
      <c r="Q80" s="334"/>
      <c r="R80" s="334"/>
      <c r="S80" s="334"/>
      <c r="T80" s="334"/>
      <c r="U80" s="334"/>
    </row>
    <row r="81" spans="3:16" x14ac:dyDescent="0.3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F36:H36"/>
    <mergeCell ref="C40:T40"/>
    <mergeCell ref="C43:T43"/>
    <mergeCell ref="C47:T47"/>
    <mergeCell ref="C51:T51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6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3" activePane="bottomLeft" state="frozen"/>
      <selection activeCell="C19" sqref="C19:T19"/>
      <selection pane="bottomLeft" activeCell="C19" sqref="C19:T19"/>
    </sheetView>
  </sheetViews>
  <sheetFormatPr baseColWidth="10" defaultColWidth="11.33203125" defaultRowHeight="12.75" x14ac:dyDescent="0.35"/>
  <cols>
    <col min="1" max="1" width="4.33203125" customWidth="1"/>
    <col min="2" max="2" width="18.06640625" customWidth="1"/>
    <col min="3" max="3" width="6.33203125" customWidth="1"/>
    <col min="4" max="21" width="5.73046875" customWidth="1"/>
    <col min="22" max="22" width="8.33203125" customWidth="1"/>
    <col min="23" max="23" width="6.73046875" customWidth="1"/>
    <col min="25" max="25" width="7.73046875" customWidth="1"/>
    <col min="26" max="26" width="2.73046875" customWidth="1"/>
    <col min="27" max="27" width="7.73046875" customWidth="1"/>
    <col min="28" max="28" width="2.73046875" customWidth="1"/>
  </cols>
  <sheetData>
    <row r="1" spans="1:29" ht="21" customHeight="1" x14ac:dyDescent="0.7">
      <c r="B1" s="44" t="s">
        <v>1813</v>
      </c>
      <c r="C1" s="45"/>
      <c r="D1" s="46" t="s">
        <v>1792</v>
      </c>
      <c r="E1" s="47"/>
      <c r="F1" s="359" t="str">
        <f>Schlüssel!$C$1</f>
        <v>Bayernliga Frauen</v>
      </c>
      <c r="G1" s="359"/>
      <c r="H1" s="359"/>
      <c r="I1" s="359"/>
      <c r="J1" s="359"/>
      <c r="K1" s="359"/>
      <c r="L1" s="359"/>
      <c r="M1" s="359"/>
      <c r="N1" s="359"/>
      <c r="O1" s="359"/>
      <c r="P1" s="45"/>
      <c r="Q1" s="45"/>
      <c r="R1" s="48"/>
      <c r="S1" s="49" t="s">
        <v>1794</v>
      </c>
      <c r="T1" s="50"/>
      <c r="U1" s="360" t="str">
        <f>Schlüssel!$AG$1</f>
        <v>02.11./03.11.</v>
      </c>
      <c r="V1" s="361"/>
      <c r="W1" s="362"/>
      <c r="AC1" s="51" t="s">
        <v>1836</v>
      </c>
    </row>
    <row r="2" spans="1:29" ht="17.25" customHeight="1" thickBot="1" x14ac:dyDescent="0.65">
      <c r="A2" s="52"/>
      <c r="B2" s="96">
        <v>1</v>
      </c>
      <c r="D2" s="46" t="s">
        <v>1793</v>
      </c>
      <c r="E2" s="54"/>
      <c r="F2" s="358" t="str">
        <f>Schlüssel!$W$2</f>
        <v>Regensburg Super Bowl</v>
      </c>
      <c r="G2" s="358"/>
      <c r="H2" s="358"/>
      <c r="I2" s="358"/>
      <c r="J2" s="358"/>
      <c r="K2" s="358"/>
      <c r="L2" s="358"/>
      <c r="M2" s="358"/>
      <c r="N2" s="358"/>
      <c r="O2" s="358"/>
      <c r="P2" s="55"/>
      <c r="Q2" s="55"/>
      <c r="S2" s="49" t="s">
        <v>1791</v>
      </c>
      <c r="T2" s="56">
        <v>2</v>
      </c>
      <c r="U2" s="50"/>
      <c r="V2" s="50"/>
      <c r="AC2" s="97">
        <v>3</v>
      </c>
    </row>
    <row r="3" spans="1:29" ht="15.75" customHeight="1" thickBot="1" x14ac:dyDescent="0.4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5" thickBot="1" x14ac:dyDescent="0.45">
      <c r="A4" s="2"/>
      <c r="B4" s="44"/>
      <c r="C4" s="63"/>
      <c r="D4" s="64" t="s">
        <v>10</v>
      </c>
      <c r="E4" s="44">
        <f>VLOOKUP(B2,Schlüssel!$A$5:$DZ$14,33)</f>
        <v>5</v>
      </c>
      <c r="F4" s="65" t="s">
        <v>10</v>
      </c>
      <c r="G4" s="44">
        <f>VLOOKUP(B2,Schlüssel!$A$5:$DZ$14,34)</f>
        <v>11</v>
      </c>
      <c r="H4" s="65" t="s">
        <v>10</v>
      </c>
      <c r="I4" s="44">
        <f>VLOOKUP(B2,Schlüssel!$A$5:$DZ$14,35)</f>
        <v>7</v>
      </c>
      <c r="J4" s="65" t="s">
        <v>10</v>
      </c>
      <c r="K4" s="44">
        <f>VLOOKUP(B2,Schlüssel!$A$5:$DZ$14,36)</f>
        <v>10</v>
      </c>
      <c r="L4" s="65" t="s">
        <v>10</v>
      </c>
      <c r="M4" s="44">
        <f>VLOOKUP(B2,Schlüssel!$A$5:$DZ$14,37)</f>
        <v>6</v>
      </c>
      <c r="N4" s="65" t="s">
        <v>10</v>
      </c>
      <c r="O4" s="44">
        <f>VLOOKUP(B2,Schlüssel!$A$5:$DZ$14,38)</f>
        <v>8</v>
      </c>
      <c r="P4" s="65" t="s">
        <v>10</v>
      </c>
      <c r="Q4" s="44">
        <f>VLOOKUP(B2,Schlüssel!$A$5:$DZ$14,39)</f>
        <v>12</v>
      </c>
      <c r="R4" s="65" t="s">
        <v>10</v>
      </c>
      <c r="S4" s="44">
        <f>VLOOKUP(B2,Schlüssel!$A$5:$DZ$14,40)</f>
        <v>9</v>
      </c>
      <c r="T4" s="65" t="s">
        <v>10</v>
      </c>
      <c r="U4" s="66">
        <f>VLOOKUP(B2,Schlüssel!$A$5:$DZ$14,41)</f>
        <v>4</v>
      </c>
    </row>
    <row r="5" spans="1:29" ht="20.25" customHeight="1" x14ac:dyDescent="0.35">
      <c r="B5" s="67" t="s">
        <v>1</v>
      </c>
      <c r="C5" s="68"/>
      <c r="D5" s="354" t="s">
        <v>1800</v>
      </c>
      <c r="E5" s="355"/>
      <c r="F5" s="354" t="s">
        <v>1801</v>
      </c>
      <c r="G5" s="355"/>
      <c r="H5" s="354" t="s">
        <v>1802</v>
      </c>
      <c r="I5" s="355"/>
      <c r="J5" s="354" t="s">
        <v>1803</v>
      </c>
      <c r="K5" s="355"/>
      <c r="L5" s="354" t="s">
        <v>1804</v>
      </c>
      <c r="M5" s="355"/>
      <c r="N5" s="354" t="s">
        <v>1805</v>
      </c>
      <c r="O5" s="355"/>
      <c r="P5" s="354" t="s">
        <v>1806</v>
      </c>
      <c r="Q5" s="355"/>
      <c r="R5" s="354" t="s">
        <v>1807</v>
      </c>
      <c r="S5" s="355"/>
      <c r="T5" s="354" t="s">
        <v>1808</v>
      </c>
      <c r="U5" s="355"/>
      <c r="V5" s="356" t="s">
        <v>1799</v>
      </c>
      <c r="W5" s="357"/>
    </row>
    <row r="6" spans="1:29" ht="15" customHeight="1" thickBot="1" x14ac:dyDescent="0.4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2" customHeight="1" x14ac:dyDescent="0.35">
      <c r="A7" s="351" t="s">
        <v>0</v>
      </c>
      <c r="B7" s="73"/>
      <c r="C7" s="74"/>
      <c r="D7" s="75"/>
      <c r="E7" s="348"/>
      <c r="F7" s="75"/>
      <c r="G7" s="348"/>
      <c r="H7" s="75"/>
      <c r="I7" s="348"/>
      <c r="J7" s="75"/>
      <c r="K7" s="348"/>
      <c r="L7" s="75"/>
      <c r="M7" s="348"/>
      <c r="N7" s="75"/>
      <c r="O7" s="348"/>
      <c r="P7" s="75"/>
      <c r="Q7" s="348"/>
      <c r="R7" s="75"/>
      <c r="S7" s="348"/>
      <c r="T7" s="75"/>
      <c r="U7" s="348"/>
      <c r="V7" s="75"/>
      <c r="W7" s="348"/>
    </row>
    <row r="8" spans="1:29" ht="17.2" customHeight="1" x14ac:dyDescent="0.35">
      <c r="A8" s="352"/>
      <c r="B8" s="76"/>
      <c r="C8" s="77"/>
      <c r="D8" s="78"/>
      <c r="E8" s="349"/>
      <c r="F8" s="78"/>
      <c r="G8" s="349"/>
      <c r="H8" s="78"/>
      <c r="I8" s="349"/>
      <c r="J8" s="78"/>
      <c r="K8" s="349"/>
      <c r="L8" s="78"/>
      <c r="M8" s="349"/>
      <c r="N8" s="78"/>
      <c r="O8" s="349"/>
      <c r="P8" s="78"/>
      <c r="Q8" s="349"/>
      <c r="R8" s="78"/>
      <c r="S8" s="349"/>
      <c r="T8" s="78"/>
      <c r="U8" s="349"/>
      <c r="V8" s="78"/>
      <c r="W8" s="349"/>
    </row>
    <row r="9" spans="1:29" ht="17.2" customHeight="1" thickBot="1" x14ac:dyDescent="0.4">
      <c r="A9" s="353"/>
      <c r="B9" s="79"/>
      <c r="C9" s="80"/>
      <c r="D9" s="69"/>
      <c r="E9" s="350"/>
      <c r="F9" s="69"/>
      <c r="G9" s="350"/>
      <c r="H9" s="69"/>
      <c r="I9" s="350"/>
      <c r="J9" s="69"/>
      <c r="K9" s="350"/>
      <c r="L9" s="69"/>
      <c r="M9" s="350"/>
      <c r="N9" s="69"/>
      <c r="O9" s="350"/>
      <c r="P9" s="69"/>
      <c r="Q9" s="350"/>
      <c r="R9" s="69"/>
      <c r="S9" s="350"/>
      <c r="T9" s="69"/>
      <c r="U9" s="350"/>
      <c r="V9" s="69"/>
      <c r="W9" s="350"/>
    </row>
    <row r="10" spans="1:29" ht="17.2" customHeight="1" x14ac:dyDescent="0.35">
      <c r="A10" s="351" t="s">
        <v>2</v>
      </c>
      <c r="B10" s="73"/>
      <c r="C10" s="74"/>
      <c r="D10" s="75"/>
      <c r="E10" s="348"/>
      <c r="F10" s="75"/>
      <c r="G10" s="348"/>
      <c r="H10" s="75"/>
      <c r="I10" s="348"/>
      <c r="J10" s="75"/>
      <c r="K10" s="348"/>
      <c r="L10" s="75"/>
      <c r="M10" s="348"/>
      <c r="N10" s="75"/>
      <c r="O10" s="348"/>
      <c r="P10" s="75"/>
      <c r="Q10" s="348"/>
      <c r="R10" s="75"/>
      <c r="S10" s="348"/>
      <c r="T10" s="75"/>
      <c r="U10" s="348"/>
      <c r="V10" s="75"/>
      <c r="W10" s="348"/>
    </row>
    <row r="11" spans="1:29" ht="17.2" customHeight="1" x14ac:dyDescent="0.35">
      <c r="A11" s="352"/>
      <c r="B11" s="76"/>
      <c r="C11" s="77"/>
      <c r="D11" s="78"/>
      <c r="E11" s="349"/>
      <c r="F11" s="78"/>
      <c r="G11" s="349"/>
      <c r="H11" s="78"/>
      <c r="I11" s="349"/>
      <c r="J11" s="78"/>
      <c r="K11" s="349"/>
      <c r="L11" s="78"/>
      <c r="M11" s="349"/>
      <c r="N11" s="78"/>
      <c r="O11" s="349"/>
      <c r="P11" s="78"/>
      <c r="Q11" s="349"/>
      <c r="R11" s="78"/>
      <c r="S11" s="349"/>
      <c r="T11" s="78"/>
      <c r="U11" s="349"/>
      <c r="V11" s="78"/>
      <c r="W11" s="349"/>
    </row>
    <row r="12" spans="1:29" ht="17.2" customHeight="1" thickBot="1" x14ac:dyDescent="0.4">
      <c r="A12" s="353"/>
      <c r="B12" s="79"/>
      <c r="C12" s="80"/>
      <c r="D12" s="69"/>
      <c r="E12" s="350"/>
      <c r="F12" s="69"/>
      <c r="G12" s="350"/>
      <c r="H12" s="69"/>
      <c r="I12" s="350"/>
      <c r="J12" s="69"/>
      <c r="K12" s="350"/>
      <c r="L12" s="69"/>
      <c r="M12" s="350"/>
      <c r="N12" s="69"/>
      <c r="O12" s="350"/>
      <c r="P12" s="69"/>
      <c r="Q12" s="350"/>
      <c r="R12" s="69"/>
      <c r="S12" s="350"/>
      <c r="T12" s="69"/>
      <c r="U12" s="350"/>
      <c r="V12" s="69"/>
      <c r="W12" s="350"/>
    </row>
    <row r="13" spans="1:29" ht="17.2" customHeight="1" x14ac:dyDescent="0.35">
      <c r="A13" s="351" t="s">
        <v>3</v>
      </c>
      <c r="B13" s="73"/>
      <c r="C13" s="74"/>
      <c r="D13" s="75"/>
      <c r="E13" s="348"/>
      <c r="F13" s="75"/>
      <c r="G13" s="348"/>
      <c r="H13" s="75"/>
      <c r="I13" s="348"/>
      <c r="J13" s="75"/>
      <c r="K13" s="348"/>
      <c r="L13" s="75"/>
      <c r="M13" s="348"/>
      <c r="N13" s="75"/>
      <c r="O13" s="348"/>
      <c r="P13" s="75"/>
      <c r="Q13" s="348"/>
      <c r="R13" s="75"/>
      <c r="S13" s="348"/>
      <c r="T13" s="75"/>
      <c r="U13" s="348"/>
      <c r="V13" s="75"/>
      <c r="W13" s="348"/>
    </row>
    <row r="14" spans="1:29" ht="17.2" customHeight="1" x14ac:dyDescent="0.35">
      <c r="A14" s="352"/>
      <c r="B14" s="76"/>
      <c r="C14" s="77"/>
      <c r="D14" s="78"/>
      <c r="E14" s="349"/>
      <c r="F14" s="78"/>
      <c r="G14" s="349"/>
      <c r="H14" s="78"/>
      <c r="I14" s="349"/>
      <c r="J14" s="78"/>
      <c r="K14" s="349"/>
      <c r="L14" s="78"/>
      <c r="M14" s="349"/>
      <c r="N14" s="78"/>
      <c r="O14" s="349"/>
      <c r="P14" s="78"/>
      <c r="Q14" s="349"/>
      <c r="R14" s="78"/>
      <c r="S14" s="349"/>
      <c r="T14" s="78"/>
      <c r="U14" s="349"/>
      <c r="V14" s="78"/>
      <c r="W14" s="349"/>
    </row>
    <row r="15" spans="1:29" ht="17.2" customHeight="1" thickBot="1" x14ac:dyDescent="0.4">
      <c r="A15" s="353"/>
      <c r="B15" s="79"/>
      <c r="C15" s="80"/>
      <c r="D15" s="69"/>
      <c r="E15" s="350"/>
      <c r="F15" s="69"/>
      <c r="G15" s="350"/>
      <c r="H15" s="69"/>
      <c r="I15" s="350"/>
      <c r="J15" s="69"/>
      <c r="K15" s="350"/>
      <c r="L15" s="69"/>
      <c r="M15" s="350"/>
      <c r="N15" s="69"/>
      <c r="O15" s="350"/>
      <c r="P15" s="69"/>
      <c r="Q15" s="350"/>
      <c r="R15" s="69"/>
      <c r="S15" s="350"/>
      <c r="T15" s="69"/>
      <c r="U15" s="350"/>
      <c r="V15" s="69"/>
      <c r="W15" s="350"/>
    </row>
    <row r="16" spans="1:29" ht="17.2" customHeight="1" x14ac:dyDescent="0.35">
      <c r="A16" s="351" t="s">
        <v>11</v>
      </c>
      <c r="B16" s="73"/>
      <c r="C16" s="74"/>
      <c r="D16" s="75"/>
      <c r="E16" s="348"/>
      <c r="F16" s="75"/>
      <c r="G16" s="348"/>
      <c r="H16" s="75"/>
      <c r="I16" s="348"/>
      <c r="J16" s="75"/>
      <c r="K16" s="348"/>
      <c r="L16" s="75"/>
      <c r="M16" s="348"/>
      <c r="N16" s="75"/>
      <c r="O16" s="348"/>
      <c r="P16" s="75"/>
      <c r="Q16" s="348"/>
      <c r="R16" s="75"/>
      <c r="S16" s="348"/>
      <c r="T16" s="75"/>
      <c r="U16" s="348"/>
      <c r="V16" s="75"/>
      <c r="W16" s="348"/>
    </row>
    <row r="17" spans="1:29" ht="17.2" customHeight="1" x14ac:dyDescent="0.35">
      <c r="A17" s="352"/>
      <c r="B17" s="76"/>
      <c r="C17" s="77"/>
      <c r="D17" s="78"/>
      <c r="E17" s="349"/>
      <c r="F17" s="78"/>
      <c r="G17" s="349"/>
      <c r="H17" s="78"/>
      <c r="I17" s="349"/>
      <c r="J17" s="78"/>
      <c r="K17" s="349"/>
      <c r="L17" s="78"/>
      <c r="M17" s="349"/>
      <c r="N17" s="78"/>
      <c r="O17" s="349"/>
      <c r="P17" s="78"/>
      <c r="Q17" s="349"/>
      <c r="R17" s="78"/>
      <c r="S17" s="349"/>
      <c r="T17" s="78"/>
      <c r="U17" s="349"/>
      <c r="V17" s="78"/>
      <c r="W17" s="349"/>
    </row>
    <row r="18" spans="1:29" ht="17.2" customHeight="1" thickBot="1" x14ac:dyDescent="0.4">
      <c r="A18" s="353"/>
      <c r="B18" s="79"/>
      <c r="C18" s="80"/>
      <c r="D18" s="69"/>
      <c r="E18" s="350"/>
      <c r="F18" s="69"/>
      <c r="G18" s="350"/>
      <c r="H18" s="69"/>
      <c r="I18" s="350"/>
      <c r="J18" s="69"/>
      <c r="K18" s="350"/>
      <c r="L18" s="69"/>
      <c r="M18" s="350"/>
      <c r="N18" s="69"/>
      <c r="O18" s="350"/>
      <c r="P18" s="69"/>
      <c r="Q18" s="350"/>
      <c r="R18" s="69"/>
      <c r="S18" s="350"/>
      <c r="T18" s="69"/>
      <c r="U18" s="350"/>
      <c r="V18" s="69"/>
      <c r="W18" s="350"/>
    </row>
    <row r="19" spans="1:29" ht="27.75" customHeight="1" thickBot="1" x14ac:dyDescent="0.4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4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3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35">
      <c r="B22" s="88" t="s">
        <v>1797</v>
      </c>
      <c r="C22" s="89" t="s">
        <v>1798</v>
      </c>
      <c r="D22" s="346">
        <f>VLOOKUP(B2,Schlüssel!$A$5:$DZ$14,23)</f>
        <v>8</v>
      </c>
      <c r="E22" s="346"/>
      <c r="F22" s="346">
        <f>VLOOKUP(B2,Schlüssel!$A$5:$DZ$14,24)</f>
        <v>2</v>
      </c>
      <c r="G22" s="346"/>
      <c r="H22" s="346">
        <f>VLOOKUP(B2,Schlüssel!$A$5:$DZ$14,25)</f>
        <v>4</v>
      </c>
      <c r="I22" s="346"/>
      <c r="J22" s="346">
        <f>VLOOKUP(B2,Schlüssel!$A$5:$DZ$14,26)</f>
        <v>7</v>
      </c>
      <c r="K22" s="346"/>
      <c r="L22" s="346">
        <f>VLOOKUP(B2,Schlüssel!$A$5:$DZ$14,27)</f>
        <v>10</v>
      </c>
      <c r="M22" s="346"/>
      <c r="N22" s="346">
        <f>VLOOKUP(B2,Schlüssel!$A$5:$DZ$14,28)</f>
        <v>5</v>
      </c>
      <c r="O22" s="346"/>
      <c r="P22" s="346">
        <f>VLOOKUP(B2,Schlüssel!$A$5:$DZ$14,29)</f>
        <v>6</v>
      </c>
      <c r="Q22" s="346"/>
      <c r="R22" s="346">
        <f>VLOOKUP(B2,Schlüssel!$A$5:$DZ$14,30)</f>
        <v>9</v>
      </c>
      <c r="S22" s="346"/>
      <c r="T22" s="346">
        <f>VLOOKUP(B2,Schlüssel!$A$5:$DZ$14,31)</f>
        <v>3</v>
      </c>
      <c r="U22" s="346"/>
      <c r="V22" s="347"/>
      <c r="W22" s="347"/>
    </row>
    <row r="23" spans="1:29" ht="28.5" customHeight="1" x14ac:dyDescent="0.35">
      <c r="B23" s="90"/>
      <c r="C23" s="86"/>
      <c r="D23" s="343" t="str">
        <f>VLOOKUP(D22,Schlüssel!$A$5:$K$14,2)</f>
        <v>EPA München 1</v>
      </c>
      <c r="E23" s="344"/>
      <c r="F23" s="343" t="str">
        <f>VLOOKUP(F22,Schlüssel!$A$5:$K$14,2)</f>
        <v>BK München 2</v>
      </c>
      <c r="G23" s="344"/>
      <c r="H23" s="343" t="str">
        <f>VLOOKUP(H22,Schlüssel!$A$5:$K$14,2)</f>
        <v>BK München 3</v>
      </c>
      <c r="I23" s="344"/>
      <c r="J23" s="343" t="str">
        <f>VLOOKUP(J22,Schlüssel!$A$5:$K$14,2)</f>
        <v>Frankenpower Nürnberg</v>
      </c>
      <c r="K23" s="344"/>
      <c r="L23" s="343" t="str">
        <f>VLOOKUP(L22,Schlüssel!$A$5:$K$14,2)</f>
        <v>BK München 4</v>
      </c>
      <c r="M23" s="344"/>
      <c r="N23" s="343" t="str">
        <f>VLOOKUP(N22,Schlüssel!$A$5:$K$14,2)</f>
        <v xml:space="preserve">Weiß Blau Unterföhring </v>
      </c>
      <c r="O23" s="344"/>
      <c r="P23" s="343" t="str">
        <f>VLOOKUP(P22,Schlüssel!$A$5:$K$14,2)</f>
        <v>Phönix 03 Lauf</v>
      </c>
      <c r="Q23" s="344"/>
      <c r="R23" s="343" t="str">
        <f>VLOOKUP(R22,Schlüssel!$A$5:$K$14,2)</f>
        <v>RW Lichtenhof 69 Stein 2</v>
      </c>
      <c r="S23" s="344"/>
      <c r="T23" s="343" t="str">
        <f>VLOOKUP(T22,Schlüssel!$A$5:$K$14,2)</f>
        <v>Highroller Rosenheim</v>
      </c>
      <c r="U23" s="344"/>
      <c r="V23" s="345"/>
      <c r="W23" s="345"/>
    </row>
    <row r="24" spans="1:29" ht="12" customHeight="1" x14ac:dyDescent="0.35">
      <c r="B24" s="90"/>
      <c r="C24" s="86"/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2"/>
      <c r="V24" s="301"/>
      <c r="W24" s="301"/>
    </row>
    <row r="25" spans="1:29" ht="16.05" customHeight="1" x14ac:dyDescent="0.35">
      <c r="B25" s="91" t="s">
        <v>0</v>
      </c>
      <c r="C25" s="92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40"/>
      <c r="W25" s="340"/>
    </row>
    <row r="26" spans="1:29" ht="16.05" customHeight="1" x14ac:dyDescent="0.35">
      <c r="B26" s="91" t="s">
        <v>2</v>
      </c>
      <c r="C26" s="92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40"/>
      <c r="W26" s="340"/>
    </row>
    <row r="27" spans="1:29" ht="16.05" customHeight="1" x14ac:dyDescent="0.35">
      <c r="B27" s="91" t="s">
        <v>3</v>
      </c>
      <c r="C27" s="92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40"/>
      <c r="W27" s="340"/>
    </row>
    <row r="28" spans="1:29" ht="16.05" customHeight="1" x14ac:dyDescent="0.35">
      <c r="B28" s="91" t="s">
        <v>11</v>
      </c>
      <c r="C28" s="92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40"/>
      <c r="W28" s="340"/>
    </row>
    <row r="29" spans="1:29" ht="16.05" customHeight="1" x14ac:dyDescent="0.35">
      <c r="B29" s="93" t="s">
        <v>1799</v>
      </c>
      <c r="C29" s="94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290"/>
      <c r="W29" s="290"/>
    </row>
    <row r="30" spans="1:29" ht="21" customHeight="1" x14ac:dyDescent="0.7">
      <c r="B30" s="44" t="s">
        <v>1813</v>
      </c>
      <c r="C30" s="45"/>
      <c r="D30" s="46" t="s">
        <v>1792</v>
      </c>
      <c r="E30" s="47"/>
      <c r="F30" s="359" t="str">
        <f>Schlüssel!$C$1</f>
        <v>Bayernliga Frauen</v>
      </c>
      <c r="G30" s="359"/>
      <c r="H30" s="359"/>
      <c r="I30" s="359"/>
      <c r="J30" s="359"/>
      <c r="K30" s="359"/>
      <c r="L30" s="359"/>
      <c r="M30" s="359"/>
      <c r="N30" s="359"/>
      <c r="O30" s="359"/>
      <c r="P30" s="45"/>
      <c r="Q30" s="45"/>
      <c r="R30" s="48"/>
      <c r="S30" s="49" t="s">
        <v>1794</v>
      </c>
      <c r="T30" s="50"/>
      <c r="U30" s="360" t="str">
        <f>Schlüssel!$AG$1</f>
        <v>02.11./03.11.</v>
      </c>
      <c r="V30" s="361"/>
      <c r="W30" s="362"/>
      <c r="AC30" s="51"/>
    </row>
    <row r="31" spans="1:29" ht="17.25" customHeight="1" thickBot="1" x14ac:dyDescent="0.65">
      <c r="A31" s="52"/>
      <c r="B31" s="96">
        <f>+B2+1</f>
        <v>2</v>
      </c>
      <c r="D31" s="46" t="s">
        <v>1793</v>
      </c>
      <c r="E31" s="54"/>
      <c r="F31" s="358" t="str">
        <f>Schlüssel!$W$2</f>
        <v>Regensburg Super Bowl</v>
      </c>
      <c r="G31" s="358"/>
      <c r="H31" s="358"/>
      <c r="I31" s="358"/>
      <c r="J31" s="358"/>
      <c r="K31" s="358"/>
      <c r="L31" s="358"/>
      <c r="M31" s="358"/>
      <c r="N31" s="358"/>
      <c r="O31" s="358"/>
      <c r="P31" s="55"/>
      <c r="Q31" s="55"/>
      <c r="S31" s="49" t="s">
        <v>1791</v>
      </c>
      <c r="T31" s="56">
        <v>2</v>
      </c>
      <c r="U31" s="50"/>
      <c r="V31" s="50"/>
      <c r="AC31" s="97"/>
    </row>
    <row r="32" spans="1:29" ht="15.75" customHeight="1" thickBot="1" x14ac:dyDescent="0.4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5" thickBot="1" x14ac:dyDescent="0.45">
      <c r="A33" s="2"/>
      <c r="B33" s="44"/>
      <c r="C33" s="63"/>
      <c r="D33" s="64" t="s">
        <v>10</v>
      </c>
      <c r="E33" s="44">
        <f>VLOOKUP(B31,Schlüssel!$A$5:$DZ$14,33)</f>
        <v>10</v>
      </c>
      <c r="F33" s="65" t="s">
        <v>10</v>
      </c>
      <c r="G33" s="44">
        <f>VLOOKUP(B31,Schlüssel!$A$5:$DZ$14,34)</f>
        <v>12</v>
      </c>
      <c r="H33" s="65" t="s">
        <v>10</v>
      </c>
      <c r="I33" s="44">
        <f>VLOOKUP(B31,Schlüssel!$A$5:$DZ$14,35)</f>
        <v>4</v>
      </c>
      <c r="J33" s="65" t="s">
        <v>10</v>
      </c>
      <c r="K33" s="44">
        <f>VLOOKUP(B31,Schlüssel!$A$5:$DZ$14,36)</f>
        <v>5</v>
      </c>
      <c r="L33" s="65" t="s">
        <v>10</v>
      </c>
      <c r="M33" s="44">
        <f>VLOOKUP(B31,Schlüssel!$A$5:$DZ$14,37)</f>
        <v>11</v>
      </c>
      <c r="N33" s="65" t="s">
        <v>10</v>
      </c>
      <c r="O33" s="44">
        <f>VLOOKUP(B31,Schlüssel!$A$5:$DZ$14,38)</f>
        <v>9</v>
      </c>
      <c r="P33" s="65" t="s">
        <v>10</v>
      </c>
      <c r="Q33" s="44">
        <f>VLOOKUP(B31,Schlüssel!$A$5:$DZ$14,39)</f>
        <v>3</v>
      </c>
      <c r="R33" s="65" t="s">
        <v>10</v>
      </c>
      <c r="S33" s="44">
        <f>VLOOKUP(B31,Schlüssel!$A$5:$DZ$14,40)</f>
        <v>8</v>
      </c>
      <c r="T33" s="65" t="s">
        <v>10</v>
      </c>
      <c r="U33" s="66">
        <f>VLOOKUP(B31,Schlüssel!$A$5:$DZ$14,41)</f>
        <v>6</v>
      </c>
    </row>
    <row r="34" spans="1:23" ht="20.25" customHeight="1" x14ac:dyDescent="0.35">
      <c r="B34" s="67" t="s">
        <v>1</v>
      </c>
      <c r="C34" s="68"/>
      <c r="D34" s="354" t="s">
        <v>1800</v>
      </c>
      <c r="E34" s="355"/>
      <c r="F34" s="354" t="s">
        <v>1801</v>
      </c>
      <c r="G34" s="355"/>
      <c r="H34" s="354" t="s">
        <v>1802</v>
      </c>
      <c r="I34" s="355"/>
      <c r="J34" s="354" t="s">
        <v>1803</v>
      </c>
      <c r="K34" s="355"/>
      <c r="L34" s="354" t="s">
        <v>1804</v>
      </c>
      <c r="M34" s="355"/>
      <c r="N34" s="354" t="s">
        <v>1805</v>
      </c>
      <c r="O34" s="355"/>
      <c r="P34" s="354" t="s">
        <v>1806</v>
      </c>
      <c r="Q34" s="355"/>
      <c r="R34" s="354" t="s">
        <v>1807</v>
      </c>
      <c r="S34" s="355"/>
      <c r="T34" s="354" t="s">
        <v>1808</v>
      </c>
      <c r="U34" s="355"/>
      <c r="V34" s="356" t="s">
        <v>1799</v>
      </c>
      <c r="W34" s="357"/>
    </row>
    <row r="35" spans="1:23" ht="15" customHeight="1" thickBot="1" x14ac:dyDescent="0.4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2" customHeight="1" x14ac:dyDescent="0.35">
      <c r="A36" s="351" t="s">
        <v>0</v>
      </c>
      <c r="B36" s="73"/>
      <c r="C36" s="74"/>
      <c r="D36" s="75"/>
      <c r="E36" s="348"/>
      <c r="F36" s="75"/>
      <c r="G36" s="348"/>
      <c r="H36" s="75"/>
      <c r="I36" s="348"/>
      <c r="J36" s="75"/>
      <c r="K36" s="348"/>
      <c r="L36" s="75"/>
      <c r="M36" s="348"/>
      <c r="N36" s="75"/>
      <c r="O36" s="348"/>
      <c r="P36" s="75"/>
      <c r="Q36" s="348"/>
      <c r="R36" s="75"/>
      <c r="S36" s="348"/>
      <c r="T36" s="75"/>
      <c r="U36" s="348"/>
      <c r="V36" s="75"/>
      <c r="W36" s="348"/>
    </row>
    <row r="37" spans="1:23" ht="17.2" customHeight="1" x14ac:dyDescent="0.35">
      <c r="A37" s="352"/>
      <c r="B37" s="76"/>
      <c r="C37" s="77"/>
      <c r="D37" s="78"/>
      <c r="E37" s="349"/>
      <c r="F37" s="78"/>
      <c r="G37" s="349"/>
      <c r="H37" s="78"/>
      <c r="I37" s="349"/>
      <c r="J37" s="78"/>
      <c r="K37" s="349"/>
      <c r="L37" s="78"/>
      <c r="M37" s="349"/>
      <c r="N37" s="78"/>
      <c r="O37" s="349"/>
      <c r="P37" s="78"/>
      <c r="Q37" s="349"/>
      <c r="R37" s="78"/>
      <c r="S37" s="349"/>
      <c r="T37" s="78"/>
      <c r="U37" s="349"/>
      <c r="V37" s="78"/>
      <c r="W37" s="349"/>
    </row>
    <row r="38" spans="1:23" ht="17.2" customHeight="1" thickBot="1" x14ac:dyDescent="0.4">
      <c r="A38" s="353"/>
      <c r="B38" s="79"/>
      <c r="C38" s="80"/>
      <c r="D38" s="69"/>
      <c r="E38" s="350"/>
      <c r="F38" s="69"/>
      <c r="G38" s="350"/>
      <c r="H38" s="69"/>
      <c r="I38" s="350"/>
      <c r="J38" s="69"/>
      <c r="K38" s="350"/>
      <c r="L38" s="69"/>
      <c r="M38" s="350"/>
      <c r="N38" s="69"/>
      <c r="O38" s="350"/>
      <c r="P38" s="69"/>
      <c r="Q38" s="350"/>
      <c r="R38" s="69"/>
      <c r="S38" s="350"/>
      <c r="T38" s="69"/>
      <c r="U38" s="350"/>
      <c r="V38" s="69"/>
      <c r="W38" s="350"/>
    </row>
    <row r="39" spans="1:23" ht="17.2" customHeight="1" x14ac:dyDescent="0.35">
      <c r="A39" s="351" t="s">
        <v>2</v>
      </c>
      <c r="B39" s="73"/>
      <c r="C39" s="74"/>
      <c r="D39" s="75"/>
      <c r="E39" s="348"/>
      <c r="F39" s="75"/>
      <c r="G39" s="348"/>
      <c r="H39" s="75"/>
      <c r="I39" s="348"/>
      <c r="J39" s="75"/>
      <c r="K39" s="348"/>
      <c r="L39" s="75"/>
      <c r="M39" s="348"/>
      <c r="N39" s="75"/>
      <c r="O39" s="348"/>
      <c r="P39" s="75"/>
      <c r="Q39" s="348"/>
      <c r="R39" s="75"/>
      <c r="S39" s="348"/>
      <c r="T39" s="75"/>
      <c r="U39" s="348"/>
      <c r="V39" s="75"/>
      <c r="W39" s="348"/>
    </row>
    <row r="40" spans="1:23" ht="17.2" customHeight="1" x14ac:dyDescent="0.35">
      <c r="A40" s="352"/>
      <c r="B40" s="76"/>
      <c r="C40" s="77"/>
      <c r="D40" s="78"/>
      <c r="E40" s="349"/>
      <c r="F40" s="78"/>
      <c r="G40" s="349"/>
      <c r="H40" s="78"/>
      <c r="I40" s="349"/>
      <c r="J40" s="78"/>
      <c r="K40" s="349"/>
      <c r="L40" s="78"/>
      <c r="M40" s="349"/>
      <c r="N40" s="78"/>
      <c r="O40" s="349"/>
      <c r="P40" s="78"/>
      <c r="Q40" s="349"/>
      <c r="R40" s="78"/>
      <c r="S40" s="349"/>
      <c r="T40" s="78"/>
      <c r="U40" s="349"/>
      <c r="V40" s="78"/>
      <c r="W40" s="349"/>
    </row>
    <row r="41" spans="1:23" ht="17.2" customHeight="1" thickBot="1" x14ac:dyDescent="0.4">
      <c r="A41" s="353"/>
      <c r="B41" s="79"/>
      <c r="C41" s="80"/>
      <c r="D41" s="69"/>
      <c r="E41" s="350"/>
      <c r="F41" s="69"/>
      <c r="G41" s="350"/>
      <c r="H41" s="69"/>
      <c r="I41" s="350"/>
      <c r="J41" s="69"/>
      <c r="K41" s="350"/>
      <c r="L41" s="69"/>
      <c r="M41" s="350"/>
      <c r="N41" s="69"/>
      <c r="O41" s="350"/>
      <c r="P41" s="69"/>
      <c r="Q41" s="350"/>
      <c r="R41" s="69"/>
      <c r="S41" s="350"/>
      <c r="T41" s="69"/>
      <c r="U41" s="350"/>
      <c r="V41" s="69"/>
      <c r="W41" s="350"/>
    </row>
    <row r="42" spans="1:23" ht="17.2" customHeight="1" x14ac:dyDescent="0.35">
      <c r="A42" s="351" t="s">
        <v>3</v>
      </c>
      <c r="B42" s="73"/>
      <c r="C42" s="74"/>
      <c r="D42" s="75"/>
      <c r="E42" s="348"/>
      <c r="F42" s="75"/>
      <c r="G42" s="348"/>
      <c r="H42" s="75"/>
      <c r="I42" s="348"/>
      <c r="J42" s="75"/>
      <c r="K42" s="348"/>
      <c r="L42" s="75"/>
      <c r="M42" s="348"/>
      <c r="N42" s="75"/>
      <c r="O42" s="348"/>
      <c r="P42" s="75"/>
      <c r="Q42" s="348"/>
      <c r="R42" s="75"/>
      <c r="S42" s="348"/>
      <c r="T42" s="75"/>
      <c r="U42" s="348"/>
      <c r="V42" s="75"/>
      <c r="W42" s="348"/>
    </row>
    <row r="43" spans="1:23" ht="17.2" customHeight="1" x14ac:dyDescent="0.35">
      <c r="A43" s="352"/>
      <c r="B43" s="76"/>
      <c r="C43" s="77"/>
      <c r="D43" s="78"/>
      <c r="E43" s="349"/>
      <c r="F43" s="78"/>
      <c r="G43" s="349"/>
      <c r="H43" s="78"/>
      <c r="I43" s="349"/>
      <c r="J43" s="78"/>
      <c r="K43" s="349"/>
      <c r="L43" s="78"/>
      <c r="M43" s="349"/>
      <c r="N43" s="78"/>
      <c r="O43" s="349"/>
      <c r="P43" s="78"/>
      <c r="Q43" s="349"/>
      <c r="R43" s="78"/>
      <c r="S43" s="349"/>
      <c r="T43" s="78"/>
      <c r="U43" s="349"/>
      <c r="V43" s="78"/>
      <c r="W43" s="349"/>
    </row>
    <row r="44" spans="1:23" ht="17.2" customHeight="1" thickBot="1" x14ac:dyDescent="0.4">
      <c r="A44" s="353"/>
      <c r="B44" s="79"/>
      <c r="C44" s="80"/>
      <c r="D44" s="69"/>
      <c r="E44" s="350"/>
      <c r="F44" s="69"/>
      <c r="G44" s="350"/>
      <c r="H44" s="69"/>
      <c r="I44" s="350"/>
      <c r="J44" s="69"/>
      <c r="K44" s="350"/>
      <c r="L44" s="69"/>
      <c r="M44" s="350"/>
      <c r="N44" s="69"/>
      <c r="O44" s="350"/>
      <c r="P44" s="69"/>
      <c r="Q44" s="350"/>
      <c r="R44" s="69"/>
      <c r="S44" s="350"/>
      <c r="T44" s="69"/>
      <c r="U44" s="350"/>
      <c r="V44" s="69"/>
      <c r="W44" s="350"/>
    </row>
    <row r="45" spans="1:23" ht="17.2" customHeight="1" x14ac:dyDescent="0.35">
      <c r="A45" s="351" t="s">
        <v>11</v>
      </c>
      <c r="B45" s="73"/>
      <c r="C45" s="74"/>
      <c r="D45" s="75"/>
      <c r="E45" s="348"/>
      <c r="F45" s="75"/>
      <c r="G45" s="348"/>
      <c r="H45" s="75"/>
      <c r="I45" s="348"/>
      <c r="J45" s="75"/>
      <c r="K45" s="348"/>
      <c r="L45" s="75"/>
      <c r="M45" s="348"/>
      <c r="N45" s="75"/>
      <c r="O45" s="348"/>
      <c r="P45" s="75"/>
      <c r="Q45" s="348"/>
      <c r="R45" s="75"/>
      <c r="S45" s="348"/>
      <c r="T45" s="75"/>
      <c r="U45" s="348"/>
      <c r="V45" s="75"/>
      <c r="W45" s="348"/>
    </row>
    <row r="46" spans="1:23" ht="17.2" customHeight="1" x14ac:dyDescent="0.35">
      <c r="A46" s="352"/>
      <c r="B46" s="76"/>
      <c r="C46" s="77"/>
      <c r="D46" s="78"/>
      <c r="E46" s="349"/>
      <c r="F46" s="78"/>
      <c r="G46" s="349"/>
      <c r="H46" s="78"/>
      <c r="I46" s="349"/>
      <c r="J46" s="78"/>
      <c r="K46" s="349"/>
      <c r="L46" s="78"/>
      <c r="M46" s="349"/>
      <c r="N46" s="78"/>
      <c r="O46" s="349"/>
      <c r="P46" s="78"/>
      <c r="Q46" s="349"/>
      <c r="R46" s="78"/>
      <c r="S46" s="349"/>
      <c r="T46" s="78"/>
      <c r="U46" s="349"/>
      <c r="V46" s="78"/>
      <c r="W46" s="349"/>
    </row>
    <row r="47" spans="1:23" ht="17.2" customHeight="1" thickBot="1" x14ac:dyDescent="0.4">
      <c r="A47" s="353"/>
      <c r="B47" s="79"/>
      <c r="C47" s="80"/>
      <c r="D47" s="69"/>
      <c r="E47" s="350"/>
      <c r="F47" s="69"/>
      <c r="G47" s="350"/>
      <c r="H47" s="69"/>
      <c r="I47" s="350"/>
      <c r="J47" s="69"/>
      <c r="K47" s="350"/>
      <c r="L47" s="69"/>
      <c r="M47" s="350"/>
      <c r="N47" s="69"/>
      <c r="O47" s="350"/>
      <c r="P47" s="69"/>
      <c r="Q47" s="350"/>
      <c r="R47" s="69"/>
      <c r="S47" s="350"/>
      <c r="T47" s="69"/>
      <c r="U47" s="350"/>
      <c r="V47" s="69"/>
      <c r="W47" s="350"/>
    </row>
    <row r="48" spans="1:23" ht="27.75" customHeight="1" thickBot="1" x14ac:dyDescent="0.4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4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3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35">
      <c r="B51" s="88" t="s">
        <v>1797</v>
      </c>
      <c r="C51" s="89" t="s">
        <v>1798</v>
      </c>
      <c r="D51" s="346">
        <f>VLOOKUP(B31,Schlüssel!$A$5:$DZ$14,23)</f>
        <v>9</v>
      </c>
      <c r="E51" s="346"/>
      <c r="F51" s="346">
        <f>VLOOKUP(B31,Schlüssel!$A$5:$DZ$14,24)</f>
        <v>1</v>
      </c>
      <c r="G51" s="346"/>
      <c r="H51" s="346">
        <f>VLOOKUP(B31,Schlüssel!$A$5:$DZ$14,25)</f>
        <v>10</v>
      </c>
      <c r="I51" s="346"/>
      <c r="J51" s="346">
        <f>VLOOKUP(B31,Schlüssel!$A$5:$DZ$14,26)</f>
        <v>5</v>
      </c>
      <c r="K51" s="346"/>
      <c r="L51" s="346">
        <f>VLOOKUP(B31,Schlüssel!$A$5:$DZ$14,27)</f>
        <v>3</v>
      </c>
      <c r="M51" s="346"/>
      <c r="N51" s="346">
        <f>VLOOKUP(B31,Schlüssel!$A$5:$DZ$14,28)</f>
        <v>7</v>
      </c>
      <c r="O51" s="346"/>
      <c r="P51" s="346">
        <f>VLOOKUP(B31,Schlüssel!$A$5:$DZ$14,29)</f>
        <v>8</v>
      </c>
      <c r="Q51" s="346"/>
      <c r="R51" s="346">
        <f>VLOOKUP(B31,Schlüssel!$A$5:$DZ$14,30)</f>
        <v>4</v>
      </c>
      <c r="S51" s="346"/>
      <c r="T51" s="346">
        <f>VLOOKUP(B31,Schlüssel!$A$5:$DZ$14,31)</f>
        <v>6</v>
      </c>
      <c r="U51" s="346"/>
      <c r="V51" s="347"/>
      <c r="W51" s="347"/>
    </row>
    <row r="52" spans="1:29" ht="28.5" customHeight="1" x14ac:dyDescent="0.35">
      <c r="B52" s="90"/>
      <c r="C52" s="86"/>
      <c r="D52" s="343" t="str">
        <f>VLOOKUP(D51,Schlüssel!$A$5:$K$14,2)</f>
        <v>RW Lichtenhof 69 Stein 2</v>
      </c>
      <c r="E52" s="344"/>
      <c r="F52" s="343" t="str">
        <f>VLOOKUP(F51,Schlüssel!$A$5:$K$14,2)</f>
        <v>Praetoria Regensburg</v>
      </c>
      <c r="G52" s="344"/>
      <c r="H52" s="343" t="str">
        <f>VLOOKUP(H51,Schlüssel!$A$5:$K$14,2)</f>
        <v>BK München 4</v>
      </c>
      <c r="I52" s="344"/>
      <c r="J52" s="343" t="str">
        <f>VLOOKUP(J51,Schlüssel!$A$5:$K$14,2)</f>
        <v xml:space="preserve">Weiß Blau Unterföhring </v>
      </c>
      <c r="K52" s="344"/>
      <c r="L52" s="343" t="str">
        <f>VLOOKUP(L51,Schlüssel!$A$5:$K$14,2)</f>
        <v>Highroller Rosenheim</v>
      </c>
      <c r="M52" s="344"/>
      <c r="N52" s="343" t="str">
        <f>VLOOKUP(N51,Schlüssel!$A$5:$K$14,2)</f>
        <v>Frankenpower Nürnberg</v>
      </c>
      <c r="O52" s="344"/>
      <c r="P52" s="343" t="str">
        <f>VLOOKUP(P51,Schlüssel!$A$5:$K$14,2)</f>
        <v>EPA München 1</v>
      </c>
      <c r="Q52" s="344"/>
      <c r="R52" s="343" t="str">
        <f>VLOOKUP(R51,Schlüssel!$A$5:$K$14,2)</f>
        <v>BK München 3</v>
      </c>
      <c r="S52" s="344"/>
      <c r="T52" s="343" t="str">
        <f>VLOOKUP(T51,Schlüssel!$A$5:$K$14,2)</f>
        <v>Phönix 03 Lauf</v>
      </c>
      <c r="U52" s="344"/>
      <c r="V52" s="345"/>
      <c r="W52" s="345"/>
    </row>
    <row r="53" spans="1:29" ht="12" customHeight="1" x14ac:dyDescent="0.35">
      <c r="B53" s="90"/>
      <c r="C53" s="86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2"/>
      <c r="V53" s="301"/>
      <c r="W53" s="301"/>
    </row>
    <row r="54" spans="1:29" ht="16.05" customHeight="1" x14ac:dyDescent="0.35">
      <c r="B54" s="91" t="s">
        <v>0</v>
      </c>
      <c r="C54" s="92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40"/>
      <c r="W54" s="340"/>
    </row>
    <row r="55" spans="1:29" ht="16.05" customHeight="1" x14ac:dyDescent="0.35">
      <c r="B55" s="91" t="s">
        <v>2</v>
      </c>
      <c r="C55" s="92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40"/>
      <c r="W55" s="340"/>
    </row>
    <row r="56" spans="1:29" ht="16.05" customHeight="1" x14ac:dyDescent="0.35">
      <c r="B56" s="91" t="s">
        <v>3</v>
      </c>
      <c r="C56" s="92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  <c r="S56" s="339"/>
      <c r="T56" s="339"/>
      <c r="U56" s="339"/>
      <c r="V56" s="340"/>
      <c r="W56" s="340"/>
    </row>
    <row r="57" spans="1:29" ht="16.05" customHeight="1" x14ac:dyDescent="0.35">
      <c r="B57" s="91" t="s">
        <v>11</v>
      </c>
      <c r="C57" s="92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39"/>
      <c r="V57" s="340"/>
      <c r="W57" s="340"/>
    </row>
    <row r="58" spans="1:29" ht="16.05" customHeight="1" x14ac:dyDescent="0.35">
      <c r="B58" s="93" t="s">
        <v>1799</v>
      </c>
      <c r="C58" s="94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38"/>
      <c r="R58" s="338"/>
      <c r="S58" s="338"/>
      <c r="T58" s="338"/>
      <c r="U58" s="338"/>
      <c r="V58" s="290"/>
      <c r="W58" s="290"/>
    </row>
    <row r="59" spans="1:29" ht="21" customHeight="1" x14ac:dyDescent="0.7">
      <c r="B59" s="44" t="s">
        <v>1813</v>
      </c>
      <c r="C59" s="45"/>
      <c r="D59" s="46" t="s">
        <v>1792</v>
      </c>
      <c r="E59" s="47"/>
      <c r="F59" s="359" t="str">
        <f>Schlüssel!$C$1</f>
        <v>Bayernliga Frauen</v>
      </c>
      <c r="G59" s="359"/>
      <c r="H59" s="359"/>
      <c r="I59" s="359"/>
      <c r="J59" s="359"/>
      <c r="K59" s="359"/>
      <c r="L59" s="359"/>
      <c r="M59" s="359"/>
      <c r="N59" s="359"/>
      <c r="O59" s="359"/>
      <c r="P59" s="45"/>
      <c r="Q59" s="45"/>
      <c r="R59" s="48"/>
      <c r="S59" s="49" t="s">
        <v>1794</v>
      </c>
      <c r="T59" s="50"/>
      <c r="U59" s="360" t="str">
        <f>Schlüssel!$AG$1</f>
        <v>02.11./03.11.</v>
      </c>
      <c r="V59" s="361"/>
      <c r="W59" s="362"/>
      <c r="AC59" s="51"/>
    </row>
    <row r="60" spans="1:29" ht="17.25" customHeight="1" thickBot="1" x14ac:dyDescent="0.65">
      <c r="A60" s="52"/>
      <c r="B60" s="96">
        <f>+B31+1</f>
        <v>3</v>
      </c>
      <c r="D60" s="46" t="s">
        <v>1793</v>
      </c>
      <c r="E60" s="54"/>
      <c r="F60" s="358" t="str">
        <f>Schlüssel!$W$2</f>
        <v>Regensburg Super Bowl</v>
      </c>
      <c r="G60" s="358"/>
      <c r="H60" s="358"/>
      <c r="I60" s="358"/>
      <c r="J60" s="358"/>
      <c r="K60" s="358"/>
      <c r="L60" s="358"/>
      <c r="M60" s="358"/>
      <c r="N60" s="358"/>
      <c r="O60" s="358"/>
      <c r="P60" s="55"/>
      <c r="Q60" s="55"/>
      <c r="S60" s="49" t="s">
        <v>1791</v>
      </c>
      <c r="T60" s="56">
        <v>2</v>
      </c>
      <c r="U60" s="50"/>
      <c r="V60" s="50"/>
      <c r="AC60" s="97"/>
    </row>
    <row r="61" spans="1:29" ht="15.75" customHeight="1" thickBot="1" x14ac:dyDescent="0.4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5" thickBot="1" x14ac:dyDescent="0.45">
      <c r="A62" s="2"/>
      <c r="B62" s="44"/>
      <c r="C62" s="63"/>
      <c r="D62" s="64" t="s">
        <v>10</v>
      </c>
      <c r="E62" s="44">
        <f>VLOOKUP(B60,Schlüssel!$A$5:$DZ$14,33)</f>
        <v>11</v>
      </c>
      <c r="F62" s="65" t="s">
        <v>10</v>
      </c>
      <c r="G62" s="44">
        <f>VLOOKUP(B60,Schlüssel!$A$5:$DZ$14,34)</f>
        <v>6</v>
      </c>
      <c r="H62" s="65" t="s">
        <v>10</v>
      </c>
      <c r="I62" s="44">
        <f>VLOOKUP(B60,Schlüssel!$A$5:$DZ$14,35)</f>
        <v>10</v>
      </c>
      <c r="J62" s="65" t="s">
        <v>10</v>
      </c>
      <c r="K62" s="44">
        <f>VLOOKUP(B60,Schlüssel!$A$5:$DZ$14,36)</f>
        <v>7</v>
      </c>
      <c r="L62" s="65" t="s">
        <v>10</v>
      </c>
      <c r="M62" s="44">
        <f>VLOOKUP(B60,Schlüssel!$A$5:$DZ$14,37)</f>
        <v>12</v>
      </c>
      <c r="N62" s="65" t="s">
        <v>10</v>
      </c>
      <c r="O62" s="44">
        <f>VLOOKUP(B60,Schlüssel!$A$5:$DZ$14,38)</f>
        <v>4</v>
      </c>
      <c r="P62" s="65" t="s">
        <v>10</v>
      </c>
      <c r="Q62" s="44">
        <f>VLOOKUP(B60,Schlüssel!$A$5:$DZ$14,39)</f>
        <v>9</v>
      </c>
      <c r="R62" s="65" t="s">
        <v>10</v>
      </c>
      <c r="S62" s="44">
        <f>VLOOKUP(B60,Schlüssel!$A$5:$DZ$14,40)</f>
        <v>5</v>
      </c>
      <c r="T62" s="65" t="s">
        <v>10</v>
      </c>
      <c r="U62" s="66">
        <f>VLOOKUP(B60,Schlüssel!$A$5:$DZ$14,41)</f>
        <v>3</v>
      </c>
    </row>
    <row r="63" spans="1:29" ht="20.25" customHeight="1" x14ac:dyDescent="0.35">
      <c r="B63" s="67" t="s">
        <v>1</v>
      </c>
      <c r="C63" s="68"/>
      <c r="D63" s="354" t="s">
        <v>1800</v>
      </c>
      <c r="E63" s="355"/>
      <c r="F63" s="354" t="s">
        <v>1801</v>
      </c>
      <c r="G63" s="355"/>
      <c r="H63" s="354" t="s">
        <v>1802</v>
      </c>
      <c r="I63" s="355"/>
      <c r="J63" s="354" t="s">
        <v>1803</v>
      </c>
      <c r="K63" s="355"/>
      <c r="L63" s="354" t="s">
        <v>1804</v>
      </c>
      <c r="M63" s="355"/>
      <c r="N63" s="354" t="s">
        <v>1805</v>
      </c>
      <c r="O63" s="355"/>
      <c r="P63" s="354" t="s">
        <v>1806</v>
      </c>
      <c r="Q63" s="355"/>
      <c r="R63" s="354" t="s">
        <v>1807</v>
      </c>
      <c r="S63" s="355"/>
      <c r="T63" s="354" t="s">
        <v>1808</v>
      </c>
      <c r="U63" s="355"/>
      <c r="V63" s="356" t="s">
        <v>1799</v>
      </c>
      <c r="W63" s="357"/>
    </row>
    <row r="64" spans="1:29" ht="15" customHeight="1" thickBot="1" x14ac:dyDescent="0.4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2" customHeight="1" x14ac:dyDescent="0.35">
      <c r="A65" s="351" t="s">
        <v>0</v>
      </c>
      <c r="B65" s="73"/>
      <c r="C65" s="74"/>
      <c r="D65" s="75"/>
      <c r="E65" s="348"/>
      <c r="F65" s="75"/>
      <c r="G65" s="348"/>
      <c r="H65" s="75"/>
      <c r="I65" s="348"/>
      <c r="J65" s="75"/>
      <c r="K65" s="348"/>
      <c r="L65" s="75"/>
      <c r="M65" s="348"/>
      <c r="N65" s="75"/>
      <c r="O65" s="348"/>
      <c r="P65" s="75"/>
      <c r="Q65" s="348"/>
      <c r="R65" s="75"/>
      <c r="S65" s="348"/>
      <c r="T65" s="75"/>
      <c r="U65" s="348"/>
      <c r="V65" s="75"/>
      <c r="W65" s="348"/>
    </row>
    <row r="66" spans="1:23" ht="17.2" customHeight="1" x14ac:dyDescent="0.35">
      <c r="A66" s="352"/>
      <c r="B66" s="76"/>
      <c r="C66" s="77"/>
      <c r="D66" s="78"/>
      <c r="E66" s="349"/>
      <c r="F66" s="78"/>
      <c r="G66" s="349"/>
      <c r="H66" s="78"/>
      <c r="I66" s="349"/>
      <c r="J66" s="78"/>
      <c r="K66" s="349"/>
      <c r="L66" s="78"/>
      <c r="M66" s="349"/>
      <c r="N66" s="78"/>
      <c r="O66" s="349"/>
      <c r="P66" s="78"/>
      <c r="Q66" s="349"/>
      <c r="R66" s="78"/>
      <c r="S66" s="349"/>
      <c r="T66" s="78"/>
      <c r="U66" s="349"/>
      <c r="V66" s="78"/>
      <c r="W66" s="349"/>
    </row>
    <row r="67" spans="1:23" ht="17.2" customHeight="1" thickBot="1" x14ac:dyDescent="0.4">
      <c r="A67" s="353"/>
      <c r="B67" s="79"/>
      <c r="C67" s="80"/>
      <c r="D67" s="69"/>
      <c r="E67" s="350"/>
      <c r="F67" s="69"/>
      <c r="G67" s="350"/>
      <c r="H67" s="69"/>
      <c r="I67" s="350"/>
      <c r="J67" s="69"/>
      <c r="K67" s="350"/>
      <c r="L67" s="69"/>
      <c r="M67" s="350"/>
      <c r="N67" s="69"/>
      <c r="O67" s="350"/>
      <c r="P67" s="69"/>
      <c r="Q67" s="350"/>
      <c r="R67" s="69"/>
      <c r="S67" s="350"/>
      <c r="T67" s="69"/>
      <c r="U67" s="350"/>
      <c r="V67" s="69"/>
      <c r="W67" s="350"/>
    </row>
    <row r="68" spans="1:23" ht="17.2" customHeight="1" x14ac:dyDescent="0.35">
      <c r="A68" s="351" t="s">
        <v>2</v>
      </c>
      <c r="B68" s="73"/>
      <c r="C68" s="74"/>
      <c r="D68" s="75"/>
      <c r="E68" s="348"/>
      <c r="F68" s="75"/>
      <c r="G68" s="348"/>
      <c r="H68" s="75"/>
      <c r="I68" s="348"/>
      <c r="J68" s="75"/>
      <c r="K68" s="348"/>
      <c r="L68" s="75"/>
      <c r="M68" s="348"/>
      <c r="N68" s="75"/>
      <c r="O68" s="348"/>
      <c r="P68" s="75"/>
      <c r="Q68" s="348"/>
      <c r="R68" s="75"/>
      <c r="S68" s="348"/>
      <c r="T68" s="75"/>
      <c r="U68" s="348"/>
      <c r="V68" s="75"/>
      <c r="W68" s="348"/>
    </row>
    <row r="69" spans="1:23" ht="17.2" customHeight="1" x14ac:dyDescent="0.35">
      <c r="A69" s="352"/>
      <c r="B69" s="76"/>
      <c r="C69" s="77"/>
      <c r="D69" s="78"/>
      <c r="E69" s="349"/>
      <c r="F69" s="78"/>
      <c r="G69" s="349"/>
      <c r="H69" s="78"/>
      <c r="I69" s="349"/>
      <c r="J69" s="78"/>
      <c r="K69" s="349"/>
      <c r="L69" s="78"/>
      <c r="M69" s="349"/>
      <c r="N69" s="78"/>
      <c r="O69" s="349"/>
      <c r="P69" s="78"/>
      <c r="Q69" s="349"/>
      <c r="R69" s="78"/>
      <c r="S69" s="349"/>
      <c r="T69" s="78"/>
      <c r="U69" s="349"/>
      <c r="V69" s="78"/>
      <c r="W69" s="349"/>
    </row>
    <row r="70" spans="1:23" ht="17.2" customHeight="1" thickBot="1" x14ac:dyDescent="0.4">
      <c r="A70" s="353"/>
      <c r="B70" s="79"/>
      <c r="C70" s="80"/>
      <c r="D70" s="69"/>
      <c r="E70" s="350"/>
      <c r="F70" s="69"/>
      <c r="G70" s="350"/>
      <c r="H70" s="69"/>
      <c r="I70" s="350"/>
      <c r="J70" s="69"/>
      <c r="K70" s="350"/>
      <c r="L70" s="69"/>
      <c r="M70" s="350"/>
      <c r="N70" s="69"/>
      <c r="O70" s="350"/>
      <c r="P70" s="69"/>
      <c r="Q70" s="350"/>
      <c r="R70" s="69"/>
      <c r="S70" s="350"/>
      <c r="T70" s="69"/>
      <c r="U70" s="350"/>
      <c r="V70" s="69"/>
      <c r="W70" s="350"/>
    </row>
    <row r="71" spans="1:23" ht="17.2" customHeight="1" x14ac:dyDescent="0.35">
      <c r="A71" s="351" t="s">
        <v>3</v>
      </c>
      <c r="B71" s="73"/>
      <c r="C71" s="74"/>
      <c r="D71" s="75"/>
      <c r="E71" s="348"/>
      <c r="F71" s="75"/>
      <c r="G71" s="348"/>
      <c r="H71" s="75"/>
      <c r="I71" s="348"/>
      <c r="J71" s="75"/>
      <c r="K71" s="348"/>
      <c r="L71" s="75"/>
      <c r="M71" s="348"/>
      <c r="N71" s="75"/>
      <c r="O71" s="348"/>
      <c r="P71" s="75"/>
      <c r="Q71" s="348"/>
      <c r="R71" s="75"/>
      <c r="S71" s="348"/>
      <c r="T71" s="75"/>
      <c r="U71" s="348"/>
      <c r="V71" s="75"/>
      <c r="W71" s="348"/>
    </row>
    <row r="72" spans="1:23" ht="17.2" customHeight="1" x14ac:dyDescent="0.35">
      <c r="A72" s="352"/>
      <c r="B72" s="76"/>
      <c r="C72" s="77"/>
      <c r="D72" s="78"/>
      <c r="E72" s="349"/>
      <c r="F72" s="78"/>
      <c r="G72" s="349"/>
      <c r="H72" s="78"/>
      <c r="I72" s="349"/>
      <c r="J72" s="78"/>
      <c r="K72" s="349"/>
      <c r="L72" s="78"/>
      <c r="M72" s="349"/>
      <c r="N72" s="78"/>
      <c r="O72" s="349"/>
      <c r="P72" s="78"/>
      <c r="Q72" s="349"/>
      <c r="R72" s="78"/>
      <c r="S72" s="349"/>
      <c r="T72" s="78"/>
      <c r="U72" s="349"/>
      <c r="V72" s="78"/>
      <c r="W72" s="349"/>
    </row>
    <row r="73" spans="1:23" ht="17.2" customHeight="1" thickBot="1" x14ac:dyDescent="0.4">
      <c r="A73" s="353"/>
      <c r="B73" s="79"/>
      <c r="C73" s="80"/>
      <c r="D73" s="69"/>
      <c r="E73" s="350"/>
      <c r="F73" s="69"/>
      <c r="G73" s="350"/>
      <c r="H73" s="69"/>
      <c r="I73" s="350"/>
      <c r="J73" s="69"/>
      <c r="K73" s="350"/>
      <c r="L73" s="69"/>
      <c r="M73" s="350"/>
      <c r="N73" s="69"/>
      <c r="O73" s="350"/>
      <c r="P73" s="69"/>
      <c r="Q73" s="350"/>
      <c r="R73" s="69"/>
      <c r="S73" s="350"/>
      <c r="T73" s="69"/>
      <c r="U73" s="350"/>
      <c r="V73" s="69"/>
      <c r="W73" s="350"/>
    </row>
    <row r="74" spans="1:23" ht="17.2" customHeight="1" x14ac:dyDescent="0.35">
      <c r="A74" s="351" t="s">
        <v>11</v>
      </c>
      <c r="B74" s="73"/>
      <c r="C74" s="74"/>
      <c r="D74" s="75"/>
      <c r="E74" s="348"/>
      <c r="F74" s="75"/>
      <c r="G74" s="348"/>
      <c r="H74" s="75"/>
      <c r="I74" s="348"/>
      <c r="J74" s="75"/>
      <c r="K74" s="348"/>
      <c r="L74" s="75"/>
      <c r="M74" s="348"/>
      <c r="N74" s="75"/>
      <c r="O74" s="348"/>
      <c r="P74" s="75"/>
      <c r="Q74" s="348"/>
      <c r="R74" s="75"/>
      <c r="S74" s="348"/>
      <c r="T74" s="75"/>
      <c r="U74" s="348"/>
      <c r="V74" s="75"/>
      <c r="W74" s="348"/>
    </row>
    <row r="75" spans="1:23" ht="17.2" customHeight="1" x14ac:dyDescent="0.35">
      <c r="A75" s="352"/>
      <c r="B75" s="76"/>
      <c r="C75" s="77"/>
      <c r="D75" s="78"/>
      <c r="E75" s="349"/>
      <c r="F75" s="78"/>
      <c r="G75" s="349"/>
      <c r="H75" s="78"/>
      <c r="I75" s="349"/>
      <c r="J75" s="78"/>
      <c r="K75" s="349"/>
      <c r="L75" s="78"/>
      <c r="M75" s="349"/>
      <c r="N75" s="78"/>
      <c r="O75" s="349"/>
      <c r="P75" s="78"/>
      <c r="Q75" s="349"/>
      <c r="R75" s="78"/>
      <c r="S75" s="349"/>
      <c r="T75" s="78"/>
      <c r="U75" s="349"/>
      <c r="V75" s="78"/>
      <c r="W75" s="349"/>
    </row>
    <row r="76" spans="1:23" ht="17.2" customHeight="1" thickBot="1" x14ac:dyDescent="0.4">
      <c r="A76" s="353"/>
      <c r="B76" s="79"/>
      <c r="C76" s="80"/>
      <c r="D76" s="69"/>
      <c r="E76" s="350"/>
      <c r="F76" s="69"/>
      <c r="G76" s="350"/>
      <c r="H76" s="69"/>
      <c r="I76" s="350"/>
      <c r="J76" s="69"/>
      <c r="K76" s="350"/>
      <c r="L76" s="69"/>
      <c r="M76" s="350"/>
      <c r="N76" s="69"/>
      <c r="O76" s="350"/>
      <c r="P76" s="69"/>
      <c r="Q76" s="350"/>
      <c r="R76" s="69"/>
      <c r="S76" s="350"/>
      <c r="T76" s="69"/>
      <c r="U76" s="350"/>
      <c r="V76" s="69"/>
      <c r="W76" s="350"/>
    </row>
    <row r="77" spans="1:23" ht="27.75" customHeight="1" thickBot="1" x14ac:dyDescent="0.4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4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3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35">
      <c r="B80" s="88" t="s">
        <v>1797</v>
      </c>
      <c r="C80" s="89" t="s">
        <v>1798</v>
      </c>
      <c r="D80" s="346">
        <f>VLOOKUP(B60,Schlüssel!$A$5:$DZ$14,23)</f>
        <v>7</v>
      </c>
      <c r="E80" s="346"/>
      <c r="F80" s="346">
        <f>VLOOKUP(B60,Schlüssel!$A$5:$DZ$14,24)</f>
        <v>4</v>
      </c>
      <c r="G80" s="346"/>
      <c r="H80" s="346">
        <f>VLOOKUP(B60,Schlüssel!$A$5:$DZ$14,25)</f>
        <v>8</v>
      </c>
      <c r="I80" s="346"/>
      <c r="J80" s="346">
        <f>VLOOKUP(B60,Schlüssel!$A$5:$DZ$14,26)</f>
        <v>6</v>
      </c>
      <c r="K80" s="346"/>
      <c r="L80" s="346">
        <f>VLOOKUP(B60,Schlüssel!$A$5:$DZ$14,27)</f>
        <v>2</v>
      </c>
      <c r="M80" s="346"/>
      <c r="N80" s="346">
        <f>VLOOKUP(B60,Schlüssel!$A$5:$DZ$14,28)</f>
        <v>9</v>
      </c>
      <c r="O80" s="346"/>
      <c r="P80" s="346">
        <f>VLOOKUP(B60,Schlüssel!$A$5:$DZ$14,29)</f>
        <v>5</v>
      </c>
      <c r="Q80" s="346"/>
      <c r="R80" s="346">
        <f>VLOOKUP(B60,Schlüssel!$A$5:$DZ$14,30)</f>
        <v>10</v>
      </c>
      <c r="S80" s="346"/>
      <c r="T80" s="346">
        <f>VLOOKUP(B60,Schlüssel!$A$5:$DZ$14,31)</f>
        <v>1</v>
      </c>
      <c r="U80" s="346"/>
      <c r="V80" s="347"/>
      <c r="W80" s="347"/>
    </row>
    <row r="81" spans="1:29" ht="28.5" customHeight="1" x14ac:dyDescent="0.35">
      <c r="B81" s="90"/>
      <c r="C81" s="86"/>
      <c r="D81" s="343" t="str">
        <f>VLOOKUP(D80,Schlüssel!$A$5:$K$14,2)</f>
        <v>Frankenpower Nürnberg</v>
      </c>
      <c r="E81" s="344"/>
      <c r="F81" s="343" t="str">
        <f>VLOOKUP(F80,Schlüssel!$A$5:$K$14,2)</f>
        <v>BK München 3</v>
      </c>
      <c r="G81" s="344"/>
      <c r="H81" s="343" t="str">
        <f>VLOOKUP(H80,Schlüssel!$A$5:$K$14,2)</f>
        <v>EPA München 1</v>
      </c>
      <c r="I81" s="344"/>
      <c r="J81" s="343" t="str">
        <f>VLOOKUP(J80,Schlüssel!$A$5:$K$14,2)</f>
        <v>Phönix 03 Lauf</v>
      </c>
      <c r="K81" s="344"/>
      <c r="L81" s="343" t="str">
        <f>VLOOKUP(L80,Schlüssel!$A$5:$K$14,2)</f>
        <v>BK München 2</v>
      </c>
      <c r="M81" s="344"/>
      <c r="N81" s="343" t="str">
        <f>VLOOKUP(N80,Schlüssel!$A$5:$K$14,2)</f>
        <v>RW Lichtenhof 69 Stein 2</v>
      </c>
      <c r="O81" s="344"/>
      <c r="P81" s="343" t="str">
        <f>VLOOKUP(P80,Schlüssel!$A$5:$K$14,2)</f>
        <v xml:space="preserve">Weiß Blau Unterföhring </v>
      </c>
      <c r="Q81" s="344"/>
      <c r="R81" s="343" t="str">
        <f>VLOOKUP(R80,Schlüssel!$A$5:$K$14,2)</f>
        <v>BK München 4</v>
      </c>
      <c r="S81" s="344"/>
      <c r="T81" s="343" t="str">
        <f>VLOOKUP(T80,Schlüssel!$A$5:$K$14,2)</f>
        <v>Praetoria Regensburg</v>
      </c>
      <c r="U81" s="344"/>
      <c r="V81" s="345"/>
      <c r="W81" s="345"/>
    </row>
    <row r="82" spans="1:29" ht="12" customHeight="1" x14ac:dyDescent="0.35">
      <c r="B82" s="90"/>
      <c r="C82" s="86"/>
      <c r="D82" s="341"/>
      <c r="E82" s="341"/>
      <c r="F82" s="341"/>
      <c r="G82" s="341"/>
      <c r="H82" s="341"/>
      <c r="I82" s="341"/>
      <c r="J82" s="341"/>
      <c r="K82" s="341"/>
      <c r="L82" s="341"/>
      <c r="M82" s="341"/>
      <c r="N82" s="341"/>
      <c r="O82" s="341"/>
      <c r="P82" s="341"/>
      <c r="Q82" s="341"/>
      <c r="R82" s="341"/>
      <c r="S82" s="341"/>
      <c r="T82" s="341"/>
      <c r="U82" s="342"/>
      <c r="V82" s="301"/>
      <c r="W82" s="301"/>
    </row>
    <row r="83" spans="1:29" ht="16.05" customHeight="1" x14ac:dyDescent="0.35">
      <c r="B83" s="91" t="s">
        <v>0</v>
      </c>
      <c r="C83" s="92"/>
      <c r="D83" s="339"/>
      <c r="E83" s="339"/>
      <c r="F83" s="339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39"/>
      <c r="S83" s="339"/>
      <c r="T83" s="339"/>
      <c r="U83" s="339"/>
      <c r="V83" s="340"/>
      <c r="W83" s="340"/>
    </row>
    <row r="84" spans="1:29" ht="16.05" customHeight="1" x14ac:dyDescent="0.35">
      <c r="B84" s="91" t="s">
        <v>2</v>
      </c>
      <c r="C84" s="92"/>
      <c r="D84" s="339"/>
      <c r="E84" s="339"/>
      <c r="F84" s="339"/>
      <c r="G84" s="339"/>
      <c r="H84" s="339"/>
      <c r="I84" s="339"/>
      <c r="J84" s="339"/>
      <c r="K84" s="339"/>
      <c r="L84" s="339"/>
      <c r="M84" s="339"/>
      <c r="N84" s="339"/>
      <c r="O84" s="339"/>
      <c r="P84" s="339"/>
      <c r="Q84" s="339"/>
      <c r="R84" s="339"/>
      <c r="S84" s="339"/>
      <c r="T84" s="339"/>
      <c r="U84" s="339"/>
      <c r="V84" s="340"/>
      <c r="W84" s="340"/>
    </row>
    <row r="85" spans="1:29" ht="16.05" customHeight="1" x14ac:dyDescent="0.35">
      <c r="B85" s="91" t="s">
        <v>3</v>
      </c>
      <c r="C85" s="92"/>
      <c r="D85" s="339"/>
      <c r="E85" s="339"/>
      <c r="F85" s="339"/>
      <c r="G85" s="339"/>
      <c r="H85" s="339"/>
      <c r="I85" s="339"/>
      <c r="J85" s="339"/>
      <c r="K85" s="339"/>
      <c r="L85" s="339"/>
      <c r="M85" s="339"/>
      <c r="N85" s="339"/>
      <c r="O85" s="339"/>
      <c r="P85" s="339"/>
      <c r="Q85" s="339"/>
      <c r="R85" s="339"/>
      <c r="S85" s="339"/>
      <c r="T85" s="339"/>
      <c r="U85" s="339"/>
      <c r="V85" s="340"/>
      <c r="W85" s="340"/>
    </row>
    <row r="86" spans="1:29" ht="16.05" customHeight="1" x14ac:dyDescent="0.35">
      <c r="B86" s="91" t="s">
        <v>11</v>
      </c>
      <c r="C86" s="92"/>
      <c r="D86" s="339"/>
      <c r="E86" s="339"/>
      <c r="F86" s="339"/>
      <c r="G86" s="339"/>
      <c r="H86" s="339"/>
      <c r="I86" s="339"/>
      <c r="J86" s="339"/>
      <c r="K86" s="339"/>
      <c r="L86" s="339"/>
      <c r="M86" s="339"/>
      <c r="N86" s="339"/>
      <c r="O86" s="339"/>
      <c r="P86" s="339"/>
      <c r="Q86" s="339"/>
      <c r="R86" s="339"/>
      <c r="S86" s="339"/>
      <c r="T86" s="339"/>
      <c r="U86" s="339"/>
      <c r="V86" s="340"/>
      <c r="W86" s="340"/>
    </row>
    <row r="87" spans="1:29" ht="16.05" customHeight="1" x14ac:dyDescent="0.35">
      <c r="B87" s="93" t="s">
        <v>1799</v>
      </c>
      <c r="C87" s="94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38"/>
      <c r="R87" s="338"/>
      <c r="S87" s="338"/>
      <c r="T87" s="338"/>
      <c r="U87" s="338"/>
      <c r="V87" s="290"/>
      <c r="W87" s="290"/>
    </row>
    <row r="88" spans="1:29" ht="21" customHeight="1" x14ac:dyDescent="0.7">
      <c r="B88" s="44" t="s">
        <v>1813</v>
      </c>
      <c r="C88" s="45"/>
      <c r="D88" s="46" t="s">
        <v>1792</v>
      </c>
      <c r="E88" s="47"/>
      <c r="F88" s="359" t="str">
        <f>Schlüssel!$C$1</f>
        <v>Bayernliga Frauen</v>
      </c>
      <c r="G88" s="359"/>
      <c r="H88" s="359"/>
      <c r="I88" s="359"/>
      <c r="J88" s="359"/>
      <c r="K88" s="359"/>
      <c r="L88" s="359"/>
      <c r="M88" s="359"/>
      <c r="N88" s="359"/>
      <c r="O88" s="359"/>
      <c r="P88" s="45"/>
      <c r="Q88" s="45"/>
      <c r="R88" s="48"/>
      <c r="S88" s="49" t="s">
        <v>1794</v>
      </c>
      <c r="T88" s="50"/>
      <c r="U88" s="360" t="str">
        <f>Schlüssel!$AG$1</f>
        <v>02.11./03.11.</v>
      </c>
      <c r="V88" s="361"/>
      <c r="W88" s="362"/>
      <c r="AC88" s="51"/>
    </row>
    <row r="89" spans="1:29" ht="17.25" customHeight="1" thickBot="1" x14ac:dyDescent="0.65">
      <c r="A89" s="52"/>
      <c r="B89" s="96">
        <f>+B60+1</f>
        <v>4</v>
      </c>
      <c r="D89" s="46" t="s">
        <v>1793</v>
      </c>
      <c r="E89" s="54"/>
      <c r="F89" s="358" t="str">
        <f>Schlüssel!$W$2</f>
        <v>Regensburg Super Bowl</v>
      </c>
      <c r="G89" s="358"/>
      <c r="H89" s="358"/>
      <c r="I89" s="358"/>
      <c r="J89" s="358"/>
      <c r="K89" s="358"/>
      <c r="L89" s="358"/>
      <c r="M89" s="358"/>
      <c r="N89" s="358"/>
      <c r="O89" s="358"/>
      <c r="P89" s="55"/>
      <c r="Q89" s="55"/>
      <c r="S89" s="49" t="s">
        <v>1791</v>
      </c>
      <c r="T89" s="56">
        <v>2</v>
      </c>
      <c r="U89" s="50"/>
      <c r="V89" s="50"/>
      <c r="AC89" s="97"/>
    </row>
    <row r="90" spans="1:29" ht="15.75" customHeight="1" thickBot="1" x14ac:dyDescent="0.4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5" thickBot="1" x14ac:dyDescent="0.45">
      <c r="A91" s="2"/>
      <c r="B91" s="44"/>
      <c r="C91" s="63"/>
      <c r="D91" s="64" t="s">
        <v>10</v>
      </c>
      <c r="E91" s="44">
        <f>VLOOKUP(B89,Schlüssel!$A$5:$DZ$14,33)</f>
        <v>3</v>
      </c>
      <c r="F91" s="65" t="s">
        <v>10</v>
      </c>
      <c r="G91" s="44">
        <f>VLOOKUP(B89,Schlüssel!$A$5:$DZ$14,34)</f>
        <v>5</v>
      </c>
      <c r="H91" s="65" t="s">
        <v>10</v>
      </c>
      <c r="I91" s="44">
        <f>VLOOKUP(B89,Schlüssel!$A$5:$DZ$14,35)</f>
        <v>8</v>
      </c>
      <c r="J91" s="65" t="s">
        <v>10</v>
      </c>
      <c r="K91" s="44">
        <f>VLOOKUP(B89,Schlüssel!$A$5:$DZ$14,36)</f>
        <v>4</v>
      </c>
      <c r="L91" s="65" t="s">
        <v>10</v>
      </c>
      <c r="M91" s="44">
        <f>VLOOKUP(B89,Schlüssel!$A$5:$DZ$14,37)</f>
        <v>10</v>
      </c>
      <c r="N91" s="65" t="s">
        <v>10</v>
      </c>
      <c r="O91" s="44">
        <f>VLOOKUP(B89,Schlüssel!$A$5:$DZ$14,38)</f>
        <v>11</v>
      </c>
      <c r="P91" s="65" t="s">
        <v>10</v>
      </c>
      <c r="Q91" s="44">
        <f>VLOOKUP(B89,Schlüssel!$A$5:$DZ$14,39)</f>
        <v>6</v>
      </c>
      <c r="R91" s="65" t="s">
        <v>10</v>
      </c>
      <c r="S91" s="44">
        <f>VLOOKUP(B89,Schlüssel!$A$5:$DZ$14,40)</f>
        <v>7</v>
      </c>
      <c r="T91" s="65" t="s">
        <v>10</v>
      </c>
      <c r="U91" s="66">
        <f>VLOOKUP(B89,Schlüssel!$A$5:$DZ$14,41)</f>
        <v>12</v>
      </c>
    </row>
    <row r="92" spans="1:29" ht="20.25" customHeight="1" x14ac:dyDescent="0.35">
      <c r="B92" s="67" t="s">
        <v>1</v>
      </c>
      <c r="C92" s="68"/>
      <c r="D92" s="354" t="s">
        <v>1800</v>
      </c>
      <c r="E92" s="355"/>
      <c r="F92" s="354" t="s">
        <v>1801</v>
      </c>
      <c r="G92" s="355"/>
      <c r="H92" s="354" t="s">
        <v>1802</v>
      </c>
      <c r="I92" s="355"/>
      <c r="J92" s="354" t="s">
        <v>1803</v>
      </c>
      <c r="K92" s="355"/>
      <c r="L92" s="354" t="s">
        <v>1804</v>
      </c>
      <c r="M92" s="355"/>
      <c r="N92" s="354" t="s">
        <v>1805</v>
      </c>
      <c r="O92" s="355"/>
      <c r="P92" s="354" t="s">
        <v>1806</v>
      </c>
      <c r="Q92" s="355"/>
      <c r="R92" s="354" t="s">
        <v>1807</v>
      </c>
      <c r="S92" s="355"/>
      <c r="T92" s="354" t="s">
        <v>1808</v>
      </c>
      <c r="U92" s="355"/>
      <c r="V92" s="356" t="s">
        <v>1799</v>
      </c>
      <c r="W92" s="357"/>
    </row>
    <row r="93" spans="1:29" ht="15" customHeight="1" thickBot="1" x14ac:dyDescent="0.4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2" customHeight="1" x14ac:dyDescent="0.35">
      <c r="A94" s="351" t="s">
        <v>0</v>
      </c>
      <c r="B94" s="73"/>
      <c r="C94" s="74"/>
      <c r="D94" s="75"/>
      <c r="E94" s="348"/>
      <c r="F94" s="75"/>
      <c r="G94" s="348"/>
      <c r="H94" s="75"/>
      <c r="I94" s="348"/>
      <c r="J94" s="75"/>
      <c r="K94" s="348"/>
      <c r="L94" s="75"/>
      <c r="M94" s="348"/>
      <c r="N94" s="75"/>
      <c r="O94" s="348"/>
      <c r="P94" s="75"/>
      <c r="Q94" s="348"/>
      <c r="R94" s="75"/>
      <c r="S94" s="348"/>
      <c r="T94" s="75"/>
      <c r="U94" s="348"/>
      <c r="V94" s="75"/>
      <c r="W94" s="348"/>
    </row>
    <row r="95" spans="1:29" ht="17.2" customHeight="1" x14ac:dyDescent="0.35">
      <c r="A95" s="352"/>
      <c r="B95" s="76"/>
      <c r="C95" s="77"/>
      <c r="D95" s="78"/>
      <c r="E95" s="349"/>
      <c r="F95" s="78"/>
      <c r="G95" s="349"/>
      <c r="H95" s="78"/>
      <c r="I95" s="349"/>
      <c r="J95" s="78"/>
      <c r="K95" s="349"/>
      <c r="L95" s="78"/>
      <c r="M95" s="349"/>
      <c r="N95" s="78"/>
      <c r="O95" s="349"/>
      <c r="P95" s="78"/>
      <c r="Q95" s="349"/>
      <c r="R95" s="78"/>
      <c r="S95" s="349"/>
      <c r="T95" s="78"/>
      <c r="U95" s="349"/>
      <c r="V95" s="78"/>
      <c r="W95" s="349"/>
    </row>
    <row r="96" spans="1:29" ht="17.2" customHeight="1" thickBot="1" x14ac:dyDescent="0.4">
      <c r="A96" s="353"/>
      <c r="B96" s="79"/>
      <c r="C96" s="80"/>
      <c r="D96" s="69"/>
      <c r="E96" s="350"/>
      <c r="F96" s="69"/>
      <c r="G96" s="350"/>
      <c r="H96" s="69"/>
      <c r="I96" s="350"/>
      <c r="J96" s="69"/>
      <c r="K96" s="350"/>
      <c r="L96" s="69"/>
      <c r="M96" s="350"/>
      <c r="N96" s="69"/>
      <c r="O96" s="350"/>
      <c r="P96" s="69"/>
      <c r="Q96" s="350"/>
      <c r="R96" s="69"/>
      <c r="S96" s="350"/>
      <c r="T96" s="69"/>
      <c r="U96" s="350"/>
      <c r="V96" s="69"/>
      <c r="W96" s="350"/>
    </row>
    <row r="97" spans="1:23" ht="17.2" customHeight="1" x14ac:dyDescent="0.35">
      <c r="A97" s="351" t="s">
        <v>2</v>
      </c>
      <c r="B97" s="73"/>
      <c r="C97" s="74"/>
      <c r="D97" s="75"/>
      <c r="E97" s="348"/>
      <c r="F97" s="75"/>
      <c r="G97" s="348"/>
      <c r="H97" s="75"/>
      <c r="I97" s="348"/>
      <c r="J97" s="75"/>
      <c r="K97" s="348"/>
      <c r="L97" s="75"/>
      <c r="M97" s="348"/>
      <c r="N97" s="75"/>
      <c r="O97" s="348"/>
      <c r="P97" s="75"/>
      <c r="Q97" s="348"/>
      <c r="R97" s="75"/>
      <c r="S97" s="348"/>
      <c r="T97" s="75"/>
      <c r="U97" s="348"/>
      <c r="V97" s="75"/>
      <c r="W97" s="348"/>
    </row>
    <row r="98" spans="1:23" ht="17.2" customHeight="1" x14ac:dyDescent="0.35">
      <c r="A98" s="352"/>
      <c r="B98" s="76"/>
      <c r="C98" s="77"/>
      <c r="D98" s="78"/>
      <c r="E98" s="349"/>
      <c r="F98" s="78"/>
      <c r="G98" s="349"/>
      <c r="H98" s="78"/>
      <c r="I98" s="349"/>
      <c r="J98" s="78"/>
      <c r="K98" s="349"/>
      <c r="L98" s="78"/>
      <c r="M98" s="349"/>
      <c r="N98" s="78"/>
      <c r="O98" s="349"/>
      <c r="P98" s="78"/>
      <c r="Q98" s="349"/>
      <c r="R98" s="78"/>
      <c r="S98" s="349"/>
      <c r="T98" s="78"/>
      <c r="U98" s="349"/>
      <c r="V98" s="78"/>
      <c r="W98" s="349"/>
    </row>
    <row r="99" spans="1:23" ht="17.2" customHeight="1" thickBot="1" x14ac:dyDescent="0.4">
      <c r="A99" s="353"/>
      <c r="B99" s="79"/>
      <c r="C99" s="80"/>
      <c r="D99" s="69"/>
      <c r="E99" s="350"/>
      <c r="F99" s="69"/>
      <c r="G99" s="350"/>
      <c r="H99" s="69"/>
      <c r="I99" s="350"/>
      <c r="J99" s="69"/>
      <c r="K99" s="350"/>
      <c r="L99" s="69"/>
      <c r="M99" s="350"/>
      <c r="N99" s="69"/>
      <c r="O99" s="350"/>
      <c r="P99" s="69"/>
      <c r="Q99" s="350"/>
      <c r="R99" s="69"/>
      <c r="S99" s="350"/>
      <c r="T99" s="69"/>
      <c r="U99" s="350"/>
      <c r="V99" s="69"/>
      <c r="W99" s="350"/>
    </row>
    <row r="100" spans="1:23" ht="17.2" customHeight="1" x14ac:dyDescent="0.35">
      <c r="A100" s="351" t="s">
        <v>3</v>
      </c>
      <c r="B100" s="73"/>
      <c r="C100" s="74"/>
      <c r="D100" s="75"/>
      <c r="E100" s="348"/>
      <c r="F100" s="75"/>
      <c r="G100" s="348"/>
      <c r="H100" s="75"/>
      <c r="I100" s="348"/>
      <c r="J100" s="75"/>
      <c r="K100" s="348"/>
      <c r="L100" s="75"/>
      <c r="M100" s="348"/>
      <c r="N100" s="75"/>
      <c r="O100" s="348"/>
      <c r="P100" s="75"/>
      <c r="Q100" s="348"/>
      <c r="R100" s="75"/>
      <c r="S100" s="348"/>
      <c r="T100" s="75"/>
      <c r="U100" s="348"/>
      <c r="V100" s="75"/>
      <c r="W100" s="348"/>
    </row>
    <row r="101" spans="1:23" ht="17.2" customHeight="1" x14ac:dyDescent="0.35">
      <c r="A101" s="352"/>
      <c r="B101" s="76"/>
      <c r="C101" s="77"/>
      <c r="D101" s="78"/>
      <c r="E101" s="349"/>
      <c r="F101" s="78"/>
      <c r="G101" s="349"/>
      <c r="H101" s="78"/>
      <c r="I101" s="349"/>
      <c r="J101" s="78"/>
      <c r="K101" s="349"/>
      <c r="L101" s="78"/>
      <c r="M101" s="349"/>
      <c r="N101" s="78"/>
      <c r="O101" s="349"/>
      <c r="P101" s="78"/>
      <c r="Q101" s="349"/>
      <c r="R101" s="78"/>
      <c r="S101" s="349"/>
      <c r="T101" s="78"/>
      <c r="U101" s="349"/>
      <c r="V101" s="78"/>
      <c r="W101" s="349"/>
    </row>
    <row r="102" spans="1:23" ht="17.2" customHeight="1" thickBot="1" x14ac:dyDescent="0.4">
      <c r="A102" s="353"/>
      <c r="B102" s="79"/>
      <c r="C102" s="80"/>
      <c r="D102" s="69"/>
      <c r="E102" s="350"/>
      <c r="F102" s="69"/>
      <c r="G102" s="350"/>
      <c r="H102" s="69"/>
      <c r="I102" s="350"/>
      <c r="J102" s="69"/>
      <c r="K102" s="350"/>
      <c r="L102" s="69"/>
      <c r="M102" s="350"/>
      <c r="N102" s="69"/>
      <c r="O102" s="350"/>
      <c r="P102" s="69"/>
      <c r="Q102" s="350"/>
      <c r="R102" s="69"/>
      <c r="S102" s="350"/>
      <c r="T102" s="69"/>
      <c r="U102" s="350"/>
      <c r="V102" s="69"/>
      <c r="W102" s="350"/>
    </row>
    <row r="103" spans="1:23" ht="17.2" customHeight="1" x14ac:dyDescent="0.35">
      <c r="A103" s="351" t="s">
        <v>11</v>
      </c>
      <c r="B103" s="73"/>
      <c r="C103" s="74"/>
      <c r="D103" s="75"/>
      <c r="E103" s="348"/>
      <c r="F103" s="75"/>
      <c r="G103" s="348"/>
      <c r="H103" s="75"/>
      <c r="I103" s="348"/>
      <c r="J103" s="75"/>
      <c r="K103" s="348"/>
      <c r="L103" s="75"/>
      <c r="M103" s="348"/>
      <c r="N103" s="75"/>
      <c r="O103" s="348"/>
      <c r="P103" s="75"/>
      <c r="Q103" s="348"/>
      <c r="R103" s="75"/>
      <c r="S103" s="348"/>
      <c r="T103" s="75"/>
      <c r="U103" s="348"/>
      <c r="V103" s="75"/>
      <c r="W103" s="348"/>
    </row>
    <row r="104" spans="1:23" ht="17.2" customHeight="1" x14ac:dyDescent="0.35">
      <c r="A104" s="352"/>
      <c r="B104" s="76"/>
      <c r="C104" s="77"/>
      <c r="D104" s="78"/>
      <c r="E104" s="349"/>
      <c r="F104" s="78"/>
      <c r="G104" s="349"/>
      <c r="H104" s="78"/>
      <c r="I104" s="349"/>
      <c r="J104" s="78"/>
      <c r="K104" s="349"/>
      <c r="L104" s="78"/>
      <c r="M104" s="349"/>
      <c r="N104" s="78"/>
      <c r="O104" s="349"/>
      <c r="P104" s="78"/>
      <c r="Q104" s="349"/>
      <c r="R104" s="78"/>
      <c r="S104" s="349"/>
      <c r="T104" s="78"/>
      <c r="U104" s="349"/>
      <c r="V104" s="78"/>
      <c r="W104" s="349"/>
    </row>
    <row r="105" spans="1:23" ht="17.2" customHeight="1" thickBot="1" x14ac:dyDescent="0.4">
      <c r="A105" s="353"/>
      <c r="B105" s="79"/>
      <c r="C105" s="80"/>
      <c r="D105" s="69"/>
      <c r="E105" s="350"/>
      <c r="F105" s="69"/>
      <c r="G105" s="350"/>
      <c r="H105" s="69"/>
      <c r="I105" s="350"/>
      <c r="J105" s="69"/>
      <c r="K105" s="350"/>
      <c r="L105" s="69"/>
      <c r="M105" s="350"/>
      <c r="N105" s="69"/>
      <c r="O105" s="350"/>
      <c r="P105" s="69"/>
      <c r="Q105" s="350"/>
      <c r="R105" s="69"/>
      <c r="S105" s="350"/>
      <c r="T105" s="69"/>
      <c r="U105" s="350"/>
      <c r="V105" s="69"/>
      <c r="W105" s="350"/>
    </row>
    <row r="106" spans="1:23" ht="27.75" customHeight="1" thickBot="1" x14ac:dyDescent="0.4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4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3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35">
      <c r="B109" s="88" t="s">
        <v>1797</v>
      </c>
      <c r="C109" s="89" t="s">
        <v>1798</v>
      </c>
      <c r="D109" s="346">
        <f>VLOOKUP(B89,Schlüssel!$A$5:$DZ$14,23)</f>
        <v>5</v>
      </c>
      <c r="E109" s="346"/>
      <c r="F109" s="346">
        <f>VLOOKUP(B89,Schlüssel!$A$5:$DZ$14,24)</f>
        <v>3</v>
      </c>
      <c r="G109" s="346"/>
      <c r="H109" s="346">
        <f>VLOOKUP(B89,Schlüssel!$A$5:$DZ$14,25)</f>
        <v>1</v>
      </c>
      <c r="I109" s="346"/>
      <c r="J109" s="346">
        <f>VLOOKUP(B89,Schlüssel!$A$5:$DZ$14,26)</f>
        <v>8</v>
      </c>
      <c r="K109" s="346"/>
      <c r="L109" s="346">
        <f>VLOOKUP(B89,Schlüssel!$A$5:$DZ$14,27)</f>
        <v>6</v>
      </c>
      <c r="M109" s="346"/>
      <c r="N109" s="346">
        <f>VLOOKUP(B89,Schlüssel!$A$5:$DZ$14,28)</f>
        <v>10</v>
      </c>
      <c r="O109" s="346"/>
      <c r="P109" s="346">
        <f>VLOOKUP(B89,Schlüssel!$A$5:$DZ$14,29)</f>
        <v>9</v>
      </c>
      <c r="Q109" s="346"/>
      <c r="R109" s="346">
        <f>VLOOKUP(B89,Schlüssel!$A$5:$DZ$14,30)</f>
        <v>2</v>
      </c>
      <c r="S109" s="346"/>
      <c r="T109" s="346">
        <f>VLOOKUP(B89,Schlüssel!$A$5:$DZ$14,31)</f>
        <v>7</v>
      </c>
      <c r="U109" s="346"/>
      <c r="V109" s="347"/>
      <c r="W109" s="347"/>
    </row>
    <row r="110" spans="1:23" ht="28.5" customHeight="1" x14ac:dyDescent="0.35">
      <c r="B110" s="90"/>
      <c r="C110" s="86"/>
      <c r="D110" s="343" t="str">
        <f>VLOOKUP(D109,Schlüssel!$A$5:$K$14,2)</f>
        <v xml:space="preserve">Weiß Blau Unterföhring </v>
      </c>
      <c r="E110" s="344"/>
      <c r="F110" s="343" t="str">
        <f>VLOOKUP(F109,Schlüssel!$A$5:$K$14,2)</f>
        <v>Highroller Rosenheim</v>
      </c>
      <c r="G110" s="344"/>
      <c r="H110" s="343" t="str">
        <f>VLOOKUP(H109,Schlüssel!$A$5:$K$14,2)</f>
        <v>Praetoria Regensburg</v>
      </c>
      <c r="I110" s="344"/>
      <c r="J110" s="343" t="str">
        <f>VLOOKUP(J109,Schlüssel!$A$5:$K$14,2)</f>
        <v>EPA München 1</v>
      </c>
      <c r="K110" s="344"/>
      <c r="L110" s="343" t="str">
        <f>VLOOKUP(L109,Schlüssel!$A$5:$K$14,2)</f>
        <v>Phönix 03 Lauf</v>
      </c>
      <c r="M110" s="344"/>
      <c r="N110" s="343" t="str">
        <f>VLOOKUP(N109,Schlüssel!$A$5:$K$14,2)</f>
        <v>BK München 4</v>
      </c>
      <c r="O110" s="344"/>
      <c r="P110" s="343" t="str">
        <f>VLOOKUP(P109,Schlüssel!$A$5:$K$14,2)</f>
        <v>RW Lichtenhof 69 Stein 2</v>
      </c>
      <c r="Q110" s="344"/>
      <c r="R110" s="343" t="str">
        <f>VLOOKUP(R109,Schlüssel!$A$5:$K$14,2)</f>
        <v>BK München 2</v>
      </c>
      <c r="S110" s="344"/>
      <c r="T110" s="343" t="str">
        <f>VLOOKUP(T109,Schlüssel!$A$5:$K$14,2)</f>
        <v>Frankenpower Nürnberg</v>
      </c>
      <c r="U110" s="344"/>
      <c r="V110" s="345"/>
      <c r="W110" s="345"/>
    </row>
    <row r="111" spans="1:23" ht="12" customHeight="1" x14ac:dyDescent="0.35">
      <c r="B111" s="90"/>
      <c r="C111" s="86"/>
      <c r="D111" s="341"/>
      <c r="E111" s="341"/>
      <c r="F111" s="341"/>
      <c r="G111" s="341"/>
      <c r="H111" s="341"/>
      <c r="I111" s="341"/>
      <c r="J111" s="341"/>
      <c r="K111" s="341"/>
      <c r="L111" s="341"/>
      <c r="M111" s="341"/>
      <c r="N111" s="341"/>
      <c r="O111" s="341"/>
      <c r="P111" s="341"/>
      <c r="Q111" s="341"/>
      <c r="R111" s="341"/>
      <c r="S111" s="341"/>
      <c r="T111" s="341"/>
      <c r="U111" s="342"/>
      <c r="V111" s="301"/>
      <c r="W111" s="301"/>
    </row>
    <row r="112" spans="1:23" ht="16.05" customHeight="1" x14ac:dyDescent="0.35">
      <c r="B112" s="91" t="s">
        <v>0</v>
      </c>
      <c r="C112" s="92"/>
      <c r="D112" s="339"/>
      <c r="E112" s="339"/>
      <c r="F112" s="339"/>
      <c r="G112" s="339"/>
      <c r="H112" s="339"/>
      <c r="I112" s="339"/>
      <c r="J112" s="339"/>
      <c r="K112" s="339"/>
      <c r="L112" s="339"/>
      <c r="M112" s="339"/>
      <c r="N112" s="339"/>
      <c r="O112" s="339"/>
      <c r="P112" s="339"/>
      <c r="Q112" s="339"/>
      <c r="R112" s="339"/>
      <c r="S112" s="339"/>
      <c r="T112" s="339"/>
      <c r="U112" s="339"/>
      <c r="V112" s="340"/>
      <c r="W112" s="340"/>
    </row>
    <row r="113" spans="1:29" ht="16.05" customHeight="1" x14ac:dyDescent="0.35">
      <c r="B113" s="91" t="s">
        <v>2</v>
      </c>
      <c r="C113" s="92"/>
      <c r="D113" s="339"/>
      <c r="E113" s="339"/>
      <c r="F113" s="339"/>
      <c r="G113" s="339"/>
      <c r="H113" s="339"/>
      <c r="I113" s="339"/>
      <c r="J113" s="339"/>
      <c r="K113" s="339"/>
      <c r="L113" s="339"/>
      <c r="M113" s="339"/>
      <c r="N113" s="339"/>
      <c r="O113" s="339"/>
      <c r="P113" s="339"/>
      <c r="Q113" s="339"/>
      <c r="R113" s="339"/>
      <c r="S113" s="339"/>
      <c r="T113" s="339"/>
      <c r="U113" s="339"/>
      <c r="V113" s="340"/>
      <c r="W113" s="340"/>
    </row>
    <row r="114" spans="1:29" ht="16.05" customHeight="1" x14ac:dyDescent="0.35">
      <c r="B114" s="91" t="s">
        <v>3</v>
      </c>
      <c r="C114" s="92"/>
      <c r="D114" s="339"/>
      <c r="E114" s="339"/>
      <c r="F114" s="339"/>
      <c r="G114" s="339"/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40"/>
      <c r="W114" s="340"/>
    </row>
    <row r="115" spans="1:29" ht="16.05" customHeight="1" x14ac:dyDescent="0.35">
      <c r="B115" s="91" t="s">
        <v>11</v>
      </c>
      <c r="C115" s="92"/>
      <c r="D115" s="339"/>
      <c r="E115" s="339"/>
      <c r="F115" s="339"/>
      <c r="G115" s="339"/>
      <c r="H115" s="339"/>
      <c r="I115" s="339"/>
      <c r="J115" s="339"/>
      <c r="K115" s="339"/>
      <c r="L115" s="339"/>
      <c r="M115" s="339"/>
      <c r="N115" s="339"/>
      <c r="O115" s="339"/>
      <c r="P115" s="339"/>
      <c r="Q115" s="339"/>
      <c r="R115" s="339"/>
      <c r="S115" s="339"/>
      <c r="T115" s="339"/>
      <c r="U115" s="339"/>
      <c r="V115" s="340"/>
      <c r="W115" s="340"/>
    </row>
    <row r="116" spans="1:29" ht="16.05" customHeight="1" x14ac:dyDescent="0.35">
      <c r="B116" s="93" t="s">
        <v>1799</v>
      </c>
      <c r="C116" s="94"/>
      <c r="D116" s="338"/>
      <c r="E116" s="338"/>
      <c r="F116" s="338"/>
      <c r="G116" s="338"/>
      <c r="H116" s="338"/>
      <c r="I116" s="338"/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  <c r="U116" s="338"/>
      <c r="V116" s="290"/>
      <c r="W116" s="290"/>
    </row>
    <row r="117" spans="1:29" ht="21" customHeight="1" x14ac:dyDescent="0.7">
      <c r="B117" s="44" t="s">
        <v>1813</v>
      </c>
      <c r="C117" s="45"/>
      <c r="D117" s="46" t="s">
        <v>1792</v>
      </c>
      <c r="E117" s="47"/>
      <c r="F117" s="359" t="str">
        <f>Schlüssel!$C$1</f>
        <v>Bayernliga Frauen</v>
      </c>
      <c r="G117" s="359"/>
      <c r="H117" s="359"/>
      <c r="I117" s="359"/>
      <c r="J117" s="359"/>
      <c r="K117" s="359"/>
      <c r="L117" s="359"/>
      <c r="M117" s="359"/>
      <c r="N117" s="359"/>
      <c r="O117" s="359"/>
      <c r="P117" s="45"/>
      <c r="Q117" s="45"/>
      <c r="R117" s="48"/>
      <c r="S117" s="49" t="s">
        <v>1794</v>
      </c>
      <c r="T117" s="50"/>
      <c r="U117" s="360" t="str">
        <f>Schlüssel!$AG$1</f>
        <v>02.11./03.11.</v>
      </c>
      <c r="V117" s="361"/>
      <c r="W117" s="362"/>
      <c r="AC117" s="51"/>
    </row>
    <row r="118" spans="1:29" ht="17.25" customHeight="1" thickBot="1" x14ac:dyDescent="0.65">
      <c r="A118" s="52"/>
      <c r="B118" s="96">
        <f>+B89+1</f>
        <v>5</v>
      </c>
      <c r="D118" s="46" t="s">
        <v>1793</v>
      </c>
      <c r="E118" s="54"/>
      <c r="F118" s="358" t="str">
        <f>Schlüssel!$W$2</f>
        <v>Regensburg Super Bowl</v>
      </c>
      <c r="G118" s="358"/>
      <c r="H118" s="358"/>
      <c r="I118" s="358"/>
      <c r="J118" s="358"/>
      <c r="K118" s="358"/>
      <c r="L118" s="358"/>
      <c r="M118" s="358"/>
      <c r="N118" s="358"/>
      <c r="O118" s="358"/>
      <c r="P118" s="55"/>
      <c r="Q118" s="55"/>
      <c r="S118" s="49" t="s">
        <v>1791</v>
      </c>
      <c r="T118" s="56">
        <v>2</v>
      </c>
      <c r="U118" s="50"/>
      <c r="V118" s="50"/>
      <c r="AC118" s="97"/>
    </row>
    <row r="119" spans="1:29" ht="15.75" customHeight="1" thickBot="1" x14ac:dyDescent="0.4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5" thickBot="1" x14ac:dyDescent="0.45">
      <c r="A120" s="2"/>
      <c r="B120" s="44"/>
      <c r="C120" s="63"/>
      <c r="D120" s="64" t="s">
        <v>10</v>
      </c>
      <c r="E120" s="44">
        <f>VLOOKUP(B118,Schlüssel!$A$5:$DZ$14,33)</f>
        <v>4</v>
      </c>
      <c r="F120" s="65" t="s">
        <v>10</v>
      </c>
      <c r="G120" s="44">
        <f>VLOOKUP(B118,Schlüssel!$A$5:$DZ$14,34)</f>
        <v>9</v>
      </c>
      <c r="H120" s="65" t="s">
        <v>10</v>
      </c>
      <c r="I120" s="44">
        <f>VLOOKUP(B118,Schlüssel!$A$5:$DZ$14,35)</f>
        <v>11</v>
      </c>
      <c r="J120" s="65" t="s">
        <v>10</v>
      </c>
      <c r="K120" s="44">
        <f>VLOOKUP(B118,Schlüssel!$A$5:$DZ$14,36)</f>
        <v>6</v>
      </c>
      <c r="L120" s="65" t="s">
        <v>10</v>
      </c>
      <c r="M120" s="44">
        <f>VLOOKUP(B118,Schlüssel!$A$5:$DZ$14,37)</f>
        <v>3</v>
      </c>
      <c r="N120" s="65" t="s">
        <v>10</v>
      </c>
      <c r="O120" s="44">
        <f>VLOOKUP(B118,Schlüssel!$A$5:$DZ$14,38)</f>
        <v>7</v>
      </c>
      <c r="P120" s="65" t="s">
        <v>10</v>
      </c>
      <c r="Q120" s="44">
        <f>VLOOKUP(B118,Schlüssel!$A$5:$DZ$14,39)</f>
        <v>10</v>
      </c>
      <c r="R120" s="65" t="s">
        <v>10</v>
      </c>
      <c r="S120" s="44">
        <f>VLOOKUP(B118,Schlüssel!$A$5:$DZ$14,40)</f>
        <v>12</v>
      </c>
      <c r="T120" s="65" t="s">
        <v>10</v>
      </c>
      <c r="U120" s="66">
        <f>VLOOKUP(B118,Schlüssel!$A$5:$DZ$14,41)</f>
        <v>8</v>
      </c>
    </row>
    <row r="121" spans="1:29" ht="20.25" customHeight="1" x14ac:dyDescent="0.35">
      <c r="B121" s="67" t="s">
        <v>1</v>
      </c>
      <c r="C121" s="68"/>
      <c r="D121" s="354" t="s">
        <v>1800</v>
      </c>
      <c r="E121" s="355"/>
      <c r="F121" s="354" t="s">
        <v>1801</v>
      </c>
      <c r="G121" s="355"/>
      <c r="H121" s="354" t="s">
        <v>1802</v>
      </c>
      <c r="I121" s="355"/>
      <c r="J121" s="354" t="s">
        <v>1803</v>
      </c>
      <c r="K121" s="355"/>
      <c r="L121" s="354" t="s">
        <v>1804</v>
      </c>
      <c r="M121" s="355"/>
      <c r="N121" s="354" t="s">
        <v>1805</v>
      </c>
      <c r="O121" s="355"/>
      <c r="P121" s="354" t="s">
        <v>1806</v>
      </c>
      <c r="Q121" s="355"/>
      <c r="R121" s="354" t="s">
        <v>1807</v>
      </c>
      <c r="S121" s="355"/>
      <c r="T121" s="354" t="s">
        <v>1808</v>
      </c>
      <c r="U121" s="355"/>
      <c r="V121" s="356" t="s">
        <v>1799</v>
      </c>
      <c r="W121" s="357"/>
    </row>
    <row r="122" spans="1:29" ht="15" customHeight="1" thickBot="1" x14ac:dyDescent="0.4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2" customHeight="1" x14ac:dyDescent="0.35">
      <c r="A123" s="351" t="s">
        <v>0</v>
      </c>
      <c r="B123" s="73"/>
      <c r="C123" s="74"/>
      <c r="D123" s="75"/>
      <c r="E123" s="348"/>
      <c r="F123" s="75"/>
      <c r="G123" s="348"/>
      <c r="H123" s="75"/>
      <c r="I123" s="348"/>
      <c r="J123" s="75"/>
      <c r="K123" s="348"/>
      <c r="L123" s="75"/>
      <c r="M123" s="348"/>
      <c r="N123" s="75"/>
      <c r="O123" s="348"/>
      <c r="P123" s="75"/>
      <c r="Q123" s="348"/>
      <c r="R123" s="75"/>
      <c r="S123" s="348"/>
      <c r="T123" s="75"/>
      <c r="U123" s="348"/>
      <c r="V123" s="75"/>
      <c r="W123" s="348"/>
    </row>
    <row r="124" spans="1:29" ht="17.2" customHeight="1" x14ac:dyDescent="0.35">
      <c r="A124" s="352"/>
      <c r="B124" s="76"/>
      <c r="C124" s="77"/>
      <c r="D124" s="78"/>
      <c r="E124" s="349"/>
      <c r="F124" s="78"/>
      <c r="G124" s="349"/>
      <c r="H124" s="78"/>
      <c r="I124" s="349"/>
      <c r="J124" s="78"/>
      <c r="K124" s="349"/>
      <c r="L124" s="78"/>
      <c r="M124" s="349"/>
      <c r="N124" s="78"/>
      <c r="O124" s="349"/>
      <c r="P124" s="78"/>
      <c r="Q124" s="349"/>
      <c r="R124" s="78"/>
      <c r="S124" s="349"/>
      <c r="T124" s="78"/>
      <c r="U124" s="349"/>
      <c r="V124" s="78"/>
      <c r="W124" s="349"/>
    </row>
    <row r="125" spans="1:29" ht="17.2" customHeight="1" thickBot="1" x14ac:dyDescent="0.4">
      <c r="A125" s="353"/>
      <c r="B125" s="79"/>
      <c r="C125" s="80"/>
      <c r="D125" s="69"/>
      <c r="E125" s="350"/>
      <c r="F125" s="69"/>
      <c r="G125" s="350"/>
      <c r="H125" s="69"/>
      <c r="I125" s="350"/>
      <c r="J125" s="69"/>
      <c r="K125" s="350"/>
      <c r="L125" s="69"/>
      <c r="M125" s="350"/>
      <c r="N125" s="69"/>
      <c r="O125" s="350"/>
      <c r="P125" s="69"/>
      <c r="Q125" s="350"/>
      <c r="R125" s="69"/>
      <c r="S125" s="350"/>
      <c r="T125" s="69"/>
      <c r="U125" s="350"/>
      <c r="V125" s="69"/>
      <c r="W125" s="350"/>
    </row>
    <row r="126" spans="1:29" ht="17.2" customHeight="1" x14ac:dyDescent="0.35">
      <c r="A126" s="351" t="s">
        <v>2</v>
      </c>
      <c r="B126" s="73"/>
      <c r="C126" s="74"/>
      <c r="D126" s="75"/>
      <c r="E126" s="348"/>
      <c r="F126" s="75"/>
      <c r="G126" s="348"/>
      <c r="H126" s="75"/>
      <c r="I126" s="348"/>
      <c r="J126" s="75"/>
      <c r="K126" s="348"/>
      <c r="L126" s="75"/>
      <c r="M126" s="348"/>
      <c r="N126" s="75"/>
      <c r="O126" s="348"/>
      <c r="P126" s="75"/>
      <c r="Q126" s="348"/>
      <c r="R126" s="75"/>
      <c r="S126" s="348"/>
      <c r="T126" s="75"/>
      <c r="U126" s="348"/>
      <c r="V126" s="75"/>
      <c r="W126" s="348"/>
    </row>
    <row r="127" spans="1:29" ht="17.2" customHeight="1" x14ac:dyDescent="0.35">
      <c r="A127" s="352"/>
      <c r="B127" s="76"/>
      <c r="C127" s="77"/>
      <c r="D127" s="78"/>
      <c r="E127" s="349"/>
      <c r="F127" s="78"/>
      <c r="G127" s="349"/>
      <c r="H127" s="78"/>
      <c r="I127" s="349"/>
      <c r="J127" s="78"/>
      <c r="K127" s="349"/>
      <c r="L127" s="78"/>
      <c r="M127" s="349"/>
      <c r="N127" s="78"/>
      <c r="O127" s="349"/>
      <c r="P127" s="78"/>
      <c r="Q127" s="349"/>
      <c r="R127" s="78"/>
      <c r="S127" s="349"/>
      <c r="T127" s="78"/>
      <c r="U127" s="349"/>
      <c r="V127" s="78"/>
      <c r="W127" s="349"/>
    </row>
    <row r="128" spans="1:29" ht="17.2" customHeight="1" thickBot="1" x14ac:dyDescent="0.4">
      <c r="A128" s="353"/>
      <c r="B128" s="79"/>
      <c r="C128" s="80"/>
      <c r="D128" s="69"/>
      <c r="E128" s="350"/>
      <c r="F128" s="69"/>
      <c r="G128" s="350"/>
      <c r="H128" s="69"/>
      <c r="I128" s="350"/>
      <c r="J128" s="69"/>
      <c r="K128" s="350"/>
      <c r="L128" s="69"/>
      <c r="M128" s="350"/>
      <c r="N128" s="69"/>
      <c r="O128" s="350"/>
      <c r="P128" s="69"/>
      <c r="Q128" s="350"/>
      <c r="R128" s="69"/>
      <c r="S128" s="350"/>
      <c r="T128" s="69"/>
      <c r="U128" s="350"/>
      <c r="V128" s="69"/>
      <c r="W128" s="350"/>
    </row>
    <row r="129" spans="1:23" ht="17.2" customHeight="1" x14ac:dyDescent="0.35">
      <c r="A129" s="351" t="s">
        <v>3</v>
      </c>
      <c r="B129" s="73"/>
      <c r="C129" s="74"/>
      <c r="D129" s="75"/>
      <c r="E129" s="348"/>
      <c r="F129" s="75"/>
      <c r="G129" s="348"/>
      <c r="H129" s="75"/>
      <c r="I129" s="348"/>
      <c r="J129" s="75"/>
      <c r="K129" s="348"/>
      <c r="L129" s="75"/>
      <c r="M129" s="348"/>
      <c r="N129" s="75"/>
      <c r="O129" s="348"/>
      <c r="P129" s="75"/>
      <c r="Q129" s="348"/>
      <c r="R129" s="75"/>
      <c r="S129" s="348"/>
      <c r="T129" s="75"/>
      <c r="U129" s="348"/>
      <c r="V129" s="75"/>
      <c r="W129" s="348"/>
    </row>
    <row r="130" spans="1:23" ht="17.2" customHeight="1" x14ac:dyDescent="0.35">
      <c r="A130" s="352"/>
      <c r="B130" s="76"/>
      <c r="C130" s="77"/>
      <c r="D130" s="78"/>
      <c r="E130" s="349"/>
      <c r="F130" s="78"/>
      <c r="G130" s="349"/>
      <c r="H130" s="78"/>
      <c r="I130" s="349"/>
      <c r="J130" s="78"/>
      <c r="K130" s="349"/>
      <c r="L130" s="78"/>
      <c r="M130" s="349"/>
      <c r="N130" s="78"/>
      <c r="O130" s="349"/>
      <c r="P130" s="78"/>
      <c r="Q130" s="349"/>
      <c r="R130" s="78"/>
      <c r="S130" s="349"/>
      <c r="T130" s="78"/>
      <c r="U130" s="349"/>
      <c r="V130" s="78"/>
      <c r="W130" s="349"/>
    </row>
    <row r="131" spans="1:23" ht="17.2" customHeight="1" thickBot="1" x14ac:dyDescent="0.4">
      <c r="A131" s="353"/>
      <c r="B131" s="79"/>
      <c r="C131" s="80"/>
      <c r="D131" s="69"/>
      <c r="E131" s="350"/>
      <c r="F131" s="69"/>
      <c r="G131" s="350"/>
      <c r="H131" s="69"/>
      <c r="I131" s="350"/>
      <c r="J131" s="69"/>
      <c r="K131" s="350"/>
      <c r="L131" s="69"/>
      <c r="M131" s="350"/>
      <c r="N131" s="69"/>
      <c r="O131" s="350"/>
      <c r="P131" s="69"/>
      <c r="Q131" s="350"/>
      <c r="R131" s="69"/>
      <c r="S131" s="350"/>
      <c r="T131" s="69"/>
      <c r="U131" s="350"/>
      <c r="V131" s="69"/>
      <c r="W131" s="350"/>
    </row>
    <row r="132" spans="1:23" ht="17.2" customHeight="1" x14ac:dyDescent="0.35">
      <c r="A132" s="351" t="s">
        <v>11</v>
      </c>
      <c r="B132" s="73"/>
      <c r="C132" s="74"/>
      <c r="D132" s="75"/>
      <c r="E132" s="348"/>
      <c r="F132" s="75"/>
      <c r="G132" s="348"/>
      <c r="H132" s="75"/>
      <c r="I132" s="348"/>
      <c r="J132" s="75"/>
      <c r="K132" s="348"/>
      <c r="L132" s="75"/>
      <c r="M132" s="348"/>
      <c r="N132" s="75"/>
      <c r="O132" s="348"/>
      <c r="P132" s="75"/>
      <c r="Q132" s="348"/>
      <c r="R132" s="75"/>
      <c r="S132" s="348"/>
      <c r="T132" s="75"/>
      <c r="U132" s="348"/>
      <c r="V132" s="75"/>
      <c r="W132" s="348"/>
    </row>
    <row r="133" spans="1:23" ht="17.2" customHeight="1" x14ac:dyDescent="0.35">
      <c r="A133" s="352"/>
      <c r="B133" s="76"/>
      <c r="C133" s="77"/>
      <c r="D133" s="78"/>
      <c r="E133" s="349"/>
      <c r="F133" s="78"/>
      <c r="G133" s="349"/>
      <c r="H133" s="78"/>
      <c r="I133" s="349"/>
      <c r="J133" s="78"/>
      <c r="K133" s="349"/>
      <c r="L133" s="78"/>
      <c r="M133" s="349"/>
      <c r="N133" s="78"/>
      <c r="O133" s="349"/>
      <c r="P133" s="78"/>
      <c r="Q133" s="349"/>
      <c r="R133" s="78"/>
      <c r="S133" s="349"/>
      <c r="T133" s="78"/>
      <c r="U133" s="349"/>
      <c r="V133" s="78"/>
      <c r="W133" s="349"/>
    </row>
    <row r="134" spans="1:23" ht="17.2" customHeight="1" thickBot="1" x14ac:dyDescent="0.4">
      <c r="A134" s="353"/>
      <c r="B134" s="79"/>
      <c r="C134" s="80"/>
      <c r="D134" s="69"/>
      <c r="E134" s="350"/>
      <c r="F134" s="69"/>
      <c r="G134" s="350"/>
      <c r="H134" s="69"/>
      <c r="I134" s="350"/>
      <c r="J134" s="69"/>
      <c r="K134" s="350"/>
      <c r="L134" s="69"/>
      <c r="M134" s="350"/>
      <c r="N134" s="69"/>
      <c r="O134" s="350"/>
      <c r="P134" s="69"/>
      <c r="Q134" s="350"/>
      <c r="R134" s="69"/>
      <c r="S134" s="350"/>
      <c r="T134" s="69"/>
      <c r="U134" s="350"/>
      <c r="V134" s="69"/>
      <c r="W134" s="350"/>
    </row>
    <row r="135" spans="1:23" ht="27.75" customHeight="1" thickBot="1" x14ac:dyDescent="0.4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4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3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35">
      <c r="B138" s="88" t="s">
        <v>1797</v>
      </c>
      <c r="C138" s="89" t="s">
        <v>1798</v>
      </c>
      <c r="D138" s="346">
        <f>VLOOKUP(B118,Schlüssel!$A$5:$DZ$14,23)</f>
        <v>4</v>
      </c>
      <c r="E138" s="346"/>
      <c r="F138" s="346">
        <f>VLOOKUP(B118,Schlüssel!$A$5:$DZ$14,24)</f>
        <v>10</v>
      </c>
      <c r="G138" s="346"/>
      <c r="H138" s="346">
        <f>VLOOKUP(B118,Schlüssel!$A$5:$DZ$14,25)</f>
        <v>6</v>
      </c>
      <c r="I138" s="346"/>
      <c r="J138" s="346">
        <f>VLOOKUP(B118,Schlüssel!$A$5:$DZ$14,26)</f>
        <v>2</v>
      </c>
      <c r="K138" s="346"/>
      <c r="L138" s="346">
        <f>VLOOKUP(B118,Schlüssel!$A$5:$DZ$14,27)</f>
        <v>7</v>
      </c>
      <c r="M138" s="346"/>
      <c r="N138" s="346">
        <f>VLOOKUP(B118,Schlüssel!$A$5:$DZ$14,28)</f>
        <v>1</v>
      </c>
      <c r="O138" s="346"/>
      <c r="P138" s="346">
        <f>VLOOKUP(B118,Schlüssel!$A$5:$DZ$14,29)</f>
        <v>3</v>
      </c>
      <c r="Q138" s="346"/>
      <c r="R138" s="346">
        <f>VLOOKUP(B118,Schlüssel!$A$5:$DZ$14,30)</f>
        <v>8</v>
      </c>
      <c r="S138" s="346"/>
      <c r="T138" s="346">
        <f>VLOOKUP(B118,Schlüssel!$A$5:$DZ$14,31)</f>
        <v>9</v>
      </c>
      <c r="U138" s="346"/>
      <c r="V138" s="347"/>
      <c r="W138" s="347"/>
    </row>
    <row r="139" spans="1:23" ht="28.5" customHeight="1" x14ac:dyDescent="0.35">
      <c r="B139" s="90"/>
      <c r="C139" s="86"/>
      <c r="D139" s="343" t="str">
        <f>VLOOKUP(D138,Schlüssel!$A$5:$K$14,2)</f>
        <v>BK München 3</v>
      </c>
      <c r="E139" s="344"/>
      <c r="F139" s="343" t="str">
        <f>VLOOKUP(F138,Schlüssel!$A$5:$K$14,2)</f>
        <v>BK München 4</v>
      </c>
      <c r="G139" s="344"/>
      <c r="H139" s="343" t="str">
        <f>VLOOKUP(H138,Schlüssel!$A$5:$K$14,2)</f>
        <v>Phönix 03 Lauf</v>
      </c>
      <c r="I139" s="344"/>
      <c r="J139" s="343" t="str">
        <f>VLOOKUP(J138,Schlüssel!$A$5:$K$14,2)</f>
        <v>BK München 2</v>
      </c>
      <c r="K139" s="344"/>
      <c r="L139" s="343" t="str">
        <f>VLOOKUP(L138,Schlüssel!$A$5:$K$14,2)</f>
        <v>Frankenpower Nürnberg</v>
      </c>
      <c r="M139" s="344"/>
      <c r="N139" s="343" t="str">
        <f>VLOOKUP(N138,Schlüssel!$A$5:$K$14,2)</f>
        <v>Praetoria Regensburg</v>
      </c>
      <c r="O139" s="344"/>
      <c r="P139" s="343" t="str">
        <f>VLOOKUP(P138,Schlüssel!$A$5:$K$14,2)</f>
        <v>Highroller Rosenheim</v>
      </c>
      <c r="Q139" s="344"/>
      <c r="R139" s="343" t="str">
        <f>VLOOKUP(R138,Schlüssel!$A$5:$K$14,2)</f>
        <v>EPA München 1</v>
      </c>
      <c r="S139" s="344"/>
      <c r="T139" s="343" t="str">
        <f>VLOOKUP(T138,Schlüssel!$A$5:$K$14,2)</f>
        <v>RW Lichtenhof 69 Stein 2</v>
      </c>
      <c r="U139" s="344"/>
      <c r="V139" s="345"/>
      <c r="W139" s="345"/>
    </row>
    <row r="140" spans="1:23" ht="12" customHeight="1" x14ac:dyDescent="0.35">
      <c r="B140" s="90"/>
      <c r="C140" s="86"/>
      <c r="D140" s="341"/>
      <c r="E140" s="341"/>
      <c r="F140" s="341"/>
      <c r="G140" s="341"/>
      <c r="H140" s="341"/>
      <c r="I140" s="341"/>
      <c r="J140" s="341"/>
      <c r="K140" s="341"/>
      <c r="L140" s="341"/>
      <c r="M140" s="341"/>
      <c r="N140" s="341"/>
      <c r="O140" s="341"/>
      <c r="P140" s="341"/>
      <c r="Q140" s="341"/>
      <c r="R140" s="341"/>
      <c r="S140" s="341"/>
      <c r="T140" s="341"/>
      <c r="U140" s="342"/>
      <c r="V140" s="301"/>
      <c r="W140" s="301"/>
    </row>
    <row r="141" spans="1:23" ht="16.05" customHeight="1" x14ac:dyDescent="0.35">
      <c r="B141" s="91" t="s">
        <v>0</v>
      </c>
      <c r="C141" s="92"/>
      <c r="D141" s="339"/>
      <c r="E141" s="339"/>
      <c r="F141" s="339"/>
      <c r="G141" s="339"/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40"/>
      <c r="W141" s="340"/>
    </row>
    <row r="142" spans="1:23" ht="16.05" customHeight="1" x14ac:dyDescent="0.35">
      <c r="B142" s="91" t="s">
        <v>2</v>
      </c>
      <c r="C142" s="92"/>
      <c r="D142" s="339"/>
      <c r="E142" s="339"/>
      <c r="F142" s="339"/>
      <c r="G142" s="339"/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40"/>
      <c r="W142" s="340"/>
    </row>
    <row r="143" spans="1:23" ht="16.05" customHeight="1" x14ac:dyDescent="0.35">
      <c r="B143" s="91" t="s">
        <v>3</v>
      </c>
      <c r="C143" s="92"/>
      <c r="D143" s="339"/>
      <c r="E143" s="339"/>
      <c r="F143" s="339"/>
      <c r="G143" s="339"/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40"/>
      <c r="W143" s="340"/>
    </row>
    <row r="144" spans="1:23" ht="16.05" customHeight="1" x14ac:dyDescent="0.35">
      <c r="B144" s="91" t="s">
        <v>11</v>
      </c>
      <c r="C144" s="92"/>
      <c r="D144" s="339"/>
      <c r="E144" s="339"/>
      <c r="F144" s="339"/>
      <c r="G144" s="339"/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40"/>
      <c r="W144" s="340"/>
    </row>
    <row r="145" spans="1:29" ht="16.05" customHeight="1" x14ac:dyDescent="0.35">
      <c r="B145" s="93" t="s">
        <v>1799</v>
      </c>
      <c r="C145" s="94"/>
      <c r="D145" s="338"/>
      <c r="E145" s="338"/>
      <c r="F145" s="338"/>
      <c r="G145" s="338"/>
      <c r="H145" s="338"/>
      <c r="I145" s="338"/>
      <c r="J145" s="338"/>
      <c r="K145" s="338"/>
      <c r="L145" s="338"/>
      <c r="M145" s="338"/>
      <c r="N145" s="338"/>
      <c r="O145" s="338"/>
      <c r="P145" s="338"/>
      <c r="Q145" s="338"/>
      <c r="R145" s="338"/>
      <c r="S145" s="338"/>
      <c r="T145" s="338"/>
      <c r="U145" s="338"/>
      <c r="V145" s="290"/>
      <c r="W145" s="290"/>
    </row>
    <row r="146" spans="1:29" ht="21" customHeight="1" x14ac:dyDescent="0.7">
      <c r="B146" s="44" t="s">
        <v>1813</v>
      </c>
      <c r="C146" s="45"/>
      <c r="D146" s="46" t="s">
        <v>1792</v>
      </c>
      <c r="E146" s="47"/>
      <c r="F146" s="359" t="str">
        <f>Schlüssel!$C$1</f>
        <v>Bayernliga Frauen</v>
      </c>
      <c r="G146" s="359"/>
      <c r="H146" s="359"/>
      <c r="I146" s="359"/>
      <c r="J146" s="359"/>
      <c r="K146" s="359"/>
      <c r="L146" s="359"/>
      <c r="M146" s="359"/>
      <c r="N146" s="359"/>
      <c r="O146" s="359"/>
      <c r="P146" s="45"/>
      <c r="Q146" s="45"/>
      <c r="R146" s="48"/>
      <c r="S146" s="49" t="s">
        <v>1794</v>
      </c>
      <c r="T146" s="50"/>
      <c r="U146" s="360" t="str">
        <f>Schlüssel!$AG$1</f>
        <v>02.11./03.11.</v>
      </c>
      <c r="V146" s="361"/>
      <c r="W146" s="362"/>
      <c r="AC146" s="51"/>
    </row>
    <row r="147" spans="1:29" ht="17.25" customHeight="1" thickBot="1" x14ac:dyDescent="0.65">
      <c r="A147" s="52"/>
      <c r="B147" s="96">
        <f>+B118+1</f>
        <v>6</v>
      </c>
      <c r="D147" s="46" t="s">
        <v>1793</v>
      </c>
      <c r="E147" s="54"/>
      <c r="F147" s="358" t="str">
        <f>Schlüssel!$W$2</f>
        <v>Regensburg Super Bowl</v>
      </c>
      <c r="G147" s="358"/>
      <c r="H147" s="358"/>
      <c r="I147" s="358"/>
      <c r="J147" s="358"/>
      <c r="K147" s="358"/>
      <c r="L147" s="358"/>
      <c r="M147" s="358"/>
      <c r="N147" s="358"/>
      <c r="O147" s="358"/>
      <c r="P147" s="55"/>
      <c r="Q147" s="55"/>
      <c r="S147" s="49" t="s">
        <v>1791</v>
      </c>
      <c r="T147" s="56">
        <v>2</v>
      </c>
      <c r="U147" s="50"/>
      <c r="V147" s="50"/>
      <c r="AC147" s="97"/>
    </row>
    <row r="148" spans="1:29" ht="15.75" customHeight="1" thickBot="1" x14ac:dyDescent="0.4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5" thickBot="1" x14ac:dyDescent="0.45">
      <c r="A149" s="2"/>
      <c r="B149" s="44"/>
      <c r="C149" s="63"/>
      <c r="D149" s="64" t="s">
        <v>10</v>
      </c>
      <c r="E149" s="44">
        <f>VLOOKUP(B147,Schlüssel!$A$5:$DZ$14,33)</f>
        <v>7</v>
      </c>
      <c r="F149" s="65" t="s">
        <v>10</v>
      </c>
      <c r="G149" s="44">
        <f>VLOOKUP(B147,Schlüssel!$A$5:$DZ$14,34)</f>
        <v>3</v>
      </c>
      <c r="H149" s="65" t="s">
        <v>10</v>
      </c>
      <c r="I149" s="44">
        <f>VLOOKUP(B147,Schlüssel!$A$5:$DZ$14,35)</f>
        <v>12</v>
      </c>
      <c r="J149" s="65" t="s">
        <v>10</v>
      </c>
      <c r="K149" s="44">
        <f>VLOOKUP(B147,Schlüssel!$A$5:$DZ$14,36)</f>
        <v>8</v>
      </c>
      <c r="L149" s="65" t="s">
        <v>10</v>
      </c>
      <c r="M149" s="44">
        <f>VLOOKUP(B147,Schlüssel!$A$5:$DZ$14,37)</f>
        <v>9</v>
      </c>
      <c r="N149" s="65" t="s">
        <v>10</v>
      </c>
      <c r="O149" s="44">
        <f>VLOOKUP(B147,Schlüssel!$A$5:$DZ$14,38)</f>
        <v>6</v>
      </c>
      <c r="P149" s="65" t="s">
        <v>10</v>
      </c>
      <c r="Q149" s="44">
        <f>VLOOKUP(B147,Schlüssel!$A$5:$DZ$14,39)</f>
        <v>11</v>
      </c>
      <c r="R149" s="65" t="s">
        <v>10</v>
      </c>
      <c r="S149" s="44">
        <f>VLOOKUP(B147,Schlüssel!$A$5:$DZ$14,40)</f>
        <v>4</v>
      </c>
      <c r="T149" s="65" t="s">
        <v>10</v>
      </c>
      <c r="U149" s="66">
        <f>VLOOKUP(B147,Schlüssel!$A$5:$DZ$14,41)</f>
        <v>5</v>
      </c>
    </row>
    <row r="150" spans="1:29" ht="20.25" customHeight="1" x14ac:dyDescent="0.35">
      <c r="B150" s="67" t="s">
        <v>1</v>
      </c>
      <c r="C150" s="68"/>
      <c r="D150" s="354" t="s">
        <v>1800</v>
      </c>
      <c r="E150" s="355"/>
      <c r="F150" s="354" t="s">
        <v>1801</v>
      </c>
      <c r="G150" s="355"/>
      <c r="H150" s="354" t="s">
        <v>1802</v>
      </c>
      <c r="I150" s="355"/>
      <c r="J150" s="354" t="s">
        <v>1803</v>
      </c>
      <c r="K150" s="355"/>
      <c r="L150" s="354" t="s">
        <v>1804</v>
      </c>
      <c r="M150" s="355"/>
      <c r="N150" s="354" t="s">
        <v>1805</v>
      </c>
      <c r="O150" s="355"/>
      <c r="P150" s="354" t="s">
        <v>1806</v>
      </c>
      <c r="Q150" s="355"/>
      <c r="R150" s="354" t="s">
        <v>1807</v>
      </c>
      <c r="S150" s="355"/>
      <c r="T150" s="354" t="s">
        <v>1808</v>
      </c>
      <c r="U150" s="355"/>
      <c r="V150" s="356" t="s">
        <v>1799</v>
      </c>
      <c r="W150" s="357"/>
    </row>
    <row r="151" spans="1:29" ht="15" customHeight="1" thickBot="1" x14ac:dyDescent="0.4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2" customHeight="1" x14ac:dyDescent="0.35">
      <c r="A152" s="351" t="s">
        <v>0</v>
      </c>
      <c r="B152" s="73"/>
      <c r="C152" s="74"/>
      <c r="D152" s="75"/>
      <c r="E152" s="348"/>
      <c r="F152" s="75"/>
      <c r="G152" s="348"/>
      <c r="H152" s="75"/>
      <c r="I152" s="348"/>
      <c r="J152" s="75"/>
      <c r="K152" s="348"/>
      <c r="L152" s="75"/>
      <c r="M152" s="348"/>
      <c r="N152" s="75"/>
      <c r="O152" s="348"/>
      <c r="P152" s="75"/>
      <c r="Q152" s="348"/>
      <c r="R152" s="75"/>
      <c r="S152" s="348"/>
      <c r="T152" s="75"/>
      <c r="U152" s="348"/>
      <c r="V152" s="75"/>
      <c r="W152" s="348"/>
    </row>
    <row r="153" spans="1:29" ht="17.2" customHeight="1" x14ac:dyDescent="0.35">
      <c r="A153" s="352"/>
      <c r="B153" s="76"/>
      <c r="C153" s="77"/>
      <c r="D153" s="78"/>
      <c r="E153" s="349"/>
      <c r="F153" s="78"/>
      <c r="G153" s="349"/>
      <c r="H153" s="78"/>
      <c r="I153" s="349"/>
      <c r="J153" s="78"/>
      <c r="K153" s="349"/>
      <c r="L153" s="78"/>
      <c r="M153" s="349"/>
      <c r="N153" s="78"/>
      <c r="O153" s="349"/>
      <c r="P153" s="78"/>
      <c r="Q153" s="349"/>
      <c r="R153" s="78"/>
      <c r="S153" s="349"/>
      <c r="T153" s="78"/>
      <c r="U153" s="349"/>
      <c r="V153" s="78"/>
      <c r="W153" s="349"/>
    </row>
    <row r="154" spans="1:29" ht="17.2" customHeight="1" thickBot="1" x14ac:dyDescent="0.4">
      <c r="A154" s="353"/>
      <c r="B154" s="79"/>
      <c r="C154" s="80"/>
      <c r="D154" s="69"/>
      <c r="E154" s="350"/>
      <c r="F154" s="69"/>
      <c r="G154" s="350"/>
      <c r="H154" s="69"/>
      <c r="I154" s="350"/>
      <c r="J154" s="69"/>
      <c r="K154" s="350"/>
      <c r="L154" s="69"/>
      <c r="M154" s="350"/>
      <c r="N154" s="69"/>
      <c r="O154" s="350"/>
      <c r="P154" s="69"/>
      <c r="Q154" s="350"/>
      <c r="R154" s="69"/>
      <c r="S154" s="350"/>
      <c r="T154" s="69"/>
      <c r="U154" s="350"/>
      <c r="V154" s="69"/>
      <c r="W154" s="350"/>
    </row>
    <row r="155" spans="1:29" ht="17.2" customHeight="1" x14ac:dyDescent="0.35">
      <c r="A155" s="351" t="s">
        <v>2</v>
      </c>
      <c r="B155" s="73"/>
      <c r="C155" s="74"/>
      <c r="D155" s="75"/>
      <c r="E155" s="348"/>
      <c r="F155" s="75"/>
      <c r="G155" s="348"/>
      <c r="H155" s="75"/>
      <c r="I155" s="348"/>
      <c r="J155" s="75"/>
      <c r="K155" s="348"/>
      <c r="L155" s="75"/>
      <c r="M155" s="348"/>
      <c r="N155" s="75"/>
      <c r="O155" s="348"/>
      <c r="P155" s="75"/>
      <c r="Q155" s="348"/>
      <c r="R155" s="75"/>
      <c r="S155" s="348"/>
      <c r="T155" s="75"/>
      <c r="U155" s="348"/>
      <c r="V155" s="75"/>
      <c r="W155" s="348"/>
    </row>
    <row r="156" spans="1:29" ht="17.2" customHeight="1" x14ac:dyDescent="0.35">
      <c r="A156" s="352"/>
      <c r="B156" s="76"/>
      <c r="C156" s="77"/>
      <c r="D156" s="78"/>
      <c r="E156" s="349"/>
      <c r="F156" s="78"/>
      <c r="G156" s="349"/>
      <c r="H156" s="78"/>
      <c r="I156" s="349"/>
      <c r="J156" s="78"/>
      <c r="K156" s="349"/>
      <c r="L156" s="78"/>
      <c r="M156" s="349"/>
      <c r="N156" s="78"/>
      <c r="O156" s="349"/>
      <c r="P156" s="78"/>
      <c r="Q156" s="349"/>
      <c r="R156" s="78"/>
      <c r="S156" s="349"/>
      <c r="T156" s="78"/>
      <c r="U156" s="349"/>
      <c r="V156" s="78"/>
      <c r="W156" s="349"/>
    </row>
    <row r="157" spans="1:29" ht="17.2" customHeight="1" thickBot="1" x14ac:dyDescent="0.4">
      <c r="A157" s="353"/>
      <c r="B157" s="79"/>
      <c r="C157" s="80"/>
      <c r="D157" s="69"/>
      <c r="E157" s="350"/>
      <c r="F157" s="69"/>
      <c r="G157" s="350"/>
      <c r="H157" s="69"/>
      <c r="I157" s="350"/>
      <c r="J157" s="69"/>
      <c r="K157" s="350"/>
      <c r="L157" s="69"/>
      <c r="M157" s="350"/>
      <c r="N157" s="69"/>
      <c r="O157" s="350"/>
      <c r="P157" s="69"/>
      <c r="Q157" s="350"/>
      <c r="R157" s="69"/>
      <c r="S157" s="350"/>
      <c r="T157" s="69"/>
      <c r="U157" s="350"/>
      <c r="V157" s="69"/>
      <c r="W157" s="350"/>
    </row>
    <row r="158" spans="1:29" ht="17.2" customHeight="1" x14ac:dyDescent="0.35">
      <c r="A158" s="351" t="s">
        <v>3</v>
      </c>
      <c r="B158" s="73"/>
      <c r="C158" s="74"/>
      <c r="D158" s="75"/>
      <c r="E158" s="348"/>
      <c r="F158" s="75"/>
      <c r="G158" s="348"/>
      <c r="H158" s="75"/>
      <c r="I158" s="348"/>
      <c r="J158" s="75"/>
      <c r="K158" s="348"/>
      <c r="L158" s="75"/>
      <c r="M158" s="348"/>
      <c r="N158" s="75"/>
      <c r="O158" s="348"/>
      <c r="P158" s="75"/>
      <c r="Q158" s="348"/>
      <c r="R158" s="75"/>
      <c r="S158" s="348"/>
      <c r="T158" s="75"/>
      <c r="U158" s="348"/>
      <c r="V158" s="75"/>
      <c r="W158" s="348"/>
    </row>
    <row r="159" spans="1:29" ht="17.2" customHeight="1" x14ac:dyDescent="0.35">
      <c r="A159" s="352"/>
      <c r="B159" s="76"/>
      <c r="C159" s="77"/>
      <c r="D159" s="78"/>
      <c r="E159" s="349"/>
      <c r="F159" s="78"/>
      <c r="G159" s="349"/>
      <c r="H159" s="78"/>
      <c r="I159" s="349"/>
      <c r="J159" s="78"/>
      <c r="K159" s="349"/>
      <c r="L159" s="78"/>
      <c r="M159" s="349"/>
      <c r="N159" s="78"/>
      <c r="O159" s="349"/>
      <c r="P159" s="78"/>
      <c r="Q159" s="349"/>
      <c r="R159" s="78"/>
      <c r="S159" s="349"/>
      <c r="T159" s="78"/>
      <c r="U159" s="349"/>
      <c r="V159" s="78"/>
      <c r="W159" s="349"/>
    </row>
    <row r="160" spans="1:29" ht="17.2" customHeight="1" thickBot="1" x14ac:dyDescent="0.4">
      <c r="A160" s="353"/>
      <c r="B160" s="79"/>
      <c r="C160" s="80"/>
      <c r="D160" s="69"/>
      <c r="E160" s="350"/>
      <c r="F160" s="69"/>
      <c r="G160" s="350"/>
      <c r="H160" s="69"/>
      <c r="I160" s="350"/>
      <c r="J160" s="69"/>
      <c r="K160" s="350"/>
      <c r="L160" s="69"/>
      <c r="M160" s="350"/>
      <c r="N160" s="69"/>
      <c r="O160" s="350"/>
      <c r="P160" s="69"/>
      <c r="Q160" s="350"/>
      <c r="R160" s="69"/>
      <c r="S160" s="350"/>
      <c r="T160" s="69"/>
      <c r="U160" s="350"/>
      <c r="V160" s="69"/>
      <c r="W160" s="350"/>
    </row>
    <row r="161" spans="1:29" ht="17.2" customHeight="1" x14ac:dyDescent="0.35">
      <c r="A161" s="351" t="s">
        <v>11</v>
      </c>
      <c r="B161" s="73"/>
      <c r="C161" s="74"/>
      <c r="D161" s="75"/>
      <c r="E161" s="348"/>
      <c r="F161" s="75"/>
      <c r="G161" s="348"/>
      <c r="H161" s="75"/>
      <c r="I161" s="348"/>
      <c r="J161" s="75"/>
      <c r="K161" s="348"/>
      <c r="L161" s="75"/>
      <c r="M161" s="348"/>
      <c r="N161" s="75"/>
      <c r="O161" s="348"/>
      <c r="P161" s="75"/>
      <c r="Q161" s="348"/>
      <c r="R161" s="75"/>
      <c r="S161" s="348"/>
      <c r="T161" s="75"/>
      <c r="U161" s="348"/>
      <c r="V161" s="75"/>
      <c r="W161" s="348"/>
    </row>
    <row r="162" spans="1:29" ht="17.2" customHeight="1" x14ac:dyDescent="0.35">
      <c r="A162" s="352"/>
      <c r="B162" s="76"/>
      <c r="C162" s="77"/>
      <c r="D162" s="78"/>
      <c r="E162" s="349"/>
      <c r="F162" s="78"/>
      <c r="G162" s="349"/>
      <c r="H162" s="78"/>
      <c r="I162" s="349"/>
      <c r="J162" s="78"/>
      <c r="K162" s="349"/>
      <c r="L162" s="78"/>
      <c r="M162" s="349"/>
      <c r="N162" s="78"/>
      <c r="O162" s="349"/>
      <c r="P162" s="78"/>
      <c r="Q162" s="349"/>
      <c r="R162" s="78"/>
      <c r="S162" s="349"/>
      <c r="T162" s="78"/>
      <c r="U162" s="349"/>
      <c r="V162" s="78"/>
      <c r="W162" s="349"/>
    </row>
    <row r="163" spans="1:29" ht="17.2" customHeight="1" thickBot="1" x14ac:dyDescent="0.4">
      <c r="A163" s="353"/>
      <c r="B163" s="79"/>
      <c r="C163" s="80"/>
      <c r="D163" s="69"/>
      <c r="E163" s="350"/>
      <c r="F163" s="69"/>
      <c r="G163" s="350"/>
      <c r="H163" s="69"/>
      <c r="I163" s="350"/>
      <c r="J163" s="69"/>
      <c r="K163" s="350"/>
      <c r="L163" s="69"/>
      <c r="M163" s="350"/>
      <c r="N163" s="69"/>
      <c r="O163" s="350"/>
      <c r="P163" s="69"/>
      <c r="Q163" s="350"/>
      <c r="R163" s="69"/>
      <c r="S163" s="350"/>
      <c r="T163" s="69"/>
      <c r="U163" s="350"/>
      <c r="V163" s="69"/>
      <c r="W163" s="350"/>
    </row>
    <row r="164" spans="1:29" ht="27.75" customHeight="1" thickBot="1" x14ac:dyDescent="0.4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4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3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35">
      <c r="B167" s="88" t="s">
        <v>1797</v>
      </c>
      <c r="C167" s="89" t="s">
        <v>1798</v>
      </c>
      <c r="D167" s="346">
        <f>VLOOKUP(B147,Schlüssel!$A$5:$DZ$14,23)</f>
        <v>10</v>
      </c>
      <c r="E167" s="346"/>
      <c r="F167" s="346">
        <f>VLOOKUP(B147,Schlüssel!$A$5:$DZ$14,24)</f>
        <v>9</v>
      </c>
      <c r="G167" s="346"/>
      <c r="H167" s="346">
        <f>VLOOKUP(B147,Schlüssel!$A$5:$DZ$14,25)</f>
        <v>5</v>
      </c>
      <c r="I167" s="346"/>
      <c r="J167" s="346">
        <f>VLOOKUP(B147,Schlüssel!$A$5:$DZ$14,26)</f>
        <v>3</v>
      </c>
      <c r="K167" s="346"/>
      <c r="L167" s="346">
        <f>VLOOKUP(B147,Schlüssel!$A$5:$DZ$14,27)</f>
        <v>4</v>
      </c>
      <c r="M167" s="346"/>
      <c r="N167" s="346">
        <f>VLOOKUP(B147,Schlüssel!$A$5:$DZ$14,28)</f>
        <v>8</v>
      </c>
      <c r="O167" s="346"/>
      <c r="P167" s="346">
        <f>VLOOKUP(B147,Schlüssel!$A$5:$DZ$14,29)</f>
        <v>1</v>
      </c>
      <c r="Q167" s="346"/>
      <c r="R167" s="346">
        <f>VLOOKUP(B147,Schlüssel!$A$5:$DZ$14,30)</f>
        <v>7</v>
      </c>
      <c r="S167" s="346"/>
      <c r="T167" s="346">
        <f>VLOOKUP(B147,Schlüssel!$A$5:$DZ$14,31)</f>
        <v>2</v>
      </c>
      <c r="U167" s="346"/>
      <c r="V167" s="347"/>
      <c r="W167" s="347"/>
    </row>
    <row r="168" spans="1:29" ht="28.5" customHeight="1" x14ac:dyDescent="0.35">
      <c r="B168" s="90"/>
      <c r="C168" s="86"/>
      <c r="D168" s="343" t="str">
        <f>VLOOKUP(D167,Schlüssel!$A$5:$K$14,2)</f>
        <v>BK München 4</v>
      </c>
      <c r="E168" s="344"/>
      <c r="F168" s="343" t="str">
        <f>VLOOKUP(F167,Schlüssel!$A$5:$K$14,2)</f>
        <v>RW Lichtenhof 69 Stein 2</v>
      </c>
      <c r="G168" s="344"/>
      <c r="H168" s="343" t="str">
        <f>VLOOKUP(H167,Schlüssel!$A$5:$K$14,2)</f>
        <v xml:space="preserve">Weiß Blau Unterföhring </v>
      </c>
      <c r="I168" s="344"/>
      <c r="J168" s="343" t="str">
        <f>VLOOKUP(J167,Schlüssel!$A$5:$K$14,2)</f>
        <v>Highroller Rosenheim</v>
      </c>
      <c r="K168" s="344"/>
      <c r="L168" s="343" t="str">
        <f>VLOOKUP(L167,Schlüssel!$A$5:$K$14,2)</f>
        <v>BK München 3</v>
      </c>
      <c r="M168" s="344"/>
      <c r="N168" s="343" t="str">
        <f>VLOOKUP(N167,Schlüssel!$A$5:$K$14,2)</f>
        <v>EPA München 1</v>
      </c>
      <c r="O168" s="344"/>
      <c r="P168" s="343" t="str">
        <f>VLOOKUP(P167,Schlüssel!$A$5:$K$14,2)</f>
        <v>Praetoria Regensburg</v>
      </c>
      <c r="Q168" s="344"/>
      <c r="R168" s="343" t="str">
        <f>VLOOKUP(R167,Schlüssel!$A$5:$K$14,2)</f>
        <v>Frankenpower Nürnberg</v>
      </c>
      <c r="S168" s="344"/>
      <c r="T168" s="343" t="str">
        <f>VLOOKUP(T167,Schlüssel!$A$5:$K$14,2)</f>
        <v>BK München 2</v>
      </c>
      <c r="U168" s="344"/>
      <c r="V168" s="345"/>
      <c r="W168" s="345"/>
    </row>
    <row r="169" spans="1:29" ht="12" customHeight="1" x14ac:dyDescent="0.35">
      <c r="B169" s="90"/>
      <c r="C169" s="86"/>
      <c r="D169" s="341"/>
      <c r="E169" s="341"/>
      <c r="F169" s="341"/>
      <c r="G169" s="341"/>
      <c r="H169" s="341"/>
      <c r="I169" s="341"/>
      <c r="J169" s="341"/>
      <c r="K169" s="341"/>
      <c r="L169" s="341"/>
      <c r="M169" s="341"/>
      <c r="N169" s="341"/>
      <c r="O169" s="341"/>
      <c r="P169" s="341"/>
      <c r="Q169" s="341"/>
      <c r="R169" s="341"/>
      <c r="S169" s="341"/>
      <c r="T169" s="341"/>
      <c r="U169" s="342"/>
      <c r="V169" s="301"/>
      <c r="W169" s="301"/>
    </row>
    <row r="170" spans="1:29" ht="16.05" customHeight="1" x14ac:dyDescent="0.35">
      <c r="B170" s="91" t="s">
        <v>0</v>
      </c>
      <c r="C170" s="92"/>
      <c r="D170" s="339"/>
      <c r="E170" s="339"/>
      <c r="F170" s="339"/>
      <c r="G170" s="339"/>
      <c r="H170" s="339"/>
      <c r="I170" s="339"/>
      <c r="J170" s="339"/>
      <c r="K170" s="339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40"/>
      <c r="W170" s="340"/>
    </row>
    <row r="171" spans="1:29" ht="16.05" customHeight="1" x14ac:dyDescent="0.35">
      <c r="B171" s="91" t="s">
        <v>2</v>
      </c>
      <c r="C171" s="92"/>
      <c r="D171" s="339"/>
      <c r="E171" s="339"/>
      <c r="F171" s="339"/>
      <c r="G171" s="339"/>
      <c r="H171" s="339"/>
      <c r="I171" s="339"/>
      <c r="J171" s="339"/>
      <c r="K171" s="33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40"/>
      <c r="W171" s="340"/>
    </row>
    <row r="172" spans="1:29" ht="16.05" customHeight="1" x14ac:dyDescent="0.35">
      <c r="B172" s="91" t="s">
        <v>3</v>
      </c>
      <c r="C172" s="92"/>
      <c r="D172" s="339"/>
      <c r="E172" s="339"/>
      <c r="F172" s="339"/>
      <c r="G172" s="339"/>
      <c r="H172" s="339"/>
      <c r="I172" s="339"/>
      <c r="J172" s="339"/>
      <c r="K172" s="339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40"/>
      <c r="W172" s="340"/>
    </row>
    <row r="173" spans="1:29" ht="16.05" customHeight="1" x14ac:dyDescent="0.35">
      <c r="B173" s="91" t="s">
        <v>11</v>
      </c>
      <c r="C173" s="92"/>
      <c r="D173" s="339"/>
      <c r="E173" s="339"/>
      <c r="F173" s="339"/>
      <c r="G173" s="339"/>
      <c r="H173" s="339"/>
      <c r="I173" s="339"/>
      <c r="J173" s="339"/>
      <c r="K173" s="339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40"/>
      <c r="W173" s="340"/>
    </row>
    <row r="174" spans="1:29" ht="16.05" customHeight="1" x14ac:dyDescent="0.35">
      <c r="B174" s="93" t="s">
        <v>1799</v>
      </c>
      <c r="C174" s="94"/>
      <c r="D174" s="338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290"/>
      <c r="W174" s="290"/>
    </row>
    <row r="175" spans="1:29" ht="21" customHeight="1" x14ac:dyDescent="0.7">
      <c r="B175" s="44" t="s">
        <v>1813</v>
      </c>
      <c r="C175" s="45"/>
      <c r="D175" s="46" t="s">
        <v>1792</v>
      </c>
      <c r="E175" s="47"/>
      <c r="F175" s="359" t="str">
        <f>Schlüssel!$C$1</f>
        <v>Bayernliga Frauen</v>
      </c>
      <c r="G175" s="359"/>
      <c r="H175" s="359"/>
      <c r="I175" s="359"/>
      <c r="J175" s="359"/>
      <c r="K175" s="359"/>
      <c r="L175" s="359"/>
      <c r="M175" s="359"/>
      <c r="N175" s="359"/>
      <c r="O175" s="359"/>
      <c r="P175" s="45"/>
      <c r="Q175" s="45"/>
      <c r="R175" s="48"/>
      <c r="S175" s="49" t="s">
        <v>1794</v>
      </c>
      <c r="T175" s="50"/>
      <c r="U175" s="360" t="str">
        <f>Schlüssel!$AG$1</f>
        <v>02.11./03.11.</v>
      </c>
      <c r="V175" s="361"/>
      <c r="W175" s="362"/>
      <c r="AC175" s="51"/>
    </row>
    <row r="176" spans="1:29" ht="17.25" customHeight="1" thickBot="1" x14ac:dyDescent="0.65">
      <c r="A176" s="52"/>
      <c r="B176" s="96">
        <f>+B147+1</f>
        <v>7</v>
      </c>
      <c r="D176" s="46" t="s">
        <v>1793</v>
      </c>
      <c r="E176" s="54"/>
      <c r="F176" s="358" t="str">
        <f>Schlüssel!$W$2</f>
        <v>Regensburg Super Bowl</v>
      </c>
      <c r="G176" s="358"/>
      <c r="H176" s="358"/>
      <c r="I176" s="358"/>
      <c r="J176" s="358"/>
      <c r="K176" s="358"/>
      <c r="L176" s="358"/>
      <c r="M176" s="358"/>
      <c r="N176" s="358"/>
      <c r="O176" s="358"/>
      <c r="P176" s="55"/>
      <c r="Q176" s="55"/>
      <c r="S176" s="49" t="s">
        <v>1791</v>
      </c>
      <c r="T176" s="56">
        <v>2</v>
      </c>
      <c r="U176" s="50"/>
      <c r="V176" s="50"/>
      <c r="AC176" s="97"/>
    </row>
    <row r="177" spans="1:23" ht="15.75" customHeight="1" thickBot="1" x14ac:dyDescent="0.4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5" thickBot="1" x14ac:dyDescent="0.45">
      <c r="A178" s="2"/>
      <c r="B178" s="44"/>
      <c r="C178" s="63"/>
      <c r="D178" s="64" t="s">
        <v>10</v>
      </c>
      <c r="E178" s="44">
        <f>VLOOKUP(B176,Schlüssel!$A$5:$DZ$14,33)</f>
        <v>12</v>
      </c>
      <c r="F178" s="65" t="s">
        <v>10</v>
      </c>
      <c r="G178" s="44">
        <f>VLOOKUP(B176,Schlüssel!$A$5:$DZ$14,34)</f>
        <v>7</v>
      </c>
      <c r="H178" s="65" t="s">
        <v>10</v>
      </c>
      <c r="I178" s="44">
        <f>VLOOKUP(B176,Schlüssel!$A$5:$DZ$14,35)</f>
        <v>5</v>
      </c>
      <c r="J178" s="65" t="s">
        <v>10</v>
      </c>
      <c r="K178" s="44">
        <f>VLOOKUP(B176,Schlüssel!$A$5:$DZ$14,36)</f>
        <v>9</v>
      </c>
      <c r="L178" s="65" t="s">
        <v>10</v>
      </c>
      <c r="M178" s="44">
        <f>VLOOKUP(B176,Schlüssel!$A$5:$DZ$14,37)</f>
        <v>4</v>
      </c>
      <c r="N178" s="65" t="s">
        <v>10</v>
      </c>
      <c r="O178" s="44">
        <f>VLOOKUP(B176,Schlüssel!$A$5:$DZ$14,38)</f>
        <v>10</v>
      </c>
      <c r="P178" s="65" t="s">
        <v>10</v>
      </c>
      <c r="Q178" s="44">
        <f>VLOOKUP(B176,Schlüssel!$A$5:$DZ$14,39)</f>
        <v>8</v>
      </c>
      <c r="R178" s="65" t="s">
        <v>10</v>
      </c>
      <c r="S178" s="44">
        <f>VLOOKUP(B176,Schlüssel!$A$5:$DZ$14,40)</f>
        <v>3</v>
      </c>
      <c r="T178" s="65" t="s">
        <v>10</v>
      </c>
      <c r="U178" s="66">
        <f>VLOOKUP(B176,Schlüssel!$A$5:$DZ$14,41)</f>
        <v>11</v>
      </c>
    </row>
    <row r="179" spans="1:23" ht="20.25" customHeight="1" x14ac:dyDescent="0.35">
      <c r="B179" s="67" t="s">
        <v>1</v>
      </c>
      <c r="C179" s="68"/>
      <c r="D179" s="354" t="s">
        <v>1800</v>
      </c>
      <c r="E179" s="355"/>
      <c r="F179" s="354" t="s">
        <v>1801</v>
      </c>
      <c r="G179" s="355"/>
      <c r="H179" s="354" t="s">
        <v>1802</v>
      </c>
      <c r="I179" s="355"/>
      <c r="J179" s="354" t="s">
        <v>1803</v>
      </c>
      <c r="K179" s="355"/>
      <c r="L179" s="354" t="s">
        <v>1804</v>
      </c>
      <c r="M179" s="355"/>
      <c r="N179" s="354" t="s">
        <v>1805</v>
      </c>
      <c r="O179" s="355"/>
      <c r="P179" s="354" t="s">
        <v>1806</v>
      </c>
      <c r="Q179" s="355"/>
      <c r="R179" s="354" t="s">
        <v>1807</v>
      </c>
      <c r="S179" s="355"/>
      <c r="T179" s="354" t="s">
        <v>1808</v>
      </c>
      <c r="U179" s="355"/>
      <c r="V179" s="356" t="s">
        <v>1799</v>
      </c>
      <c r="W179" s="357"/>
    </row>
    <row r="180" spans="1:23" ht="15" customHeight="1" thickBot="1" x14ac:dyDescent="0.4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2" customHeight="1" x14ac:dyDescent="0.35">
      <c r="A181" s="351" t="s">
        <v>0</v>
      </c>
      <c r="B181" s="73"/>
      <c r="C181" s="74"/>
      <c r="D181" s="75"/>
      <c r="E181" s="348"/>
      <c r="F181" s="75"/>
      <c r="G181" s="348"/>
      <c r="H181" s="75"/>
      <c r="I181" s="348"/>
      <c r="J181" s="75"/>
      <c r="K181" s="348"/>
      <c r="L181" s="75"/>
      <c r="M181" s="348"/>
      <c r="N181" s="75"/>
      <c r="O181" s="348"/>
      <c r="P181" s="75"/>
      <c r="Q181" s="348"/>
      <c r="R181" s="75"/>
      <c r="S181" s="348"/>
      <c r="T181" s="75"/>
      <c r="U181" s="348"/>
      <c r="V181" s="75"/>
      <c r="W181" s="348"/>
    </row>
    <row r="182" spans="1:23" ht="17.2" customHeight="1" x14ac:dyDescent="0.35">
      <c r="A182" s="352"/>
      <c r="B182" s="76"/>
      <c r="C182" s="77"/>
      <c r="D182" s="78"/>
      <c r="E182" s="349"/>
      <c r="F182" s="78"/>
      <c r="G182" s="349"/>
      <c r="H182" s="78"/>
      <c r="I182" s="349"/>
      <c r="J182" s="78"/>
      <c r="K182" s="349"/>
      <c r="L182" s="78"/>
      <c r="M182" s="349"/>
      <c r="N182" s="78"/>
      <c r="O182" s="349"/>
      <c r="P182" s="78"/>
      <c r="Q182" s="349"/>
      <c r="R182" s="78"/>
      <c r="S182" s="349"/>
      <c r="T182" s="78"/>
      <c r="U182" s="349"/>
      <c r="V182" s="78"/>
      <c r="W182" s="349"/>
    </row>
    <row r="183" spans="1:23" ht="17.2" customHeight="1" thickBot="1" x14ac:dyDescent="0.4">
      <c r="A183" s="353"/>
      <c r="B183" s="79"/>
      <c r="C183" s="80"/>
      <c r="D183" s="69"/>
      <c r="E183" s="350"/>
      <c r="F183" s="69"/>
      <c r="G183" s="350"/>
      <c r="H183" s="69"/>
      <c r="I183" s="350"/>
      <c r="J183" s="69"/>
      <c r="K183" s="350"/>
      <c r="L183" s="69"/>
      <c r="M183" s="350"/>
      <c r="N183" s="69"/>
      <c r="O183" s="350"/>
      <c r="P183" s="69"/>
      <c r="Q183" s="350"/>
      <c r="R183" s="69"/>
      <c r="S183" s="350"/>
      <c r="T183" s="69"/>
      <c r="U183" s="350"/>
      <c r="V183" s="69"/>
      <c r="W183" s="350"/>
    </row>
    <row r="184" spans="1:23" ht="17.2" customHeight="1" x14ac:dyDescent="0.35">
      <c r="A184" s="351" t="s">
        <v>2</v>
      </c>
      <c r="B184" s="73"/>
      <c r="C184" s="74"/>
      <c r="D184" s="75"/>
      <c r="E184" s="348"/>
      <c r="F184" s="75"/>
      <c r="G184" s="348"/>
      <c r="H184" s="75"/>
      <c r="I184" s="348"/>
      <c r="J184" s="75"/>
      <c r="K184" s="348"/>
      <c r="L184" s="75"/>
      <c r="M184" s="348"/>
      <c r="N184" s="75"/>
      <c r="O184" s="348"/>
      <c r="P184" s="75"/>
      <c r="Q184" s="348"/>
      <c r="R184" s="75"/>
      <c r="S184" s="348"/>
      <c r="T184" s="75"/>
      <c r="U184" s="348"/>
      <c r="V184" s="75"/>
      <c r="W184" s="348"/>
    </row>
    <row r="185" spans="1:23" ht="17.2" customHeight="1" x14ac:dyDescent="0.35">
      <c r="A185" s="352"/>
      <c r="B185" s="76"/>
      <c r="C185" s="77"/>
      <c r="D185" s="78"/>
      <c r="E185" s="349"/>
      <c r="F185" s="78"/>
      <c r="G185" s="349"/>
      <c r="H185" s="78"/>
      <c r="I185" s="349"/>
      <c r="J185" s="78"/>
      <c r="K185" s="349"/>
      <c r="L185" s="78"/>
      <c r="M185" s="349"/>
      <c r="N185" s="78"/>
      <c r="O185" s="349"/>
      <c r="P185" s="78"/>
      <c r="Q185" s="349"/>
      <c r="R185" s="78"/>
      <c r="S185" s="349"/>
      <c r="T185" s="78"/>
      <c r="U185" s="349"/>
      <c r="V185" s="78"/>
      <c r="W185" s="349"/>
    </row>
    <row r="186" spans="1:23" ht="17.2" customHeight="1" thickBot="1" x14ac:dyDescent="0.4">
      <c r="A186" s="353"/>
      <c r="B186" s="79"/>
      <c r="C186" s="80"/>
      <c r="D186" s="69"/>
      <c r="E186" s="350"/>
      <c r="F186" s="69"/>
      <c r="G186" s="350"/>
      <c r="H186" s="69"/>
      <c r="I186" s="350"/>
      <c r="J186" s="69"/>
      <c r="K186" s="350"/>
      <c r="L186" s="69"/>
      <c r="M186" s="350"/>
      <c r="N186" s="69"/>
      <c r="O186" s="350"/>
      <c r="P186" s="69"/>
      <c r="Q186" s="350"/>
      <c r="R186" s="69"/>
      <c r="S186" s="350"/>
      <c r="T186" s="69"/>
      <c r="U186" s="350"/>
      <c r="V186" s="69"/>
      <c r="W186" s="350"/>
    </row>
    <row r="187" spans="1:23" ht="17.2" customHeight="1" x14ac:dyDescent="0.35">
      <c r="A187" s="351" t="s">
        <v>3</v>
      </c>
      <c r="B187" s="73"/>
      <c r="C187" s="74"/>
      <c r="D187" s="75"/>
      <c r="E187" s="348"/>
      <c r="F187" s="75"/>
      <c r="G187" s="348"/>
      <c r="H187" s="75"/>
      <c r="I187" s="348"/>
      <c r="J187" s="75"/>
      <c r="K187" s="348"/>
      <c r="L187" s="75"/>
      <c r="M187" s="348"/>
      <c r="N187" s="75"/>
      <c r="O187" s="348"/>
      <c r="P187" s="75"/>
      <c r="Q187" s="348"/>
      <c r="R187" s="75"/>
      <c r="S187" s="348"/>
      <c r="T187" s="75"/>
      <c r="U187" s="348"/>
      <c r="V187" s="75"/>
      <c r="W187" s="348"/>
    </row>
    <row r="188" spans="1:23" ht="17.2" customHeight="1" x14ac:dyDescent="0.35">
      <c r="A188" s="352"/>
      <c r="B188" s="76"/>
      <c r="C188" s="77"/>
      <c r="D188" s="78"/>
      <c r="E188" s="349"/>
      <c r="F188" s="78"/>
      <c r="G188" s="349"/>
      <c r="H188" s="78"/>
      <c r="I188" s="349"/>
      <c r="J188" s="78"/>
      <c r="K188" s="349"/>
      <c r="L188" s="78"/>
      <c r="M188" s="349"/>
      <c r="N188" s="78"/>
      <c r="O188" s="349"/>
      <c r="P188" s="78"/>
      <c r="Q188" s="349"/>
      <c r="R188" s="78"/>
      <c r="S188" s="349"/>
      <c r="T188" s="78"/>
      <c r="U188" s="349"/>
      <c r="V188" s="78"/>
      <c r="W188" s="349"/>
    </row>
    <row r="189" spans="1:23" ht="17.2" customHeight="1" thickBot="1" x14ac:dyDescent="0.4">
      <c r="A189" s="353"/>
      <c r="B189" s="79"/>
      <c r="C189" s="80"/>
      <c r="D189" s="69"/>
      <c r="E189" s="350"/>
      <c r="F189" s="69"/>
      <c r="G189" s="350"/>
      <c r="H189" s="69"/>
      <c r="I189" s="350"/>
      <c r="J189" s="69"/>
      <c r="K189" s="350"/>
      <c r="L189" s="69"/>
      <c r="M189" s="350"/>
      <c r="N189" s="69"/>
      <c r="O189" s="350"/>
      <c r="P189" s="69"/>
      <c r="Q189" s="350"/>
      <c r="R189" s="69"/>
      <c r="S189" s="350"/>
      <c r="T189" s="69"/>
      <c r="U189" s="350"/>
      <c r="V189" s="69"/>
      <c r="W189" s="350"/>
    </row>
    <row r="190" spans="1:23" ht="17.2" customHeight="1" x14ac:dyDescent="0.35">
      <c r="A190" s="351" t="s">
        <v>11</v>
      </c>
      <c r="B190" s="73"/>
      <c r="C190" s="74"/>
      <c r="D190" s="75"/>
      <c r="E190" s="348"/>
      <c r="F190" s="75"/>
      <c r="G190" s="348"/>
      <c r="H190" s="75"/>
      <c r="I190" s="348"/>
      <c r="J190" s="75"/>
      <c r="K190" s="348"/>
      <c r="L190" s="75"/>
      <c r="M190" s="348"/>
      <c r="N190" s="75"/>
      <c r="O190" s="348"/>
      <c r="P190" s="75"/>
      <c r="Q190" s="348"/>
      <c r="R190" s="75"/>
      <c r="S190" s="348"/>
      <c r="T190" s="75"/>
      <c r="U190" s="348"/>
      <c r="V190" s="75"/>
      <c r="W190" s="348"/>
    </row>
    <row r="191" spans="1:23" ht="17.2" customHeight="1" x14ac:dyDescent="0.35">
      <c r="A191" s="352"/>
      <c r="B191" s="76"/>
      <c r="C191" s="77"/>
      <c r="D191" s="78"/>
      <c r="E191" s="349"/>
      <c r="F191" s="78"/>
      <c r="G191" s="349"/>
      <c r="H191" s="78"/>
      <c r="I191" s="349"/>
      <c r="J191" s="78"/>
      <c r="K191" s="349"/>
      <c r="L191" s="78"/>
      <c r="M191" s="349"/>
      <c r="N191" s="78"/>
      <c r="O191" s="349"/>
      <c r="P191" s="78"/>
      <c r="Q191" s="349"/>
      <c r="R191" s="78"/>
      <c r="S191" s="349"/>
      <c r="T191" s="78"/>
      <c r="U191" s="349"/>
      <c r="V191" s="78"/>
      <c r="W191" s="349"/>
    </row>
    <row r="192" spans="1:23" ht="17.2" customHeight="1" thickBot="1" x14ac:dyDescent="0.4">
      <c r="A192" s="353"/>
      <c r="B192" s="79"/>
      <c r="C192" s="80"/>
      <c r="D192" s="69"/>
      <c r="E192" s="350"/>
      <c r="F192" s="69"/>
      <c r="G192" s="350"/>
      <c r="H192" s="69"/>
      <c r="I192" s="350"/>
      <c r="J192" s="69"/>
      <c r="K192" s="350"/>
      <c r="L192" s="69"/>
      <c r="M192" s="350"/>
      <c r="N192" s="69"/>
      <c r="O192" s="350"/>
      <c r="P192" s="69"/>
      <c r="Q192" s="350"/>
      <c r="R192" s="69"/>
      <c r="S192" s="350"/>
      <c r="T192" s="69"/>
      <c r="U192" s="350"/>
      <c r="V192" s="69"/>
      <c r="W192" s="350"/>
    </row>
    <row r="193" spans="1:29" ht="27.75" customHeight="1" thickBot="1" x14ac:dyDescent="0.4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4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3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35">
      <c r="B196" s="88" t="s">
        <v>1797</v>
      </c>
      <c r="C196" s="89" t="s">
        <v>1798</v>
      </c>
      <c r="D196" s="346">
        <f>VLOOKUP(B176,Schlüssel!$A$5:$DZ$14,23)</f>
        <v>3</v>
      </c>
      <c r="E196" s="346"/>
      <c r="F196" s="346">
        <f>VLOOKUP(B176,Schlüssel!$A$5:$DZ$14,24)</f>
        <v>8</v>
      </c>
      <c r="G196" s="346"/>
      <c r="H196" s="346">
        <f>VLOOKUP(B176,Schlüssel!$A$5:$DZ$14,25)</f>
        <v>9</v>
      </c>
      <c r="I196" s="346"/>
      <c r="J196" s="346">
        <f>VLOOKUP(B176,Schlüssel!$A$5:$DZ$14,26)</f>
        <v>1</v>
      </c>
      <c r="K196" s="346"/>
      <c r="L196" s="346">
        <f>VLOOKUP(B176,Schlüssel!$A$5:$DZ$14,27)</f>
        <v>5</v>
      </c>
      <c r="M196" s="346"/>
      <c r="N196" s="346">
        <f>VLOOKUP(B176,Schlüssel!$A$5:$DZ$14,28)</f>
        <v>2</v>
      </c>
      <c r="O196" s="346"/>
      <c r="P196" s="346">
        <f>VLOOKUP(B176,Schlüssel!$A$5:$DZ$14,29)</f>
        <v>10</v>
      </c>
      <c r="Q196" s="346"/>
      <c r="R196" s="346">
        <f>VLOOKUP(B176,Schlüssel!$A$5:$DZ$14,30)</f>
        <v>6</v>
      </c>
      <c r="S196" s="346"/>
      <c r="T196" s="346">
        <f>VLOOKUP(B176,Schlüssel!$A$5:$DZ$14,31)</f>
        <v>4</v>
      </c>
      <c r="U196" s="346"/>
      <c r="V196" s="347"/>
      <c r="W196" s="347"/>
    </row>
    <row r="197" spans="1:29" ht="28.5" customHeight="1" x14ac:dyDescent="0.35">
      <c r="B197" s="90"/>
      <c r="C197" s="86"/>
      <c r="D197" s="343" t="str">
        <f>VLOOKUP(D196,Schlüssel!$A$5:$K$14,2)</f>
        <v>Highroller Rosenheim</v>
      </c>
      <c r="E197" s="344"/>
      <c r="F197" s="343" t="str">
        <f>VLOOKUP(F196,Schlüssel!$A$5:$K$14,2)</f>
        <v>EPA München 1</v>
      </c>
      <c r="G197" s="344"/>
      <c r="H197" s="343" t="str">
        <f>VLOOKUP(H196,Schlüssel!$A$5:$K$14,2)</f>
        <v>RW Lichtenhof 69 Stein 2</v>
      </c>
      <c r="I197" s="344"/>
      <c r="J197" s="343" t="str">
        <f>VLOOKUP(J196,Schlüssel!$A$5:$K$14,2)</f>
        <v>Praetoria Regensburg</v>
      </c>
      <c r="K197" s="344"/>
      <c r="L197" s="343" t="str">
        <f>VLOOKUP(L196,Schlüssel!$A$5:$K$14,2)</f>
        <v xml:space="preserve">Weiß Blau Unterföhring </v>
      </c>
      <c r="M197" s="344"/>
      <c r="N197" s="343" t="str">
        <f>VLOOKUP(N196,Schlüssel!$A$5:$K$14,2)</f>
        <v>BK München 2</v>
      </c>
      <c r="O197" s="344"/>
      <c r="P197" s="343" t="str">
        <f>VLOOKUP(P196,Schlüssel!$A$5:$K$14,2)</f>
        <v>BK München 4</v>
      </c>
      <c r="Q197" s="344"/>
      <c r="R197" s="343" t="str">
        <f>VLOOKUP(R196,Schlüssel!$A$5:$K$14,2)</f>
        <v>Phönix 03 Lauf</v>
      </c>
      <c r="S197" s="344"/>
      <c r="T197" s="343" t="str">
        <f>VLOOKUP(T196,Schlüssel!$A$5:$K$14,2)</f>
        <v>BK München 3</v>
      </c>
      <c r="U197" s="344"/>
      <c r="V197" s="345"/>
      <c r="W197" s="345"/>
    </row>
    <row r="198" spans="1:29" ht="12" customHeight="1" x14ac:dyDescent="0.35">
      <c r="B198" s="90"/>
      <c r="C198" s="86"/>
      <c r="D198" s="341"/>
      <c r="E198" s="341"/>
      <c r="F198" s="341"/>
      <c r="G198" s="341"/>
      <c r="H198" s="341"/>
      <c r="I198" s="341"/>
      <c r="J198" s="341"/>
      <c r="K198" s="341"/>
      <c r="L198" s="341"/>
      <c r="M198" s="341"/>
      <c r="N198" s="341"/>
      <c r="O198" s="341"/>
      <c r="P198" s="341"/>
      <c r="Q198" s="341"/>
      <c r="R198" s="341"/>
      <c r="S198" s="341"/>
      <c r="T198" s="341"/>
      <c r="U198" s="342"/>
      <c r="V198" s="301"/>
      <c r="W198" s="301"/>
    </row>
    <row r="199" spans="1:29" ht="16.05" customHeight="1" x14ac:dyDescent="0.35">
      <c r="B199" s="91" t="s">
        <v>0</v>
      </c>
      <c r="C199" s="92"/>
      <c r="D199" s="339"/>
      <c r="E199" s="339"/>
      <c r="F199" s="339"/>
      <c r="G199" s="339"/>
      <c r="H199" s="339"/>
      <c r="I199" s="339"/>
      <c r="J199" s="339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40"/>
      <c r="W199" s="340"/>
    </row>
    <row r="200" spans="1:29" ht="16.05" customHeight="1" x14ac:dyDescent="0.35">
      <c r="B200" s="91" t="s">
        <v>2</v>
      </c>
      <c r="C200" s="92"/>
      <c r="D200" s="339"/>
      <c r="E200" s="339"/>
      <c r="F200" s="339"/>
      <c r="G200" s="339"/>
      <c r="H200" s="339"/>
      <c r="I200" s="339"/>
      <c r="J200" s="339"/>
      <c r="K200" s="33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40"/>
      <c r="W200" s="340"/>
    </row>
    <row r="201" spans="1:29" ht="16.05" customHeight="1" x14ac:dyDescent="0.35">
      <c r="B201" s="91" t="s">
        <v>3</v>
      </c>
      <c r="C201" s="92"/>
      <c r="D201" s="339"/>
      <c r="E201" s="339"/>
      <c r="F201" s="339"/>
      <c r="G201" s="339"/>
      <c r="H201" s="339"/>
      <c r="I201" s="339"/>
      <c r="J201" s="339"/>
      <c r="K201" s="339"/>
      <c r="L201" s="339"/>
      <c r="M201" s="339"/>
      <c r="N201" s="339"/>
      <c r="O201" s="339"/>
      <c r="P201" s="339"/>
      <c r="Q201" s="339"/>
      <c r="R201" s="339"/>
      <c r="S201" s="339"/>
      <c r="T201" s="339"/>
      <c r="U201" s="339"/>
      <c r="V201" s="340"/>
      <c r="W201" s="340"/>
    </row>
    <row r="202" spans="1:29" ht="16.05" customHeight="1" x14ac:dyDescent="0.35">
      <c r="B202" s="91" t="s">
        <v>11</v>
      </c>
      <c r="C202" s="92"/>
      <c r="D202" s="339"/>
      <c r="E202" s="339"/>
      <c r="F202" s="339"/>
      <c r="G202" s="339"/>
      <c r="H202" s="339"/>
      <c r="I202" s="339"/>
      <c r="J202" s="339"/>
      <c r="K202" s="339"/>
      <c r="L202" s="339"/>
      <c r="M202" s="339"/>
      <c r="N202" s="339"/>
      <c r="O202" s="339"/>
      <c r="P202" s="339"/>
      <c r="Q202" s="339"/>
      <c r="R202" s="339"/>
      <c r="S202" s="339"/>
      <c r="T202" s="339"/>
      <c r="U202" s="339"/>
      <c r="V202" s="340"/>
      <c r="W202" s="340"/>
    </row>
    <row r="203" spans="1:29" ht="16.05" customHeight="1" x14ac:dyDescent="0.35">
      <c r="B203" s="93" t="s">
        <v>1799</v>
      </c>
      <c r="C203" s="94"/>
      <c r="D203" s="338"/>
      <c r="E203" s="338"/>
      <c r="F203" s="338"/>
      <c r="G203" s="338"/>
      <c r="H203" s="338"/>
      <c r="I203" s="338"/>
      <c r="J203" s="338"/>
      <c r="K203" s="338"/>
      <c r="L203" s="338"/>
      <c r="M203" s="338"/>
      <c r="N203" s="338"/>
      <c r="O203" s="338"/>
      <c r="P203" s="338"/>
      <c r="Q203" s="338"/>
      <c r="R203" s="338"/>
      <c r="S203" s="338"/>
      <c r="T203" s="338"/>
      <c r="U203" s="338"/>
      <c r="V203" s="290"/>
      <c r="W203" s="290"/>
    </row>
    <row r="204" spans="1:29" ht="21" customHeight="1" x14ac:dyDescent="0.7">
      <c r="B204" s="44" t="s">
        <v>1813</v>
      </c>
      <c r="C204" s="45"/>
      <c r="D204" s="46" t="s">
        <v>1792</v>
      </c>
      <c r="E204" s="47"/>
      <c r="F204" s="359" t="str">
        <f>Schlüssel!$C$1</f>
        <v>Bayernliga Frauen</v>
      </c>
      <c r="G204" s="359"/>
      <c r="H204" s="359"/>
      <c r="I204" s="359"/>
      <c r="J204" s="359"/>
      <c r="K204" s="359"/>
      <c r="L204" s="359"/>
      <c r="M204" s="359"/>
      <c r="N204" s="359"/>
      <c r="O204" s="359"/>
      <c r="P204" s="45"/>
      <c r="Q204" s="45"/>
      <c r="R204" s="48"/>
      <c r="S204" s="49" t="s">
        <v>1794</v>
      </c>
      <c r="T204" s="50"/>
      <c r="U204" s="360" t="str">
        <f>Schlüssel!$AG$1</f>
        <v>02.11./03.11.</v>
      </c>
      <c r="V204" s="361"/>
      <c r="W204" s="362"/>
      <c r="AC204" s="51"/>
    </row>
    <row r="205" spans="1:29" ht="17.25" customHeight="1" thickBot="1" x14ac:dyDescent="0.65">
      <c r="A205" s="52"/>
      <c r="B205" s="96">
        <f>+B176+1</f>
        <v>8</v>
      </c>
      <c r="D205" s="46" t="s">
        <v>1793</v>
      </c>
      <c r="E205" s="54"/>
      <c r="F205" s="358" t="str">
        <f>Schlüssel!$W$2</f>
        <v>Regensburg Super Bowl</v>
      </c>
      <c r="G205" s="358"/>
      <c r="H205" s="358"/>
      <c r="I205" s="358"/>
      <c r="J205" s="358"/>
      <c r="K205" s="358"/>
      <c r="L205" s="358"/>
      <c r="M205" s="358"/>
      <c r="N205" s="358"/>
      <c r="O205" s="358"/>
      <c r="P205" s="55"/>
      <c r="Q205" s="55"/>
      <c r="S205" s="49" t="s">
        <v>1791</v>
      </c>
      <c r="T205" s="56">
        <v>2</v>
      </c>
      <c r="U205" s="50"/>
      <c r="V205" s="50"/>
      <c r="AC205" s="97"/>
    </row>
    <row r="206" spans="1:29" ht="15.75" customHeight="1" thickBot="1" x14ac:dyDescent="0.4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5" thickBot="1" x14ac:dyDescent="0.45">
      <c r="A207" s="2"/>
      <c r="B207" s="44"/>
      <c r="C207" s="63"/>
      <c r="D207" s="64" t="s">
        <v>10</v>
      </c>
      <c r="E207" s="44">
        <f>VLOOKUP(B205,Schlüssel!$A$5:$DZ$14,33)</f>
        <v>6</v>
      </c>
      <c r="F207" s="65" t="s">
        <v>10</v>
      </c>
      <c r="G207" s="44">
        <f>VLOOKUP(B205,Schlüssel!$A$5:$DZ$14,34)</f>
        <v>8</v>
      </c>
      <c r="H207" s="65" t="s">
        <v>10</v>
      </c>
      <c r="I207" s="44">
        <f>VLOOKUP(B205,Schlüssel!$A$5:$DZ$14,35)</f>
        <v>9</v>
      </c>
      <c r="J207" s="65" t="s">
        <v>10</v>
      </c>
      <c r="K207" s="44">
        <f>VLOOKUP(B205,Schlüssel!$A$5:$DZ$14,36)</f>
        <v>3</v>
      </c>
      <c r="L207" s="65" t="s">
        <v>10</v>
      </c>
      <c r="M207" s="44">
        <f>VLOOKUP(B205,Schlüssel!$A$5:$DZ$14,37)</f>
        <v>7</v>
      </c>
      <c r="N207" s="65" t="s">
        <v>10</v>
      </c>
      <c r="O207" s="44">
        <f>VLOOKUP(B205,Schlüssel!$A$5:$DZ$14,38)</f>
        <v>5</v>
      </c>
      <c r="P207" s="65" t="s">
        <v>10</v>
      </c>
      <c r="Q207" s="44">
        <f>VLOOKUP(B205,Schlüssel!$A$5:$DZ$14,39)</f>
        <v>4</v>
      </c>
      <c r="R207" s="65" t="s">
        <v>10</v>
      </c>
      <c r="S207" s="44">
        <f>VLOOKUP(B205,Schlüssel!$A$5:$DZ$14,40)</f>
        <v>11</v>
      </c>
      <c r="T207" s="65" t="s">
        <v>10</v>
      </c>
      <c r="U207" s="66">
        <f>VLOOKUP(B205,Schlüssel!$A$5:$DZ$14,41)</f>
        <v>10</v>
      </c>
    </row>
    <row r="208" spans="1:29" ht="20.25" customHeight="1" x14ac:dyDescent="0.35">
      <c r="B208" s="67" t="s">
        <v>1</v>
      </c>
      <c r="C208" s="68"/>
      <c r="D208" s="354" t="s">
        <v>1800</v>
      </c>
      <c r="E208" s="355"/>
      <c r="F208" s="354" t="s">
        <v>1801</v>
      </c>
      <c r="G208" s="355"/>
      <c r="H208" s="354" t="s">
        <v>1802</v>
      </c>
      <c r="I208" s="355"/>
      <c r="J208" s="354" t="s">
        <v>1803</v>
      </c>
      <c r="K208" s="355"/>
      <c r="L208" s="354" t="s">
        <v>1804</v>
      </c>
      <c r="M208" s="355"/>
      <c r="N208" s="354" t="s">
        <v>1805</v>
      </c>
      <c r="O208" s="355"/>
      <c r="P208" s="354" t="s">
        <v>1806</v>
      </c>
      <c r="Q208" s="355"/>
      <c r="R208" s="354" t="s">
        <v>1807</v>
      </c>
      <c r="S208" s="355"/>
      <c r="T208" s="354" t="s">
        <v>1808</v>
      </c>
      <c r="U208" s="355"/>
      <c r="V208" s="356" t="s">
        <v>1799</v>
      </c>
      <c r="W208" s="357"/>
    </row>
    <row r="209" spans="1:23" ht="15" customHeight="1" thickBot="1" x14ac:dyDescent="0.4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2" customHeight="1" x14ac:dyDescent="0.35">
      <c r="A210" s="351" t="s">
        <v>0</v>
      </c>
      <c r="B210" s="73"/>
      <c r="C210" s="74"/>
      <c r="D210" s="75"/>
      <c r="E210" s="348"/>
      <c r="F210" s="75"/>
      <c r="G210" s="348"/>
      <c r="H210" s="75"/>
      <c r="I210" s="348"/>
      <c r="J210" s="75"/>
      <c r="K210" s="348"/>
      <c r="L210" s="75"/>
      <c r="M210" s="348"/>
      <c r="N210" s="75"/>
      <c r="O210" s="348"/>
      <c r="P210" s="75"/>
      <c r="Q210" s="348"/>
      <c r="R210" s="75"/>
      <c r="S210" s="348"/>
      <c r="T210" s="75"/>
      <c r="U210" s="348"/>
      <c r="V210" s="75"/>
      <c r="W210" s="348"/>
    </row>
    <row r="211" spans="1:23" ht="17.2" customHeight="1" x14ac:dyDescent="0.35">
      <c r="A211" s="352"/>
      <c r="B211" s="76"/>
      <c r="C211" s="77"/>
      <c r="D211" s="78"/>
      <c r="E211" s="349"/>
      <c r="F211" s="78"/>
      <c r="G211" s="349"/>
      <c r="H211" s="78"/>
      <c r="I211" s="349"/>
      <c r="J211" s="78"/>
      <c r="K211" s="349"/>
      <c r="L211" s="78"/>
      <c r="M211" s="349"/>
      <c r="N211" s="78"/>
      <c r="O211" s="349"/>
      <c r="P211" s="78"/>
      <c r="Q211" s="349"/>
      <c r="R211" s="78"/>
      <c r="S211" s="349"/>
      <c r="T211" s="78"/>
      <c r="U211" s="349"/>
      <c r="V211" s="78"/>
      <c r="W211" s="349"/>
    </row>
    <row r="212" spans="1:23" ht="17.2" customHeight="1" thickBot="1" x14ac:dyDescent="0.4">
      <c r="A212" s="353"/>
      <c r="B212" s="79"/>
      <c r="C212" s="80"/>
      <c r="D212" s="69"/>
      <c r="E212" s="350"/>
      <c r="F212" s="69"/>
      <c r="G212" s="350"/>
      <c r="H212" s="69"/>
      <c r="I212" s="350"/>
      <c r="J212" s="69"/>
      <c r="K212" s="350"/>
      <c r="L212" s="69"/>
      <c r="M212" s="350"/>
      <c r="N212" s="69"/>
      <c r="O212" s="350"/>
      <c r="P212" s="69"/>
      <c r="Q212" s="350"/>
      <c r="R212" s="69"/>
      <c r="S212" s="350"/>
      <c r="T212" s="69"/>
      <c r="U212" s="350"/>
      <c r="V212" s="69"/>
      <c r="W212" s="350"/>
    </row>
    <row r="213" spans="1:23" ht="17.2" customHeight="1" x14ac:dyDescent="0.35">
      <c r="A213" s="351" t="s">
        <v>2</v>
      </c>
      <c r="B213" s="73"/>
      <c r="C213" s="74"/>
      <c r="D213" s="75"/>
      <c r="E213" s="348"/>
      <c r="F213" s="75"/>
      <c r="G213" s="348"/>
      <c r="H213" s="75"/>
      <c r="I213" s="348"/>
      <c r="J213" s="75"/>
      <c r="K213" s="348"/>
      <c r="L213" s="75"/>
      <c r="M213" s="348"/>
      <c r="N213" s="75"/>
      <c r="O213" s="348"/>
      <c r="P213" s="75"/>
      <c r="Q213" s="348"/>
      <c r="R213" s="75"/>
      <c r="S213" s="348"/>
      <c r="T213" s="75"/>
      <c r="U213" s="348"/>
      <c r="V213" s="75"/>
      <c r="W213" s="348"/>
    </row>
    <row r="214" spans="1:23" ht="17.2" customHeight="1" x14ac:dyDescent="0.35">
      <c r="A214" s="352"/>
      <c r="B214" s="76"/>
      <c r="C214" s="77"/>
      <c r="D214" s="78"/>
      <c r="E214" s="349"/>
      <c r="F214" s="78"/>
      <c r="G214" s="349"/>
      <c r="H214" s="78"/>
      <c r="I214" s="349"/>
      <c r="J214" s="78"/>
      <c r="K214" s="349"/>
      <c r="L214" s="78"/>
      <c r="M214" s="349"/>
      <c r="N214" s="78"/>
      <c r="O214" s="349"/>
      <c r="P214" s="78"/>
      <c r="Q214" s="349"/>
      <c r="R214" s="78"/>
      <c r="S214" s="349"/>
      <c r="T214" s="78"/>
      <c r="U214" s="349"/>
      <c r="V214" s="78"/>
      <c r="W214" s="349"/>
    </row>
    <row r="215" spans="1:23" ht="17.2" customHeight="1" thickBot="1" x14ac:dyDescent="0.4">
      <c r="A215" s="353"/>
      <c r="B215" s="79"/>
      <c r="C215" s="80"/>
      <c r="D215" s="69"/>
      <c r="E215" s="350"/>
      <c r="F215" s="69"/>
      <c r="G215" s="350"/>
      <c r="H215" s="69"/>
      <c r="I215" s="350"/>
      <c r="J215" s="69"/>
      <c r="K215" s="350"/>
      <c r="L215" s="69"/>
      <c r="M215" s="350"/>
      <c r="N215" s="69"/>
      <c r="O215" s="350"/>
      <c r="P215" s="69"/>
      <c r="Q215" s="350"/>
      <c r="R215" s="69"/>
      <c r="S215" s="350"/>
      <c r="T215" s="69"/>
      <c r="U215" s="350"/>
      <c r="V215" s="69"/>
      <c r="W215" s="350"/>
    </row>
    <row r="216" spans="1:23" ht="17.2" customHeight="1" x14ac:dyDescent="0.35">
      <c r="A216" s="351" t="s">
        <v>3</v>
      </c>
      <c r="B216" s="73"/>
      <c r="C216" s="74"/>
      <c r="D216" s="75"/>
      <c r="E216" s="348"/>
      <c r="F216" s="75"/>
      <c r="G216" s="348"/>
      <c r="H216" s="75"/>
      <c r="I216" s="348"/>
      <c r="J216" s="75"/>
      <c r="K216" s="348"/>
      <c r="L216" s="75"/>
      <c r="M216" s="348"/>
      <c r="N216" s="75"/>
      <c r="O216" s="348"/>
      <c r="P216" s="75"/>
      <c r="Q216" s="348"/>
      <c r="R216" s="75"/>
      <c r="S216" s="348"/>
      <c r="T216" s="75"/>
      <c r="U216" s="348"/>
      <c r="V216" s="75"/>
      <c r="W216" s="348"/>
    </row>
    <row r="217" spans="1:23" ht="17.2" customHeight="1" x14ac:dyDescent="0.35">
      <c r="A217" s="352"/>
      <c r="B217" s="76"/>
      <c r="C217" s="77"/>
      <c r="D217" s="78"/>
      <c r="E217" s="349"/>
      <c r="F217" s="78"/>
      <c r="G217" s="349"/>
      <c r="H217" s="78"/>
      <c r="I217" s="349"/>
      <c r="J217" s="78"/>
      <c r="K217" s="349"/>
      <c r="L217" s="78"/>
      <c r="M217" s="349"/>
      <c r="N217" s="78"/>
      <c r="O217" s="349"/>
      <c r="P217" s="78"/>
      <c r="Q217" s="349"/>
      <c r="R217" s="78"/>
      <c r="S217" s="349"/>
      <c r="T217" s="78"/>
      <c r="U217" s="349"/>
      <c r="V217" s="78"/>
      <c r="W217" s="349"/>
    </row>
    <row r="218" spans="1:23" ht="17.2" customHeight="1" thickBot="1" x14ac:dyDescent="0.4">
      <c r="A218" s="353"/>
      <c r="B218" s="79"/>
      <c r="C218" s="80"/>
      <c r="D218" s="69"/>
      <c r="E218" s="350"/>
      <c r="F218" s="69"/>
      <c r="G218" s="350"/>
      <c r="H218" s="69"/>
      <c r="I218" s="350"/>
      <c r="J218" s="69"/>
      <c r="K218" s="350"/>
      <c r="L218" s="69"/>
      <c r="M218" s="350"/>
      <c r="N218" s="69"/>
      <c r="O218" s="350"/>
      <c r="P218" s="69"/>
      <c r="Q218" s="350"/>
      <c r="R218" s="69"/>
      <c r="S218" s="350"/>
      <c r="T218" s="69"/>
      <c r="U218" s="350"/>
      <c r="V218" s="69"/>
      <c r="W218" s="350"/>
    </row>
    <row r="219" spans="1:23" ht="17.2" customHeight="1" x14ac:dyDescent="0.35">
      <c r="A219" s="351" t="s">
        <v>11</v>
      </c>
      <c r="B219" s="73"/>
      <c r="C219" s="74"/>
      <c r="D219" s="75"/>
      <c r="E219" s="348"/>
      <c r="F219" s="75"/>
      <c r="G219" s="348"/>
      <c r="H219" s="75"/>
      <c r="I219" s="348"/>
      <c r="J219" s="75"/>
      <c r="K219" s="348"/>
      <c r="L219" s="75"/>
      <c r="M219" s="348"/>
      <c r="N219" s="75"/>
      <c r="O219" s="348"/>
      <c r="P219" s="75"/>
      <c r="Q219" s="348"/>
      <c r="R219" s="75"/>
      <c r="S219" s="348"/>
      <c r="T219" s="75"/>
      <c r="U219" s="348"/>
      <c r="V219" s="75"/>
      <c r="W219" s="348"/>
    </row>
    <row r="220" spans="1:23" ht="17.2" customHeight="1" x14ac:dyDescent="0.35">
      <c r="A220" s="352"/>
      <c r="B220" s="76"/>
      <c r="C220" s="77"/>
      <c r="D220" s="78"/>
      <c r="E220" s="349"/>
      <c r="F220" s="78"/>
      <c r="G220" s="349"/>
      <c r="H220" s="78"/>
      <c r="I220" s="349"/>
      <c r="J220" s="78"/>
      <c r="K220" s="349"/>
      <c r="L220" s="78"/>
      <c r="M220" s="349"/>
      <c r="N220" s="78"/>
      <c r="O220" s="349"/>
      <c r="P220" s="78"/>
      <c r="Q220" s="349"/>
      <c r="R220" s="78"/>
      <c r="S220" s="349"/>
      <c r="T220" s="78"/>
      <c r="U220" s="349"/>
      <c r="V220" s="78"/>
      <c r="W220" s="349"/>
    </row>
    <row r="221" spans="1:23" ht="17.2" customHeight="1" thickBot="1" x14ac:dyDescent="0.4">
      <c r="A221" s="353"/>
      <c r="B221" s="79"/>
      <c r="C221" s="80"/>
      <c r="D221" s="69"/>
      <c r="E221" s="350"/>
      <c r="F221" s="69"/>
      <c r="G221" s="350"/>
      <c r="H221" s="69"/>
      <c r="I221" s="350"/>
      <c r="J221" s="69"/>
      <c r="K221" s="350"/>
      <c r="L221" s="69"/>
      <c r="M221" s="350"/>
      <c r="N221" s="69"/>
      <c r="O221" s="350"/>
      <c r="P221" s="69"/>
      <c r="Q221" s="350"/>
      <c r="R221" s="69"/>
      <c r="S221" s="350"/>
      <c r="T221" s="69"/>
      <c r="U221" s="350"/>
      <c r="V221" s="69"/>
      <c r="W221" s="350"/>
    </row>
    <row r="222" spans="1:23" ht="27.75" customHeight="1" thickBot="1" x14ac:dyDescent="0.4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4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3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35">
      <c r="B225" s="88" t="s">
        <v>1797</v>
      </c>
      <c r="C225" s="89" t="s">
        <v>1798</v>
      </c>
      <c r="D225" s="346">
        <f>VLOOKUP(B205,Schlüssel!$A$5:$DZ$14,23)</f>
        <v>1</v>
      </c>
      <c r="E225" s="346"/>
      <c r="F225" s="346">
        <f>VLOOKUP(B205,Schlüssel!$A$5:$DZ$14,24)</f>
        <v>7</v>
      </c>
      <c r="G225" s="346"/>
      <c r="H225" s="346">
        <f>VLOOKUP(B205,Schlüssel!$A$5:$DZ$14,25)</f>
        <v>3</v>
      </c>
      <c r="I225" s="346"/>
      <c r="J225" s="346">
        <f>VLOOKUP(B205,Schlüssel!$A$5:$DZ$14,26)</f>
        <v>4</v>
      </c>
      <c r="K225" s="346"/>
      <c r="L225" s="346">
        <f>VLOOKUP(B205,Schlüssel!$A$5:$DZ$14,27)</f>
        <v>9</v>
      </c>
      <c r="M225" s="346"/>
      <c r="N225" s="346">
        <f>VLOOKUP(B205,Schlüssel!$A$5:$DZ$14,28)</f>
        <v>6</v>
      </c>
      <c r="O225" s="346"/>
      <c r="P225" s="346">
        <f>VLOOKUP(B205,Schlüssel!$A$5:$DZ$14,29)</f>
        <v>2</v>
      </c>
      <c r="Q225" s="346"/>
      <c r="R225" s="346">
        <f>VLOOKUP(B205,Schlüssel!$A$5:$DZ$14,30)</f>
        <v>5</v>
      </c>
      <c r="S225" s="346"/>
      <c r="T225" s="346">
        <f>VLOOKUP(B205,Schlüssel!$A$5:$DZ$14,31)</f>
        <v>10</v>
      </c>
      <c r="U225" s="346"/>
      <c r="V225" s="347"/>
      <c r="W225" s="347"/>
    </row>
    <row r="226" spans="1:29" ht="28.5" customHeight="1" x14ac:dyDescent="0.35">
      <c r="B226" s="90"/>
      <c r="C226" s="86"/>
      <c r="D226" s="343" t="str">
        <f>VLOOKUP(D225,Schlüssel!$A$5:$K$14,2)</f>
        <v>Praetoria Regensburg</v>
      </c>
      <c r="E226" s="344"/>
      <c r="F226" s="343" t="str">
        <f>VLOOKUP(F225,Schlüssel!$A$5:$K$14,2)</f>
        <v>Frankenpower Nürnberg</v>
      </c>
      <c r="G226" s="344"/>
      <c r="H226" s="343" t="str">
        <f>VLOOKUP(H225,Schlüssel!$A$5:$K$14,2)</f>
        <v>Highroller Rosenheim</v>
      </c>
      <c r="I226" s="344"/>
      <c r="J226" s="343" t="str">
        <f>VLOOKUP(J225,Schlüssel!$A$5:$K$14,2)</f>
        <v>BK München 3</v>
      </c>
      <c r="K226" s="344"/>
      <c r="L226" s="343" t="str">
        <f>VLOOKUP(L225,Schlüssel!$A$5:$K$14,2)</f>
        <v>RW Lichtenhof 69 Stein 2</v>
      </c>
      <c r="M226" s="344"/>
      <c r="N226" s="343" t="str">
        <f>VLOOKUP(N225,Schlüssel!$A$5:$K$14,2)</f>
        <v>Phönix 03 Lauf</v>
      </c>
      <c r="O226" s="344"/>
      <c r="P226" s="343" t="str">
        <f>VLOOKUP(P225,Schlüssel!$A$5:$K$14,2)</f>
        <v>BK München 2</v>
      </c>
      <c r="Q226" s="344"/>
      <c r="R226" s="343" t="str">
        <f>VLOOKUP(R225,Schlüssel!$A$5:$K$14,2)</f>
        <v xml:space="preserve">Weiß Blau Unterföhring </v>
      </c>
      <c r="S226" s="344"/>
      <c r="T226" s="343" t="str">
        <f>VLOOKUP(T225,Schlüssel!$A$5:$K$14,2)</f>
        <v>BK München 4</v>
      </c>
      <c r="U226" s="344"/>
      <c r="V226" s="345"/>
      <c r="W226" s="345"/>
    </row>
    <row r="227" spans="1:29" ht="12" customHeight="1" x14ac:dyDescent="0.35">
      <c r="B227" s="90"/>
      <c r="C227" s="86"/>
      <c r="D227" s="341"/>
      <c r="E227" s="341"/>
      <c r="F227" s="341"/>
      <c r="G227" s="341"/>
      <c r="H227" s="341"/>
      <c r="I227" s="341"/>
      <c r="J227" s="341"/>
      <c r="K227" s="341"/>
      <c r="L227" s="341"/>
      <c r="M227" s="341"/>
      <c r="N227" s="341"/>
      <c r="O227" s="341"/>
      <c r="P227" s="341"/>
      <c r="Q227" s="341"/>
      <c r="R227" s="341"/>
      <c r="S227" s="341"/>
      <c r="T227" s="341"/>
      <c r="U227" s="342"/>
      <c r="V227" s="301"/>
      <c r="W227" s="301"/>
    </row>
    <row r="228" spans="1:29" ht="16.05" customHeight="1" x14ac:dyDescent="0.35">
      <c r="B228" s="91" t="s">
        <v>0</v>
      </c>
      <c r="C228" s="92"/>
      <c r="D228" s="339"/>
      <c r="E228" s="339"/>
      <c r="F228" s="339"/>
      <c r="G228" s="339"/>
      <c r="H228" s="339"/>
      <c r="I228" s="339"/>
      <c r="J228" s="339"/>
      <c r="K228" s="339"/>
      <c r="L228" s="339"/>
      <c r="M228" s="339"/>
      <c r="N228" s="339"/>
      <c r="O228" s="339"/>
      <c r="P228" s="339"/>
      <c r="Q228" s="339"/>
      <c r="R228" s="339"/>
      <c r="S228" s="339"/>
      <c r="T228" s="339"/>
      <c r="U228" s="339"/>
      <c r="V228" s="340"/>
      <c r="W228" s="340"/>
    </row>
    <row r="229" spans="1:29" ht="16.05" customHeight="1" x14ac:dyDescent="0.35">
      <c r="B229" s="91" t="s">
        <v>2</v>
      </c>
      <c r="C229" s="92"/>
      <c r="D229" s="339"/>
      <c r="E229" s="339"/>
      <c r="F229" s="339"/>
      <c r="G229" s="339"/>
      <c r="H229" s="339"/>
      <c r="I229" s="339"/>
      <c r="J229" s="339"/>
      <c r="K229" s="339"/>
      <c r="L229" s="339"/>
      <c r="M229" s="339"/>
      <c r="N229" s="339"/>
      <c r="O229" s="339"/>
      <c r="P229" s="339"/>
      <c r="Q229" s="339"/>
      <c r="R229" s="339"/>
      <c r="S229" s="339"/>
      <c r="T229" s="339"/>
      <c r="U229" s="339"/>
      <c r="V229" s="340"/>
      <c r="W229" s="340"/>
    </row>
    <row r="230" spans="1:29" ht="16.05" customHeight="1" x14ac:dyDescent="0.35">
      <c r="B230" s="91" t="s">
        <v>3</v>
      </c>
      <c r="C230" s="92"/>
      <c r="D230" s="339"/>
      <c r="E230" s="339"/>
      <c r="F230" s="339"/>
      <c r="G230" s="339"/>
      <c r="H230" s="339"/>
      <c r="I230" s="339"/>
      <c r="J230" s="339"/>
      <c r="K230" s="339"/>
      <c r="L230" s="339"/>
      <c r="M230" s="339"/>
      <c r="N230" s="339"/>
      <c r="O230" s="339"/>
      <c r="P230" s="339"/>
      <c r="Q230" s="339"/>
      <c r="R230" s="339"/>
      <c r="S230" s="339"/>
      <c r="T230" s="339"/>
      <c r="U230" s="339"/>
      <c r="V230" s="340"/>
      <c r="W230" s="340"/>
    </row>
    <row r="231" spans="1:29" ht="16.05" customHeight="1" x14ac:dyDescent="0.35">
      <c r="B231" s="91" t="s">
        <v>11</v>
      </c>
      <c r="C231" s="92"/>
      <c r="D231" s="339"/>
      <c r="E231" s="339"/>
      <c r="F231" s="339"/>
      <c r="G231" s="339"/>
      <c r="H231" s="339"/>
      <c r="I231" s="339"/>
      <c r="J231" s="339"/>
      <c r="K231" s="339"/>
      <c r="L231" s="339"/>
      <c r="M231" s="339"/>
      <c r="N231" s="339"/>
      <c r="O231" s="339"/>
      <c r="P231" s="339"/>
      <c r="Q231" s="339"/>
      <c r="R231" s="339"/>
      <c r="S231" s="339"/>
      <c r="T231" s="339"/>
      <c r="U231" s="339"/>
      <c r="V231" s="340"/>
      <c r="W231" s="340"/>
    </row>
    <row r="232" spans="1:29" ht="16.05" customHeight="1" x14ac:dyDescent="0.35">
      <c r="B232" s="93" t="s">
        <v>1799</v>
      </c>
      <c r="C232" s="94"/>
      <c r="D232" s="338"/>
      <c r="E232" s="338"/>
      <c r="F232" s="338"/>
      <c r="G232" s="338"/>
      <c r="H232" s="338"/>
      <c r="I232" s="338"/>
      <c r="J232" s="338"/>
      <c r="K232" s="338"/>
      <c r="L232" s="338"/>
      <c r="M232" s="338"/>
      <c r="N232" s="338"/>
      <c r="O232" s="338"/>
      <c r="P232" s="338"/>
      <c r="Q232" s="338"/>
      <c r="R232" s="338"/>
      <c r="S232" s="338"/>
      <c r="T232" s="338"/>
      <c r="U232" s="338"/>
      <c r="V232" s="290"/>
      <c r="W232" s="290"/>
    </row>
    <row r="233" spans="1:29" ht="21" customHeight="1" x14ac:dyDescent="0.7">
      <c r="B233" s="44" t="s">
        <v>1813</v>
      </c>
      <c r="C233" s="45"/>
      <c r="D233" s="46" t="s">
        <v>1792</v>
      </c>
      <c r="E233" s="47"/>
      <c r="F233" s="359" t="str">
        <f>Schlüssel!$C$1</f>
        <v>Bayernliga Frauen</v>
      </c>
      <c r="G233" s="359"/>
      <c r="H233" s="359"/>
      <c r="I233" s="359"/>
      <c r="J233" s="359"/>
      <c r="K233" s="359"/>
      <c r="L233" s="359"/>
      <c r="M233" s="359"/>
      <c r="N233" s="359"/>
      <c r="O233" s="359"/>
      <c r="P233" s="45"/>
      <c r="Q233" s="45"/>
      <c r="R233" s="48"/>
      <c r="S233" s="49" t="s">
        <v>1794</v>
      </c>
      <c r="T233" s="50"/>
      <c r="U233" s="360" t="str">
        <f>Schlüssel!$AG$1</f>
        <v>02.11./03.11.</v>
      </c>
      <c r="V233" s="361"/>
      <c r="W233" s="362"/>
      <c r="AC233" s="51"/>
    </row>
    <row r="234" spans="1:29" ht="17.25" customHeight="1" thickBot="1" x14ac:dyDescent="0.65">
      <c r="A234" s="52"/>
      <c r="B234" s="96">
        <f>+B205+1</f>
        <v>9</v>
      </c>
      <c r="D234" s="46" t="s">
        <v>1793</v>
      </c>
      <c r="E234" s="54"/>
      <c r="F234" s="358" t="str">
        <f>Schlüssel!$W$2</f>
        <v>Regensburg Super Bowl</v>
      </c>
      <c r="G234" s="358"/>
      <c r="H234" s="358"/>
      <c r="I234" s="358"/>
      <c r="J234" s="358"/>
      <c r="K234" s="358"/>
      <c r="L234" s="358"/>
      <c r="M234" s="358"/>
      <c r="N234" s="358"/>
      <c r="O234" s="358"/>
      <c r="P234" s="55"/>
      <c r="Q234" s="55"/>
      <c r="S234" s="49" t="s">
        <v>1791</v>
      </c>
      <c r="T234" s="56">
        <v>2</v>
      </c>
      <c r="U234" s="50"/>
      <c r="V234" s="50"/>
      <c r="AC234" s="97"/>
    </row>
    <row r="235" spans="1:29" ht="15.75" customHeight="1" thickBot="1" x14ac:dyDescent="0.4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5" thickBot="1" x14ac:dyDescent="0.45">
      <c r="A236" s="2"/>
      <c r="B236" s="44"/>
      <c r="C236" s="63"/>
      <c r="D236" s="64" t="s">
        <v>10</v>
      </c>
      <c r="E236" s="44">
        <f>VLOOKUP(B234,Schlüssel!$A$5:$DZ$14,33)</f>
        <v>9</v>
      </c>
      <c r="F236" s="65" t="s">
        <v>10</v>
      </c>
      <c r="G236" s="44">
        <f>VLOOKUP(B234,Schlüssel!$A$5:$DZ$14,34)</f>
        <v>4</v>
      </c>
      <c r="H236" s="65" t="s">
        <v>10</v>
      </c>
      <c r="I236" s="44">
        <f>VLOOKUP(B234,Schlüssel!$A$5:$DZ$14,35)</f>
        <v>6</v>
      </c>
      <c r="J236" s="65" t="s">
        <v>10</v>
      </c>
      <c r="K236" s="44">
        <f>VLOOKUP(B234,Schlüssel!$A$5:$DZ$14,36)</f>
        <v>12</v>
      </c>
      <c r="L236" s="65" t="s">
        <v>10</v>
      </c>
      <c r="M236" s="44">
        <f>VLOOKUP(B234,Schlüssel!$A$5:$DZ$14,37)</f>
        <v>8</v>
      </c>
      <c r="N236" s="65" t="s">
        <v>10</v>
      </c>
      <c r="O236" s="44">
        <f>VLOOKUP(B234,Schlüssel!$A$5:$DZ$14,38)</f>
        <v>3</v>
      </c>
      <c r="P236" s="65" t="s">
        <v>10</v>
      </c>
      <c r="Q236" s="44">
        <f>VLOOKUP(B234,Schlüssel!$A$5:$DZ$14,39)</f>
        <v>5</v>
      </c>
      <c r="R236" s="65" t="s">
        <v>10</v>
      </c>
      <c r="S236" s="44">
        <f>VLOOKUP(B234,Schlüssel!$A$5:$DZ$14,40)</f>
        <v>10</v>
      </c>
      <c r="T236" s="65" t="s">
        <v>10</v>
      </c>
      <c r="U236" s="66">
        <f>VLOOKUP(B234,Schlüssel!$A$5:$DZ$14,41)</f>
        <v>7</v>
      </c>
    </row>
    <row r="237" spans="1:29" ht="20.25" customHeight="1" x14ac:dyDescent="0.35">
      <c r="B237" s="67" t="s">
        <v>1</v>
      </c>
      <c r="C237" s="68"/>
      <c r="D237" s="354" t="s">
        <v>1800</v>
      </c>
      <c r="E237" s="355"/>
      <c r="F237" s="354" t="s">
        <v>1801</v>
      </c>
      <c r="G237" s="355"/>
      <c r="H237" s="354" t="s">
        <v>1802</v>
      </c>
      <c r="I237" s="355"/>
      <c r="J237" s="354" t="s">
        <v>1803</v>
      </c>
      <c r="K237" s="355"/>
      <c r="L237" s="354" t="s">
        <v>1804</v>
      </c>
      <c r="M237" s="355"/>
      <c r="N237" s="354" t="s">
        <v>1805</v>
      </c>
      <c r="O237" s="355"/>
      <c r="P237" s="354" t="s">
        <v>1806</v>
      </c>
      <c r="Q237" s="355"/>
      <c r="R237" s="354" t="s">
        <v>1807</v>
      </c>
      <c r="S237" s="355"/>
      <c r="T237" s="354" t="s">
        <v>1808</v>
      </c>
      <c r="U237" s="355"/>
      <c r="V237" s="356" t="s">
        <v>1799</v>
      </c>
      <c r="W237" s="357"/>
    </row>
    <row r="238" spans="1:29" ht="15" customHeight="1" thickBot="1" x14ac:dyDescent="0.4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2" customHeight="1" x14ac:dyDescent="0.35">
      <c r="A239" s="351" t="s">
        <v>0</v>
      </c>
      <c r="B239" s="73"/>
      <c r="C239" s="74"/>
      <c r="D239" s="75"/>
      <c r="E239" s="348"/>
      <c r="F239" s="75"/>
      <c r="G239" s="348"/>
      <c r="H239" s="75"/>
      <c r="I239" s="348"/>
      <c r="J239" s="75"/>
      <c r="K239" s="348"/>
      <c r="L239" s="75"/>
      <c r="M239" s="348"/>
      <c r="N239" s="75"/>
      <c r="O239" s="348"/>
      <c r="P239" s="75"/>
      <c r="Q239" s="348"/>
      <c r="R239" s="75"/>
      <c r="S239" s="348"/>
      <c r="T239" s="75"/>
      <c r="U239" s="348"/>
      <c r="V239" s="75"/>
      <c r="W239" s="348"/>
    </row>
    <row r="240" spans="1:29" ht="17.2" customHeight="1" x14ac:dyDescent="0.35">
      <c r="A240" s="352"/>
      <c r="B240" s="76"/>
      <c r="C240" s="77"/>
      <c r="D240" s="78"/>
      <c r="E240" s="349"/>
      <c r="F240" s="78"/>
      <c r="G240" s="349"/>
      <c r="H240" s="78"/>
      <c r="I240" s="349"/>
      <c r="J240" s="78"/>
      <c r="K240" s="349"/>
      <c r="L240" s="78"/>
      <c r="M240" s="349"/>
      <c r="N240" s="78"/>
      <c r="O240" s="349"/>
      <c r="P240" s="78"/>
      <c r="Q240" s="349"/>
      <c r="R240" s="78"/>
      <c r="S240" s="349"/>
      <c r="T240" s="78"/>
      <c r="U240" s="349"/>
      <c r="V240" s="78"/>
      <c r="W240" s="349"/>
    </row>
    <row r="241" spans="1:23" ht="17.2" customHeight="1" thickBot="1" x14ac:dyDescent="0.4">
      <c r="A241" s="353"/>
      <c r="B241" s="79"/>
      <c r="C241" s="80"/>
      <c r="D241" s="69"/>
      <c r="E241" s="350"/>
      <c r="F241" s="69"/>
      <c r="G241" s="350"/>
      <c r="H241" s="69"/>
      <c r="I241" s="350"/>
      <c r="J241" s="69"/>
      <c r="K241" s="350"/>
      <c r="L241" s="69"/>
      <c r="M241" s="350"/>
      <c r="N241" s="69"/>
      <c r="O241" s="350"/>
      <c r="P241" s="69"/>
      <c r="Q241" s="350"/>
      <c r="R241" s="69"/>
      <c r="S241" s="350"/>
      <c r="T241" s="69"/>
      <c r="U241" s="350"/>
      <c r="V241" s="69"/>
      <c r="W241" s="350"/>
    </row>
    <row r="242" spans="1:23" ht="17.2" customHeight="1" x14ac:dyDescent="0.35">
      <c r="A242" s="351" t="s">
        <v>2</v>
      </c>
      <c r="B242" s="73"/>
      <c r="C242" s="74"/>
      <c r="D242" s="75"/>
      <c r="E242" s="348"/>
      <c r="F242" s="75"/>
      <c r="G242" s="348"/>
      <c r="H242" s="75"/>
      <c r="I242" s="348"/>
      <c r="J242" s="75"/>
      <c r="K242" s="348"/>
      <c r="L242" s="75"/>
      <c r="M242" s="348"/>
      <c r="N242" s="75"/>
      <c r="O242" s="348"/>
      <c r="P242" s="75"/>
      <c r="Q242" s="348"/>
      <c r="R242" s="75"/>
      <c r="S242" s="348"/>
      <c r="T242" s="75"/>
      <c r="U242" s="348"/>
      <c r="V242" s="75"/>
      <c r="W242" s="348"/>
    </row>
    <row r="243" spans="1:23" ht="17.2" customHeight="1" x14ac:dyDescent="0.35">
      <c r="A243" s="352"/>
      <c r="B243" s="76"/>
      <c r="C243" s="77"/>
      <c r="D243" s="78"/>
      <c r="E243" s="349"/>
      <c r="F243" s="78"/>
      <c r="G243" s="349"/>
      <c r="H243" s="78"/>
      <c r="I243" s="349"/>
      <c r="J243" s="78"/>
      <c r="K243" s="349"/>
      <c r="L243" s="78"/>
      <c r="M243" s="349"/>
      <c r="N243" s="78"/>
      <c r="O243" s="349"/>
      <c r="P243" s="78"/>
      <c r="Q243" s="349"/>
      <c r="R243" s="78"/>
      <c r="S243" s="349"/>
      <c r="T243" s="78"/>
      <c r="U243" s="349"/>
      <c r="V243" s="78"/>
      <c r="W243" s="349"/>
    </row>
    <row r="244" spans="1:23" ht="17.2" customHeight="1" thickBot="1" x14ac:dyDescent="0.4">
      <c r="A244" s="353"/>
      <c r="B244" s="79"/>
      <c r="C244" s="80"/>
      <c r="D244" s="69"/>
      <c r="E244" s="350"/>
      <c r="F244" s="69"/>
      <c r="G244" s="350"/>
      <c r="H244" s="69"/>
      <c r="I244" s="350"/>
      <c r="J244" s="69"/>
      <c r="K244" s="350"/>
      <c r="L244" s="69"/>
      <c r="M244" s="350"/>
      <c r="N244" s="69"/>
      <c r="O244" s="350"/>
      <c r="P244" s="69"/>
      <c r="Q244" s="350"/>
      <c r="R244" s="69"/>
      <c r="S244" s="350"/>
      <c r="T244" s="69"/>
      <c r="U244" s="350"/>
      <c r="V244" s="69"/>
      <c r="W244" s="350"/>
    </row>
    <row r="245" spans="1:23" ht="17.2" customHeight="1" x14ac:dyDescent="0.35">
      <c r="A245" s="351" t="s">
        <v>3</v>
      </c>
      <c r="B245" s="73"/>
      <c r="C245" s="74"/>
      <c r="D245" s="75"/>
      <c r="E245" s="348"/>
      <c r="F245" s="75"/>
      <c r="G245" s="348"/>
      <c r="H245" s="75"/>
      <c r="I245" s="348"/>
      <c r="J245" s="75"/>
      <c r="K245" s="348"/>
      <c r="L245" s="75"/>
      <c r="M245" s="348"/>
      <c r="N245" s="75"/>
      <c r="O245" s="348"/>
      <c r="P245" s="75"/>
      <c r="Q245" s="348"/>
      <c r="R245" s="75"/>
      <c r="S245" s="348"/>
      <c r="T245" s="75"/>
      <c r="U245" s="348"/>
      <c r="V245" s="75"/>
      <c r="W245" s="348"/>
    </row>
    <row r="246" spans="1:23" ht="17.2" customHeight="1" x14ac:dyDescent="0.35">
      <c r="A246" s="352"/>
      <c r="B246" s="76"/>
      <c r="C246" s="77"/>
      <c r="D246" s="78"/>
      <c r="E246" s="349"/>
      <c r="F246" s="78"/>
      <c r="G246" s="349"/>
      <c r="H246" s="78"/>
      <c r="I246" s="349"/>
      <c r="J246" s="78"/>
      <c r="K246" s="349"/>
      <c r="L246" s="78"/>
      <c r="M246" s="349"/>
      <c r="N246" s="78"/>
      <c r="O246" s="349"/>
      <c r="P246" s="78"/>
      <c r="Q246" s="349"/>
      <c r="R246" s="78"/>
      <c r="S246" s="349"/>
      <c r="T246" s="78"/>
      <c r="U246" s="349"/>
      <c r="V246" s="78"/>
      <c r="W246" s="349"/>
    </row>
    <row r="247" spans="1:23" ht="17.2" customHeight="1" thickBot="1" x14ac:dyDescent="0.4">
      <c r="A247" s="353"/>
      <c r="B247" s="79"/>
      <c r="C247" s="80"/>
      <c r="D247" s="69"/>
      <c r="E247" s="350"/>
      <c r="F247" s="69"/>
      <c r="G247" s="350"/>
      <c r="H247" s="69"/>
      <c r="I247" s="350"/>
      <c r="J247" s="69"/>
      <c r="K247" s="350"/>
      <c r="L247" s="69"/>
      <c r="M247" s="350"/>
      <c r="N247" s="69"/>
      <c r="O247" s="350"/>
      <c r="P247" s="69"/>
      <c r="Q247" s="350"/>
      <c r="R247" s="69"/>
      <c r="S247" s="350"/>
      <c r="T247" s="69"/>
      <c r="U247" s="350"/>
      <c r="V247" s="69"/>
      <c r="W247" s="350"/>
    </row>
    <row r="248" spans="1:23" ht="17.2" customHeight="1" x14ac:dyDescent="0.35">
      <c r="A248" s="351" t="s">
        <v>11</v>
      </c>
      <c r="B248" s="73"/>
      <c r="C248" s="74"/>
      <c r="D248" s="75"/>
      <c r="E248" s="348"/>
      <c r="F248" s="75"/>
      <c r="G248" s="348"/>
      <c r="H248" s="75"/>
      <c r="I248" s="348"/>
      <c r="J248" s="75"/>
      <c r="K248" s="348"/>
      <c r="L248" s="75"/>
      <c r="M248" s="348"/>
      <c r="N248" s="75"/>
      <c r="O248" s="348"/>
      <c r="P248" s="75"/>
      <c r="Q248" s="348"/>
      <c r="R248" s="75"/>
      <c r="S248" s="348"/>
      <c r="T248" s="75"/>
      <c r="U248" s="348"/>
      <c r="V248" s="75"/>
      <c r="W248" s="348"/>
    </row>
    <row r="249" spans="1:23" ht="17.2" customHeight="1" x14ac:dyDescent="0.35">
      <c r="A249" s="352"/>
      <c r="B249" s="76"/>
      <c r="C249" s="77"/>
      <c r="D249" s="78"/>
      <c r="E249" s="349"/>
      <c r="F249" s="78"/>
      <c r="G249" s="349"/>
      <c r="H249" s="78"/>
      <c r="I249" s="349"/>
      <c r="J249" s="78"/>
      <c r="K249" s="349"/>
      <c r="L249" s="78"/>
      <c r="M249" s="349"/>
      <c r="N249" s="78"/>
      <c r="O249" s="349"/>
      <c r="P249" s="78"/>
      <c r="Q249" s="349"/>
      <c r="R249" s="78"/>
      <c r="S249" s="349"/>
      <c r="T249" s="78"/>
      <c r="U249" s="349"/>
      <c r="V249" s="78"/>
      <c r="W249" s="349"/>
    </row>
    <row r="250" spans="1:23" ht="17.2" customHeight="1" thickBot="1" x14ac:dyDescent="0.4">
      <c r="A250" s="353"/>
      <c r="B250" s="79"/>
      <c r="C250" s="80"/>
      <c r="D250" s="69"/>
      <c r="E250" s="350"/>
      <c r="F250" s="69"/>
      <c r="G250" s="350"/>
      <c r="H250" s="69"/>
      <c r="I250" s="350"/>
      <c r="J250" s="69"/>
      <c r="K250" s="350"/>
      <c r="L250" s="69"/>
      <c r="M250" s="350"/>
      <c r="N250" s="69"/>
      <c r="O250" s="350"/>
      <c r="P250" s="69"/>
      <c r="Q250" s="350"/>
      <c r="R250" s="69"/>
      <c r="S250" s="350"/>
      <c r="T250" s="69"/>
      <c r="U250" s="350"/>
      <c r="V250" s="69"/>
      <c r="W250" s="350"/>
    </row>
    <row r="251" spans="1:23" ht="27.75" customHeight="1" thickBot="1" x14ac:dyDescent="0.4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4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3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35">
      <c r="B254" s="88" t="s">
        <v>1797</v>
      </c>
      <c r="C254" s="89" t="s">
        <v>1798</v>
      </c>
      <c r="D254" s="346">
        <f>VLOOKUP(B234,Schlüssel!$A$5:$DZ$14,23)</f>
        <v>2</v>
      </c>
      <c r="E254" s="346"/>
      <c r="F254" s="346">
        <f>VLOOKUP(B234,Schlüssel!$A$5:$DZ$14,24)</f>
        <v>6</v>
      </c>
      <c r="G254" s="346"/>
      <c r="H254" s="346">
        <f>VLOOKUP(B234,Schlüssel!$A$5:$DZ$14,25)</f>
        <v>7</v>
      </c>
      <c r="I254" s="346"/>
      <c r="J254" s="346">
        <f>VLOOKUP(B234,Schlüssel!$A$5:$DZ$14,26)</f>
        <v>10</v>
      </c>
      <c r="K254" s="346"/>
      <c r="L254" s="346">
        <f>VLOOKUP(B234,Schlüssel!$A$5:$DZ$14,27)</f>
        <v>8</v>
      </c>
      <c r="M254" s="346"/>
      <c r="N254" s="346">
        <f>VLOOKUP(B234,Schlüssel!$A$5:$DZ$14,28)</f>
        <v>3</v>
      </c>
      <c r="O254" s="346"/>
      <c r="P254" s="346">
        <f>VLOOKUP(B234,Schlüssel!$A$5:$DZ$14,29)</f>
        <v>4</v>
      </c>
      <c r="Q254" s="346"/>
      <c r="R254" s="346">
        <f>VLOOKUP(B234,Schlüssel!$A$5:$DZ$14,30)</f>
        <v>1</v>
      </c>
      <c r="S254" s="346"/>
      <c r="T254" s="346">
        <f>VLOOKUP(B234,Schlüssel!$A$5:$DZ$14,31)</f>
        <v>5</v>
      </c>
      <c r="U254" s="346"/>
      <c r="V254" s="347"/>
      <c r="W254" s="347"/>
    </row>
    <row r="255" spans="1:23" ht="28.5" customHeight="1" x14ac:dyDescent="0.35">
      <c r="B255" s="90"/>
      <c r="C255" s="86"/>
      <c r="D255" s="343" t="str">
        <f>VLOOKUP(D254,Schlüssel!$A$5:$K$14,2)</f>
        <v>BK München 2</v>
      </c>
      <c r="E255" s="344"/>
      <c r="F255" s="343" t="str">
        <f>VLOOKUP(F254,Schlüssel!$A$5:$K$14,2)</f>
        <v>Phönix 03 Lauf</v>
      </c>
      <c r="G255" s="344"/>
      <c r="H255" s="343" t="str">
        <f>VLOOKUP(H254,Schlüssel!$A$5:$K$14,2)</f>
        <v>Frankenpower Nürnberg</v>
      </c>
      <c r="I255" s="344"/>
      <c r="J255" s="343" t="str">
        <f>VLOOKUP(J254,Schlüssel!$A$5:$K$14,2)</f>
        <v>BK München 4</v>
      </c>
      <c r="K255" s="344"/>
      <c r="L255" s="343" t="str">
        <f>VLOOKUP(L254,Schlüssel!$A$5:$K$14,2)</f>
        <v>EPA München 1</v>
      </c>
      <c r="M255" s="344"/>
      <c r="N255" s="343" t="str">
        <f>VLOOKUP(N254,Schlüssel!$A$5:$K$14,2)</f>
        <v>Highroller Rosenheim</v>
      </c>
      <c r="O255" s="344"/>
      <c r="P255" s="343" t="str">
        <f>VLOOKUP(P254,Schlüssel!$A$5:$K$14,2)</f>
        <v>BK München 3</v>
      </c>
      <c r="Q255" s="344"/>
      <c r="R255" s="343" t="str">
        <f>VLOOKUP(R254,Schlüssel!$A$5:$K$14,2)</f>
        <v>Praetoria Regensburg</v>
      </c>
      <c r="S255" s="344"/>
      <c r="T255" s="343" t="str">
        <f>VLOOKUP(T254,Schlüssel!$A$5:$K$14,2)</f>
        <v xml:space="preserve">Weiß Blau Unterföhring </v>
      </c>
      <c r="U255" s="344"/>
      <c r="V255" s="345"/>
      <c r="W255" s="345"/>
    </row>
    <row r="256" spans="1:23" ht="12" customHeight="1" x14ac:dyDescent="0.35">
      <c r="B256" s="90"/>
      <c r="C256" s="86"/>
      <c r="D256" s="341"/>
      <c r="E256" s="341"/>
      <c r="F256" s="341"/>
      <c r="G256" s="341"/>
      <c r="H256" s="341"/>
      <c r="I256" s="341"/>
      <c r="J256" s="341"/>
      <c r="K256" s="341"/>
      <c r="L256" s="341"/>
      <c r="M256" s="341"/>
      <c r="N256" s="341"/>
      <c r="O256" s="341"/>
      <c r="P256" s="341"/>
      <c r="Q256" s="341"/>
      <c r="R256" s="341"/>
      <c r="S256" s="341"/>
      <c r="T256" s="341"/>
      <c r="U256" s="342"/>
      <c r="V256" s="301"/>
      <c r="W256" s="301"/>
    </row>
    <row r="257" spans="1:29" ht="16.05" customHeight="1" x14ac:dyDescent="0.35">
      <c r="B257" s="91" t="s">
        <v>0</v>
      </c>
      <c r="C257" s="92"/>
      <c r="D257" s="339"/>
      <c r="E257" s="339"/>
      <c r="F257" s="339"/>
      <c r="G257" s="339"/>
      <c r="H257" s="339"/>
      <c r="I257" s="339"/>
      <c r="J257" s="339"/>
      <c r="K257" s="339"/>
      <c r="L257" s="339"/>
      <c r="M257" s="339"/>
      <c r="N257" s="339"/>
      <c r="O257" s="339"/>
      <c r="P257" s="339"/>
      <c r="Q257" s="339"/>
      <c r="R257" s="339"/>
      <c r="S257" s="339"/>
      <c r="T257" s="339"/>
      <c r="U257" s="339"/>
      <c r="V257" s="340"/>
      <c r="W257" s="340"/>
    </row>
    <row r="258" spans="1:29" ht="16.05" customHeight="1" x14ac:dyDescent="0.35">
      <c r="B258" s="91" t="s">
        <v>2</v>
      </c>
      <c r="C258" s="92"/>
      <c r="D258" s="339"/>
      <c r="E258" s="339"/>
      <c r="F258" s="339"/>
      <c r="G258" s="339"/>
      <c r="H258" s="339"/>
      <c r="I258" s="339"/>
      <c r="J258" s="339"/>
      <c r="K258" s="339"/>
      <c r="L258" s="339"/>
      <c r="M258" s="339"/>
      <c r="N258" s="339"/>
      <c r="O258" s="339"/>
      <c r="P258" s="339"/>
      <c r="Q258" s="339"/>
      <c r="R258" s="339"/>
      <c r="S258" s="339"/>
      <c r="T258" s="339"/>
      <c r="U258" s="339"/>
      <c r="V258" s="340"/>
      <c r="W258" s="340"/>
    </row>
    <row r="259" spans="1:29" ht="16.05" customHeight="1" x14ac:dyDescent="0.35">
      <c r="B259" s="91" t="s">
        <v>3</v>
      </c>
      <c r="C259" s="92"/>
      <c r="D259" s="339"/>
      <c r="E259" s="339"/>
      <c r="F259" s="339"/>
      <c r="G259" s="339"/>
      <c r="H259" s="339"/>
      <c r="I259" s="339"/>
      <c r="J259" s="339"/>
      <c r="K259" s="339"/>
      <c r="L259" s="339"/>
      <c r="M259" s="339"/>
      <c r="N259" s="339"/>
      <c r="O259" s="339"/>
      <c r="P259" s="339"/>
      <c r="Q259" s="339"/>
      <c r="R259" s="339"/>
      <c r="S259" s="339"/>
      <c r="T259" s="339"/>
      <c r="U259" s="339"/>
      <c r="V259" s="340"/>
      <c r="W259" s="340"/>
    </row>
    <row r="260" spans="1:29" ht="16.05" customHeight="1" x14ac:dyDescent="0.35">
      <c r="B260" s="91" t="s">
        <v>11</v>
      </c>
      <c r="C260" s="92"/>
      <c r="D260" s="339"/>
      <c r="E260" s="339"/>
      <c r="F260" s="339"/>
      <c r="G260" s="339"/>
      <c r="H260" s="339"/>
      <c r="I260" s="339"/>
      <c r="J260" s="339"/>
      <c r="K260" s="339"/>
      <c r="L260" s="339"/>
      <c r="M260" s="339"/>
      <c r="N260" s="339"/>
      <c r="O260" s="339"/>
      <c r="P260" s="339"/>
      <c r="Q260" s="339"/>
      <c r="R260" s="339"/>
      <c r="S260" s="339"/>
      <c r="T260" s="339"/>
      <c r="U260" s="339"/>
      <c r="V260" s="340"/>
      <c r="W260" s="340"/>
    </row>
    <row r="261" spans="1:29" ht="16.05" customHeight="1" x14ac:dyDescent="0.35">
      <c r="B261" s="93" t="s">
        <v>1799</v>
      </c>
      <c r="C261" s="94"/>
      <c r="D261" s="338"/>
      <c r="E261" s="338"/>
      <c r="F261" s="338"/>
      <c r="G261" s="338"/>
      <c r="H261" s="338"/>
      <c r="I261" s="338"/>
      <c r="J261" s="338"/>
      <c r="K261" s="338"/>
      <c r="L261" s="338"/>
      <c r="M261" s="338"/>
      <c r="N261" s="338"/>
      <c r="O261" s="338"/>
      <c r="P261" s="338"/>
      <c r="Q261" s="338"/>
      <c r="R261" s="338"/>
      <c r="S261" s="338"/>
      <c r="T261" s="338"/>
      <c r="U261" s="338"/>
      <c r="V261" s="290"/>
      <c r="W261" s="290"/>
    </row>
    <row r="262" spans="1:29" ht="21" customHeight="1" x14ac:dyDescent="0.7">
      <c r="B262" s="44" t="s">
        <v>1813</v>
      </c>
      <c r="C262" s="45"/>
      <c r="D262" s="46" t="s">
        <v>1792</v>
      </c>
      <c r="E262" s="47"/>
      <c r="F262" s="359" t="str">
        <f>Schlüssel!$C$1</f>
        <v>Bayernliga Frauen</v>
      </c>
      <c r="G262" s="359"/>
      <c r="H262" s="359"/>
      <c r="I262" s="359"/>
      <c r="J262" s="359"/>
      <c r="K262" s="359"/>
      <c r="L262" s="359"/>
      <c r="M262" s="359"/>
      <c r="N262" s="359"/>
      <c r="O262" s="359"/>
      <c r="P262" s="45"/>
      <c r="Q262" s="45"/>
      <c r="R262" s="48"/>
      <c r="S262" s="49" t="s">
        <v>1794</v>
      </c>
      <c r="T262" s="50"/>
      <c r="U262" s="360" t="str">
        <f>Schlüssel!$AG$1</f>
        <v>02.11./03.11.</v>
      </c>
      <c r="V262" s="361"/>
      <c r="W262" s="362"/>
      <c r="AC262" s="51"/>
    </row>
    <row r="263" spans="1:29" ht="17.25" customHeight="1" thickBot="1" x14ac:dyDescent="0.65">
      <c r="A263" s="52"/>
      <c r="B263" s="96">
        <f>+B234+1</f>
        <v>10</v>
      </c>
      <c r="D263" s="46" t="s">
        <v>1793</v>
      </c>
      <c r="E263" s="54"/>
      <c r="F263" s="358" t="str">
        <f>Schlüssel!$W$2</f>
        <v>Regensburg Super Bowl</v>
      </c>
      <c r="G263" s="358"/>
      <c r="H263" s="358"/>
      <c r="I263" s="358"/>
      <c r="J263" s="358"/>
      <c r="K263" s="358"/>
      <c r="L263" s="358"/>
      <c r="M263" s="358"/>
      <c r="N263" s="358"/>
      <c r="O263" s="358"/>
      <c r="P263" s="55"/>
      <c r="Q263" s="55"/>
      <c r="S263" s="49" t="s">
        <v>1791</v>
      </c>
      <c r="T263" s="56">
        <v>2</v>
      </c>
      <c r="U263" s="50"/>
      <c r="V263" s="50"/>
      <c r="AC263" s="97"/>
    </row>
    <row r="264" spans="1:29" ht="15.75" customHeight="1" thickBot="1" x14ac:dyDescent="0.4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5" thickBot="1" x14ac:dyDescent="0.45">
      <c r="A265" s="2"/>
      <c r="B265" s="44"/>
      <c r="C265" s="63"/>
      <c r="D265" s="64" t="s">
        <v>10</v>
      </c>
      <c r="E265" s="44">
        <f>VLOOKUP(B263,Schlüssel!$A$5:$DZ$14,33)</f>
        <v>8</v>
      </c>
      <c r="F265" s="65" t="s">
        <v>10</v>
      </c>
      <c r="G265" s="44">
        <f>VLOOKUP(B263,Schlüssel!$A$5:$DZ$14,34)</f>
        <v>10</v>
      </c>
      <c r="H265" s="65" t="s">
        <v>10</v>
      </c>
      <c r="I265" s="44">
        <f>VLOOKUP(B263,Schlüssel!$A$5:$DZ$14,35)</f>
        <v>3</v>
      </c>
      <c r="J265" s="65" t="s">
        <v>10</v>
      </c>
      <c r="K265" s="44">
        <f>VLOOKUP(B263,Schlüssel!$A$5:$DZ$14,36)</f>
        <v>11</v>
      </c>
      <c r="L265" s="65" t="s">
        <v>10</v>
      </c>
      <c r="M265" s="44">
        <f>VLOOKUP(B263,Schlüssel!$A$5:$DZ$14,37)</f>
        <v>5</v>
      </c>
      <c r="N265" s="65" t="s">
        <v>10</v>
      </c>
      <c r="O265" s="44">
        <f>VLOOKUP(B263,Schlüssel!$A$5:$DZ$14,38)</f>
        <v>12</v>
      </c>
      <c r="P265" s="65" t="s">
        <v>10</v>
      </c>
      <c r="Q265" s="44">
        <f>VLOOKUP(B263,Schlüssel!$A$5:$DZ$14,39)</f>
        <v>7</v>
      </c>
      <c r="R265" s="65" t="s">
        <v>10</v>
      </c>
      <c r="S265" s="44">
        <f>VLOOKUP(B263,Schlüssel!$A$5:$DZ$14,40)</f>
        <v>6</v>
      </c>
      <c r="T265" s="65" t="s">
        <v>10</v>
      </c>
      <c r="U265" s="66">
        <f>VLOOKUP(B263,Schlüssel!$A$5:$DZ$14,41)</f>
        <v>9</v>
      </c>
    </row>
    <row r="266" spans="1:29" ht="20.25" customHeight="1" x14ac:dyDescent="0.35">
      <c r="B266" s="67" t="s">
        <v>1</v>
      </c>
      <c r="C266" s="68"/>
      <c r="D266" s="354" t="s">
        <v>1800</v>
      </c>
      <c r="E266" s="355"/>
      <c r="F266" s="354" t="s">
        <v>1801</v>
      </c>
      <c r="G266" s="355"/>
      <c r="H266" s="354" t="s">
        <v>1802</v>
      </c>
      <c r="I266" s="355"/>
      <c r="J266" s="354" t="s">
        <v>1803</v>
      </c>
      <c r="K266" s="355"/>
      <c r="L266" s="354" t="s">
        <v>1804</v>
      </c>
      <c r="M266" s="355"/>
      <c r="N266" s="354" t="s">
        <v>1805</v>
      </c>
      <c r="O266" s="355"/>
      <c r="P266" s="354" t="s">
        <v>1806</v>
      </c>
      <c r="Q266" s="355"/>
      <c r="R266" s="354" t="s">
        <v>1807</v>
      </c>
      <c r="S266" s="355"/>
      <c r="T266" s="354" t="s">
        <v>1808</v>
      </c>
      <c r="U266" s="355"/>
      <c r="V266" s="356" t="s">
        <v>1799</v>
      </c>
      <c r="W266" s="357"/>
    </row>
    <row r="267" spans="1:29" ht="15" customHeight="1" thickBot="1" x14ac:dyDescent="0.4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2" customHeight="1" x14ac:dyDescent="0.35">
      <c r="A268" s="351" t="s">
        <v>0</v>
      </c>
      <c r="B268" s="73"/>
      <c r="C268" s="74"/>
      <c r="D268" s="75"/>
      <c r="E268" s="348"/>
      <c r="F268" s="75"/>
      <c r="G268" s="348"/>
      <c r="H268" s="75"/>
      <c r="I268" s="348"/>
      <c r="J268" s="75"/>
      <c r="K268" s="348"/>
      <c r="L268" s="75"/>
      <c r="M268" s="348"/>
      <c r="N268" s="75"/>
      <c r="O268" s="348"/>
      <c r="P268" s="75"/>
      <c r="Q268" s="348"/>
      <c r="R268" s="75"/>
      <c r="S268" s="348"/>
      <c r="T268" s="75"/>
      <c r="U268" s="348"/>
      <c r="V268" s="75"/>
      <c r="W268" s="348"/>
    </row>
    <row r="269" spans="1:29" ht="17.2" customHeight="1" x14ac:dyDescent="0.35">
      <c r="A269" s="352"/>
      <c r="B269" s="76"/>
      <c r="C269" s="77"/>
      <c r="D269" s="78"/>
      <c r="E269" s="349"/>
      <c r="F269" s="78"/>
      <c r="G269" s="349"/>
      <c r="H269" s="78"/>
      <c r="I269" s="349"/>
      <c r="J269" s="78"/>
      <c r="K269" s="349"/>
      <c r="L269" s="78"/>
      <c r="M269" s="349"/>
      <c r="N269" s="78"/>
      <c r="O269" s="349"/>
      <c r="P269" s="78"/>
      <c r="Q269" s="349"/>
      <c r="R269" s="78"/>
      <c r="S269" s="349"/>
      <c r="T269" s="78"/>
      <c r="U269" s="349"/>
      <c r="V269" s="78"/>
      <c r="W269" s="349"/>
    </row>
    <row r="270" spans="1:29" ht="17.2" customHeight="1" thickBot="1" x14ac:dyDescent="0.4">
      <c r="A270" s="353"/>
      <c r="B270" s="79"/>
      <c r="C270" s="80"/>
      <c r="D270" s="69"/>
      <c r="E270" s="350"/>
      <c r="F270" s="69"/>
      <c r="G270" s="350"/>
      <c r="H270" s="69"/>
      <c r="I270" s="350"/>
      <c r="J270" s="69"/>
      <c r="K270" s="350"/>
      <c r="L270" s="69"/>
      <c r="M270" s="350"/>
      <c r="N270" s="69"/>
      <c r="O270" s="350"/>
      <c r="P270" s="69"/>
      <c r="Q270" s="350"/>
      <c r="R270" s="69"/>
      <c r="S270" s="350"/>
      <c r="T270" s="69"/>
      <c r="U270" s="350"/>
      <c r="V270" s="69"/>
      <c r="W270" s="350"/>
    </row>
    <row r="271" spans="1:29" ht="17.2" customHeight="1" x14ac:dyDescent="0.35">
      <c r="A271" s="351" t="s">
        <v>2</v>
      </c>
      <c r="B271" s="73"/>
      <c r="C271" s="74"/>
      <c r="D271" s="75"/>
      <c r="E271" s="348"/>
      <c r="F271" s="75"/>
      <c r="G271" s="348"/>
      <c r="H271" s="75"/>
      <c r="I271" s="348"/>
      <c r="J271" s="75"/>
      <c r="K271" s="348"/>
      <c r="L271" s="75"/>
      <c r="M271" s="348"/>
      <c r="N271" s="75"/>
      <c r="O271" s="348"/>
      <c r="P271" s="75"/>
      <c r="Q271" s="348"/>
      <c r="R271" s="75"/>
      <c r="S271" s="348"/>
      <c r="T271" s="75"/>
      <c r="U271" s="348"/>
      <c r="V271" s="75"/>
      <c r="W271" s="348"/>
    </row>
    <row r="272" spans="1:29" ht="17.2" customHeight="1" x14ac:dyDescent="0.35">
      <c r="A272" s="352"/>
      <c r="B272" s="76"/>
      <c r="C272" s="77"/>
      <c r="D272" s="78"/>
      <c r="E272" s="349"/>
      <c r="F272" s="78"/>
      <c r="G272" s="349"/>
      <c r="H272" s="78"/>
      <c r="I272" s="349"/>
      <c r="J272" s="78"/>
      <c r="K272" s="349"/>
      <c r="L272" s="78"/>
      <c r="M272" s="349"/>
      <c r="N272" s="78"/>
      <c r="O272" s="349"/>
      <c r="P272" s="78"/>
      <c r="Q272" s="349"/>
      <c r="R272" s="78"/>
      <c r="S272" s="349"/>
      <c r="T272" s="78"/>
      <c r="U272" s="349"/>
      <c r="V272" s="78"/>
      <c r="W272" s="349"/>
    </row>
    <row r="273" spans="1:23" ht="17.2" customHeight="1" thickBot="1" x14ac:dyDescent="0.4">
      <c r="A273" s="353"/>
      <c r="B273" s="79"/>
      <c r="C273" s="80"/>
      <c r="D273" s="69"/>
      <c r="E273" s="350"/>
      <c r="F273" s="69"/>
      <c r="G273" s="350"/>
      <c r="H273" s="69"/>
      <c r="I273" s="350"/>
      <c r="J273" s="69"/>
      <c r="K273" s="350"/>
      <c r="L273" s="69"/>
      <c r="M273" s="350"/>
      <c r="N273" s="69"/>
      <c r="O273" s="350"/>
      <c r="P273" s="69"/>
      <c r="Q273" s="350"/>
      <c r="R273" s="69"/>
      <c r="S273" s="350"/>
      <c r="T273" s="69"/>
      <c r="U273" s="350"/>
      <c r="V273" s="69"/>
      <c r="W273" s="350"/>
    </row>
    <row r="274" spans="1:23" ht="17.2" customHeight="1" x14ac:dyDescent="0.35">
      <c r="A274" s="351" t="s">
        <v>3</v>
      </c>
      <c r="B274" s="73"/>
      <c r="C274" s="74"/>
      <c r="D274" s="75"/>
      <c r="E274" s="348"/>
      <c r="F274" s="75"/>
      <c r="G274" s="348"/>
      <c r="H274" s="75"/>
      <c r="I274" s="348"/>
      <c r="J274" s="75"/>
      <c r="K274" s="348"/>
      <c r="L274" s="75"/>
      <c r="M274" s="348"/>
      <c r="N274" s="75"/>
      <c r="O274" s="348"/>
      <c r="P274" s="75"/>
      <c r="Q274" s="348"/>
      <c r="R274" s="75"/>
      <c r="S274" s="348"/>
      <c r="T274" s="75"/>
      <c r="U274" s="348"/>
      <c r="V274" s="75"/>
      <c r="W274" s="348"/>
    </row>
    <row r="275" spans="1:23" ht="17.2" customHeight="1" x14ac:dyDescent="0.35">
      <c r="A275" s="352"/>
      <c r="B275" s="76"/>
      <c r="C275" s="77"/>
      <c r="D275" s="78"/>
      <c r="E275" s="349"/>
      <c r="F275" s="78"/>
      <c r="G275" s="349"/>
      <c r="H275" s="78"/>
      <c r="I275" s="349"/>
      <c r="J275" s="78"/>
      <c r="K275" s="349"/>
      <c r="L275" s="78"/>
      <c r="M275" s="349"/>
      <c r="N275" s="78"/>
      <c r="O275" s="349"/>
      <c r="P275" s="78"/>
      <c r="Q275" s="349"/>
      <c r="R275" s="78"/>
      <c r="S275" s="349"/>
      <c r="T275" s="78"/>
      <c r="U275" s="349"/>
      <c r="V275" s="78"/>
      <c r="W275" s="349"/>
    </row>
    <row r="276" spans="1:23" ht="17.2" customHeight="1" thickBot="1" x14ac:dyDescent="0.4">
      <c r="A276" s="353"/>
      <c r="B276" s="79"/>
      <c r="C276" s="80"/>
      <c r="D276" s="69"/>
      <c r="E276" s="350"/>
      <c r="F276" s="69"/>
      <c r="G276" s="350"/>
      <c r="H276" s="69"/>
      <c r="I276" s="350"/>
      <c r="J276" s="69"/>
      <c r="K276" s="350"/>
      <c r="L276" s="69"/>
      <c r="M276" s="350"/>
      <c r="N276" s="69"/>
      <c r="O276" s="350"/>
      <c r="P276" s="69"/>
      <c r="Q276" s="350"/>
      <c r="R276" s="69"/>
      <c r="S276" s="350"/>
      <c r="T276" s="69"/>
      <c r="U276" s="350"/>
      <c r="V276" s="69"/>
      <c r="W276" s="350"/>
    </row>
    <row r="277" spans="1:23" ht="17.2" customHeight="1" x14ac:dyDescent="0.35">
      <c r="A277" s="351" t="s">
        <v>11</v>
      </c>
      <c r="B277" s="73"/>
      <c r="C277" s="74"/>
      <c r="D277" s="75"/>
      <c r="E277" s="348"/>
      <c r="F277" s="75"/>
      <c r="G277" s="348"/>
      <c r="H277" s="75"/>
      <c r="I277" s="348"/>
      <c r="J277" s="75"/>
      <c r="K277" s="348"/>
      <c r="L277" s="75"/>
      <c r="M277" s="348"/>
      <c r="N277" s="75"/>
      <c r="O277" s="348"/>
      <c r="P277" s="75"/>
      <c r="Q277" s="348"/>
      <c r="R277" s="75"/>
      <c r="S277" s="348"/>
      <c r="T277" s="75"/>
      <c r="U277" s="348"/>
      <c r="V277" s="75"/>
      <c r="W277" s="348"/>
    </row>
    <row r="278" spans="1:23" ht="17.2" customHeight="1" x14ac:dyDescent="0.35">
      <c r="A278" s="352"/>
      <c r="B278" s="76"/>
      <c r="C278" s="77"/>
      <c r="D278" s="78"/>
      <c r="E278" s="349"/>
      <c r="F278" s="78"/>
      <c r="G278" s="349"/>
      <c r="H278" s="78"/>
      <c r="I278" s="349"/>
      <c r="J278" s="78"/>
      <c r="K278" s="349"/>
      <c r="L278" s="78"/>
      <c r="M278" s="349"/>
      <c r="N278" s="78"/>
      <c r="O278" s="349"/>
      <c r="P278" s="78"/>
      <c r="Q278" s="349"/>
      <c r="R278" s="78"/>
      <c r="S278" s="349"/>
      <c r="T278" s="78"/>
      <c r="U278" s="349"/>
      <c r="V278" s="78"/>
      <c r="W278" s="349"/>
    </row>
    <row r="279" spans="1:23" ht="17.2" customHeight="1" thickBot="1" x14ac:dyDescent="0.4">
      <c r="A279" s="353"/>
      <c r="B279" s="79"/>
      <c r="C279" s="80"/>
      <c r="D279" s="69"/>
      <c r="E279" s="350"/>
      <c r="F279" s="69"/>
      <c r="G279" s="350"/>
      <c r="H279" s="69"/>
      <c r="I279" s="350"/>
      <c r="J279" s="69"/>
      <c r="K279" s="350"/>
      <c r="L279" s="69"/>
      <c r="M279" s="350"/>
      <c r="N279" s="69"/>
      <c r="O279" s="350"/>
      <c r="P279" s="69"/>
      <c r="Q279" s="350"/>
      <c r="R279" s="69"/>
      <c r="S279" s="350"/>
      <c r="T279" s="69"/>
      <c r="U279" s="350"/>
      <c r="V279" s="69"/>
      <c r="W279" s="350"/>
    </row>
    <row r="280" spans="1:23" ht="27.75" customHeight="1" thickBot="1" x14ac:dyDescent="0.4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4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3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35">
      <c r="B283" s="88" t="s">
        <v>1797</v>
      </c>
      <c r="C283" s="89" t="s">
        <v>1798</v>
      </c>
      <c r="D283" s="346">
        <f>VLOOKUP(B263,Schlüssel!$A$5:$DZ$14,23)</f>
        <v>6</v>
      </c>
      <c r="E283" s="346"/>
      <c r="F283" s="346">
        <f>VLOOKUP(B263,Schlüssel!$A$5:$DZ$14,24)</f>
        <v>5</v>
      </c>
      <c r="G283" s="346"/>
      <c r="H283" s="346">
        <f>VLOOKUP(B263,Schlüssel!$A$5:$DZ$14,25)</f>
        <v>2</v>
      </c>
      <c r="I283" s="346"/>
      <c r="J283" s="346">
        <f>VLOOKUP(B263,Schlüssel!$A$5:$DZ$14,26)</f>
        <v>9</v>
      </c>
      <c r="K283" s="346"/>
      <c r="L283" s="346">
        <f>VLOOKUP(B263,Schlüssel!$A$5:$DZ$14,27)</f>
        <v>1</v>
      </c>
      <c r="M283" s="346"/>
      <c r="N283" s="346">
        <f>VLOOKUP(B263,Schlüssel!$A$5:$DZ$14,28)</f>
        <v>4</v>
      </c>
      <c r="O283" s="346"/>
      <c r="P283" s="346">
        <f>VLOOKUP(B263,Schlüssel!$A$5:$DZ$14,29)</f>
        <v>7</v>
      </c>
      <c r="Q283" s="346"/>
      <c r="R283" s="346">
        <f>VLOOKUP(B263,Schlüssel!$A$5:$DZ$14,30)</f>
        <v>3</v>
      </c>
      <c r="S283" s="346"/>
      <c r="T283" s="346">
        <f>VLOOKUP(B263,Schlüssel!$A$5:$DZ$14,31)</f>
        <v>8</v>
      </c>
      <c r="U283" s="346"/>
      <c r="V283" s="347"/>
      <c r="W283" s="347"/>
    </row>
    <row r="284" spans="1:23" ht="28.5" customHeight="1" x14ac:dyDescent="0.35">
      <c r="B284" s="90"/>
      <c r="C284" s="86"/>
      <c r="D284" s="343" t="str">
        <f>VLOOKUP(D283,Schlüssel!$A$5:$K$14,2)</f>
        <v>Phönix 03 Lauf</v>
      </c>
      <c r="E284" s="344"/>
      <c r="F284" s="343" t="str">
        <f>VLOOKUP(F283,Schlüssel!$A$5:$K$14,2)</f>
        <v xml:space="preserve">Weiß Blau Unterföhring </v>
      </c>
      <c r="G284" s="344"/>
      <c r="H284" s="343" t="str">
        <f>VLOOKUP(H283,Schlüssel!$A$5:$K$14,2)</f>
        <v>BK München 2</v>
      </c>
      <c r="I284" s="344"/>
      <c r="J284" s="343" t="str">
        <f>VLOOKUP(J283,Schlüssel!$A$5:$K$14,2)</f>
        <v>RW Lichtenhof 69 Stein 2</v>
      </c>
      <c r="K284" s="344"/>
      <c r="L284" s="343" t="str">
        <f>VLOOKUP(L283,Schlüssel!$A$5:$K$14,2)</f>
        <v>Praetoria Regensburg</v>
      </c>
      <c r="M284" s="344"/>
      <c r="N284" s="343" t="str">
        <f>VLOOKUP(N283,Schlüssel!$A$5:$K$14,2)</f>
        <v>BK München 3</v>
      </c>
      <c r="O284" s="344"/>
      <c r="P284" s="343" t="str">
        <f>VLOOKUP(P283,Schlüssel!$A$5:$K$14,2)</f>
        <v>Frankenpower Nürnberg</v>
      </c>
      <c r="Q284" s="344"/>
      <c r="R284" s="343" t="str">
        <f>VLOOKUP(R283,Schlüssel!$A$5:$K$14,2)</f>
        <v>Highroller Rosenheim</v>
      </c>
      <c r="S284" s="344"/>
      <c r="T284" s="343" t="str">
        <f>VLOOKUP(T283,Schlüssel!$A$5:$K$14,2)</f>
        <v>EPA München 1</v>
      </c>
      <c r="U284" s="344"/>
      <c r="V284" s="345"/>
      <c r="W284" s="345"/>
    </row>
    <row r="285" spans="1:23" ht="12" customHeight="1" x14ac:dyDescent="0.35">
      <c r="B285" s="90"/>
      <c r="C285" s="86"/>
      <c r="D285" s="341"/>
      <c r="E285" s="341"/>
      <c r="F285" s="341"/>
      <c r="G285" s="341"/>
      <c r="H285" s="341"/>
      <c r="I285" s="341"/>
      <c r="J285" s="341"/>
      <c r="K285" s="341"/>
      <c r="L285" s="341"/>
      <c r="M285" s="341"/>
      <c r="N285" s="341"/>
      <c r="O285" s="341"/>
      <c r="P285" s="341"/>
      <c r="Q285" s="341"/>
      <c r="R285" s="341"/>
      <c r="S285" s="341"/>
      <c r="T285" s="341"/>
      <c r="U285" s="342"/>
      <c r="V285" s="301"/>
      <c r="W285" s="301"/>
    </row>
    <row r="286" spans="1:23" ht="16.05" customHeight="1" x14ac:dyDescent="0.35">
      <c r="B286" s="91" t="s">
        <v>0</v>
      </c>
      <c r="C286" s="92"/>
      <c r="D286" s="339"/>
      <c r="E286" s="339"/>
      <c r="F286" s="339"/>
      <c r="G286" s="339"/>
      <c r="H286" s="339"/>
      <c r="I286" s="339"/>
      <c r="J286" s="339"/>
      <c r="K286" s="339"/>
      <c r="L286" s="339"/>
      <c r="M286" s="339"/>
      <c r="N286" s="339"/>
      <c r="O286" s="339"/>
      <c r="P286" s="339"/>
      <c r="Q286" s="339"/>
      <c r="R286" s="339"/>
      <c r="S286" s="339"/>
      <c r="T286" s="339"/>
      <c r="U286" s="339"/>
      <c r="V286" s="340"/>
      <c r="W286" s="340"/>
    </row>
    <row r="287" spans="1:23" ht="16.05" customHeight="1" x14ac:dyDescent="0.35">
      <c r="B287" s="91" t="s">
        <v>2</v>
      </c>
      <c r="C287" s="92"/>
      <c r="D287" s="339"/>
      <c r="E287" s="339"/>
      <c r="F287" s="339"/>
      <c r="G287" s="339"/>
      <c r="H287" s="339"/>
      <c r="I287" s="339"/>
      <c r="J287" s="339"/>
      <c r="K287" s="339"/>
      <c r="L287" s="339"/>
      <c r="M287" s="339"/>
      <c r="N287" s="339"/>
      <c r="O287" s="339"/>
      <c r="P287" s="339"/>
      <c r="Q287" s="339"/>
      <c r="R287" s="339"/>
      <c r="S287" s="339"/>
      <c r="T287" s="339"/>
      <c r="U287" s="339"/>
      <c r="V287" s="340"/>
      <c r="W287" s="340"/>
    </row>
    <row r="288" spans="1:23" ht="16.05" customHeight="1" x14ac:dyDescent="0.35">
      <c r="B288" s="91" t="s">
        <v>3</v>
      </c>
      <c r="C288" s="92"/>
      <c r="D288" s="339"/>
      <c r="E288" s="339"/>
      <c r="F288" s="339"/>
      <c r="G288" s="339"/>
      <c r="H288" s="339"/>
      <c r="I288" s="339"/>
      <c r="J288" s="339"/>
      <c r="K288" s="33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40"/>
      <c r="W288" s="340"/>
    </row>
    <row r="289" spans="2:23" ht="16.05" customHeight="1" x14ac:dyDescent="0.35">
      <c r="B289" s="91" t="s">
        <v>11</v>
      </c>
      <c r="C289" s="92"/>
      <c r="D289" s="339"/>
      <c r="E289" s="339"/>
      <c r="F289" s="339"/>
      <c r="G289" s="339"/>
      <c r="H289" s="339"/>
      <c r="I289" s="339"/>
      <c r="J289" s="339"/>
      <c r="K289" s="339"/>
      <c r="L289" s="339"/>
      <c r="M289" s="339"/>
      <c r="N289" s="339"/>
      <c r="O289" s="339"/>
      <c r="P289" s="339"/>
      <c r="Q289" s="339"/>
      <c r="R289" s="339"/>
      <c r="S289" s="339"/>
      <c r="T289" s="339"/>
      <c r="U289" s="339"/>
      <c r="V289" s="340"/>
      <c r="W289" s="340"/>
    </row>
    <row r="290" spans="2:23" ht="16.05" customHeight="1" x14ac:dyDescent="0.35">
      <c r="B290" s="93" t="s">
        <v>1799</v>
      </c>
      <c r="C290" s="94"/>
      <c r="D290" s="338"/>
      <c r="E290" s="338"/>
      <c r="F290" s="338"/>
      <c r="G290" s="338"/>
      <c r="H290" s="338"/>
      <c r="I290" s="338"/>
      <c r="J290" s="338"/>
      <c r="K290" s="338"/>
      <c r="L290" s="338"/>
      <c r="M290" s="338"/>
      <c r="N290" s="338"/>
      <c r="O290" s="338"/>
      <c r="P290" s="338"/>
      <c r="Q290" s="338"/>
      <c r="R290" s="338"/>
      <c r="S290" s="338"/>
      <c r="T290" s="338"/>
      <c r="U290" s="338"/>
      <c r="V290" s="290"/>
      <c r="W290" s="290"/>
    </row>
  </sheetData>
  <sheetProtection password="D19C" sheet="1" formatCells="0" formatColumns="0" formatRows="0"/>
  <mergeCells count="1370">
    <mergeCell ref="D27:E27"/>
    <mergeCell ref="F27:G27"/>
    <mergeCell ref="H27:I27"/>
    <mergeCell ref="J27:K27"/>
    <mergeCell ref="L27:M27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L29:M29"/>
    <mergeCell ref="N27:O27"/>
    <mergeCell ref="N29:O29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Q7:Q9"/>
    <mergeCell ref="S7:S9"/>
    <mergeCell ref="U7:U9"/>
    <mergeCell ref="W7:W9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7">
    <tabColor rgb="FF92D050"/>
    <pageSetUpPr fitToPage="1"/>
  </sheetPr>
  <dimension ref="A1:BZ300"/>
  <sheetViews>
    <sheetView view="pageBreakPreview" topLeftCell="Z88" zoomScaleNormal="100" zoomScaleSheetLayoutView="100" workbookViewId="0">
      <selection activeCell="AC106" sqref="AC106"/>
    </sheetView>
  </sheetViews>
  <sheetFormatPr baseColWidth="10" defaultColWidth="11.33203125" defaultRowHeight="12.75" x14ac:dyDescent="0.35"/>
  <cols>
    <col min="1" max="1" width="4.33203125" style="5" hidden="1" customWidth="1"/>
    <col min="2" max="2" width="18.06640625" hidden="1" customWidth="1"/>
    <col min="3" max="3" width="6.33203125" hidden="1" customWidth="1"/>
    <col min="4" max="21" width="5.73046875" hidden="1" customWidth="1"/>
    <col min="22" max="22" width="8.33203125" hidden="1" customWidth="1"/>
    <col min="23" max="23" width="6.73046875" hidden="1" customWidth="1"/>
    <col min="24" max="25" width="0" hidden="1" customWidth="1"/>
    <col min="26" max="26" width="4.33203125" customWidth="1"/>
    <col min="27" max="27" width="18.06640625" customWidth="1"/>
    <col min="28" max="28" width="7.265625" customWidth="1"/>
    <col min="29" max="46" width="5.73046875" customWidth="1"/>
    <col min="47" max="47" width="8.33203125" customWidth="1"/>
    <col min="48" max="48" width="6.73046875" customWidth="1"/>
    <col min="49" max="50" width="11.33203125" customWidth="1"/>
    <col min="51" max="51" width="9.59765625" customWidth="1"/>
    <col min="52" max="52" width="11.33203125" customWidth="1"/>
    <col min="53" max="53" width="6.33203125" style="215" hidden="1" customWidth="1"/>
    <col min="54" max="54" width="5.33203125" style="215" hidden="1" customWidth="1"/>
    <col min="55" max="55" width="5.59765625" style="215" hidden="1" customWidth="1"/>
    <col min="56" max="56" width="6.265625" style="215" hidden="1" customWidth="1"/>
    <col min="57" max="57" width="5.33203125" style="215" hidden="1" customWidth="1"/>
    <col min="58" max="58" width="6" style="215" hidden="1" customWidth="1"/>
    <col min="59" max="59" width="8.33203125" style="215" hidden="1" customWidth="1"/>
    <col min="60" max="68" width="4.265625" style="215" hidden="1" customWidth="1"/>
    <col min="69" max="69" width="14.73046875" style="215" hidden="1" customWidth="1"/>
    <col min="70" max="70" width="5.265625" style="215" hidden="1" customWidth="1"/>
    <col min="71" max="71" width="9.33203125" style="215" hidden="1" customWidth="1"/>
    <col min="72" max="72" width="11" style="215" hidden="1" customWidth="1"/>
    <col min="73" max="73" width="17.265625" style="215" hidden="1" customWidth="1"/>
    <col min="74" max="75" width="5.265625" style="215" hidden="1" customWidth="1"/>
    <col min="76" max="76" width="7.73046875" style="215" hidden="1" customWidth="1"/>
    <col min="77" max="77" width="11.33203125" style="215" hidden="1" customWidth="1"/>
    <col min="78" max="78" width="5.265625" style="215" hidden="1" customWidth="1"/>
    <col min="79" max="99" width="11.33203125" customWidth="1"/>
  </cols>
  <sheetData>
    <row r="1" spans="1:78" ht="21" customHeight="1" x14ac:dyDescent="0.7">
      <c r="B1" s="44" t="str">
        <f>AA1</f>
        <v>Team-Nr.</v>
      </c>
      <c r="C1" s="45"/>
      <c r="D1" s="44" t="str">
        <f>AC1</f>
        <v>Liga:</v>
      </c>
      <c r="E1" s="47"/>
      <c r="F1" s="359" t="str">
        <f>AE1</f>
        <v>Bayernliga Frauen</v>
      </c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48"/>
      <c r="S1" s="49" t="s">
        <v>1794</v>
      </c>
      <c r="T1" s="50"/>
      <c r="U1" s="360" t="str">
        <f>AT1</f>
        <v>02.11./03.11.</v>
      </c>
      <c r="V1" s="361"/>
      <c r="W1" s="362"/>
      <c r="X1" s="363"/>
      <c r="Y1" s="364"/>
      <c r="Z1" s="364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0" t="str">
        <f>VLOOKUP(AS2,Spielorte!$A$1:$C$6,2)</f>
        <v>02.11./03.11.</v>
      </c>
      <c r="AU1" s="361"/>
      <c r="AV1" s="362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65">
      <c r="B2" s="53">
        <f>AA2</f>
        <v>1</v>
      </c>
      <c r="D2" s="46" t="s">
        <v>1793</v>
      </c>
      <c r="E2" s="54"/>
      <c r="F2" s="358" t="str">
        <f>AE2</f>
        <v>Regensburg Super Bowl</v>
      </c>
      <c r="G2" s="358"/>
      <c r="H2" s="358"/>
      <c r="I2" s="358"/>
      <c r="J2" s="358"/>
      <c r="K2" s="358"/>
      <c r="L2" s="358"/>
      <c r="M2" s="358"/>
      <c r="N2" s="358"/>
      <c r="O2" s="358"/>
      <c r="P2" s="55"/>
      <c r="Q2" s="55"/>
      <c r="S2" s="49" t="s">
        <v>1791</v>
      </c>
      <c r="T2" s="56">
        <f>AS2</f>
        <v>2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Regensburg Super Bowl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2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4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5" thickBot="1" x14ac:dyDescent="0.45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VLOOKUP(AA2,Schlüssel!$A$5:$DZ$14,33)</f>
        <v>5</v>
      </c>
      <c r="AE4" s="65" t="s">
        <v>10</v>
      </c>
      <c r="AF4" s="44">
        <f>VLOOKUP(AA2,Schlüssel!$A$5:$DZ$14,34)</f>
        <v>11</v>
      </c>
      <c r="AG4" s="65" t="s">
        <v>10</v>
      </c>
      <c r="AH4" s="44">
        <f>VLOOKUP(AA2,Schlüssel!$A$5:$DZ$14,35)</f>
        <v>7</v>
      </c>
      <c r="AI4" s="65" t="s">
        <v>10</v>
      </c>
      <c r="AJ4" s="44">
        <f>VLOOKUP(AA2,Schlüssel!$A$5:$DZ$14,36)</f>
        <v>10</v>
      </c>
      <c r="AK4" s="65" t="s">
        <v>10</v>
      </c>
      <c r="AL4" s="44">
        <f>VLOOKUP(AA2,Schlüssel!$A$5:$DZ$14,37)</f>
        <v>6</v>
      </c>
      <c r="AM4" s="65" t="s">
        <v>10</v>
      </c>
      <c r="AN4" s="44">
        <f>VLOOKUP(AA2,Schlüssel!$A$5:$DZ$14,38)</f>
        <v>8</v>
      </c>
      <c r="AO4" s="65" t="s">
        <v>10</v>
      </c>
      <c r="AP4" s="44">
        <f>VLOOKUP(AA2,Schlüssel!$A$5:$DZ$14,39)</f>
        <v>12</v>
      </c>
      <c r="AQ4" s="65" t="s">
        <v>10</v>
      </c>
      <c r="AR4" s="44">
        <f>VLOOKUP(AA2,Schlüssel!$A$5:$DZ$14,40)</f>
        <v>9</v>
      </c>
      <c r="AS4" s="65" t="s">
        <v>10</v>
      </c>
      <c r="AT4" s="66">
        <f>VLOOKUP(AA2,Schlüssel!$A$5:$DZ$14,41)</f>
        <v>4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35">
      <c r="B5" s="67" t="s">
        <v>1</v>
      </c>
      <c r="C5" s="68"/>
      <c r="D5" s="354" t="s">
        <v>1800</v>
      </c>
      <c r="E5" s="355"/>
      <c r="F5" s="354" t="s">
        <v>1801</v>
      </c>
      <c r="G5" s="355"/>
      <c r="H5" s="354" t="s">
        <v>1802</v>
      </c>
      <c r="I5" s="355"/>
      <c r="J5" s="354" t="s">
        <v>1803</v>
      </c>
      <c r="K5" s="355"/>
      <c r="L5" s="354" t="s">
        <v>1804</v>
      </c>
      <c r="M5" s="355"/>
      <c r="N5" s="354" t="s">
        <v>1805</v>
      </c>
      <c r="O5" s="355"/>
      <c r="P5" s="354" t="s">
        <v>1806</v>
      </c>
      <c r="Q5" s="355"/>
      <c r="R5" s="354" t="s">
        <v>1807</v>
      </c>
      <c r="S5" s="355"/>
      <c r="T5" s="354" t="s">
        <v>1808</v>
      </c>
      <c r="U5" s="355"/>
      <c r="V5" s="356" t="s">
        <v>1799</v>
      </c>
      <c r="W5" s="357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4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2" customHeight="1" x14ac:dyDescent="0.35">
      <c r="A7" s="367" t="s">
        <v>0</v>
      </c>
      <c r="B7" s="73" t="str">
        <f>IF(AA7=0,"",AA7)</f>
        <v>Wölki, Elisabeth</v>
      </c>
      <c r="C7" s="74">
        <f>IF(AB7=0,"",AB7)</f>
        <v>16170</v>
      </c>
      <c r="D7" s="75">
        <f>IF(AC7=0,"",AC7)</f>
        <v>169</v>
      </c>
      <c r="E7" s="348">
        <f>IF(AD7="","",AD7)</f>
        <v>1</v>
      </c>
      <c r="F7" s="75">
        <f t="shared" ref="F7:F20" si="0">IF(AE7=0,"",AE7)</f>
        <v>174</v>
      </c>
      <c r="G7" s="348">
        <f>IF(AF7="","",AF7)</f>
        <v>1</v>
      </c>
      <c r="H7" s="75">
        <f t="shared" ref="H7:H20" si="1">IF(AG7=0,"",AG7)</f>
        <v>176</v>
      </c>
      <c r="I7" s="348">
        <f>IF(AH7="","",AH7)</f>
        <v>1</v>
      </c>
      <c r="J7" s="75">
        <f t="shared" ref="J7:J20" si="2">IF(AI7=0,"",AI7)</f>
        <v>137</v>
      </c>
      <c r="K7" s="348">
        <f>IF(AJ7="","",AJ7)</f>
        <v>0</v>
      </c>
      <c r="L7" s="75" t="str">
        <f t="shared" ref="L7:L20" si="3">IF(AK7=0,"",AK7)</f>
        <v/>
      </c>
      <c r="M7" s="348">
        <f>IF(AL7="","",AL7)</f>
        <v>0.5</v>
      </c>
      <c r="N7" s="75" t="str">
        <f>IF(AM7=0,"",AM7)</f>
        <v/>
      </c>
      <c r="O7" s="348">
        <f>IF(AN7="","",AN7)</f>
        <v>0</v>
      </c>
      <c r="P7" s="75" t="str">
        <f t="shared" ref="P7:P20" si="4">IF(AO7=0,"",AO7)</f>
        <v/>
      </c>
      <c r="Q7" s="348">
        <f>IF(AP7="","",AP7)</f>
        <v>1</v>
      </c>
      <c r="R7" s="75" t="str">
        <f t="shared" ref="R7:R20" si="5">IF(AQ7=0,"",AQ7)</f>
        <v/>
      </c>
      <c r="S7" s="348">
        <f>IF(AR7="","",AR7)</f>
        <v>1</v>
      </c>
      <c r="T7" s="75" t="str">
        <f t="shared" ref="T7:T20" si="6">IF(AS7=0,"",AS7)</f>
        <v/>
      </c>
      <c r="U7" s="348">
        <f>IF(AT7="","",AT7)</f>
        <v>0</v>
      </c>
      <c r="V7" s="75">
        <f t="shared" ref="V7:V20" si="7">IF(AU7=0,"",AU7)</f>
        <v>656</v>
      </c>
      <c r="W7" s="348">
        <f>IF(AV7="","",AV7)</f>
        <v>5.5</v>
      </c>
      <c r="Z7" s="351" t="s">
        <v>0</v>
      </c>
      <c r="AA7" s="108" t="str">
        <f>IF(AB7=0,"",VLOOKUP(AB7,Starter!$A$1:$D$199,2,FALSE))</f>
        <v>Wölki, Elisabeth</v>
      </c>
      <c r="AB7" s="99">
        <v>16170</v>
      </c>
      <c r="AC7" s="185">
        <v>169</v>
      </c>
      <c r="AD7" s="109">
        <f>IF(SUM(AC7:AC9)+AC25=0,0,IF(SUM(AC7:AC9)=AC25,0.5,IF(SUM(AC7:AC9)&gt;AC25,1,0)))</f>
        <v>1</v>
      </c>
      <c r="AE7" s="185">
        <v>174</v>
      </c>
      <c r="AF7" s="109">
        <f>IF(SUM(AE7:AE9)+AE25=0,0,IF(SUM(AE7:AE9)=AE25,0.5,IF(SUM(AE7:AE9)&gt;AE25,1,0)))</f>
        <v>1</v>
      </c>
      <c r="AG7" s="185">
        <v>176</v>
      </c>
      <c r="AH7" s="109">
        <f>IF(SUM(AG7:AG9)+AG25=0,0,IF(SUM(AG7:AG9)=AG25,0.5,IF(SUM(AG7:AG9)&gt;AG25,1,0)))</f>
        <v>1</v>
      </c>
      <c r="AI7" s="185">
        <v>137</v>
      </c>
      <c r="AJ7" s="109">
        <f>IF(SUM(AI7:AI9)+AI25=0,0,IF(SUM(AI7:AI9)=AI25,0.5,IF(SUM(AI7:AI9)&gt;AI25,1,0)))</f>
        <v>0</v>
      </c>
      <c r="AK7" s="185"/>
      <c r="AL7" s="109">
        <f>IF(SUM(AK7:AK9)+AK25=0,0,IF(SUM(AK7:AK9)=AK25,0.5,IF(SUM(AK7:AK9)&gt;AK25,1,0)))</f>
        <v>0.5</v>
      </c>
      <c r="AM7" s="185"/>
      <c r="AN7" s="109">
        <f>IF(SUM(AM7:AM9)+AM25=0,0,IF(SUM(AM7:AM9)=AM25,0.5,IF(SUM(AM7:AM9)&gt;AM25,1,0)))</f>
        <v>0</v>
      </c>
      <c r="AO7" s="185"/>
      <c r="AP7" s="109">
        <f>IF(SUM(AO7:AO9)+AO25=0,0,IF(SUM(AO7:AO9)=AO25,0.5,IF(SUM(AO7:AO9)&gt;AO25,1,0)))</f>
        <v>1</v>
      </c>
      <c r="AQ7" s="185"/>
      <c r="AR7" s="109">
        <f>IF(SUM(AQ7:AQ9)+AQ25=0,0,IF(SUM(AQ7:AQ9)=AQ25,0.5,IF(SUM(AQ7:AQ9)&gt;AQ25,1,0)))</f>
        <v>1</v>
      </c>
      <c r="AS7" s="185"/>
      <c r="AT7" s="109">
        <f>IF(SUM(AS7:AS9)+AS25=0,0,IF(SUM(AS7:AS9)=AS25,0.5,IF(SUM(AS7:AS9)&gt;AS25,1,0)))</f>
        <v>0</v>
      </c>
      <c r="AU7" s="110">
        <f t="shared" ref="AU7:AU18" si="8">ABS(SUM(AC7:AC7))+ABS(SUM(AE7:AE7))+ABS(SUM(AG7:AG7))+ABS(SUM(AI7:AI7))+ABS(SUM(AK7:AK7))+ABS(SUM(AM7:AM7))+ABS(SUM(AO7:AO7))+ABS(SUM(AQ7:AQ7))+ABS(SUM(AS7:AS7))</f>
        <v>656</v>
      </c>
      <c r="AV7" s="111">
        <f>SUM(AD7+AF7+AH7+AJ7+AL7+AN7+AP7+AR7+AT7)</f>
        <v>5.5</v>
      </c>
      <c r="AW7" s="101"/>
      <c r="AX7" s="102"/>
      <c r="AZ7" s="63"/>
      <c r="BA7" s="212"/>
      <c r="BB7" s="213"/>
      <c r="BC7" s="214"/>
      <c r="BD7" s="217">
        <f>+AB7</f>
        <v>16170</v>
      </c>
      <c r="BE7" s="213">
        <f>+AU7</f>
        <v>656</v>
      </c>
      <c r="BF7" s="215">
        <f>COUNT(BH7:BP7)</f>
        <v>4</v>
      </c>
      <c r="BG7" s="215">
        <f>COUNTIF(BH7:BP7,"&gt;0")</f>
        <v>4</v>
      </c>
      <c r="BH7" s="215">
        <f t="shared" ref="BH7:BH18" si="9">IF(AC7=0,"",AC7)</f>
        <v>169</v>
      </c>
      <c r="BI7" s="215">
        <f t="shared" ref="BI7:BI18" si="10">IF(AE7=0,"",AE7)</f>
        <v>174</v>
      </c>
      <c r="BJ7" s="215">
        <f t="shared" ref="BJ7:BJ18" si="11">IF(AG7=0,"",AG7)</f>
        <v>176</v>
      </c>
      <c r="BK7" s="215">
        <f t="shared" ref="BK7:BK18" si="12">IF(AI7=0,"",AI7)</f>
        <v>137</v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 t="str">
        <f t="shared" ref="BO7:BO18" si="16">IF(AQ7=0,"",AQ7)</f>
        <v/>
      </c>
      <c r="BP7" s="215" t="str">
        <f t="shared" ref="BP7:BP18" si="17">IF(AS7=0,"",AS7)</f>
        <v/>
      </c>
      <c r="BQ7" s="216"/>
      <c r="BR7" s="214"/>
      <c r="BS7" s="215">
        <f>MAX(BH7:BP7)</f>
        <v>176</v>
      </c>
      <c r="BT7" s="215">
        <f>IF(BS7&lt;MAX(BS:BS),0,BS7+ROW()/1000000000)</f>
        <v>0</v>
      </c>
      <c r="BU7" s="215" t="str">
        <f>+AA3</f>
        <v>Praetoria Regensburg</v>
      </c>
      <c r="BV7" s="214">
        <f>RANK(BT7,BT:BT)</f>
        <v>2</v>
      </c>
      <c r="BW7" s="215">
        <f>SUMIF(BH7:BP7,"&gt;0")</f>
        <v>656</v>
      </c>
      <c r="BX7" s="215">
        <f>IF(COUNTIF(BH7:BP7,"&gt;0")&lt;Spielorte!$A$23,0,BE7/Spielorte!$A$23)</f>
        <v>0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2" customHeight="1" x14ac:dyDescent="0.35">
      <c r="A8" s="368"/>
      <c r="B8" s="76" t="str">
        <f t="shared" ref="B8:D20" si="19">IF(AA8=0,"",AA8)</f>
        <v>Spieler, Regina</v>
      </c>
      <c r="C8" s="77">
        <f t="shared" si="19"/>
        <v>7903</v>
      </c>
      <c r="D8" s="78" t="str">
        <f t="shared" si="19"/>
        <v/>
      </c>
      <c r="E8" s="349"/>
      <c r="F8" s="78" t="str">
        <f t="shared" si="0"/>
        <v/>
      </c>
      <c r="G8" s="349"/>
      <c r="H8" s="78" t="str">
        <f t="shared" si="1"/>
        <v/>
      </c>
      <c r="I8" s="349"/>
      <c r="J8" s="78" t="str">
        <f t="shared" si="2"/>
        <v/>
      </c>
      <c r="K8" s="349"/>
      <c r="L8" s="78">
        <f t="shared" si="3"/>
        <v>157</v>
      </c>
      <c r="M8" s="349"/>
      <c r="N8" s="78">
        <f t="shared" ref="N8:N20" si="20">IF(AM8=0,"",AM8)</f>
        <v>169</v>
      </c>
      <c r="O8" s="349"/>
      <c r="P8" s="78">
        <f t="shared" si="4"/>
        <v>192</v>
      </c>
      <c r="Q8" s="349"/>
      <c r="R8" s="78">
        <f t="shared" si="5"/>
        <v>194</v>
      </c>
      <c r="S8" s="349"/>
      <c r="T8" s="78">
        <f t="shared" si="6"/>
        <v>143</v>
      </c>
      <c r="U8" s="349"/>
      <c r="V8" s="78">
        <f t="shared" si="7"/>
        <v>855</v>
      </c>
      <c r="W8" s="349"/>
      <c r="Z8" s="352"/>
      <c r="AA8" s="108" t="str">
        <f>IF(AB8=0,"",VLOOKUP(AB8,Starter!$A$1:$D$199,2,FALSE))</f>
        <v>Spieler, Regina</v>
      </c>
      <c r="AB8" s="98">
        <v>7903</v>
      </c>
      <c r="AC8" s="186"/>
      <c r="AD8" s="112"/>
      <c r="AE8" s="186"/>
      <c r="AF8" s="112"/>
      <c r="AG8" s="186"/>
      <c r="AH8" s="112"/>
      <c r="AI8" s="186"/>
      <c r="AJ8" s="112"/>
      <c r="AK8" s="186">
        <v>157</v>
      </c>
      <c r="AL8" s="112"/>
      <c r="AM8" s="186">
        <v>169</v>
      </c>
      <c r="AN8" s="112"/>
      <c r="AO8" s="186">
        <v>192</v>
      </c>
      <c r="AP8" s="112"/>
      <c r="AQ8" s="186">
        <v>194</v>
      </c>
      <c r="AR8" s="112"/>
      <c r="AS8" s="186">
        <v>143</v>
      </c>
      <c r="AT8" s="112"/>
      <c r="AU8" s="113">
        <f t="shared" si="8"/>
        <v>855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7903</v>
      </c>
      <c r="BE8" s="213">
        <f t="shared" ref="BE8:BE18" si="22">+AU8</f>
        <v>855</v>
      </c>
      <c r="BF8" s="215">
        <f t="shared" ref="BF8:BF18" si="23">COUNT(BH8:BP8)</f>
        <v>5</v>
      </c>
      <c r="BG8" s="215">
        <f t="shared" ref="BG8:BG18" si="24">COUNTIF(BH8:BP8,"&gt;0")</f>
        <v>5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>
        <f t="shared" si="13"/>
        <v>157</v>
      </c>
      <c r="BM8" s="215">
        <f t="shared" si="14"/>
        <v>169</v>
      </c>
      <c r="BN8" s="215">
        <f t="shared" si="15"/>
        <v>192</v>
      </c>
      <c r="BO8" s="215">
        <f t="shared" si="16"/>
        <v>194</v>
      </c>
      <c r="BP8" s="215">
        <f t="shared" si="17"/>
        <v>143</v>
      </c>
      <c r="BQ8" s="216"/>
      <c r="BR8" s="214"/>
      <c r="BS8" s="215">
        <f t="shared" ref="BS8:BS18" si="25">MAX(BH8:BP8)</f>
        <v>194</v>
      </c>
      <c r="BT8" s="215">
        <f t="shared" ref="BT8:BT18" si="26">IF(BS8&lt;MAX(BS:BS),0,BS8+ROW()/1000000000)</f>
        <v>0</v>
      </c>
      <c r="BU8" s="215" t="str">
        <f t="shared" ref="BU8:BU18" si="27">+BU7</f>
        <v>Praetoria Regensburg</v>
      </c>
      <c r="BV8" s="214">
        <f t="shared" ref="BV8:BV18" si="28">RANK(BT8,BT:BT)</f>
        <v>2</v>
      </c>
      <c r="BW8" s="215">
        <f t="shared" ref="BW8:BW18" si="29">SUMIF(BH8:BP8,"&gt;0")</f>
        <v>855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2" customHeight="1" thickBot="1" x14ac:dyDescent="0.4">
      <c r="A9" s="369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0"/>
      <c r="F9" s="69" t="str">
        <f t="shared" si="0"/>
        <v/>
      </c>
      <c r="G9" s="350"/>
      <c r="H9" s="69" t="str">
        <f t="shared" si="1"/>
        <v/>
      </c>
      <c r="I9" s="350"/>
      <c r="J9" s="69" t="str">
        <f t="shared" si="2"/>
        <v/>
      </c>
      <c r="K9" s="350"/>
      <c r="L9" s="69" t="str">
        <f t="shared" si="3"/>
        <v/>
      </c>
      <c r="M9" s="350"/>
      <c r="N9" s="69" t="str">
        <f t="shared" si="20"/>
        <v/>
      </c>
      <c r="O9" s="350"/>
      <c r="P9" s="69" t="str">
        <f t="shared" si="4"/>
        <v/>
      </c>
      <c r="Q9" s="350"/>
      <c r="R9" s="69" t="str">
        <f t="shared" si="5"/>
        <v/>
      </c>
      <c r="S9" s="350"/>
      <c r="T9" s="69" t="str">
        <f t="shared" si="6"/>
        <v/>
      </c>
      <c r="U9" s="350"/>
      <c r="V9" s="69" t="str">
        <f t="shared" si="7"/>
        <v/>
      </c>
      <c r="W9" s="350"/>
      <c r="Z9" s="353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Praetoria Regensburg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2" customHeight="1" x14ac:dyDescent="0.35">
      <c r="A10" s="367" t="s">
        <v>2</v>
      </c>
      <c r="B10" s="73" t="str">
        <f t="shared" si="19"/>
        <v>Zahner, Barbara</v>
      </c>
      <c r="C10" s="74">
        <f t="shared" si="19"/>
        <v>7889</v>
      </c>
      <c r="D10" s="75">
        <f t="shared" si="19"/>
        <v>164</v>
      </c>
      <c r="E10" s="348">
        <f>IF(AD10="","",AD10)</f>
        <v>1</v>
      </c>
      <c r="F10" s="75">
        <f t="shared" si="0"/>
        <v>228</v>
      </c>
      <c r="G10" s="348">
        <f>IF(AF10="","",AF10)</f>
        <v>1</v>
      </c>
      <c r="H10" s="75">
        <f t="shared" si="1"/>
        <v>189</v>
      </c>
      <c r="I10" s="348">
        <f>IF(AH10="","",AH10)</f>
        <v>1</v>
      </c>
      <c r="J10" s="75">
        <f t="shared" si="2"/>
        <v>194</v>
      </c>
      <c r="K10" s="348">
        <f>IF(AJ10="","",AJ10)</f>
        <v>0</v>
      </c>
      <c r="L10" s="75">
        <f t="shared" si="3"/>
        <v>169</v>
      </c>
      <c r="M10" s="348">
        <f>IF(AL10="","",AL10)</f>
        <v>0</v>
      </c>
      <c r="N10" s="75">
        <f t="shared" si="20"/>
        <v>193</v>
      </c>
      <c r="O10" s="348">
        <f>IF(AN10="","",AN10)</f>
        <v>1</v>
      </c>
      <c r="P10" s="75">
        <f t="shared" si="4"/>
        <v>191</v>
      </c>
      <c r="Q10" s="348">
        <f>IF(AP10="","",AP10)</f>
        <v>1</v>
      </c>
      <c r="R10" s="75">
        <f t="shared" si="5"/>
        <v>180</v>
      </c>
      <c r="S10" s="348">
        <f>IF(AR10="","",AR10)</f>
        <v>1</v>
      </c>
      <c r="T10" s="75">
        <f t="shared" si="6"/>
        <v>137</v>
      </c>
      <c r="U10" s="348">
        <f>IF(AT10="","",AT10)</f>
        <v>0</v>
      </c>
      <c r="V10" s="75">
        <f t="shared" si="7"/>
        <v>1645</v>
      </c>
      <c r="W10" s="348">
        <f>IF(AV10="","",AV10)</f>
        <v>6</v>
      </c>
      <c r="Z10" s="351" t="s">
        <v>2</v>
      </c>
      <c r="AA10" s="108" t="str">
        <f>IF(AB10=0,"",VLOOKUP(AB10,Starter!$A$1:$D$199,2,FALSE))</f>
        <v>Zahner, Barbara</v>
      </c>
      <c r="AB10" s="99">
        <v>7889</v>
      </c>
      <c r="AC10" s="188">
        <v>164</v>
      </c>
      <c r="AD10" s="109">
        <f>IF(SUM(AC10:AC12)+AC26=0,0,IF(SUM(AC10:AC12)=AC26,0.5,IF(SUM(AC10:AC12)&gt;AC26,1,0)))</f>
        <v>1</v>
      </c>
      <c r="AE10" s="188">
        <v>228</v>
      </c>
      <c r="AF10" s="109">
        <f>IF(SUM(AE10:AE12)+AE26=0,0,IF(SUM(AE10:AE12)=AE26,0.5,IF(SUM(AE10:AE12)&gt;AE26,1,0)))</f>
        <v>1</v>
      </c>
      <c r="AG10" s="188">
        <v>189</v>
      </c>
      <c r="AH10" s="109">
        <f>IF(SUM(AG10:AG12)+AG26=0,0,IF(SUM(AG10:AG12)=AG26,0.5,IF(SUM(AG10:AG12)&gt;AG26,1,0)))</f>
        <v>1</v>
      </c>
      <c r="AI10" s="188">
        <v>194</v>
      </c>
      <c r="AJ10" s="109">
        <f>IF(SUM(AI10:AI12)+AI26=0,0,IF(SUM(AI10:AI12)=AI26,0.5,IF(SUM(AI10:AI12)&gt;AI26,1,0)))</f>
        <v>0</v>
      </c>
      <c r="AK10" s="188">
        <v>169</v>
      </c>
      <c r="AL10" s="109">
        <f>IF(SUM(AK10:AK12)+AK26=0,0,IF(SUM(AK10:AK12)=AK26,0.5,IF(SUM(AK10:AK12)&gt;AK26,1,0)))</f>
        <v>0</v>
      </c>
      <c r="AM10" s="188">
        <v>193</v>
      </c>
      <c r="AN10" s="109">
        <f>IF(SUM(AM10:AM12)+AM26=0,0,IF(SUM(AM10:AM12)=AM26,0.5,IF(SUM(AM10:AM12)&gt;AM26,1,0)))</f>
        <v>1</v>
      </c>
      <c r="AO10" s="188">
        <v>191</v>
      </c>
      <c r="AP10" s="109">
        <f>IF(SUM(AO10:AO12)+AO26=0,0,IF(SUM(AO10:AO12)=AO26,0.5,IF(SUM(AO10:AO12)&gt;AO26,1,0)))</f>
        <v>1</v>
      </c>
      <c r="AQ10" s="188">
        <v>180</v>
      </c>
      <c r="AR10" s="109">
        <f>IF(SUM(AQ10:AQ12)+AQ26=0,0,IF(SUM(AQ10:AQ12)=AQ26,0.5,IF(SUM(AQ10:AQ12)&gt;AQ26,1,0)))</f>
        <v>1</v>
      </c>
      <c r="AS10" s="188">
        <v>137</v>
      </c>
      <c r="AT10" s="109">
        <f>IF(SUM(AS10:AS12)+AS26=0,0,IF(SUM(AS10:AS12)=AS26,0.5,IF(SUM(AS10:AS12)&gt;AS26,1,0)))</f>
        <v>0</v>
      </c>
      <c r="AU10" s="110">
        <f t="shared" si="8"/>
        <v>1645</v>
      </c>
      <c r="AV10" s="111">
        <f>SUM(AD10+AF10+AH10+AJ10+AL10+AN10+AP10+AR10+AT10)</f>
        <v>6</v>
      </c>
      <c r="AW10" s="101"/>
      <c r="AX10" s="102"/>
      <c r="AZ10" s="63"/>
      <c r="BA10" s="212"/>
      <c r="BB10" s="213"/>
      <c r="BC10" s="214"/>
      <c r="BD10" s="217">
        <f t="shared" si="21"/>
        <v>7889</v>
      </c>
      <c r="BE10" s="213">
        <f t="shared" si="22"/>
        <v>1645</v>
      </c>
      <c r="BF10" s="215">
        <f t="shared" si="23"/>
        <v>9</v>
      </c>
      <c r="BG10" s="215">
        <f t="shared" si="24"/>
        <v>9</v>
      </c>
      <c r="BH10" s="215">
        <f t="shared" si="9"/>
        <v>164</v>
      </c>
      <c r="BI10" s="215">
        <f t="shared" si="10"/>
        <v>228</v>
      </c>
      <c r="BJ10" s="215">
        <f t="shared" si="11"/>
        <v>189</v>
      </c>
      <c r="BK10" s="215">
        <f t="shared" si="12"/>
        <v>194</v>
      </c>
      <c r="BL10" s="215">
        <f t="shared" si="13"/>
        <v>169</v>
      </c>
      <c r="BM10" s="215">
        <f t="shared" si="14"/>
        <v>193</v>
      </c>
      <c r="BN10" s="215">
        <f t="shared" si="15"/>
        <v>191</v>
      </c>
      <c r="BO10" s="215">
        <f t="shared" si="16"/>
        <v>180</v>
      </c>
      <c r="BP10" s="215">
        <f t="shared" si="17"/>
        <v>137</v>
      </c>
      <c r="BQ10" s="216"/>
      <c r="BR10" s="214"/>
      <c r="BS10" s="215">
        <f t="shared" si="25"/>
        <v>228</v>
      </c>
      <c r="BT10" s="215">
        <f t="shared" si="26"/>
        <v>0</v>
      </c>
      <c r="BU10" s="215" t="str">
        <f t="shared" si="27"/>
        <v>Praetoria Regensburg</v>
      </c>
      <c r="BV10" s="214">
        <f t="shared" si="28"/>
        <v>2</v>
      </c>
      <c r="BW10" s="215">
        <f t="shared" si="29"/>
        <v>1645</v>
      </c>
      <c r="BX10" s="215">
        <f>IF(COUNTIF(BH10:BP10,"&gt;0")&lt;Spielorte!$A$23,0,BE10/Spielorte!$A$23)</f>
        <v>182.77777777777777</v>
      </c>
      <c r="BY10" s="215">
        <f t="shared" si="30"/>
        <v>0</v>
      </c>
      <c r="BZ10" s="214">
        <f t="shared" si="18"/>
        <v>0</v>
      </c>
    </row>
    <row r="11" spans="1:78" ht="17.2" customHeight="1" x14ac:dyDescent="0.35">
      <c r="A11" s="368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9"/>
      <c r="F11" s="78" t="str">
        <f t="shared" si="0"/>
        <v/>
      </c>
      <c r="G11" s="349"/>
      <c r="H11" s="78" t="str">
        <f t="shared" si="1"/>
        <v/>
      </c>
      <c r="I11" s="349"/>
      <c r="J11" s="78" t="str">
        <f t="shared" si="2"/>
        <v/>
      </c>
      <c r="K11" s="349"/>
      <c r="L11" s="78" t="str">
        <f t="shared" si="3"/>
        <v/>
      </c>
      <c r="M11" s="349"/>
      <c r="N11" s="78" t="str">
        <f t="shared" si="20"/>
        <v/>
      </c>
      <c r="O11" s="349"/>
      <c r="P11" s="78" t="str">
        <f t="shared" si="4"/>
        <v/>
      </c>
      <c r="Q11" s="349"/>
      <c r="R11" s="78" t="str">
        <f t="shared" si="5"/>
        <v/>
      </c>
      <c r="S11" s="349"/>
      <c r="T11" s="78" t="str">
        <f t="shared" si="6"/>
        <v/>
      </c>
      <c r="U11" s="349"/>
      <c r="V11" s="78" t="str">
        <f t="shared" si="7"/>
        <v/>
      </c>
      <c r="W11" s="349"/>
      <c r="Z11" s="352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Praetoria Regensburg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2" customHeight="1" thickBot="1" x14ac:dyDescent="0.4">
      <c r="A12" s="369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0"/>
      <c r="F12" s="69" t="str">
        <f t="shared" si="0"/>
        <v/>
      </c>
      <c r="G12" s="350"/>
      <c r="H12" s="69" t="str">
        <f t="shared" si="1"/>
        <v/>
      </c>
      <c r="I12" s="350"/>
      <c r="J12" s="69" t="str">
        <f t="shared" si="2"/>
        <v/>
      </c>
      <c r="K12" s="350"/>
      <c r="L12" s="69" t="str">
        <f t="shared" si="3"/>
        <v/>
      </c>
      <c r="M12" s="350"/>
      <c r="N12" s="69" t="str">
        <f t="shared" si="20"/>
        <v/>
      </c>
      <c r="O12" s="350"/>
      <c r="P12" s="69" t="str">
        <f t="shared" si="4"/>
        <v/>
      </c>
      <c r="Q12" s="350"/>
      <c r="R12" s="69" t="str">
        <f t="shared" si="5"/>
        <v/>
      </c>
      <c r="S12" s="350"/>
      <c r="T12" s="69" t="str">
        <f t="shared" si="6"/>
        <v/>
      </c>
      <c r="U12" s="350"/>
      <c r="V12" s="69" t="str">
        <f t="shared" si="7"/>
        <v/>
      </c>
      <c r="W12" s="350"/>
      <c r="Z12" s="353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Praetoria Regensburg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2" customHeight="1" x14ac:dyDescent="0.35">
      <c r="A13" s="367" t="s">
        <v>3</v>
      </c>
      <c r="B13" s="73" t="str">
        <f t="shared" si="19"/>
        <v>Bösl, Anna</v>
      </c>
      <c r="C13" s="74">
        <f t="shared" si="19"/>
        <v>38258</v>
      </c>
      <c r="D13" s="75">
        <f t="shared" si="19"/>
        <v>176</v>
      </c>
      <c r="E13" s="348">
        <f>IF(AD13="","",AD13)</f>
        <v>1</v>
      </c>
      <c r="F13" s="75">
        <f t="shared" si="0"/>
        <v>172</v>
      </c>
      <c r="G13" s="348">
        <f>IF(AF13="","",AF13)</f>
        <v>1</v>
      </c>
      <c r="H13" s="75">
        <f t="shared" si="1"/>
        <v>183</v>
      </c>
      <c r="I13" s="348">
        <f>IF(AH13="","",AH13)</f>
        <v>1</v>
      </c>
      <c r="J13" s="75">
        <f t="shared" si="2"/>
        <v>158</v>
      </c>
      <c r="K13" s="348">
        <f>IF(AJ13="","",AJ13)</f>
        <v>1</v>
      </c>
      <c r="L13" s="75">
        <f t="shared" si="3"/>
        <v>162</v>
      </c>
      <c r="M13" s="348">
        <f>IF(AL13="","",AL13)</f>
        <v>1</v>
      </c>
      <c r="N13" s="75">
        <f t="shared" si="20"/>
        <v>181</v>
      </c>
      <c r="O13" s="348">
        <f>IF(AN13="","",AN13)</f>
        <v>0.5</v>
      </c>
      <c r="P13" s="75">
        <f t="shared" si="4"/>
        <v>149</v>
      </c>
      <c r="Q13" s="348">
        <f>IF(AP13="","",AP13)</f>
        <v>0</v>
      </c>
      <c r="R13" s="75" t="str">
        <f t="shared" si="5"/>
        <v/>
      </c>
      <c r="S13" s="348">
        <f>IF(AR13="","",AR13)</f>
        <v>1</v>
      </c>
      <c r="T13" s="75" t="str">
        <f t="shared" si="6"/>
        <v/>
      </c>
      <c r="U13" s="348">
        <f>IF(AT13="","",AT13)</f>
        <v>1</v>
      </c>
      <c r="V13" s="75">
        <f t="shared" si="7"/>
        <v>1181</v>
      </c>
      <c r="W13" s="348">
        <f>IF(AV13="","",AV13)</f>
        <v>7.5</v>
      </c>
      <c r="Z13" s="351" t="s">
        <v>3</v>
      </c>
      <c r="AA13" s="108" t="str">
        <f>IF(AB13=0,"",VLOOKUP(AB13,Starter!$A$1:$D$199,2,FALSE))</f>
        <v>Bösl, Anna</v>
      </c>
      <c r="AB13" s="99">
        <v>38258</v>
      </c>
      <c r="AC13" s="188">
        <v>176</v>
      </c>
      <c r="AD13" s="109">
        <f>IF(SUM(AC13:AC15)+AC27=0,0,IF(SUM(AC13:AC15)=AC27,0.5,IF(SUM(AC13:AC15)&gt;AC27,1,0)))</f>
        <v>1</v>
      </c>
      <c r="AE13" s="188">
        <v>172</v>
      </c>
      <c r="AF13" s="109">
        <f>IF(SUM(AE13:AE15)+AE27=0,0,IF(SUM(AE13:AE15)=AE27,0.5,IF(SUM(AE13:AE15)&gt;AE27,1,0)))</f>
        <v>1</v>
      </c>
      <c r="AG13" s="188">
        <v>183</v>
      </c>
      <c r="AH13" s="109">
        <f>IF(SUM(AG13:AG15)+AG27=0,0,IF(SUM(AG13:AG15)=AG27,0.5,IF(SUM(AG13:AG15)&gt;AG27,1,0)))</f>
        <v>1</v>
      </c>
      <c r="AI13" s="188">
        <v>158</v>
      </c>
      <c r="AJ13" s="109">
        <f>IF(SUM(AI13:AI15)+AI27=0,0,IF(SUM(AI13:AI15)=AI27,0.5,IF(SUM(AI13:AI15)&gt;AI27,1,0)))</f>
        <v>1</v>
      </c>
      <c r="AK13" s="188">
        <v>162</v>
      </c>
      <c r="AL13" s="109">
        <f>IF(SUM(AK13:AK15)+AK27=0,0,IF(SUM(AK13:AK15)=AK27,0.5,IF(SUM(AK13:AK15)&gt;AK27,1,0)))</f>
        <v>1</v>
      </c>
      <c r="AM13" s="188">
        <v>181</v>
      </c>
      <c r="AN13" s="109">
        <f>IF(SUM(AM13:AM15)+AM27=0,0,IF(SUM(AM13:AM15)=AM27,0.5,IF(SUM(AM13:AM15)&gt;AM27,1,0)))</f>
        <v>0.5</v>
      </c>
      <c r="AO13" s="188">
        <v>149</v>
      </c>
      <c r="AP13" s="109">
        <f>IF(SUM(AO13:AO15)+AO27=0,0,IF(SUM(AO13:AO15)=AO27,0.5,IF(SUM(AO13:AO15)&gt;AO27,1,0)))</f>
        <v>0</v>
      </c>
      <c r="AQ13" s="188"/>
      <c r="AR13" s="109">
        <f>IF(SUM(AQ13:AQ15)+AQ27=0,0,IF(SUM(AQ13:AQ15)=AQ27,0.5,IF(SUM(AQ13:AQ15)&gt;AQ27,1,0)))</f>
        <v>1</v>
      </c>
      <c r="AS13" s="188"/>
      <c r="AT13" s="109">
        <f>IF(SUM(AS13:AS15)+AS27=0,0,IF(SUM(AS13:AS15)=AS27,0.5,IF(SUM(AS13:AS15)&gt;AS27,1,0)))</f>
        <v>1</v>
      </c>
      <c r="AU13" s="110">
        <f t="shared" si="8"/>
        <v>1181</v>
      </c>
      <c r="AV13" s="111">
        <f>SUM(AD13+AF13+AH13+AJ13+AL13+AN13+AP13+AR13+AT13)</f>
        <v>7.5</v>
      </c>
      <c r="AW13" s="101"/>
      <c r="AX13" s="102"/>
      <c r="AZ13" s="63"/>
      <c r="BA13" s="212"/>
      <c r="BB13" s="213"/>
      <c r="BC13" s="214"/>
      <c r="BD13" s="217">
        <f t="shared" si="21"/>
        <v>38258</v>
      </c>
      <c r="BE13" s="213">
        <f t="shared" si="22"/>
        <v>1181</v>
      </c>
      <c r="BF13" s="215">
        <f t="shared" si="23"/>
        <v>7</v>
      </c>
      <c r="BG13" s="215">
        <f t="shared" si="24"/>
        <v>7</v>
      </c>
      <c r="BH13" s="215">
        <f t="shared" si="9"/>
        <v>176</v>
      </c>
      <c r="BI13" s="215">
        <f t="shared" si="10"/>
        <v>172</v>
      </c>
      <c r="BJ13" s="215">
        <f t="shared" si="11"/>
        <v>183</v>
      </c>
      <c r="BK13" s="215">
        <f t="shared" si="12"/>
        <v>158</v>
      </c>
      <c r="BL13" s="215">
        <f t="shared" si="13"/>
        <v>162</v>
      </c>
      <c r="BM13" s="215">
        <f t="shared" si="14"/>
        <v>181</v>
      </c>
      <c r="BN13" s="215">
        <f t="shared" si="15"/>
        <v>149</v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183</v>
      </c>
      <c r="BT13" s="215">
        <f t="shared" si="26"/>
        <v>0</v>
      </c>
      <c r="BU13" s="215" t="str">
        <f t="shared" si="27"/>
        <v>Praetoria Regensburg</v>
      </c>
      <c r="BV13" s="214">
        <f t="shared" si="28"/>
        <v>2</v>
      </c>
      <c r="BW13" s="215">
        <f t="shared" si="29"/>
        <v>1181</v>
      </c>
      <c r="BX13" s="215">
        <f>IF(COUNTIF(BH13:BP13,"&gt;0")&lt;Spielorte!$A$23,0,BE13/Spielorte!$A$23)</f>
        <v>0</v>
      </c>
      <c r="BY13" s="215">
        <f t="shared" si="30"/>
        <v>0</v>
      </c>
      <c r="BZ13" s="214">
        <f t="shared" si="18"/>
        <v>0</v>
      </c>
    </row>
    <row r="14" spans="1:78" ht="17.2" customHeight="1" x14ac:dyDescent="0.35">
      <c r="A14" s="368"/>
      <c r="B14" s="76" t="str">
        <f t="shared" si="19"/>
        <v>Wölki, Elisabeth</v>
      </c>
      <c r="C14" s="77">
        <f t="shared" si="19"/>
        <v>16170</v>
      </c>
      <c r="D14" s="78" t="str">
        <f t="shared" si="19"/>
        <v/>
      </c>
      <c r="E14" s="349"/>
      <c r="F14" s="78" t="str">
        <f t="shared" si="0"/>
        <v/>
      </c>
      <c r="G14" s="349"/>
      <c r="H14" s="78" t="str">
        <f t="shared" si="1"/>
        <v/>
      </c>
      <c r="I14" s="349"/>
      <c r="J14" s="78" t="str">
        <f t="shared" si="2"/>
        <v/>
      </c>
      <c r="K14" s="349"/>
      <c r="L14" s="78" t="str">
        <f t="shared" si="3"/>
        <v/>
      </c>
      <c r="M14" s="349"/>
      <c r="N14" s="78" t="str">
        <f t="shared" si="20"/>
        <v/>
      </c>
      <c r="O14" s="349"/>
      <c r="P14" s="78" t="str">
        <f t="shared" si="4"/>
        <v/>
      </c>
      <c r="Q14" s="349"/>
      <c r="R14" s="78">
        <f t="shared" si="5"/>
        <v>207</v>
      </c>
      <c r="S14" s="349"/>
      <c r="T14" s="78">
        <f t="shared" si="6"/>
        <v>224</v>
      </c>
      <c r="U14" s="349"/>
      <c r="V14" s="78">
        <f t="shared" si="7"/>
        <v>431</v>
      </c>
      <c r="W14" s="349"/>
      <c r="Z14" s="352"/>
      <c r="AA14" s="108" t="str">
        <f>IF(AB14=0,"",VLOOKUP(AB14,Starter!$A$1:$D$199,2,FALSE))</f>
        <v>Wölki, Elisabeth</v>
      </c>
      <c r="AB14" s="98">
        <v>16170</v>
      </c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>
        <v>207</v>
      </c>
      <c r="AR14" s="112"/>
      <c r="AS14" s="186">
        <v>224</v>
      </c>
      <c r="AT14" s="112"/>
      <c r="AU14" s="113">
        <f t="shared" si="8"/>
        <v>431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16170</v>
      </c>
      <c r="BE14" s="213">
        <f t="shared" si="22"/>
        <v>431</v>
      </c>
      <c r="BF14" s="215">
        <f t="shared" si="23"/>
        <v>2</v>
      </c>
      <c r="BG14" s="215">
        <f t="shared" si="24"/>
        <v>2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>
        <f t="shared" si="16"/>
        <v>207</v>
      </c>
      <c r="BP14" s="215">
        <f t="shared" si="17"/>
        <v>224</v>
      </c>
      <c r="BQ14" s="216"/>
      <c r="BR14" s="214"/>
      <c r="BS14" s="215">
        <f t="shared" si="25"/>
        <v>224</v>
      </c>
      <c r="BT14" s="215">
        <f t="shared" si="26"/>
        <v>0</v>
      </c>
      <c r="BU14" s="215" t="str">
        <f t="shared" si="27"/>
        <v>Praetoria Regensburg</v>
      </c>
      <c r="BV14" s="214">
        <f t="shared" si="28"/>
        <v>2</v>
      </c>
      <c r="BW14" s="215">
        <f t="shared" si="29"/>
        <v>431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2" customHeight="1" thickBot="1" x14ac:dyDescent="0.4">
      <c r="A15" s="369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0"/>
      <c r="F15" s="69" t="str">
        <f t="shared" si="0"/>
        <v/>
      </c>
      <c r="G15" s="350"/>
      <c r="H15" s="69" t="str">
        <f t="shared" si="1"/>
        <v/>
      </c>
      <c r="I15" s="350"/>
      <c r="J15" s="69" t="str">
        <f t="shared" si="2"/>
        <v/>
      </c>
      <c r="K15" s="350"/>
      <c r="L15" s="69" t="str">
        <f t="shared" si="3"/>
        <v/>
      </c>
      <c r="M15" s="350"/>
      <c r="N15" s="69" t="str">
        <f t="shared" si="20"/>
        <v/>
      </c>
      <c r="O15" s="350"/>
      <c r="P15" s="69" t="str">
        <f t="shared" si="4"/>
        <v/>
      </c>
      <c r="Q15" s="350"/>
      <c r="R15" s="69" t="str">
        <f t="shared" si="5"/>
        <v/>
      </c>
      <c r="S15" s="350"/>
      <c r="T15" s="69" t="str">
        <f t="shared" si="6"/>
        <v/>
      </c>
      <c r="U15" s="350"/>
      <c r="V15" s="69" t="str">
        <f t="shared" si="7"/>
        <v/>
      </c>
      <c r="W15" s="350"/>
      <c r="Z15" s="353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Praetoria Regensburg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2" customHeight="1" x14ac:dyDescent="0.35">
      <c r="A16" s="367" t="s">
        <v>11</v>
      </c>
      <c r="B16" s="73" t="str">
        <f>IF(AA16=0,"",AA16)</f>
        <v>Schlundt, Sabrina</v>
      </c>
      <c r="C16" s="74">
        <f t="shared" si="19"/>
        <v>25751</v>
      </c>
      <c r="D16" s="75">
        <f t="shared" si="19"/>
        <v>179</v>
      </c>
      <c r="E16" s="348">
        <f>IF(AD16="","",AD16)</f>
        <v>1</v>
      </c>
      <c r="F16" s="75">
        <f t="shared" si="0"/>
        <v>184</v>
      </c>
      <c r="G16" s="348">
        <f>IF(AF16="","",AF16)</f>
        <v>1</v>
      </c>
      <c r="H16" s="75">
        <f t="shared" si="1"/>
        <v>205</v>
      </c>
      <c r="I16" s="348">
        <f>IF(AH16="","",AH16)</f>
        <v>1</v>
      </c>
      <c r="J16" s="75">
        <f t="shared" si="2"/>
        <v>213</v>
      </c>
      <c r="K16" s="348">
        <f>IF(AJ16="","",AJ16)</f>
        <v>1</v>
      </c>
      <c r="L16" s="75">
        <f t="shared" si="3"/>
        <v>148</v>
      </c>
      <c r="M16" s="348">
        <f>IF(AL16="","",AL16)</f>
        <v>0</v>
      </c>
      <c r="N16" s="75">
        <f t="shared" si="20"/>
        <v>185</v>
      </c>
      <c r="O16" s="348">
        <f>IF(AN16="","",AN16)</f>
        <v>1</v>
      </c>
      <c r="P16" s="75">
        <f t="shared" si="4"/>
        <v>150</v>
      </c>
      <c r="Q16" s="348">
        <f>IF(AP16="","",AP16)</f>
        <v>0</v>
      </c>
      <c r="R16" s="75">
        <f t="shared" si="5"/>
        <v>135</v>
      </c>
      <c r="S16" s="348">
        <f>IF(AR16="","",AR16)</f>
        <v>0</v>
      </c>
      <c r="T16" s="75">
        <f t="shared" si="6"/>
        <v>184</v>
      </c>
      <c r="U16" s="348">
        <f>IF(AT16="","",AT16)</f>
        <v>0</v>
      </c>
      <c r="V16" s="75">
        <f t="shared" si="7"/>
        <v>1583</v>
      </c>
      <c r="W16" s="348">
        <f>IF(AV16="","",AV16)</f>
        <v>5</v>
      </c>
      <c r="Z16" s="351" t="s">
        <v>11</v>
      </c>
      <c r="AA16" s="108" t="str">
        <f>IF(AB16=0,"",VLOOKUP(AB16,Starter!$A$1:$D$199,2,FALSE))</f>
        <v>Schlundt, Sabrina</v>
      </c>
      <c r="AB16" s="99">
        <v>25751</v>
      </c>
      <c r="AC16" s="188">
        <v>179</v>
      </c>
      <c r="AD16" s="109">
        <f>IF(SUM(AC16:AC18)+AC28=0,0,IF(SUM(AC16:AC18)=AC28,0.5,IF(SUM(AC16:AC18)&gt;AC28,1,0)))</f>
        <v>1</v>
      </c>
      <c r="AE16" s="188">
        <v>184</v>
      </c>
      <c r="AF16" s="109">
        <f>IF(SUM(AE16:AE18)+AE28=0,0,IF(SUM(AE16:AE18)=AE28,0.5,IF(SUM(AE16:AE18)&gt;AE28,1,0)))</f>
        <v>1</v>
      </c>
      <c r="AG16" s="188">
        <v>205</v>
      </c>
      <c r="AH16" s="109">
        <f>IF(SUM(AG16:AG18)+AG28=0,0,IF(SUM(AG16:AG18)=AG28,0.5,IF(SUM(AG16:AG18)&gt;AG28,1,0)))</f>
        <v>1</v>
      </c>
      <c r="AI16" s="188">
        <v>213</v>
      </c>
      <c r="AJ16" s="109">
        <f>IF(SUM(AI16:AI18)+AI28=0,0,IF(SUM(AI16:AI18)=AI28,0.5,IF(SUM(AI16:AI18)&gt;AI28,1,0)))</f>
        <v>1</v>
      </c>
      <c r="AK16" s="188">
        <v>148</v>
      </c>
      <c r="AL16" s="109">
        <f>IF(SUM(AK16:AK18)+AK28=0,0,IF(SUM(AK16:AK18)=AK28,0.5,IF(SUM(AK16:AK18)&gt;AK28,1,0)))</f>
        <v>0</v>
      </c>
      <c r="AM16" s="188">
        <v>185</v>
      </c>
      <c r="AN16" s="109">
        <f>IF(SUM(AM16:AM18)+AM28=0,0,IF(SUM(AM16:AM18)=AM28,0.5,IF(SUM(AM16:AM18)&gt;AM28,1,0)))</f>
        <v>1</v>
      </c>
      <c r="AO16" s="188">
        <v>150</v>
      </c>
      <c r="AP16" s="109">
        <f>IF(SUM(AO16:AO18)+AO28=0,0,IF(SUM(AO16:AO18)=AO28,0.5,IF(SUM(AO16:AO18)&gt;AO28,1,0)))</f>
        <v>0</v>
      </c>
      <c r="AQ16" s="188">
        <v>135</v>
      </c>
      <c r="AR16" s="109">
        <f>IF(SUM(AQ16:AQ18)+AQ28=0,0,IF(SUM(AQ16:AQ18)=AQ28,0.5,IF(SUM(AQ16:AQ18)&gt;AQ28,1,0)))</f>
        <v>0</v>
      </c>
      <c r="AS16" s="188">
        <v>184</v>
      </c>
      <c r="AT16" s="109">
        <f>IF(SUM(AS16:AS18)+AS28=0,0,IF(SUM(AS16:AS18)=AS28,0.5,IF(SUM(AS16:AS18)&gt;AS28,1,0)))</f>
        <v>0</v>
      </c>
      <c r="AU16" s="110">
        <f t="shared" si="8"/>
        <v>1583</v>
      </c>
      <c r="AV16" s="111">
        <f>SUM(AD16+AF16+AH16+AJ16+AL16+AN16+AP16+AR16+AT16)</f>
        <v>5</v>
      </c>
      <c r="AW16" s="101"/>
      <c r="AX16" s="102"/>
      <c r="AZ16" s="63"/>
      <c r="BA16" s="212"/>
      <c r="BB16" s="213"/>
      <c r="BC16" s="214"/>
      <c r="BD16" s="217">
        <f t="shared" si="21"/>
        <v>25751</v>
      </c>
      <c r="BE16" s="213">
        <f t="shared" si="22"/>
        <v>1583</v>
      </c>
      <c r="BF16" s="215">
        <f t="shared" si="23"/>
        <v>9</v>
      </c>
      <c r="BG16" s="215">
        <f t="shared" si="24"/>
        <v>9</v>
      </c>
      <c r="BH16" s="215">
        <f t="shared" si="9"/>
        <v>179</v>
      </c>
      <c r="BI16" s="215">
        <f t="shared" si="10"/>
        <v>184</v>
      </c>
      <c r="BJ16" s="215">
        <f t="shared" si="11"/>
        <v>205</v>
      </c>
      <c r="BK16" s="215">
        <f t="shared" si="12"/>
        <v>213</v>
      </c>
      <c r="BL16" s="215">
        <f t="shared" si="13"/>
        <v>148</v>
      </c>
      <c r="BM16" s="215">
        <f t="shared" si="14"/>
        <v>185</v>
      </c>
      <c r="BN16" s="215">
        <f t="shared" si="15"/>
        <v>150</v>
      </c>
      <c r="BO16" s="215">
        <f t="shared" si="16"/>
        <v>135</v>
      </c>
      <c r="BP16" s="215">
        <f t="shared" si="17"/>
        <v>184</v>
      </c>
      <c r="BQ16" s="216"/>
      <c r="BR16" s="214"/>
      <c r="BS16" s="215">
        <f t="shared" si="25"/>
        <v>213</v>
      </c>
      <c r="BT16" s="215">
        <f t="shared" si="26"/>
        <v>0</v>
      </c>
      <c r="BU16" s="215" t="str">
        <f t="shared" si="27"/>
        <v>Praetoria Regensburg</v>
      </c>
      <c r="BV16" s="214">
        <f t="shared" si="28"/>
        <v>2</v>
      </c>
      <c r="BW16" s="215">
        <f t="shared" si="29"/>
        <v>1583</v>
      </c>
      <c r="BX16" s="215">
        <f>IF(COUNTIF(BH16:BP16,"&gt;0")&lt;Spielorte!$A$23,0,BE16/Spielorte!$A$23)</f>
        <v>175.88888888888889</v>
      </c>
      <c r="BY16" s="215">
        <f t="shared" si="30"/>
        <v>0</v>
      </c>
      <c r="BZ16" s="214">
        <f t="shared" si="18"/>
        <v>0</v>
      </c>
    </row>
    <row r="17" spans="1:78" ht="17.2" customHeight="1" x14ac:dyDescent="0.35">
      <c r="A17" s="368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9"/>
      <c r="F17" s="78" t="str">
        <f t="shared" si="0"/>
        <v/>
      </c>
      <c r="G17" s="349"/>
      <c r="H17" s="78" t="str">
        <f t="shared" si="1"/>
        <v/>
      </c>
      <c r="I17" s="349"/>
      <c r="J17" s="78" t="str">
        <f t="shared" si="2"/>
        <v/>
      </c>
      <c r="K17" s="349"/>
      <c r="L17" s="78" t="str">
        <f t="shared" si="3"/>
        <v/>
      </c>
      <c r="M17" s="349"/>
      <c r="N17" s="78" t="str">
        <f t="shared" si="20"/>
        <v/>
      </c>
      <c r="O17" s="349"/>
      <c r="P17" s="78" t="str">
        <f t="shared" si="4"/>
        <v/>
      </c>
      <c r="Q17" s="349"/>
      <c r="R17" s="78" t="str">
        <f t="shared" si="5"/>
        <v/>
      </c>
      <c r="S17" s="349"/>
      <c r="T17" s="78" t="str">
        <f t="shared" si="6"/>
        <v/>
      </c>
      <c r="U17" s="349"/>
      <c r="V17" s="78" t="str">
        <f t="shared" si="7"/>
        <v/>
      </c>
      <c r="W17" s="349"/>
      <c r="Z17" s="352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Praetoria Regensburg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2" customHeight="1" thickBot="1" x14ac:dyDescent="0.4">
      <c r="A18" s="369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0"/>
      <c r="F18" s="69" t="str">
        <f t="shared" si="0"/>
        <v/>
      </c>
      <c r="G18" s="350"/>
      <c r="H18" s="69" t="str">
        <f t="shared" si="1"/>
        <v/>
      </c>
      <c r="I18" s="350"/>
      <c r="J18" s="69" t="str">
        <f t="shared" si="2"/>
        <v/>
      </c>
      <c r="K18" s="350"/>
      <c r="L18" s="69" t="str">
        <f t="shared" si="3"/>
        <v/>
      </c>
      <c r="M18" s="350"/>
      <c r="N18" s="69" t="str">
        <f t="shared" si="20"/>
        <v/>
      </c>
      <c r="O18" s="350"/>
      <c r="P18" s="69" t="str">
        <f t="shared" si="4"/>
        <v/>
      </c>
      <c r="Q18" s="350"/>
      <c r="R18" s="69" t="str">
        <f t="shared" si="5"/>
        <v/>
      </c>
      <c r="S18" s="350"/>
      <c r="T18" s="69" t="str">
        <f t="shared" si="6"/>
        <v/>
      </c>
      <c r="U18" s="350"/>
      <c r="V18" s="69" t="str">
        <f t="shared" si="7"/>
        <v/>
      </c>
      <c r="W18" s="350"/>
      <c r="Z18" s="353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Praetoria Regensburg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4">
      <c r="B19" s="81" t="str">
        <f>IF(AA19=0,"",AA19)</f>
        <v>Gesamt</v>
      </c>
      <c r="C19" s="82" t="str">
        <f t="shared" si="19"/>
        <v/>
      </c>
      <c r="D19" s="83">
        <f t="shared" si="19"/>
        <v>688</v>
      </c>
      <c r="E19" s="84">
        <f>IF(AD19="","",AD19)</f>
        <v>2</v>
      </c>
      <c r="F19" s="83">
        <f t="shared" si="0"/>
        <v>758</v>
      </c>
      <c r="G19" s="84">
        <f>IF(AF19="","",AF19)</f>
        <v>2</v>
      </c>
      <c r="H19" s="83">
        <f t="shared" si="1"/>
        <v>753</v>
      </c>
      <c r="I19" s="84">
        <f>IF(AH19="","",AH19)</f>
        <v>2</v>
      </c>
      <c r="J19" s="83">
        <f t="shared" si="2"/>
        <v>702</v>
      </c>
      <c r="K19" s="84">
        <f>IF(AJ19="","",AJ19)</f>
        <v>0</v>
      </c>
      <c r="L19" s="83">
        <f t="shared" si="3"/>
        <v>636</v>
      </c>
      <c r="M19" s="84">
        <f>IF(AL19="","",AL19)</f>
        <v>0</v>
      </c>
      <c r="N19" s="83">
        <f t="shared" si="20"/>
        <v>728</v>
      </c>
      <c r="O19" s="84">
        <f>IF(AN19="","",AN19)</f>
        <v>2</v>
      </c>
      <c r="P19" s="83">
        <f t="shared" si="4"/>
        <v>682</v>
      </c>
      <c r="Q19" s="84">
        <f>IF(AP19="","",AP19)</f>
        <v>0</v>
      </c>
      <c r="R19" s="83">
        <f t="shared" si="5"/>
        <v>716</v>
      </c>
      <c r="S19" s="84">
        <f>IF(AR19="","",AR19)</f>
        <v>2</v>
      </c>
      <c r="T19" s="83">
        <f t="shared" si="6"/>
        <v>688</v>
      </c>
      <c r="U19" s="84">
        <f>IF(AT19="","",AT19)</f>
        <v>0</v>
      </c>
      <c r="V19" s="83">
        <f t="shared" si="7"/>
        <v>6351</v>
      </c>
      <c r="W19" s="84">
        <f>IF(AV19="","",AV19)</f>
        <v>10</v>
      </c>
      <c r="AA19" s="81" t="s">
        <v>1799</v>
      </c>
      <c r="AB19" s="120"/>
      <c r="AC19" s="211">
        <f>ABS(SUM(AC7:AC9))+ABS(SUM(AC10:AC12))+ABS(SUM(AC13:AC15))+ABS(SUM(AC16:AC18))</f>
        <v>688</v>
      </c>
      <c r="AD19" s="121">
        <f>IF(AC19+AC29=0,0,IF(AC19=AC29,1,IF(AC19&gt;AC29,2,0)))</f>
        <v>2</v>
      </c>
      <c r="AE19" s="211">
        <f>ABS(SUM(AE7:AE9))+ABS(SUM(AE10:AE12))+ABS(SUM(AE13:AE15))+ABS(SUM(AE16:AE18))</f>
        <v>758</v>
      </c>
      <c r="AF19" s="121">
        <f>IF(AE19+AE29=0,0,IF(AE19=AE29,1,IF(AE19&gt;AE29,2,0)))</f>
        <v>2</v>
      </c>
      <c r="AG19" s="211">
        <f>ABS(SUM(AG7:AG9))+ABS(SUM(AG10:AG12))+ABS(SUM(AG13:AG15))+ABS(SUM(AG16:AG18))</f>
        <v>753</v>
      </c>
      <c r="AH19" s="121">
        <f>IF(AG19+AG29=0,0,IF(AG19=AG29,1,IF(AG19&gt;AG29,2,0)))</f>
        <v>2</v>
      </c>
      <c r="AI19" s="211">
        <f>ABS(SUM(AI7:AI9))+ABS(SUM(AI10:AI12))+ABS(SUM(AI13:AI15))+ABS(SUM(AI16:AI18))</f>
        <v>702</v>
      </c>
      <c r="AJ19" s="121">
        <f>IF(AI19+AI29=0,0,IF(AI19=AI29,1,IF(AI19&gt;AI29,2,0)))</f>
        <v>0</v>
      </c>
      <c r="AK19" s="211">
        <f>ABS(SUM(AK7:AK9))+ABS(SUM(AK10:AK12))+ABS(SUM(AK13:AK15))+ABS(SUM(AK16:AK18))</f>
        <v>636</v>
      </c>
      <c r="AL19" s="121">
        <f>IF(AK19+AK29=0,0,IF(AK19=AK29,1,IF(AK19&gt;AK29,2,0)))</f>
        <v>0</v>
      </c>
      <c r="AM19" s="211">
        <f>ABS(SUM(AM7:AM9))+ABS(SUM(AM10:AM12))+ABS(SUM(AM13:AM15))+ABS(SUM(AM16:AM18))</f>
        <v>728</v>
      </c>
      <c r="AN19" s="121">
        <f>IF(AM19+AM29=0,0,IF(AM19=AM29,1,IF(AM19&gt;AM29,2,0)))</f>
        <v>2</v>
      </c>
      <c r="AO19" s="211">
        <f>ABS(SUM(AO7:AO9))+ABS(SUM(AO10:AO12))+ABS(SUM(AO13:AO15))+ABS(SUM(AO16:AO18))</f>
        <v>682</v>
      </c>
      <c r="AP19" s="121">
        <f>IF(AO19+AO29=0,0,IF(AO19=AO29,1,IF(AO19&gt;AO29,2,0)))</f>
        <v>0</v>
      </c>
      <c r="AQ19" s="211">
        <f>ABS(SUM(AQ7:AQ9))+ABS(SUM(AQ10:AQ12))+ABS(SUM(AQ13:AQ15))+ABS(SUM(AQ16:AQ18))</f>
        <v>716</v>
      </c>
      <c r="AR19" s="121">
        <f>IF(AQ19+AQ29=0,0,IF(AQ19=AQ29,1,IF(AQ19&gt;AQ29,2,0)))</f>
        <v>2</v>
      </c>
      <c r="AS19" s="211">
        <f>ABS(SUM(AS7:AS9))+ABS(SUM(AS10:AS12))+ABS(SUM(AS13:AS15))+ABS(SUM(AS16:AS18))</f>
        <v>688</v>
      </c>
      <c r="AT19" s="121">
        <f>IF(AS19+AS29=0,0,IF(AS19=AS29,1,IF(AS19&gt;AS29,2,0)))</f>
        <v>0</v>
      </c>
      <c r="AU19" s="122">
        <f>SUM(AC19+AE19+AG19+AI19+AK19+AM19+AO19+AQ19+AS19)</f>
        <v>6351</v>
      </c>
      <c r="AV19" s="123">
        <f>SUM(AD19+AF19+AH19+AJ19+AL19+AN19+AP19+AR19+AT19)</f>
        <v>10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4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6</v>
      </c>
      <c r="F20" s="86" t="str">
        <f t="shared" si="0"/>
        <v/>
      </c>
      <c r="G20" s="87">
        <f>IF(AF20="","",AF20)</f>
        <v>6</v>
      </c>
      <c r="H20" s="86" t="str">
        <f t="shared" si="1"/>
        <v/>
      </c>
      <c r="I20" s="87">
        <f>IF(AH20="","",AH20)</f>
        <v>6</v>
      </c>
      <c r="J20" s="86" t="str">
        <f t="shared" si="2"/>
        <v/>
      </c>
      <c r="K20" s="87">
        <f>IF(AJ20="","",AJ20)</f>
        <v>2</v>
      </c>
      <c r="L20" s="86" t="str">
        <f t="shared" si="3"/>
        <v/>
      </c>
      <c r="M20" s="87">
        <f>IF(AL20="","",AL20)</f>
        <v>1.5</v>
      </c>
      <c r="N20" s="86" t="str">
        <f t="shared" si="20"/>
        <v/>
      </c>
      <c r="O20" s="87">
        <f>IF(AN20="","",AN20)</f>
        <v>4.5</v>
      </c>
      <c r="P20" s="86" t="str">
        <f t="shared" si="4"/>
        <v/>
      </c>
      <c r="Q20" s="87">
        <f>IF(AP20="","",AP20)</f>
        <v>2</v>
      </c>
      <c r="R20" s="86" t="str">
        <f t="shared" si="5"/>
        <v/>
      </c>
      <c r="S20" s="87">
        <f>IF(AR20="","",AR20)</f>
        <v>5</v>
      </c>
      <c r="T20" s="86" t="str">
        <f t="shared" si="6"/>
        <v/>
      </c>
      <c r="U20" s="87">
        <f>IF(AT20="","",AT20)</f>
        <v>1</v>
      </c>
      <c r="V20" s="86" t="str">
        <f t="shared" si="7"/>
        <v/>
      </c>
      <c r="W20" s="87">
        <f>IF(AV20="","",AV20)</f>
        <v>34</v>
      </c>
      <c r="AA20" s="85" t="s">
        <v>1814</v>
      </c>
      <c r="AB20" s="86"/>
      <c r="AC20" s="86"/>
      <c r="AD20" s="124">
        <f>SUM(AD7:AD19)</f>
        <v>6</v>
      </c>
      <c r="AE20" s="86"/>
      <c r="AF20" s="124">
        <f>SUM(AF7:AF19)</f>
        <v>6</v>
      </c>
      <c r="AG20" s="86"/>
      <c r="AH20" s="124">
        <f>SUM(AH7:AH19)</f>
        <v>6</v>
      </c>
      <c r="AI20" s="86"/>
      <c r="AJ20" s="124">
        <f>SUM(AJ7:AJ19)</f>
        <v>2</v>
      </c>
      <c r="AK20" s="86"/>
      <c r="AL20" s="124">
        <f>SUM(AL7:AL19)</f>
        <v>1.5</v>
      </c>
      <c r="AM20" s="86"/>
      <c r="AN20" s="124">
        <f>SUM(AN7:AN19)</f>
        <v>4.5</v>
      </c>
      <c r="AO20" s="86"/>
      <c r="AP20" s="124">
        <f>SUM(AP7:AP19)</f>
        <v>2</v>
      </c>
      <c r="AQ20" s="86"/>
      <c r="AR20" s="124">
        <f>SUM(AR7:AR19)</f>
        <v>5</v>
      </c>
      <c r="AS20" s="86"/>
      <c r="AT20" s="124">
        <f>SUM(AT7:AT19)</f>
        <v>1</v>
      </c>
      <c r="AU20" s="86"/>
      <c r="AV20" s="125">
        <f>SUM(AV7:AV19)</f>
        <v>34</v>
      </c>
      <c r="AW20" s="101"/>
      <c r="AX20" s="102"/>
      <c r="BA20" s="212">
        <f>+AV20</f>
        <v>34</v>
      </c>
      <c r="BB20" s="213">
        <f>+AU19</f>
        <v>6351</v>
      </c>
      <c r="BC20" s="214">
        <f>+AA2</f>
        <v>1</v>
      </c>
      <c r="BF20" s="215">
        <f>SUM(BF1:BF19)</f>
        <v>36</v>
      </c>
      <c r="BQ20" s="212">
        <f>+BB20/1000000+BA20</f>
        <v>34.006351000000002</v>
      </c>
      <c r="BR20" s="214">
        <f>RANK(BQ20,BQ:BQ)</f>
        <v>2</v>
      </c>
      <c r="BV20" s="214"/>
      <c r="BZ20" s="214"/>
    </row>
    <row r="21" spans="1:78" ht="11.25" customHeight="1" x14ac:dyDescent="0.3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35">
      <c r="B22" s="88" t="str">
        <f t="shared" ref="B22:K24" si="31">IF(AA22=0,"",AA22)</f>
        <v>Gegner-Nr.:</v>
      </c>
      <c r="C22" s="89" t="str">
        <f t="shared" si="31"/>
        <v>&gt;&gt;&gt;&gt;</v>
      </c>
      <c r="D22" s="346">
        <f t="shared" si="31"/>
        <v>8</v>
      </c>
      <c r="E22" s="346" t="str">
        <f t="shared" si="31"/>
        <v/>
      </c>
      <c r="F22" s="346">
        <f t="shared" si="31"/>
        <v>2</v>
      </c>
      <c r="G22" s="346" t="str">
        <f t="shared" si="31"/>
        <v/>
      </c>
      <c r="H22" s="346">
        <f t="shared" si="31"/>
        <v>4</v>
      </c>
      <c r="I22" s="346" t="str">
        <f t="shared" si="31"/>
        <v/>
      </c>
      <c r="J22" s="346">
        <f t="shared" si="31"/>
        <v>7</v>
      </c>
      <c r="K22" s="346" t="str">
        <f t="shared" si="31"/>
        <v/>
      </c>
      <c r="L22" s="346">
        <f t="shared" ref="L22:U24" si="32">IF(AK22=0,"",AK22)</f>
        <v>10</v>
      </c>
      <c r="M22" s="346" t="str">
        <f t="shared" si="32"/>
        <v/>
      </c>
      <c r="N22" s="346">
        <f t="shared" si="32"/>
        <v>5</v>
      </c>
      <c r="O22" s="346" t="str">
        <f t="shared" si="32"/>
        <v/>
      </c>
      <c r="P22" s="346">
        <f t="shared" si="32"/>
        <v>6</v>
      </c>
      <c r="Q22" s="346" t="str">
        <f t="shared" si="32"/>
        <v/>
      </c>
      <c r="R22" s="346">
        <f t="shared" si="32"/>
        <v>9</v>
      </c>
      <c r="S22" s="346" t="str">
        <f t="shared" si="32"/>
        <v/>
      </c>
      <c r="T22" s="346">
        <f t="shared" si="32"/>
        <v>3</v>
      </c>
      <c r="U22" s="346" t="str">
        <f t="shared" si="32"/>
        <v/>
      </c>
      <c r="V22" s="347"/>
      <c r="W22" s="347"/>
      <c r="AA22" s="88" t="s">
        <v>1797</v>
      </c>
      <c r="AB22" s="89" t="s">
        <v>1798</v>
      </c>
      <c r="AC22" s="370">
        <f>VLOOKUP($AA2,Schlüssel!$A$5:$DG$14,23)</f>
        <v>8</v>
      </c>
      <c r="AD22" s="371"/>
      <c r="AE22" s="370">
        <f>VLOOKUP($AA2,Schlüssel!$A$5:$EK$14,24)</f>
        <v>2</v>
      </c>
      <c r="AF22" s="371"/>
      <c r="AG22" s="370">
        <f>VLOOKUP($AA2,Schlüssel!$A$5:$EK$14,25)</f>
        <v>4</v>
      </c>
      <c r="AH22" s="371"/>
      <c r="AI22" s="370">
        <f>VLOOKUP($AA2,Schlüssel!$A$5:$EK$14,26)</f>
        <v>7</v>
      </c>
      <c r="AJ22" s="371"/>
      <c r="AK22" s="370">
        <f>VLOOKUP($AA2,Schlüssel!$A$5:$EK$14,27)</f>
        <v>10</v>
      </c>
      <c r="AL22" s="371"/>
      <c r="AM22" s="370">
        <f>VLOOKUP($AA2,Schlüssel!$A$5:$EK$14,28)</f>
        <v>5</v>
      </c>
      <c r="AN22" s="371"/>
      <c r="AO22" s="370">
        <f>VLOOKUP($AA2,Schlüssel!$A$5:$EK$14,29)</f>
        <v>6</v>
      </c>
      <c r="AP22" s="371"/>
      <c r="AQ22" s="370">
        <f>VLOOKUP($AA2,Schlüssel!$A$5:$EK$14,30)</f>
        <v>9</v>
      </c>
      <c r="AR22" s="371"/>
      <c r="AS22" s="370">
        <f>VLOOKUP($AA2,Schlüssel!$A$5:$EK$14,31)</f>
        <v>3</v>
      </c>
      <c r="AT22" s="371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35">
      <c r="B23" s="90" t="str">
        <f t="shared" si="31"/>
        <v/>
      </c>
      <c r="C23" s="86" t="str">
        <f t="shared" si="31"/>
        <v/>
      </c>
      <c r="D23" s="343" t="str">
        <f t="shared" si="31"/>
        <v>EPA München 1</v>
      </c>
      <c r="E23" s="344" t="str">
        <f t="shared" si="31"/>
        <v/>
      </c>
      <c r="F23" s="343" t="str">
        <f t="shared" si="31"/>
        <v>BK München 2</v>
      </c>
      <c r="G23" s="344" t="str">
        <f t="shared" si="31"/>
        <v/>
      </c>
      <c r="H23" s="343" t="str">
        <f t="shared" si="31"/>
        <v>BK München 3</v>
      </c>
      <c r="I23" s="344" t="str">
        <f t="shared" si="31"/>
        <v/>
      </c>
      <c r="J23" s="343" t="str">
        <f t="shared" si="31"/>
        <v>Frankenpower Nürnberg</v>
      </c>
      <c r="K23" s="344" t="str">
        <f t="shared" si="31"/>
        <v/>
      </c>
      <c r="L23" s="343" t="str">
        <f t="shared" si="32"/>
        <v>BK München 4</v>
      </c>
      <c r="M23" s="344" t="str">
        <f t="shared" si="32"/>
        <v/>
      </c>
      <c r="N23" s="343" t="str">
        <f t="shared" si="32"/>
        <v xml:space="preserve">Weiß Blau Unterföhring </v>
      </c>
      <c r="O23" s="344" t="str">
        <f t="shared" si="32"/>
        <v/>
      </c>
      <c r="P23" s="343" t="str">
        <f t="shared" si="32"/>
        <v>Phönix 03 Lauf</v>
      </c>
      <c r="Q23" s="344" t="str">
        <f t="shared" si="32"/>
        <v/>
      </c>
      <c r="R23" s="343" t="str">
        <f t="shared" si="32"/>
        <v>RW Lichtenhof 69 Stein 2</v>
      </c>
      <c r="S23" s="344" t="str">
        <f t="shared" si="32"/>
        <v/>
      </c>
      <c r="T23" s="343" t="str">
        <f t="shared" si="32"/>
        <v>Highroller Rosenheim</v>
      </c>
      <c r="U23" s="344" t="str">
        <f t="shared" si="32"/>
        <v/>
      </c>
      <c r="V23" s="345"/>
      <c r="W23" s="345"/>
      <c r="AA23" s="90"/>
      <c r="AB23" s="86"/>
      <c r="AC23" s="343" t="str">
        <f>VLOOKUP(AC22,Schlüssel!$A$5:$K$14,2)</f>
        <v>EPA München 1</v>
      </c>
      <c r="AD23" s="344"/>
      <c r="AE23" s="343" t="str">
        <f>VLOOKUP(AE22,Schlüssel!$A$5:$K$14,2)</f>
        <v>BK München 2</v>
      </c>
      <c r="AF23" s="344"/>
      <c r="AG23" s="343" t="str">
        <f>VLOOKUP(AG22,Schlüssel!$A$5:$K$14,2)</f>
        <v>BK München 3</v>
      </c>
      <c r="AH23" s="344"/>
      <c r="AI23" s="343" t="str">
        <f>VLOOKUP(AI22,Schlüssel!$A$5:$K$14,2)</f>
        <v>Frankenpower Nürnberg</v>
      </c>
      <c r="AJ23" s="344"/>
      <c r="AK23" s="343" t="str">
        <f>VLOOKUP(AK22,Schlüssel!$A$5:$K$14,2)</f>
        <v>BK München 4</v>
      </c>
      <c r="AL23" s="344"/>
      <c r="AM23" s="343" t="str">
        <f>VLOOKUP(AM22,Schlüssel!$A$5:$K$14,2)</f>
        <v xml:space="preserve">Weiß Blau Unterföhring </v>
      </c>
      <c r="AN23" s="344"/>
      <c r="AO23" s="343" t="str">
        <f>VLOOKUP(AO22,Schlüssel!$A$5:$K$14,2)</f>
        <v>Phönix 03 Lauf</v>
      </c>
      <c r="AP23" s="344"/>
      <c r="AQ23" s="343" t="str">
        <f>VLOOKUP(AQ22,Schlüssel!$A$5:$K$14,2)</f>
        <v>RW Lichtenhof 69 Stein 2</v>
      </c>
      <c r="AR23" s="344"/>
      <c r="AS23" s="343" t="str">
        <f>VLOOKUP(AS22,Schlüssel!$A$5:$K$14,2)</f>
        <v>Highroller Rosenheim</v>
      </c>
      <c r="AT23" s="344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35">
      <c r="B24" s="90" t="str">
        <f t="shared" si="31"/>
        <v/>
      </c>
      <c r="C24" s="86" t="str">
        <f t="shared" si="31"/>
        <v/>
      </c>
      <c r="D24" s="341" t="str">
        <f t="shared" si="31"/>
        <v/>
      </c>
      <c r="E24" s="341" t="str">
        <f t="shared" si="31"/>
        <v/>
      </c>
      <c r="F24" s="341" t="str">
        <f t="shared" si="31"/>
        <v/>
      </c>
      <c r="G24" s="341" t="str">
        <f t="shared" si="31"/>
        <v/>
      </c>
      <c r="H24" s="341" t="str">
        <f t="shared" si="31"/>
        <v/>
      </c>
      <c r="I24" s="341" t="str">
        <f t="shared" si="31"/>
        <v/>
      </c>
      <c r="J24" s="341" t="str">
        <f t="shared" si="31"/>
        <v/>
      </c>
      <c r="K24" s="341" t="str">
        <f t="shared" si="31"/>
        <v/>
      </c>
      <c r="L24" s="341" t="str">
        <f t="shared" si="32"/>
        <v/>
      </c>
      <c r="M24" s="341" t="str">
        <f t="shared" si="32"/>
        <v/>
      </c>
      <c r="N24" s="341" t="str">
        <f t="shared" si="32"/>
        <v/>
      </c>
      <c r="O24" s="341" t="str">
        <f t="shared" si="32"/>
        <v/>
      </c>
      <c r="P24" s="341" t="str">
        <f t="shared" si="32"/>
        <v/>
      </c>
      <c r="Q24" s="341" t="str">
        <f t="shared" si="32"/>
        <v/>
      </c>
      <c r="R24" s="341" t="str">
        <f t="shared" si="32"/>
        <v/>
      </c>
      <c r="S24" s="341" t="str">
        <f t="shared" si="32"/>
        <v/>
      </c>
      <c r="T24" s="341" t="str">
        <f t="shared" si="32"/>
        <v/>
      </c>
      <c r="U24" s="342" t="str">
        <f t="shared" si="32"/>
        <v/>
      </c>
      <c r="V24" s="301"/>
      <c r="W24" s="301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6.05" customHeight="1" x14ac:dyDescent="0.35">
      <c r="B25" s="365" t="str">
        <f t="shared" ref="B25:C29" si="33">IF(AA25=0,"",AA25)</f>
        <v>Spieler 1</v>
      </c>
      <c r="C25" s="366" t="str">
        <f t="shared" si="33"/>
        <v/>
      </c>
      <c r="D25" s="339">
        <f>IF(AC25=301,"",AC25)</f>
        <v>140</v>
      </c>
      <c r="E25" s="339" t="str">
        <f>IF(AD25=0,"",AD25)</f>
        <v/>
      </c>
      <c r="F25" s="339">
        <f>IF(AE25=301,"",AE25)</f>
        <v>161</v>
      </c>
      <c r="G25" s="339" t="str">
        <f>IF(AF25=0,"",AF25)</f>
        <v/>
      </c>
      <c r="H25" s="339">
        <f>IF(AG25=301,"",AG25)</f>
        <v>0</v>
      </c>
      <c r="I25" s="339" t="str">
        <f>IF(AH25=0,"",AH25)</f>
        <v/>
      </c>
      <c r="J25" s="339">
        <f>IF(AI25=301,"",AI25)</f>
        <v>176</v>
      </c>
      <c r="K25" s="339" t="str">
        <f>IF(AJ25=0,"",AJ25)</f>
        <v/>
      </c>
      <c r="L25" s="339">
        <f>IF(AK25=301,"",AK25)</f>
        <v>157</v>
      </c>
      <c r="M25" s="339" t="str">
        <f>IF(AL25=0,"",AL25)</f>
        <v/>
      </c>
      <c r="N25" s="339">
        <f>IF(AM25=301,"",AM25)</f>
        <v>170</v>
      </c>
      <c r="O25" s="339" t="str">
        <f>IF(AN25=0,"",AN25)</f>
        <v/>
      </c>
      <c r="P25" s="339">
        <f>IF(AO25=301,"",AO25)</f>
        <v>128</v>
      </c>
      <c r="Q25" s="339" t="str">
        <f>IF(AP25=0,"",AP25)</f>
        <v/>
      </c>
      <c r="R25" s="339">
        <f>IF(AQ25=301,"",AQ25)</f>
        <v>161</v>
      </c>
      <c r="S25" s="339" t="str">
        <f>IF(AR25=0,"",AR25)</f>
        <v/>
      </c>
      <c r="T25" s="339">
        <f>IF(AS25=301,"",AS25)</f>
        <v>223</v>
      </c>
      <c r="U25" s="339" t="str">
        <f>IF(AT25=0,"",AT25)</f>
        <v/>
      </c>
      <c r="V25" s="340"/>
      <c r="W25" s="340"/>
      <c r="AA25" s="91" t="s">
        <v>0</v>
      </c>
      <c r="AB25" s="92"/>
      <c r="AC25" s="372">
        <f>ABS(INDEX(AC:AC,MATCH(AC22,$AA:$AA,0)+5)+INDEX(AC:AC,MATCH(AC22,$AA:$AA,0)+6)+INDEX(AC:AC,MATCH(AC22,$AA:$AA,0)+7))</f>
        <v>140</v>
      </c>
      <c r="AD25" s="373"/>
      <c r="AE25" s="372">
        <f>ABS(INDEX(AE:AE,MATCH(AE22,$AA:$AA,0)+5)+INDEX(AE:AE,MATCH(AE22,$AA:$AA,0)+6)+INDEX(AE:AE,MATCH(AE22,$AA:$AA,0)+7))</f>
        <v>161</v>
      </c>
      <c r="AF25" s="373"/>
      <c r="AG25" s="372">
        <f>ABS(INDEX(AG:AG,MATCH(AG22,$AA:$AA,0)+5)+INDEX(AG:AG,MATCH(AG22,$AA:$AA,0)+6)+INDEX(AG:AG,MATCH(AG22,$AA:$AA,0)+7))</f>
        <v>0</v>
      </c>
      <c r="AH25" s="373"/>
      <c r="AI25" s="372">
        <f>ABS(INDEX(AI:AI,MATCH(AI22,$AA:$AA,0)+5)+INDEX(AI:AI,MATCH(AI22,$AA:$AA,0)+6)+INDEX(AI:AI,MATCH(AI22,$AA:$AA,0)+7))</f>
        <v>176</v>
      </c>
      <c r="AJ25" s="373"/>
      <c r="AK25" s="372">
        <f>ABS(INDEX(AK:AK,MATCH(AK22,$AA:$AA,0)+5)+INDEX(AK:AK,MATCH(AK22,$AA:$AA,0)+6)+INDEX(AK:AK,MATCH(AK22,$AA:$AA,0)+7))</f>
        <v>157</v>
      </c>
      <c r="AL25" s="373"/>
      <c r="AM25" s="372">
        <f>ABS(INDEX(AM:AM,MATCH(AM22,$AA:$AA,0)+5)+INDEX(AM:AM,MATCH(AM22,$AA:$AA,0)+6)+INDEX(AM:AM,MATCH(AM22,$AA:$AA,0)+7))</f>
        <v>170</v>
      </c>
      <c r="AN25" s="373"/>
      <c r="AO25" s="372">
        <f>ABS(INDEX(AO:AO,MATCH(AO22,$AA:$AA,0)+5)+INDEX(AO:AO,MATCH(AO22,$AA:$AA,0)+6)+INDEX(AO:AO,MATCH(AO22,$AA:$AA,0)+7))</f>
        <v>128</v>
      </c>
      <c r="AP25" s="373"/>
      <c r="AQ25" s="372">
        <f>ABS(INDEX(AQ:AQ,MATCH(AQ22,$AA:$AA,0)+5)+INDEX(AQ:AQ,MATCH(AQ22,$AA:$AA,0)+6)+INDEX(AQ:AQ,MATCH(AQ22,$AA:$AA,0)+7))</f>
        <v>161</v>
      </c>
      <c r="AR25" s="373"/>
      <c r="AS25" s="372">
        <f>ABS(INDEX(AS:AS,MATCH(AS22,$AA:$AA,0)+5)+INDEX(AS:AS,MATCH(AS22,$AA:$AA,0)+6)+INDEX(AS:AS,MATCH(AS22,$AA:$AA,0)+7))</f>
        <v>223</v>
      </c>
      <c r="AT25" s="373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6.05" customHeight="1" x14ac:dyDescent="0.35">
      <c r="B26" s="365" t="str">
        <f t="shared" si="33"/>
        <v>Spieler 2</v>
      </c>
      <c r="C26" s="366" t="str">
        <f t="shared" si="33"/>
        <v/>
      </c>
      <c r="D26" s="339">
        <f>IF(AC26=301,"",AC26)</f>
        <v>147</v>
      </c>
      <c r="E26" s="339" t="str">
        <f>IF(AD26=0,"",AD26)</f>
        <v/>
      </c>
      <c r="F26" s="339">
        <f>IF(AE26=301,"",AE26)</f>
        <v>164</v>
      </c>
      <c r="G26" s="339" t="str">
        <f>IF(AF26=0,"",AF26)</f>
        <v/>
      </c>
      <c r="H26" s="339">
        <f>IF(AG26=301,"",AG26)</f>
        <v>0</v>
      </c>
      <c r="I26" s="339" t="str">
        <f>IF(AH26=0,"",AH26)</f>
        <v/>
      </c>
      <c r="J26" s="339">
        <f>IF(AI26=301,"",AI26)</f>
        <v>202</v>
      </c>
      <c r="K26" s="339" t="str">
        <f>IF(AJ26=0,"",AJ26)</f>
        <v/>
      </c>
      <c r="L26" s="339">
        <f>IF(AK26=301,"",AK26)</f>
        <v>225</v>
      </c>
      <c r="M26" s="339" t="str">
        <f>IF(AL26=0,"",AL26)</f>
        <v/>
      </c>
      <c r="N26" s="339">
        <f>IF(AM26=301,"",AM26)</f>
        <v>190</v>
      </c>
      <c r="O26" s="339" t="str">
        <f>IF(AN26=0,"",AN26)</f>
        <v/>
      </c>
      <c r="P26" s="339">
        <f>IF(AO26=301,"",AO26)</f>
        <v>160</v>
      </c>
      <c r="Q26" s="339" t="str">
        <f>IF(AP26=0,"",AP26)</f>
        <v/>
      </c>
      <c r="R26" s="339">
        <f>IF(AQ26=301,"",AQ26)</f>
        <v>166</v>
      </c>
      <c r="S26" s="339" t="str">
        <f>IF(AR26=0,"",AR26)</f>
        <v/>
      </c>
      <c r="T26" s="339">
        <f>IF(AS26=301,"",AS26)</f>
        <v>162</v>
      </c>
      <c r="U26" s="339" t="str">
        <f>IF(AT26=0,"",AT26)</f>
        <v/>
      </c>
      <c r="V26" s="340"/>
      <c r="W26" s="340"/>
      <c r="AA26" s="91" t="s">
        <v>2</v>
      </c>
      <c r="AB26" s="92"/>
      <c r="AC26" s="374">
        <f>ABS(INDEX(AC:AC,MATCH(AC22,$AA:$AA,0)+8)+INDEX(AC:AC,MATCH(AC22,$AA:$AA,0)+9)+INDEX(AC:AC,MATCH(AC22,$AA:$AA,0)+10))</f>
        <v>147</v>
      </c>
      <c r="AD26" s="375"/>
      <c r="AE26" s="374">
        <f>ABS(INDEX(AE:AE,MATCH(AE22,$AA:$AA,0)+8)+INDEX(AE:AE,MATCH(AE22,$AA:$AA,0)+9)+INDEX(AE:AE,MATCH(AE22,$AA:$AA,0)+10))</f>
        <v>164</v>
      </c>
      <c r="AF26" s="375"/>
      <c r="AG26" s="374">
        <f>ABS(INDEX(AG:AG,MATCH(AG22,$AA:$AA,0)+8)+INDEX(AG:AG,MATCH(AG22,$AA:$AA,0)+9)+INDEX(AG:AG,MATCH(AG22,$AA:$AA,0)+10))</f>
        <v>0</v>
      </c>
      <c r="AH26" s="375"/>
      <c r="AI26" s="374">
        <f>ABS(INDEX(AI:AI,MATCH(AI22,$AA:$AA,0)+8)+INDEX(AI:AI,MATCH(AI22,$AA:$AA,0)+9)+INDEX(AI:AI,MATCH(AI22,$AA:$AA,0)+10))</f>
        <v>202</v>
      </c>
      <c r="AJ26" s="375"/>
      <c r="AK26" s="374">
        <f>ABS(INDEX(AK:AK,MATCH(AK22,$AA:$AA,0)+8)+INDEX(AK:AK,MATCH(AK22,$AA:$AA,0)+9)+INDEX(AK:AK,MATCH(AK22,$AA:$AA,0)+10))</f>
        <v>225</v>
      </c>
      <c r="AL26" s="375"/>
      <c r="AM26" s="374">
        <f>ABS(INDEX(AM:AM,MATCH(AM22,$AA:$AA,0)+8)+INDEX(AM:AM,MATCH(AM22,$AA:$AA,0)+9)+INDEX(AM:AM,MATCH(AM22,$AA:$AA,0)+10))</f>
        <v>190</v>
      </c>
      <c r="AN26" s="375"/>
      <c r="AO26" s="374">
        <f>ABS(INDEX(AO:AO,MATCH(AO22,$AA:$AA,0)+8)+INDEX(AO:AO,MATCH(AO22,$AA:$AA,0)+9)+INDEX(AO:AO,MATCH(AO22,$AA:$AA,0)+10))</f>
        <v>160</v>
      </c>
      <c r="AP26" s="375"/>
      <c r="AQ26" s="374">
        <f>ABS(INDEX(AQ:AQ,MATCH(AQ22,$AA:$AA,0)+8)+INDEX(AQ:AQ,MATCH(AQ22,$AA:$AA,0)+9)+INDEX(AQ:AQ,MATCH(AQ22,$AA:$AA,0)+10))</f>
        <v>166</v>
      </c>
      <c r="AR26" s="375"/>
      <c r="AS26" s="374">
        <f>ABS(INDEX(AS:AS,MATCH(AS22,$AA:$AA,0)+8)+INDEX(AS:AS,MATCH(AS22,$AA:$AA,0)+9)+INDEX(AS:AS,MATCH(AS22,$AA:$AA,0)+10))</f>
        <v>162</v>
      </c>
      <c r="AT26" s="37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6.05" customHeight="1" x14ac:dyDescent="0.35">
      <c r="B27" s="365" t="str">
        <f t="shared" si="33"/>
        <v>Spieler 3</v>
      </c>
      <c r="C27" s="366" t="str">
        <f t="shared" si="33"/>
        <v/>
      </c>
      <c r="D27" s="339">
        <f>IF(AC27=301,"",AC27)</f>
        <v>166</v>
      </c>
      <c r="E27" s="339" t="str">
        <f>IF(AD27=0,"",AD27)</f>
        <v/>
      </c>
      <c r="F27" s="339">
        <f>IF(AE27=301,"",AE27)</f>
        <v>137</v>
      </c>
      <c r="G27" s="339" t="str">
        <f>IF(AF27=0,"",AF27)</f>
        <v/>
      </c>
      <c r="H27" s="339">
        <f>IF(AG27=301,"",AG27)</f>
        <v>0</v>
      </c>
      <c r="I27" s="339" t="str">
        <f>IF(AH27=0,"",AH27)</f>
        <v/>
      </c>
      <c r="J27" s="339">
        <f>IF(AI27=301,"",AI27)</f>
        <v>153</v>
      </c>
      <c r="K27" s="339" t="str">
        <f>IF(AJ27=0,"",AJ27)</f>
        <v/>
      </c>
      <c r="L27" s="339">
        <f>IF(AK27=301,"",AK27)</f>
        <v>157</v>
      </c>
      <c r="M27" s="339" t="str">
        <f>IF(AL27=0,"",AL27)</f>
        <v/>
      </c>
      <c r="N27" s="339">
        <f>IF(AM27=301,"",AM27)</f>
        <v>181</v>
      </c>
      <c r="O27" s="339" t="str">
        <f>IF(AN27=0,"",AN27)</f>
        <v/>
      </c>
      <c r="P27" s="339">
        <f>IF(AO27=301,"",AO27)</f>
        <v>212</v>
      </c>
      <c r="Q27" s="339" t="str">
        <f>IF(AP27=0,"",AP27)</f>
        <v/>
      </c>
      <c r="R27" s="339">
        <f>IF(AQ27=301,"",AQ27)</f>
        <v>167</v>
      </c>
      <c r="S27" s="339" t="str">
        <f>IF(AR27=0,"",AR27)</f>
        <v/>
      </c>
      <c r="T27" s="339">
        <f>IF(AS27=301,"",AS27)</f>
        <v>159</v>
      </c>
      <c r="U27" s="339" t="str">
        <f>IF(AT27=0,"",AT27)</f>
        <v/>
      </c>
      <c r="V27" s="340"/>
      <c r="W27" s="340"/>
      <c r="AA27" s="91" t="s">
        <v>3</v>
      </c>
      <c r="AB27" s="92"/>
      <c r="AC27" s="374">
        <f>ABS(INDEX(AC:AC,MATCH(AC22,$AA:$AA,0)+11)+INDEX(AC:AC,MATCH(AC22,$AA:$AA,0)+12)+INDEX(AC:AC,MATCH(AC22,$AA:$AA,0)+13))</f>
        <v>166</v>
      </c>
      <c r="AD27" s="375"/>
      <c r="AE27" s="374">
        <f>ABS(INDEX(AE:AE,MATCH(AE22,$AA:$AA,0)+11)+INDEX(AE:AE,MATCH(AE22,$AA:$AA,0)+12)+INDEX(AE:AE,MATCH(AE22,$AA:$AA,0)+13))</f>
        <v>137</v>
      </c>
      <c r="AF27" s="375"/>
      <c r="AG27" s="374">
        <f>ABS(INDEX(AG:AG,MATCH(AG22,$AA:$AA,0)+11)+INDEX(AG:AG,MATCH(AG22,$AA:$AA,0)+12)+INDEX(AG:AG,MATCH(AG22,$AA:$AA,0)+13))</f>
        <v>0</v>
      </c>
      <c r="AH27" s="375"/>
      <c r="AI27" s="374">
        <f>ABS(INDEX(AI:AI,MATCH(AI22,$AA:$AA,0)+11)+INDEX(AI:AI,MATCH(AI22,$AA:$AA,0)+12)+INDEX(AI:AI,MATCH(AI22,$AA:$AA,0)+13))</f>
        <v>153</v>
      </c>
      <c r="AJ27" s="375"/>
      <c r="AK27" s="374">
        <f>ABS(INDEX(AK:AK,MATCH(AK22,$AA:$AA,0)+11)+INDEX(AK:AK,MATCH(AK22,$AA:$AA,0)+12)+INDEX(AK:AK,MATCH(AK22,$AA:$AA,0)+13))</f>
        <v>157</v>
      </c>
      <c r="AL27" s="375"/>
      <c r="AM27" s="374">
        <f>ABS(INDEX(AM:AM,MATCH(AM22,$AA:$AA,0)+11)+INDEX(AM:AM,MATCH(AM22,$AA:$AA,0)+12)+INDEX(AM:AM,MATCH(AM22,$AA:$AA,0)+13))</f>
        <v>181</v>
      </c>
      <c r="AN27" s="375"/>
      <c r="AO27" s="374">
        <f>ABS(INDEX(AO:AO,MATCH(AO22,$AA:$AA,0)+11)+INDEX(AO:AO,MATCH(AO22,$AA:$AA,0)+12)+INDEX(AO:AO,MATCH(AO22,$AA:$AA,0)+13))</f>
        <v>212</v>
      </c>
      <c r="AP27" s="375"/>
      <c r="AQ27" s="374">
        <f>ABS(INDEX(AQ:AQ,MATCH(AQ22,$AA:$AA,0)+11)+INDEX(AQ:AQ,MATCH(AQ22,$AA:$AA,0)+12)+INDEX(AQ:AQ,MATCH(AQ22,$AA:$AA,0)+13))</f>
        <v>167</v>
      </c>
      <c r="AR27" s="375"/>
      <c r="AS27" s="374">
        <f>ABS(INDEX(AS:AS,MATCH(AS22,$AA:$AA,0)+11)+INDEX(AS:AS,MATCH(AS22,$AA:$AA,0)+12)+INDEX(AS:AS,MATCH(AS22,$AA:$AA,0)+13))</f>
        <v>159</v>
      </c>
      <c r="AT27" s="37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6.05" customHeight="1" x14ac:dyDescent="0.35">
      <c r="B28" s="365" t="str">
        <f t="shared" si="33"/>
        <v>Spieler 4</v>
      </c>
      <c r="C28" s="366" t="str">
        <f t="shared" si="33"/>
        <v/>
      </c>
      <c r="D28" s="339">
        <f>IF(AC28=301,"",AC28)</f>
        <v>159</v>
      </c>
      <c r="E28" s="339" t="str">
        <f>IF(AD28=0,"",AD28)</f>
        <v/>
      </c>
      <c r="F28" s="339">
        <f>IF(AE28=301,"",AE28)</f>
        <v>182</v>
      </c>
      <c r="G28" s="339" t="str">
        <f>IF(AF28=0,"",AF28)</f>
        <v/>
      </c>
      <c r="H28" s="339">
        <f>IF(AG28=301,"",AG28)</f>
        <v>0</v>
      </c>
      <c r="I28" s="339" t="str">
        <f>IF(AH28=0,"",AH28)</f>
        <v/>
      </c>
      <c r="J28" s="339">
        <f>IF(AI28=301,"",AI28)</f>
        <v>191</v>
      </c>
      <c r="K28" s="339" t="str">
        <f>IF(AJ28=0,"",AJ28)</f>
        <v/>
      </c>
      <c r="L28" s="339">
        <f>IF(AK28=301,"",AK28)</f>
        <v>154</v>
      </c>
      <c r="M28" s="339" t="str">
        <f>IF(AL28=0,"",AL28)</f>
        <v/>
      </c>
      <c r="N28" s="339">
        <f>IF(AM28=301,"",AM28)</f>
        <v>181</v>
      </c>
      <c r="O28" s="339" t="str">
        <f>IF(AN28=0,"",AN28)</f>
        <v/>
      </c>
      <c r="P28" s="339">
        <f>IF(AO28=301,"",AO28)</f>
        <v>184</v>
      </c>
      <c r="Q28" s="339" t="str">
        <f>IF(AP28=0,"",AP28)</f>
        <v/>
      </c>
      <c r="R28" s="339">
        <f>IF(AQ28=301,"",AQ28)</f>
        <v>165</v>
      </c>
      <c r="S28" s="339" t="str">
        <f>IF(AR28=0,"",AR28)</f>
        <v/>
      </c>
      <c r="T28" s="339">
        <f>IF(AS28=301,"",AS28)</f>
        <v>224</v>
      </c>
      <c r="U28" s="339" t="str">
        <f>IF(AT28=0,"",AT28)</f>
        <v/>
      </c>
      <c r="V28" s="340"/>
      <c r="W28" s="340"/>
      <c r="AA28" s="91" t="s">
        <v>11</v>
      </c>
      <c r="AB28" s="92"/>
      <c r="AC28" s="374">
        <f>ABS(INDEX(AC:AC,MATCH(AC22,$AA:$AA,0)+14)+INDEX(AC:AC,MATCH(AC22,$AA:$AA,0)+15)+INDEX(AC:AC,MATCH(AC22,$AA:$AA,0)+16))</f>
        <v>159</v>
      </c>
      <c r="AD28" s="375"/>
      <c r="AE28" s="374">
        <f>ABS(INDEX(AE:AE,MATCH(AE22,$AA:$AA,0)+14)+INDEX(AE:AE,MATCH(AE22,$AA:$AA,0)+15)+INDEX(AE:AE,MATCH(AE22,$AA:$AA,0)+16))</f>
        <v>182</v>
      </c>
      <c r="AF28" s="375"/>
      <c r="AG28" s="374">
        <f>ABS(INDEX(AG:AG,MATCH(AG22,$AA:$AA,0)+14)+INDEX(AG:AG,MATCH(AG22,$AA:$AA,0)+15)+INDEX(AG:AG,MATCH(AG22,$AA:$AA,0)+16))</f>
        <v>0</v>
      </c>
      <c r="AH28" s="375"/>
      <c r="AI28" s="374">
        <f>ABS(INDEX(AI:AI,MATCH(AI22,$AA:$AA,0)+14)+INDEX(AI:AI,MATCH(AI22,$AA:$AA,0)+15)+INDEX(AI:AI,MATCH(AI22,$AA:$AA,0)+16))</f>
        <v>191</v>
      </c>
      <c r="AJ28" s="375"/>
      <c r="AK28" s="374">
        <f>ABS(INDEX(AK:AK,MATCH(AK22,$AA:$AA,0)+14)+INDEX(AK:AK,MATCH(AK22,$AA:$AA,0)+15)+INDEX(AK:AK,MATCH(AK22,$AA:$AA,0)+16))</f>
        <v>154</v>
      </c>
      <c r="AL28" s="375"/>
      <c r="AM28" s="374">
        <f>ABS(INDEX(AM:AM,MATCH(AM22,$AA:$AA,0)+14)+INDEX(AM:AM,MATCH(AM22,$AA:$AA,0)+15)+INDEX(AM:AM,MATCH(AM22,$AA:$AA,0)+16))</f>
        <v>181</v>
      </c>
      <c r="AN28" s="375"/>
      <c r="AO28" s="374">
        <f>ABS(INDEX(AO:AO,MATCH(AO22,$AA:$AA,0)+14)+INDEX(AO:AO,MATCH(AO22,$AA:$AA,0)+15)+INDEX(AO:AO,MATCH(AO22,$AA:$AA,0)+16))</f>
        <v>184</v>
      </c>
      <c r="AP28" s="375"/>
      <c r="AQ28" s="374">
        <f>ABS(INDEX(AQ:AQ,MATCH(AQ22,$AA:$AA,0)+14)+INDEX(AQ:AQ,MATCH(AQ22,$AA:$AA,0)+15)+INDEX(AQ:AQ,MATCH(AQ22,$AA:$AA,0)+16))</f>
        <v>165</v>
      </c>
      <c r="AR28" s="375"/>
      <c r="AS28" s="374">
        <f>ABS(INDEX(AS:AS,MATCH(AS22,$AA:$AA,0)+14)+INDEX(AS:AS,MATCH(AS22,$AA:$AA,0)+15)+INDEX(AS:AS,MATCH(AS22,$AA:$AA,0)+16))</f>
        <v>224</v>
      </c>
      <c r="AT28" s="37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6.05" customHeight="1" x14ac:dyDescent="0.35">
      <c r="B29" s="354" t="str">
        <f t="shared" si="33"/>
        <v>Gesamt</v>
      </c>
      <c r="C29" s="355" t="str">
        <f t="shared" si="33"/>
        <v/>
      </c>
      <c r="D29" s="338">
        <f>IF(AC29=1505,"",AC29)</f>
        <v>612</v>
      </c>
      <c r="E29" s="338" t="str">
        <f>IF(AD29=0,"",AD29)</f>
        <v/>
      </c>
      <c r="F29" s="338">
        <f>IF(AE29=1505,"",AE29)</f>
        <v>644</v>
      </c>
      <c r="G29" s="338" t="str">
        <f>IF(AF29=0,"",AF29)</f>
        <v/>
      </c>
      <c r="H29" s="338">
        <f>IF(AG29=1505,"",AG29)</f>
        <v>0</v>
      </c>
      <c r="I29" s="338" t="str">
        <f>IF(AH29=0,"",AH29)</f>
        <v/>
      </c>
      <c r="J29" s="338">
        <f>IF(AI29=1505,"",AI29)</f>
        <v>722</v>
      </c>
      <c r="K29" s="338" t="str">
        <f>IF(AJ29=0,"",AJ29)</f>
        <v/>
      </c>
      <c r="L29" s="338">
        <f>IF(AK29=1505,"",AK29)</f>
        <v>693</v>
      </c>
      <c r="M29" s="338" t="str">
        <f>IF(AL29=0,"",AL29)</f>
        <v/>
      </c>
      <c r="N29" s="338">
        <f>IF(AM29=1505,"",AM29)</f>
        <v>722</v>
      </c>
      <c r="O29" s="338" t="str">
        <f>IF(AN29=0,"",AN29)</f>
        <v/>
      </c>
      <c r="P29" s="338">
        <f>IF(AO29=1505,"",AO29)</f>
        <v>684</v>
      </c>
      <c r="Q29" s="338" t="str">
        <f>IF(AP29=0,"",AP29)</f>
        <v/>
      </c>
      <c r="R29" s="338">
        <f>IF(AQ29=1505,"",AQ29)</f>
        <v>659</v>
      </c>
      <c r="S29" s="338" t="str">
        <f>IF(AR29=0,"",AR29)</f>
        <v/>
      </c>
      <c r="T29" s="338">
        <f>IF(AS29=1505,"",AS29)</f>
        <v>768</v>
      </c>
      <c r="U29" s="338" t="str">
        <f>IF(AT29=0,"",AT29)</f>
        <v/>
      </c>
      <c r="V29" s="290"/>
      <c r="W29" s="290"/>
      <c r="AA29" s="93" t="s">
        <v>1799</v>
      </c>
      <c r="AB29" s="94"/>
      <c r="AC29" s="354">
        <f>SUM(AC25:AC28)</f>
        <v>612</v>
      </c>
      <c r="AD29" s="355"/>
      <c r="AE29" s="354">
        <f>SUM(AE25:AE28)</f>
        <v>644</v>
      </c>
      <c r="AF29" s="355"/>
      <c r="AG29" s="354">
        <f>SUM(AG25:AG28)</f>
        <v>0</v>
      </c>
      <c r="AH29" s="355"/>
      <c r="AI29" s="354">
        <f>SUM(AI25:AI28)</f>
        <v>722</v>
      </c>
      <c r="AJ29" s="355"/>
      <c r="AK29" s="354">
        <f>SUM(AK25:AK28)</f>
        <v>693</v>
      </c>
      <c r="AL29" s="355"/>
      <c r="AM29" s="354">
        <f>SUM(AM25:AM28)</f>
        <v>722</v>
      </c>
      <c r="AN29" s="355"/>
      <c r="AO29" s="354">
        <f>SUM(AO25:AO28)</f>
        <v>684</v>
      </c>
      <c r="AP29" s="355"/>
      <c r="AQ29" s="354">
        <f>SUM(AQ25:AQ28)</f>
        <v>659</v>
      </c>
      <c r="AR29" s="355"/>
      <c r="AS29" s="354">
        <f>SUM(AS25:AS28)</f>
        <v>768</v>
      </c>
      <c r="AT29" s="35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3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7">
      <c r="B31" s="44" t="str">
        <f>AA31</f>
        <v>Team-Nr.</v>
      </c>
      <c r="C31" s="45"/>
      <c r="D31" s="44" t="str">
        <f>AC31</f>
        <v>Liga:</v>
      </c>
      <c r="E31" s="47"/>
      <c r="F31" s="359" t="str">
        <f>AE31</f>
        <v>Bayernliga Frauen</v>
      </c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48"/>
      <c r="S31" s="49" t="s">
        <v>1794</v>
      </c>
      <c r="T31" s="50"/>
      <c r="U31" s="360" t="str">
        <f>AT31</f>
        <v>02.11./03.11.</v>
      </c>
      <c r="V31" s="361"/>
      <c r="W31" s="362"/>
      <c r="X31" s="363"/>
      <c r="Y31" s="364"/>
      <c r="Z31" s="364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0" t="str">
        <f>VLOOKUP(AS32,Spielorte!$A$1:$C$6,2)</f>
        <v>02.11./03.11.</v>
      </c>
      <c r="AU31" s="361"/>
      <c r="AV31" s="362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65">
      <c r="B32" s="53">
        <f>AA32</f>
        <v>2</v>
      </c>
      <c r="D32" s="46" t="s">
        <v>1793</v>
      </c>
      <c r="E32" s="54"/>
      <c r="F32" s="358" t="str">
        <f>AE32</f>
        <v>Regensburg Super Bowl</v>
      </c>
      <c r="G32" s="358"/>
      <c r="H32" s="358"/>
      <c r="I32" s="358"/>
      <c r="J32" s="358"/>
      <c r="K32" s="358"/>
      <c r="L32" s="358"/>
      <c r="M32" s="358"/>
      <c r="N32" s="358"/>
      <c r="O32" s="358"/>
      <c r="P32" s="55"/>
      <c r="Q32" s="55"/>
      <c r="S32" s="49" t="s">
        <v>1791</v>
      </c>
      <c r="T32" s="56">
        <f>AS32</f>
        <v>2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Regensburg Super Bowl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2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4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5" thickBot="1" x14ac:dyDescent="0.45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VLOOKUP(AA32,Schlüssel!$A$5:$DZ$14,33)</f>
        <v>10</v>
      </c>
      <c r="AE34" s="65" t="s">
        <v>10</v>
      </c>
      <c r="AF34" s="44">
        <f>VLOOKUP(AA32,Schlüssel!$A$5:$DZ$14,34)</f>
        <v>12</v>
      </c>
      <c r="AG34" s="65" t="s">
        <v>10</v>
      </c>
      <c r="AH34" s="44">
        <f>VLOOKUP(AA32,Schlüssel!$A$5:$DZ$14,35)</f>
        <v>4</v>
      </c>
      <c r="AI34" s="65" t="s">
        <v>10</v>
      </c>
      <c r="AJ34" s="44">
        <f>VLOOKUP(AA32,Schlüssel!$A$5:$DZ$14,36)</f>
        <v>5</v>
      </c>
      <c r="AK34" s="65" t="s">
        <v>10</v>
      </c>
      <c r="AL34" s="44">
        <f>VLOOKUP(AA32,Schlüssel!$A$5:$DZ$14,37)</f>
        <v>11</v>
      </c>
      <c r="AM34" s="65" t="s">
        <v>10</v>
      </c>
      <c r="AN34" s="44">
        <f>VLOOKUP(AA32,Schlüssel!$A$5:$DZ$14,38)</f>
        <v>9</v>
      </c>
      <c r="AO34" s="65" t="s">
        <v>10</v>
      </c>
      <c r="AP34" s="44">
        <f>VLOOKUP(AA32,Schlüssel!$A$5:$DZ$14,39)</f>
        <v>3</v>
      </c>
      <c r="AQ34" s="65" t="s">
        <v>10</v>
      </c>
      <c r="AR34" s="44">
        <f>VLOOKUP(AA32,Schlüssel!$A$5:$DZ$14,40)</f>
        <v>8</v>
      </c>
      <c r="AS34" s="65" t="s">
        <v>10</v>
      </c>
      <c r="AT34" s="66">
        <f>VLOOKUP(AA32,Schlüssel!$A$5:$DZ$14,41)</f>
        <v>6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35">
      <c r="B35" s="67" t="s">
        <v>1</v>
      </c>
      <c r="C35" s="68"/>
      <c r="D35" s="354" t="s">
        <v>1800</v>
      </c>
      <c r="E35" s="355"/>
      <c r="F35" s="354" t="s">
        <v>1801</v>
      </c>
      <c r="G35" s="355"/>
      <c r="H35" s="354" t="s">
        <v>1802</v>
      </c>
      <c r="I35" s="355"/>
      <c r="J35" s="354" t="s">
        <v>1803</v>
      </c>
      <c r="K35" s="355"/>
      <c r="L35" s="354" t="s">
        <v>1804</v>
      </c>
      <c r="M35" s="355"/>
      <c r="N35" s="354" t="s">
        <v>1805</v>
      </c>
      <c r="O35" s="355"/>
      <c r="P35" s="354" t="s">
        <v>1806</v>
      </c>
      <c r="Q35" s="355"/>
      <c r="R35" s="354" t="s">
        <v>1807</v>
      </c>
      <c r="S35" s="355"/>
      <c r="T35" s="354" t="s">
        <v>1808</v>
      </c>
      <c r="U35" s="355"/>
      <c r="V35" s="356" t="s">
        <v>1799</v>
      </c>
      <c r="W35" s="357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4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2" customHeight="1" x14ac:dyDescent="0.35">
      <c r="A37" s="367" t="s">
        <v>0</v>
      </c>
      <c r="B37" s="73" t="str">
        <f>IF(AA37=0,"",AA37)</f>
        <v>Hassforth, Lea</v>
      </c>
      <c r="C37" s="74">
        <f>IF(AB37=0,"",AB37)</f>
        <v>38438</v>
      </c>
      <c r="D37" s="75">
        <f>IF(AC37=0,"",AC37)</f>
        <v>198</v>
      </c>
      <c r="E37" s="348">
        <f>IF(AD37="","",AD37)</f>
        <v>0</v>
      </c>
      <c r="F37" s="75">
        <f t="shared" ref="F37:F50" si="34">IF(AE37=0,"",AE37)</f>
        <v>161</v>
      </c>
      <c r="G37" s="348">
        <f>IF(AF37="","",AF37)</f>
        <v>0</v>
      </c>
      <c r="H37" s="75">
        <f t="shared" ref="H37:H50" si="35">IF(AG37=0,"",AG37)</f>
        <v>182</v>
      </c>
      <c r="I37" s="348">
        <f>IF(AH37="","",AH37)</f>
        <v>1</v>
      </c>
      <c r="J37" s="75">
        <f t="shared" ref="J37:J50" si="36">IF(AI37=0,"",AI37)</f>
        <v>184</v>
      </c>
      <c r="K37" s="348">
        <f>IF(AJ37="","",AJ37)</f>
        <v>0</v>
      </c>
      <c r="L37" s="75">
        <f t="shared" ref="L37:L50" si="37">IF(AK37=0,"",AK37)</f>
        <v>202</v>
      </c>
      <c r="M37" s="348">
        <f>IF(AL37="","",AL37)</f>
        <v>1</v>
      </c>
      <c r="N37" s="75">
        <f>IF(AM37=0,"",AM37)</f>
        <v>172</v>
      </c>
      <c r="O37" s="348">
        <f>IF(AN37="","",AN37)</f>
        <v>0</v>
      </c>
      <c r="P37" s="75">
        <f t="shared" ref="P37:P50" si="38">IF(AO37=0,"",AO37)</f>
        <v>159</v>
      </c>
      <c r="Q37" s="348">
        <f>IF(AP37="","",AP37)</f>
        <v>0</v>
      </c>
      <c r="R37" s="75">
        <f t="shared" ref="R37:R50" si="39">IF(AQ37=0,"",AQ37)</f>
        <v>188</v>
      </c>
      <c r="S37" s="348">
        <f>IF(AR37="","",AR37)</f>
        <v>1</v>
      </c>
      <c r="T37" s="75">
        <f t="shared" ref="T37:T50" si="40">IF(AS37=0,"",AS37)</f>
        <v>148</v>
      </c>
      <c r="U37" s="348">
        <f>IF(AT37="","",AT37)</f>
        <v>1</v>
      </c>
      <c r="V37" s="75">
        <f t="shared" ref="V37:V50" si="41">IF(AU37=0,"",AU37)</f>
        <v>1594</v>
      </c>
      <c r="W37" s="348">
        <f>IF(AV37="","",AV37)</f>
        <v>4</v>
      </c>
      <c r="Z37" s="351" t="s">
        <v>0</v>
      </c>
      <c r="AA37" s="108" t="str">
        <f>IF(AB37=0,"",VLOOKUP(AB37,Starter!$A$1:$D$199,2,FALSE))</f>
        <v>Hassforth, Lea</v>
      </c>
      <c r="AB37" s="99">
        <v>38438</v>
      </c>
      <c r="AC37" s="185">
        <v>198</v>
      </c>
      <c r="AD37" s="109">
        <f>IF(SUM(AC37:AC39)+AC55=0,0,IF(SUM(AC37:AC39)=AC55,0.5,IF(SUM(AC37:AC39)&gt;AC55,1,0)))</f>
        <v>0</v>
      </c>
      <c r="AE37" s="185">
        <v>161</v>
      </c>
      <c r="AF37" s="109">
        <f>IF(SUM(AE37:AE39)+AE55=0,0,IF(SUM(AE37:AE39)=AE55,0.5,IF(SUM(AE37:AE39)&gt;AE55,1,0)))</f>
        <v>0</v>
      </c>
      <c r="AG37" s="185">
        <v>182</v>
      </c>
      <c r="AH37" s="109">
        <f>IF(SUM(AG37:AG39)+AG55=0,0,IF(SUM(AG37:AG39)=AG55,0.5,IF(SUM(AG37:AG39)&gt;AG55,1,0)))</f>
        <v>1</v>
      </c>
      <c r="AI37" s="185">
        <v>184</v>
      </c>
      <c r="AJ37" s="109">
        <f>IF(SUM(AI37:AI39)+AI55=0,0,IF(SUM(AI37:AI39)=AI55,0.5,IF(SUM(AI37:AI39)&gt;AI55,1,0)))</f>
        <v>0</v>
      </c>
      <c r="AK37" s="185">
        <v>202</v>
      </c>
      <c r="AL37" s="109">
        <f>IF(SUM(AK37:AK39)+AK55=0,0,IF(SUM(AK37:AK39)=AK55,0.5,IF(SUM(AK37:AK39)&gt;AK55,1,0)))</f>
        <v>1</v>
      </c>
      <c r="AM37" s="185">
        <v>172</v>
      </c>
      <c r="AN37" s="109">
        <f>IF(SUM(AM37:AM39)+AM55=0,0,IF(SUM(AM37:AM39)=AM55,0.5,IF(SUM(AM37:AM39)&gt;AM55,1,0)))</f>
        <v>0</v>
      </c>
      <c r="AO37" s="185">
        <v>159</v>
      </c>
      <c r="AP37" s="109">
        <f>IF(SUM(AO37:AO39)+AO55=0,0,IF(SUM(AO37:AO39)=AO55,0.5,IF(SUM(AO37:AO39)&gt;AO55,1,0)))</f>
        <v>0</v>
      </c>
      <c r="AQ37" s="185">
        <v>188</v>
      </c>
      <c r="AR37" s="109">
        <f>IF(SUM(AQ37:AQ39)+AQ55=0,0,IF(SUM(AQ37:AQ39)=AQ55,0.5,IF(SUM(AQ37:AQ39)&gt;AQ55,1,0)))</f>
        <v>1</v>
      </c>
      <c r="AS37" s="185">
        <v>148</v>
      </c>
      <c r="AT37" s="109">
        <f>IF(SUM(AS37:AS39)+AS55=0,0,IF(SUM(AS37:AS39)=AS55,0.5,IF(SUM(AS37:AS39)&gt;AS55,1,0)))</f>
        <v>1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1594</v>
      </c>
      <c r="AV37" s="111">
        <f>SUM(AD37+AF37+AH37+AJ37+AL37+AN37+AP37+AR37+AT37)</f>
        <v>4</v>
      </c>
      <c r="AW37" s="101"/>
      <c r="AX37" s="102"/>
      <c r="AZ37" s="63"/>
      <c r="BA37" s="212"/>
      <c r="BB37" s="213"/>
      <c r="BC37" s="214"/>
      <c r="BD37" s="217">
        <f>+AB37</f>
        <v>38438</v>
      </c>
      <c r="BE37" s="213">
        <f>+AU37</f>
        <v>1594</v>
      </c>
      <c r="BF37" s="215">
        <f>COUNT(BH37:BP37)</f>
        <v>9</v>
      </c>
      <c r="BG37" s="215">
        <f>COUNTIF(BH37:BP37,"&gt;0")</f>
        <v>9</v>
      </c>
      <c r="BH37" s="215">
        <f t="shared" ref="BH37:BH48" si="43">IF(AC37=0,"",AC37)</f>
        <v>198</v>
      </c>
      <c r="BI37" s="215">
        <f t="shared" ref="BI37:BI48" si="44">IF(AE37=0,"",AE37)</f>
        <v>161</v>
      </c>
      <c r="BJ37" s="215">
        <f t="shared" ref="BJ37:BJ48" si="45">IF(AG37=0,"",AG37)</f>
        <v>182</v>
      </c>
      <c r="BK37" s="215">
        <f t="shared" ref="BK37:BK48" si="46">IF(AI37=0,"",AI37)</f>
        <v>184</v>
      </c>
      <c r="BL37" s="215">
        <f t="shared" ref="BL37:BL48" si="47">IF(AK37=0,"",AK37)</f>
        <v>202</v>
      </c>
      <c r="BM37" s="215">
        <f t="shared" ref="BM37:BM48" si="48">IF(AM37=0,"",AM37)</f>
        <v>172</v>
      </c>
      <c r="BN37" s="215">
        <f t="shared" ref="BN37:BN48" si="49">IF(AO37=0,"",AO37)</f>
        <v>159</v>
      </c>
      <c r="BO37" s="215">
        <f t="shared" ref="BO37:BO48" si="50">IF(AQ37=0,"",AQ37)</f>
        <v>188</v>
      </c>
      <c r="BP37" s="215">
        <f t="shared" ref="BP37:BP48" si="51">IF(AS37=0,"",AS37)</f>
        <v>148</v>
      </c>
      <c r="BQ37" s="216"/>
      <c r="BR37" s="214"/>
      <c r="BS37" s="215">
        <f>MAX(BH37:BP37)</f>
        <v>202</v>
      </c>
      <c r="BT37" s="215">
        <f>IF(BS37&lt;MAX(BS:BS),0,BS37+ROW()/1000000000)</f>
        <v>0</v>
      </c>
      <c r="BU37" s="215" t="str">
        <f>+AA33</f>
        <v>BK München 2</v>
      </c>
      <c r="BV37" s="214">
        <f>RANK(BT37,BT:BT)</f>
        <v>2</v>
      </c>
      <c r="BW37" s="215">
        <f>SUMIF(BH37:BP37,"&gt;0")</f>
        <v>1594</v>
      </c>
      <c r="BX37" s="215">
        <f>IF(COUNTIF(BH37:BP37,"&gt;0")&lt;Spielorte!$A$23,0,BE37/Spielorte!$A$23)</f>
        <v>177.11111111111111</v>
      </c>
      <c r="BY37" s="215">
        <f>IF(BX37&lt;MAX(BX:BX),0,BX37+ROW()/1000000000)</f>
        <v>0</v>
      </c>
      <c r="BZ37" s="214">
        <f t="shared" ref="BZ37:BZ48" si="52">IF(BY37=0,0,RANK(BY37,BY:BY))</f>
        <v>0</v>
      </c>
    </row>
    <row r="38" spans="1:78" ht="17.2" customHeight="1" x14ac:dyDescent="0.35">
      <c r="A38" s="368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49"/>
      <c r="F38" s="78" t="str">
        <f t="shared" si="34"/>
        <v/>
      </c>
      <c r="G38" s="349"/>
      <c r="H38" s="78" t="str">
        <f t="shared" si="35"/>
        <v/>
      </c>
      <c r="I38" s="349"/>
      <c r="J38" s="78" t="str">
        <f t="shared" si="36"/>
        <v/>
      </c>
      <c r="K38" s="349"/>
      <c r="L38" s="78" t="str">
        <f t="shared" si="37"/>
        <v/>
      </c>
      <c r="M38" s="349"/>
      <c r="N38" s="78" t="str">
        <f t="shared" ref="N38:N50" si="54">IF(AM38=0,"",AM38)</f>
        <v/>
      </c>
      <c r="O38" s="349"/>
      <c r="P38" s="78" t="str">
        <f t="shared" si="38"/>
        <v/>
      </c>
      <c r="Q38" s="349"/>
      <c r="R38" s="78" t="str">
        <f t="shared" si="39"/>
        <v/>
      </c>
      <c r="S38" s="349"/>
      <c r="T38" s="78" t="str">
        <f t="shared" si="40"/>
        <v/>
      </c>
      <c r="U38" s="349"/>
      <c r="V38" s="78" t="str">
        <f t="shared" si="41"/>
        <v/>
      </c>
      <c r="W38" s="349"/>
      <c r="Z38" s="352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0</v>
      </c>
      <c r="BU38" s="215" t="str">
        <f t="shared" ref="BU38:BU48" si="61">+BU37</f>
        <v>BK München 2</v>
      </c>
      <c r="BV38" s="214">
        <f t="shared" ref="BV38:BV48" si="62">RANK(BT38,BT:BT)</f>
        <v>2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0</v>
      </c>
      <c r="BZ38" s="214">
        <f t="shared" si="52"/>
        <v>0</v>
      </c>
    </row>
    <row r="39" spans="1:78" ht="17.2" customHeight="1" thickBot="1" x14ac:dyDescent="0.4">
      <c r="A39" s="369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50"/>
      <c r="F39" s="69" t="str">
        <f t="shared" si="34"/>
        <v/>
      </c>
      <c r="G39" s="350"/>
      <c r="H39" s="69" t="str">
        <f t="shared" si="35"/>
        <v/>
      </c>
      <c r="I39" s="350"/>
      <c r="J39" s="69" t="str">
        <f t="shared" si="36"/>
        <v/>
      </c>
      <c r="K39" s="350"/>
      <c r="L39" s="69" t="str">
        <f t="shared" si="37"/>
        <v/>
      </c>
      <c r="M39" s="350"/>
      <c r="N39" s="69" t="str">
        <f t="shared" si="54"/>
        <v/>
      </c>
      <c r="O39" s="350"/>
      <c r="P39" s="69" t="str">
        <f t="shared" si="38"/>
        <v/>
      </c>
      <c r="Q39" s="350"/>
      <c r="R39" s="69" t="str">
        <f t="shared" si="39"/>
        <v/>
      </c>
      <c r="S39" s="350"/>
      <c r="T39" s="69" t="str">
        <f t="shared" si="40"/>
        <v/>
      </c>
      <c r="U39" s="350"/>
      <c r="V39" s="69" t="str">
        <f t="shared" si="41"/>
        <v/>
      </c>
      <c r="W39" s="350"/>
      <c r="Z39" s="353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0</v>
      </c>
      <c r="BU39" s="215" t="str">
        <f t="shared" si="61"/>
        <v>BK München 2</v>
      </c>
      <c r="BV39" s="214">
        <f t="shared" si="62"/>
        <v>2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0</v>
      </c>
      <c r="BZ39" s="214">
        <f t="shared" si="52"/>
        <v>0</v>
      </c>
    </row>
    <row r="40" spans="1:78" ht="17.2" customHeight="1" x14ac:dyDescent="0.35">
      <c r="A40" s="367" t="s">
        <v>2</v>
      </c>
      <c r="B40" s="73" t="str">
        <f t="shared" si="53"/>
        <v>Kirschke, Sandra</v>
      </c>
      <c r="C40" s="74">
        <f t="shared" si="53"/>
        <v>38289</v>
      </c>
      <c r="D40" s="75">
        <f t="shared" si="53"/>
        <v>171</v>
      </c>
      <c r="E40" s="348">
        <f>IF(AD40="","",AD40)</f>
        <v>0</v>
      </c>
      <c r="F40" s="75">
        <f t="shared" si="34"/>
        <v>164</v>
      </c>
      <c r="G40" s="348">
        <f>IF(AF40="","",AF40)</f>
        <v>0</v>
      </c>
      <c r="H40" s="75">
        <f t="shared" si="35"/>
        <v>189</v>
      </c>
      <c r="I40" s="348">
        <f>IF(AH40="","",AH40)</f>
        <v>0</v>
      </c>
      <c r="J40" s="75">
        <f t="shared" si="36"/>
        <v>193</v>
      </c>
      <c r="K40" s="348">
        <f>IF(AJ40="","",AJ40)</f>
        <v>1</v>
      </c>
      <c r="L40" s="75">
        <f t="shared" si="37"/>
        <v>143</v>
      </c>
      <c r="M40" s="348">
        <f>IF(AL40="","",AL40)</f>
        <v>0</v>
      </c>
      <c r="N40" s="75">
        <f t="shared" si="54"/>
        <v>184</v>
      </c>
      <c r="O40" s="348">
        <f>IF(AN40="","",AN40)</f>
        <v>1</v>
      </c>
      <c r="P40" s="75">
        <f t="shared" si="38"/>
        <v>187</v>
      </c>
      <c r="Q40" s="348">
        <f>IF(AP40="","",AP40)</f>
        <v>0</v>
      </c>
      <c r="R40" s="75">
        <f t="shared" si="39"/>
        <v>175</v>
      </c>
      <c r="S40" s="348">
        <f>IF(AR40="","",AR40)</f>
        <v>1</v>
      </c>
      <c r="T40" s="75">
        <f t="shared" si="40"/>
        <v>177</v>
      </c>
      <c r="U40" s="348">
        <f>IF(AT40="","",AT40)</f>
        <v>0</v>
      </c>
      <c r="V40" s="75">
        <f t="shared" si="41"/>
        <v>1583</v>
      </c>
      <c r="W40" s="348">
        <f>IF(AV40="","",AV40)</f>
        <v>3</v>
      </c>
      <c r="Z40" s="351" t="s">
        <v>2</v>
      </c>
      <c r="AA40" s="108" t="str">
        <f>IF(AB40=0,"",VLOOKUP(AB40,Starter!$A$1:$D$199,2,FALSE))</f>
        <v>Kirschke, Sandra</v>
      </c>
      <c r="AB40" s="99">
        <v>38289</v>
      </c>
      <c r="AC40" s="188">
        <v>171</v>
      </c>
      <c r="AD40" s="109">
        <f>IF(SUM(AC40:AC42)+AC56=0,0,IF(SUM(AC40:AC42)=AC56,0.5,IF(SUM(AC40:AC42)&gt;AC56,1,0)))</f>
        <v>0</v>
      </c>
      <c r="AE40" s="188">
        <v>164</v>
      </c>
      <c r="AF40" s="109">
        <f>IF(SUM(AE40:AE42)+AE56=0,0,IF(SUM(AE40:AE42)=AE56,0.5,IF(SUM(AE40:AE42)&gt;AE56,1,0)))</f>
        <v>0</v>
      </c>
      <c r="AG40" s="188">
        <v>189</v>
      </c>
      <c r="AH40" s="109">
        <f>IF(SUM(AG40:AG42)+AG56=0,0,IF(SUM(AG40:AG42)=AG56,0.5,IF(SUM(AG40:AG42)&gt;AG56,1,0)))</f>
        <v>0</v>
      </c>
      <c r="AI40" s="188">
        <v>193</v>
      </c>
      <c r="AJ40" s="109">
        <f>IF(SUM(AI40:AI42)+AI56=0,0,IF(SUM(AI40:AI42)=AI56,0.5,IF(SUM(AI40:AI42)&gt;AI56,1,0)))</f>
        <v>1</v>
      </c>
      <c r="AK40" s="188">
        <v>143</v>
      </c>
      <c r="AL40" s="109">
        <f>IF(SUM(AK40:AK42)+AK56=0,0,IF(SUM(AK40:AK42)=AK56,0.5,IF(SUM(AK40:AK42)&gt;AK56,1,0)))</f>
        <v>0</v>
      </c>
      <c r="AM40" s="188">
        <v>184</v>
      </c>
      <c r="AN40" s="109">
        <f>IF(SUM(AM40:AM42)+AM56=0,0,IF(SUM(AM40:AM42)=AM56,0.5,IF(SUM(AM40:AM42)&gt;AM56,1,0)))</f>
        <v>1</v>
      </c>
      <c r="AO40" s="188">
        <v>187</v>
      </c>
      <c r="AP40" s="109">
        <f>IF(SUM(AO40:AO42)+AO56=0,0,IF(SUM(AO40:AO42)=AO56,0.5,IF(SUM(AO40:AO42)&gt;AO56,1,0)))</f>
        <v>0</v>
      </c>
      <c r="AQ40" s="188">
        <v>175</v>
      </c>
      <c r="AR40" s="109">
        <f>IF(SUM(AQ40:AQ42)+AQ56=0,0,IF(SUM(AQ40:AQ42)=AQ56,0.5,IF(SUM(AQ40:AQ42)&gt;AQ56,1,0)))</f>
        <v>1</v>
      </c>
      <c r="AS40" s="188">
        <v>177</v>
      </c>
      <c r="AT40" s="109">
        <f>IF(SUM(AS40:AS42)+AS56=0,0,IF(SUM(AS40:AS42)=AS56,0.5,IF(SUM(AS40:AS42)&gt;AS56,1,0)))</f>
        <v>0</v>
      </c>
      <c r="AU40" s="110">
        <f t="shared" si="42"/>
        <v>1583</v>
      </c>
      <c r="AV40" s="111">
        <f>SUM(AD40+AF40+AH40+AJ40+AL40+AN40+AP40+AR40+AT40)</f>
        <v>3</v>
      </c>
      <c r="AW40" s="101"/>
      <c r="AX40" s="102"/>
      <c r="AZ40" s="63"/>
      <c r="BA40" s="212"/>
      <c r="BB40" s="213"/>
      <c r="BC40" s="214"/>
      <c r="BD40" s="217">
        <f t="shared" si="55"/>
        <v>38289</v>
      </c>
      <c r="BE40" s="213">
        <f t="shared" si="56"/>
        <v>1583</v>
      </c>
      <c r="BF40" s="215">
        <f t="shared" si="57"/>
        <v>9</v>
      </c>
      <c r="BG40" s="215">
        <f t="shared" si="58"/>
        <v>9</v>
      </c>
      <c r="BH40" s="215">
        <f t="shared" si="43"/>
        <v>171</v>
      </c>
      <c r="BI40" s="215">
        <f t="shared" si="44"/>
        <v>164</v>
      </c>
      <c r="BJ40" s="215">
        <f t="shared" si="45"/>
        <v>189</v>
      </c>
      <c r="BK40" s="215">
        <f t="shared" si="46"/>
        <v>193</v>
      </c>
      <c r="BL40" s="215">
        <f t="shared" si="47"/>
        <v>143</v>
      </c>
      <c r="BM40" s="215">
        <f t="shared" si="48"/>
        <v>184</v>
      </c>
      <c r="BN40" s="215">
        <f t="shared" si="49"/>
        <v>187</v>
      </c>
      <c r="BO40" s="215">
        <f t="shared" si="50"/>
        <v>175</v>
      </c>
      <c r="BP40" s="215">
        <f t="shared" si="51"/>
        <v>177</v>
      </c>
      <c r="BQ40" s="216"/>
      <c r="BR40" s="214"/>
      <c r="BS40" s="215">
        <f t="shared" si="59"/>
        <v>193</v>
      </c>
      <c r="BT40" s="215">
        <f t="shared" si="60"/>
        <v>0</v>
      </c>
      <c r="BU40" s="215" t="str">
        <f t="shared" si="61"/>
        <v>BK München 2</v>
      </c>
      <c r="BV40" s="214">
        <f t="shared" si="62"/>
        <v>2</v>
      </c>
      <c r="BW40" s="215">
        <f t="shared" si="63"/>
        <v>1583</v>
      </c>
      <c r="BX40" s="215">
        <f>IF(COUNTIF(BH40:BP40,"&gt;0")&lt;Spielorte!$A$23,0,BE40/Spielorte!$A$23)</f>
        <v>175.88888888888889</v>
      </c>
      <c r="BY40" s="215">
        <f t="shared" si="64"/>
        <v>0</v>
      </c>
      <c r="BZ40" s="214">
        <f t="shared" si="52"/>
        <v>0</v>
      </c>
    </row>
    <row r="41" spans="1:78" ht="17.2" customHeight="1" x14ac:dyDescent="0.35">
      <c r="A41" s="368"/>
      <c r="B41" s="76" t="str">
        <f t="shared" si="53"/>
        <v/>
      </c>
      <c r="C41" s="77" t="str">
        <f t="shared" si="53"/>
        <v/>
      </c>
      <c r="D41" s="78" t="str">
        <f t="shared" si="53"/>
        <v/>
      </c>
      <c r="E41" s="349"/>
      <c r="F41" s="78" t="str">
        <f t="shared" si="34"/>
        <v/>
      </c>
      <c r="G41" s="349"/>
      <c r="H41" s="78" t="str">
        <f t="shared" si="35"/>
        <v/>
      </c>
      <c r="I41" s="349"/>
      <c r="J41" s="78" t="str">
        <f t="shared" si="36"/>
        <v/>
      </c>
      <c r="K41" s="349"/>
      <c r="L41" s="78" t="str">
        <f t="shared" si="37"/>
        <v/>
      </c>
      <c r="M41" s="349"/>
      <c r="N41" s="78" t="str">
        <f t="shared" si="54"/>
        <v/>
      </c>
      <c r="O41" s="349"/>
      <c r="P41" s="78" t="str">
        <f t="shared" si="38"/>
        <v/>
      </c>
      <c r="Q41" s="349"/>
      <c r="R41" s="78" t="str">
        <f t="shared" si="39"/>
        <v/>
      </c>
      <c r="S41" s="349"/>
      <c r="T41" s="78" t="str">
        <f t="shared" si="40"/>
        <v/>
      </c>
      <c r="U41" s="349"/>
      <c r="V41" s="78" t="str">
        <f t="shared" si="41"/>
        <v/>
      </c>
      <c r="W41" s="349"/>
      <c r="Z41" s="352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2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0</v>
      </c>
      <c r="BE41" s="213">
        <f t="shared" si="56"/>
        <v>0</v>
      </c>
      <c r="BF41" s="215">
        <f t="shared" si="57"/>
        <v>0</v>
      </c>
      <c r="BG41" s="215">
        <f t="shared" si="58"/>
        <v>0</v>
      </c>
      <c r="BH41" s="215" t="str">
        <f t="shared" si="43"/>
        <v/>
      </c>
      <c r="BI41" s="215" t="str">
        <f t="shared" si="44"/>
        <v/>
      </c>
      <c r="BJ41" s="215" t="str">
        <f t="shared" si="45"/>
        <v/>
      </c>
      <c r="BK41" s="215" t="str">
        <f t="shared" si="46"/>
        <v/>
      </c>
      <c r="BL41" s="215" t="str">
        <f t="shared" si="47"/>
        <v/>
      </c>
      <c r="BM41" s="215" t="str">
        <f t="shared" si="48"/>
        <v/>
      </c>
      <c r="BN41" s="215" t="str">
        <f t="shared" si="49"/>
        <v/>
      </c>
      <c r="BO41" s="215" t="str">
        <f t="shared" si="50"/>
        <v/>
      </c>
      <c r="BP41" s="215" t="str">
        <f t="shared" si="51"/>
        <v/>
      </c>
      <c r="BQ41" s="216"/>
      <c r="BR41" s="214"/>
      <c r="BS41" s="215">
        <f t="shared" si="59"/>
        <v>0</v>
      </c>
      <c r="BT41" s="215">
        <f t="shared" si="60"/>
        <v>0</v>
      </c>
      <c r="BU41" s="215" t="str">
        <f t="shared" si="61"/>
        <v>BK München 2</v>
      </c>
      <c r="BV41" s="214">
        <f t="shared" si="62"/>
        <v>2</v>
      </c>
      <c r="BW41" s="215">
        <f t="shared" si="63"/>
        <v>0</v>
      </c>
      <c r="BX41" s="215">
        <f>IF(COUNTIF(BH41:BP41,"&gt;0")&lt;Spielorte!$A$23,0,BE41/Spielorte!$A$23)</f>
        <v>0</v>
      </c>
      <c r="BY41" s="215">
        <f t="shared" si="64"/>
        <v>0</v>
      </c>
      <c r="BZ41" s="214">
        <f t="shared" si="52"/>
        <v>0</v>
      </c>
    </row>
    <row r="42" spans="1:78" ht="17.2" customHeight="1" thickBot="1" x14ac:dyDescent="0.4">
      <c r="A42" s="369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50"/>
      <c r="F42" s="69" t="str">
        <f t="shared" si="34"/>
        <v/>
      </c>
      <c r="G42" s="350"/>
      <c r="H42" s="69" t="str">
        <f t="shared" si="35"/>
        <v/>
      </c>
      <c r="I42" s="350"/>
      <c r="J42" s="69" t="str">
        <f t="shared" si="36"/>
        <v/>
      </c>
      <c r="K42" s="350"/>
      <c r="L42" s="69" t="str">
        <f t="shared" si="37"/>
        <v/>
      </c>
      <c r="M42" s="350"/>
      <c r="N42" s="69" t="str">
        <f t="shared" si="54"/>
        <v/>
      </c>
      <c r="O42" s="350"/>
      <c r="P42" s="69" t="str">
        <f t="shared" si="38"/>
        <v/>
      </c>
      <c r="Q42" s="350"/>
      <c r="R42" s="69" t="str">
        <f t="shared" si="39"/>
        <v/>
      </c>
      <c r="S42" s="350"/>
      <c r="T42" s="69" t="str">
        <f t="shared" si="40"/>
        <v/>
      </c>
      <c r="U42" s="350"/>
      <c r="V42" s="69" t="str">
        <f t="shared" si="41"/>
        <v/>
      </c>
      <c r="W42" s="350"/>
      <c r="Z42" s="353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0</v>
      </c>
      <c r="BU42" s="215" t="str">
        <f t="shared" si="61"/>
        <v>BK München 2</v>
      </c>
      <c r="BV42" s="214">
        <f t="shared" si="62"/>
        <v>2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0</v>
      </c>
      <c r="BZ42" s="214">
        <f t="shared" si="52"/>
        <v>0</v>
      </c>
    </row>
    <row r="43" spans="1:78" ht="17.2" customHeight="1" x14ac:dyDescent="0.35">
      <c r="A43" s="367" t="s">
        <v>3</v>
      </c>
      <c r="B43" s="73" t="str">
        <f t="shared" si="53"/>
        <v>Seeger, Melanie</v>
      </c>
      <c r="C43" s="74">
        <f t="shared" si="53"/>
        <v>38350</v>
      </c>
      <c r="D43" s="75">
        <f t="shared" si="53"/>
        <v>161</v>
      </c>
      <c r="E43" s="348">
        <f>IF(AD43="","",AD43)</f>
        <v>0</v>
      </c>
      <c r="F43" s="75">
        <f t="shared" si="34"/>
        <v>137</v>
      </c>
      <c r="G43" s="348">
        <f>IF(AF43="","",AF43)</f>
        <v>0</v>
      </c>
      <c r="H43" s="75">
        <f t="shared" si="35"/>
        <v>167</v>
      </c>
      <c r="I43" s="348">
        <f>IF(AH43="","",AH43)</f>
        <v>1</v>
      </c>
      <c r="J43" s="75">
        <f t="shared" si="36"/>
        <v>147</v>
      </c>
      <c r="K43" s="348">
        <f>IF(AJ43="","",AJ43)</f>
        <v>0</v>
      </c>
      <c r="L43" s="75">
        <f t="shared" si="37"/>
        <v>153</v>
      </c>
      <c r="M43" s="348">
        <f>IF(AL43="","",AL43)</f>
        <v>0</v>
      </c>
      <c r="N43" s="75">
        <f t="shared" si="54"/>
        <v>184</v>
      </c>
      <c r="O43" s="348">
        <f>IF(AN43="","",AN43)</f>
        <v>1</v>
      </c>
      <c r="P43" s="75">
        <f t="shared" si="38"/>
        <v>157</v>
      </c>
      <c r="Q43" s="348">
        <f>IF(AP43="","",AP43)</f>
        <v>1</v>
      </c>
      <c r="R43" s="75">
        <f t="shared" si="39"/>
        <v>171</v>
      </c>
      <c r="S43" s="348">
        <f>IF(AR43="","",AR43)</f>
        <v>1</v>
      </c>
      <c r="T43" s="75">
        <f t="shared" si="40"/>
        <v>222</v>
      </c>
      <c r="U43" s="348">
        <f>IF(AT43="","",AT43)</f>
        <v>1</v>
      </c>
      <c r="V43" s="75">
        <f t="shared" si="41"/>
        <v>1499</v>
      </c>
      <c r="W43" s="348">
        <f>IF(AV43="","",AV43)</f>
        <v>5</v>
      </c>
      <c r="Z43" s="351" t="s">
        <v>3</v>
      </c>
      <c r="AA43" s="108" t="str">
        <f>IF(AB43=0,"",VLOOKUP(AB43,Starter!$A$1:$D$199,2,FALSE))</f>
        <v>Seeger, Melanie</v>
      </c>
      <c r="AB43" s="99">
        <v>38350</v>
      </c>
      <c r="AC43" s="188">
        <v>161</v>
      </c>
      <c r="AD43" s="109">
        <f>IF(SUM(AC43:AC45)+AC57=0,0,IF(SUM(AC43:AC45)=AC57,0.5,IF(SUM(AC43:AC45)&gt;AC57,1,0)))</f>
        <v>0</v>
      </c>
      <c r="AE43" s="188">
        <v>137</v>
      </c>
      <c r="AF43" s="109">
        <f>IF(SUM(AE43:AE45)+AE57=0,0,IF(SUM(AE43:AE45)=AE57,0.5,IF(SUM(AE43:AE45)&gt;AE57,1,0)))</f>
        <v>0</v>
      </c>
      <c r="AG43" s="188">
        <v>167</v>
      </c>
      <c r="AH43" s="109">
        <f>IF(SUM(AG43:AG45)+AG57=0,0,IF(SUM(AG43:AG45)=AG57,0.5,IF(SUM(AG43:AG45)&gt;AG57,1,0)))</f>
        <v>1</v>
      </c>
      <c r="AI43" s="188">
        <v>147</v>
      </c>
      <c r="AJ43" s="109">
        <f>IF(SUM(AI43:AI45)+AI57=0,0,IF(SUM(AI43:AI45)=AI57,0.5,IF(SUM(AI43:AI45)&gt;AI57,1,0)))</f>
        <v>0</v>
      </c>
      <c r="AK43" s="188">
        <v>153</v>
      </c>
      <c r="AL43" s="109">
        <f>IF(SUM(AK43:AK45)+AK57=0,0,IF(SUM(AK43:AK45)=AK57,0.5,IF(SUM(AK43:AK45)&gt;AK57,1,0)))</f>
        <v>0</v>
      </c>
      <c r="AM43" s="188">
        <v>184</v>
      </c>
      <c r="AN43" s="109">
        <f>IF(SUM(AM43:AM45)+AM57=0,0,IF(SUM(AM43:AM45)=AM57,0.5,IF(SUM(AM43:AM45)&gt;AM57,1,0)))</f>
        <v>1</v>
      </c>
      <c r="AO43" s="188">
        <v>157</v>
      </c>
      <c r="AP43" s="109">
        <f>IF(SUM(AO43:AO45)+AO57=0,0,IF(SUM(AO43:AO45)=AO57,0.5,IF(SUM(AO43:AO45)&gt;AO57,1,0)))</f>
        <v>1</v>
      </c>
      <c r="AQ43" s="188">
        <v>171</v>
      </c>
      <c r="AR43" s="109">
        <f>IF(SUM(AQ43:AQ45)+AQ57=0,0,IF(SUM(AQ43:AQ45)=AQ57,0.5,IF(SUM(AQ43:AQ45)&gt;AQ57,1,0)))</f>
        <v>1</v>
      </c>
      <c r="AS43" s="188">
        <v>222</v>
      </c>
      <c r="AT43" s="109">
        <f>IF(SUM(AS43:AS45)+AS57=0,0,IF(SUM(AS43:AS45)=AS57,0.5,IF(SUM(AS43:AS45)&gt;AS57,1,0)))</f>
        <v>1</v>
      </c>
      <c r="AU43" s="110">
        <f t="shared" si="42"/>
        <v>1499</v>
      </c>
      <c r="AV43" s="111">
        <f>SUM(AD43+AF43+AH43+AJ43+AL43+AN43+AP43+AR43+AT43)</f>
        <v>5</v>
      </c>
      <c r="AW43" s="101"/>
      <c r="AX43" s="102"/>
      <c r="AZ43" s="63"/>
      <c r="BA43" s="212"/>
      <c r="BB43" s="213"/>
      <c r="BC43" s="214"/>
      <c r="BD43" s="217">
        <f t="shared" si="55"/>
        <v>38350</v>
      </c>
      <c r="BE43" s="213">
        <f t="shared" si="56"/>
        <v>1499</v>
      </c>
      <c r="BF43" s="215">
        <f t="shared" si="57"/>
        <v>9</v>
      </c>
      <c r="BG43" s="215">
        <f t="shared" si="58"/>
        <v>9</v>
      </c>
      <c r="BH43" s="215">
        <f t="shared" si="43"/>
        <v>161</v>
      </c>
      <c r="BI43" s="215">
        <f t="shared" si="44"/>
        <v>137</v>
      </c>
      <c r="BJ43" s="215">
        <f t="shared" si="45"/>
        <v>167</v>
      </c>
      <c r="BK43" s="215">
        <f t="shared" si="46"/>
        <v>147</v>
      </c>
      <c r="BL43" s="215">
        <f t="shared" si="47"/>
        <v>153</v>
      </c>
      <c r="BM43" s="215">
        <f t="shared" si="48"/>
        <v>184</v>
      </c>
      <c r="BN43" s="215">
        <f t="shared" si="49"/>
        <v>157</v>
      </c>
      <c r="BO43" s="215">
        <f t="shared" si="50"/>
        <v>171</v>
      </c>
      <c r="BP43" s="215">
        <f t="shared" si="51"/>
        <v>222</v>
      </c>
      <c r="BQ43" s="216"/>
      <c r="BR43" s="214"/>
      <c r="BS43" s="215">
        <f t="shared" si="59"/>
        <v>222</v>
      </c>
      <c r="BT43" s="215">
        <f t="shared" si="60"/>
        <v>0</v>
      </c>
      <c r="BU43" s="215" t="str">
        <f t="shared" si="61"/>
        <v>BK München 2</v>
      </c>
      <c r="BV43" s="214">
        <f t="shared" si="62"/>
        <v>2</v>
      </c>
      <c r="BW43" s="215">
        <f t="shared" si="63"/>
        <v>1499</v>
      </c>
      <c r="BX43" s="215">
        <f>IF(COUNTIF(BH43:BP43,"&gt;0")&lt;Spielorte!$A$23,0,BE43/Spielorte!$A$23)</f>
        <v>166.55555555555554</v>
      </c>
      <c r="BY43" s="215">
        <f t="shared" si="64"/>
        <v>0</v>
      </c>
      <c r="BZ43" s="214">
        <f t="shared" si="52"/>
        <v>0</v>
      </c>
    </row>
    <row r="44" spans="1:78" ht="17.2" customHeight="1" x14ac:dyDescent="0.35">
      <c r="A44" s="368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49"/>
      <c r="F44" s="78" t="str">
        <f t="shared" si="34"/>
        <v/>
      </c>
      <c r="G44" s="349"/>
      <c r="H44" s="78" t="str">
        <f t="shared" si="35"/>
        <v/>
      </c>
      <c r="I44" s="349"/>
      <c r="J44" s="78" t="str">
        <f t="shared" si="36"/>
        <v/>
      </c>
      <c r="K44" s="349"/>
      <c r="L44" s="78" t="str">
        <f t="shared" si="37"/>
        <v/>
      </c>
      <c r="M44" s="349"/>
      <c r="N44" s="78" t="str">
        <f t="shared" si="54"/>
        <v/>
      </c>
      <c r="O44" s="349"/>
      <c r="P44" s="78" t="str">
        <f t="shared" si="38"/>
        <v/>
      </c>
      <c r="Q44" s="349"/>
      <c r="R44" s="78" t="str">
        <f t="shared" si="39"/>
        <v/>
      </c>
      <c r="S44" s="349"/>
      <c r="T44" s="78" t="str">
        <f t="shared" si="40"/>
        <v/>
      </c>
      <c r="U44" s="349"/>
      <c r="V44" s="78" t="str">
        <f t="shared" si="41"/>
        <v/>
      </c>
      <c r="W44" s="349"/>
      <c r="Z44" s="352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0</v>
      </c>
      <c r="BU44" s="215" t="str">
        <f t="shared" si="61"/>
        <v>BK München 2</v>
      </c>
      <c r="BV44" s="214">
        <f t="shared" si="62"/>
        <v>2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0</v>
      </c>
      <c r="BZ44" s="214">
        <f t="shared" si="52"/>
        <v>0</v>
      </c>
    </row>
    <row r="45" spans="1:78" ht="17.2" customHeight="1" thickBot="1" x14ac:dyDescent="0.4">
      <c r="A45" s="369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50"/>
      <c r="F45" s="69" t="str">
        <f t="shared" si="34"/>
        <v/>
      </c>
      <c r="G45" s="350"/>
      <c r="H45" s="69" t="str">
        <f t="shared" si="35"/>
        <v/>
      </c>
      <c r="I45" s="350"/>
      <c r="J45" s="69" t="str">
        <f t="shared" si="36"/>
        <v/>
      </c>
      <c r="K45" s="350"/>
      <c r="L45" s="69" t="str">
        <f t="shared" si="37"/>
        <v/>
      </c>
      <c r="M45" s="350"/>
      <c r="N45" s="69" t="str">
        <f t="shared" si="54"/>
        <v/>
      </c>
      <c r="O45" s="350"/>
      <c r="P45" s="69" t="str">
        <f t="shared" si="38"/>
        <v/>
      </c>
      <c r="Q45" s="350"/>
      <c r="R45" s="69" t="str">
        <f t="shared" si="39"/>
        <v/>
      </c>
      <c r="S45" s="350"/>
      <c r="T45" s="69" t="str">
        <f t="shared" si="40"/>
        <v/>
      </c>
      <c r="U45" s="350"/>
      <c r="V45" s="69" t="str">
        <f t="shared" si="41"/>
        <v/>
      </c>
      <c r="W45" s="350"/>
      <c r="Z45" s="353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0</v>
      </c>
      <c r="BU45" s="215" t="str">
        <f t="shared" si="61"/>
        <v>BK München 2</v>
      </c>
      <c r="BV45" s="214">
        <f t="shared" si="62"/>
        <v>2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0</v>
      </c>
      <c r="BZ45" s="214">
        <f t="shared" si="52"/>
        <v>0</v>
      </c>
    </row>
    <row r="46" spans="1:78" ht="17.2" customHeight="1" x14ac:dyDescent="0.35">
      <c r="A46" s="367" t="s">
        <v>11</v>
      </c>
      <c r="B46" s="73" t="str">
        <f>IF(AA46=0,"",AA46)</f>
        <v>Kirschke, Saskia</v>
      </c>
      <c r="C46" s="74">
        <f t="shared" si="53"/>
        <v>38553</v>
      </c>
      <c r="D46" s="75">
        <f t="shared" si="53"/>
        <v>190</v>
      </c>
      <c r="E46" s="348">
        <f>IF(AD46="","",AD46)</f>
        <v>1</v>
      </c>
      <c r="F46" s="75">
        <f t="shared" si="34"/>
        <v>182</v>
      </c>
      <c r="G46" s="348">
        <f>IF(AF46="","",AF46)</f>
        <v>0</v>
      </c>
      <c r="H46" s="75">
        <f t="shared" si="35"/>
        <v>182</v>
      </c>
      <c r="I46" s="348">
        <f>IF(AH46="","",AH46)</f>
        <v>0</v>
      </c>
      <c r="J46" s="75">
        <f t="shared" si="36"/>
        <v>204</v>
      </c>
      <c r="K46" s="348">
        <f>IF(AJ46="","",AJ46)</f>
        <v>0</v>
      </c>
      <c r="L46" s="75">
        <f t="shared" si="37"/>
        <v>202</v>
      </c>
      <c r="M46" s="348">
        <f>IF(AL46="","",AL46)</f>
        <v>1</v>
      </c>
      <c r="N46" s="75">
        <f t="shared" si="54"/>
        <v>172</v>
      </c>
      <c r="O46" s="348">
        <f>IF(AN46="","",AN46)</f>
        <v>0</v>
      </c>
      <c r="P46" s="75">
        <f t="shared" si="38"/>
        <v>192</v>
      </c>
      <c r="Q46" s="348">
        <f>IF(AP46="","",AP46)</f>
        <v>0</v>
      </c>
      <c r="R46" s="75">
        <f t="shared" si="39"/>
        <v>192</v>
      </c>
      <c r="S46" s="348">
        <f>IF(AR46="","",AR46)</f>
        <v>1</v>
      </c>
      <c r="T46" s="75">
        <f t="shared" si="40"/>
        <v>213</v>
      </c>
      <c r="U46" s="348">
        <f>IF(AT46="","",AT46)</f>
        <v>0.5</v>
      </c>
      <c r="V46" s="75">
        <f t="shared" si="41"/>
        <v>1729</v>
      </c>
      <c r="W46" s="348">
        <f>IF(AV46="","",AV46)</f>
        <v>3.5</v>
      </c>
      <c r="Z46" s="351" t="s">
        <v>11</v>
      </c>
      <c r="AA46" s="108" t="str">
        <f>IF(AB46=0,"",VLOOKUP(AB46,Starter!$A$1:$D$199,2,FALSE))</f>
        <v>Kirschke, Saskia</v>
      </c>
      <c r="AB46" s="99">
        <v>38553</v>
      </c>
      <c r="AC46" s="188">
        <v>190</v>
      </c>
      <c r="AD46" s="109">
        <f>IF(SUM(AC46:AC48)+AC58=0,0,IF(SUM(AC46:AC48)=AC58,0.5,IF(SUM(AC46:AC48)&gt;AC58,1,0)))</f>
        <v>1</v>
      </c>
      <c r="AE46" s="188">
        <v>182</v>
      </c>
      <c r="AF46" s="109">
        <f>IF(SUM(AE46:AE48)+AE58=0,0,IF(SUM(AE46:AE48)=AE58,0.5,IF(SUM(AE46:AE48)&gt;AE58,1,0)))</f>
        <v>0</v>
      </c>
      <c r="AG46" s="188">
        <v>182</v>
      </c>
      <c r="AH46" s="109">
        <f>IF(SUM(AG46:AG48)+AG58=0,0,IF(SUM(AG46:AG48)=AG58,0.5,IF(SUM(AG46:AG48)&gt;AG58,1,0)))</f>
        <v>0</v>
      </c>
      <c r="AI46" s="188">
        <v>204</v>
      </c>
      <c r="AJ46" s="109">
        <f>IF(SUM(AI46:AI48)+AI58=0,0,IF(SUM(AI46:AI48)=AI58,0.5,IF(SUM(AI46:AI48)&gt;AI58,1,0)))</f>
        <v>0</v>
      </c>
      <c r="AK46" s="188">
        <v>202</v>
      </c>
      <c r="AL46" s="109">
        <f>IF(SUM(AK46:AK48)+AK58=0,0,IF(SUM(AK46:AK48)=AK58,0.5,IF(SUM(AK46:AK48)&gt;AK58,1,0)))</f>
        <v>1</v>
      </c>
      <c r="AM46" s="188">
        <v>172</v>
      </c>
      <c r="AN46" s="109">
        <f>IF(SUM(AM46:AM48)+AM58=0,0,IF(SUM(AM46:AM48)=AM58,0.5,IF(SUM(AM46:AM48)&gt;AM58,1,0)))</f>
        <v>0</v>
      </c>
      <c r="AO46" s="188">
        <v>192</v>
      </c>
      <c r="AP46" s="109">
        <f>IF(SUM(AO46:AO48)+AO58=0,0,IF(SUM(AO46:AO48)=AO58,0.5,IF(SUM(AO46:AO48)&gt;AO58,1,0)))</f>
        <v>0</v>
      </c>
      <c r="AQ46" s="188">
        <v>192</v>
      </c>
      <c r="AR46" s="109">
        <f>IF(SUM(AQ46:AQ48)+AQ58=0,0,IF(SUM(AQ46:AQ48)=AQ58,0.5,IF(SUM(AQ46:AQ48)&gt;AQ58,1,0)))</f>
        <v>1</v>
      </c>
      <c r="AS46" s="188">
        <v>213</v>
      </c>
      <c r="AT46" s="109">
        <f>IF(SUM(AS46:AS48)+AS58=0,0,IF(SUM(AS46:AS48)=AS58,0.5,IF(SUM(AS46:AS48)&gt;AS58,1,0)))</f>
        <v>0.5</v>
      </c>
      <c r="AU46" s="110">
        <f t="shared" si="42"/>
        <v>1729</v>
      </c>
      <c r="AV46" s="111">
        <f>SUM(AD46+AF46+AH46+AJ46+AL46+AN46+AP46+AR46+AT46)</f>
        <v>3.5</v>
      </c>
      <c r="AW46" s="101"/>
      <c r="AX46" s="102"/>
      <c r="AZ46" s="63"/>
      <c r="BA46" s="212"/>
      <c r="BB46" s="213"/>
      <c r="BC46" s="214"/>
      <c r="BD46" s="217">
        <f t="shared" si="55"/>
        <v>38553</v>
      </c>
      <c r="BE46" s="213">
        <f t="shared" si="56"/>
        <v>1729</v>
      </c>
      <c r="BF46" s="215">
        <f t="shared" si="57"/>
        <v>9</v>
      </c>
      <c r="BG46" s="215">
        <f t="shared" si="58"/>
        <v>9</v>
      </c>
      <c r="BH46" s="215">
        <f t="shared" si="43"/>
        <v>190</v>
      </c>
      <c r="BI46" s="215">
        <f t="shared" si="44"/>
        <v>182</v>
      </c>
      <c r="BJ46" s="215">
        <f t="shared" si="45"/>
        <v>182</v>
      </c>
      <c r="BK46" s="215">
        <f t="shared" si="46"/>
        <v>204</v>
      </c>
      <c r="BL46" s="215">
        <f t="shared" si="47"/>
        <v>202</v>
      </c>
      <c r="BM46" s="215">
        <f t="shared" si="48"/>
        <v>172</v>
      </c>
      <c r="BN46" s="215">
        <f t="shared" si="49"/>
        <v>192</v>
      </c>
      <c r="BO46" s="215">
        <f t="shared" si="50"/>
        <v>192</v>
      </c>
      <c r="BP46" s="215">
        <f t="shared" si="51"/>
        <v>213</v>
      </c>
      <c r="BQ46" s="216"/>
      <c r="BR46" s="214"/>
      <c r="BS46" s="215">
        <f t="shared" si="59"/>
        <v>213</v>
      </c>
      <c r="BT46" s="215">
        <f t="shared" si="60"/>
        <v>0</v>
      </c>
      <c r="BU46" s="215" t="str">
        <f t="shared" si="61"/>
        <v>BK München 2</v>
      </c>
      <c r="BV46" s="214">
        <f t="shared" si="62"/>
        <v>2</v>
      </c>
      <c r="BW46" s="215">
        <f t="shared" si="63"/>
        <v>1729</v>
      </c>
      <c r="BX46" s="215">
        <f>IF(COUNTIF(BH46:BP46,"&gt;0")&lt;Spielorte!$A$23,0,BE46/Spielorte!$A$23)</f>
        <v>192.11111111111111</v>
      </c>
      <c r="BY46" s="215">
        <f t="shared" si="64"/>
        <v>0</v>
      </c>
      <c r="BZ46" s="214">
        <f t="shared" si="52"/>
        <v>0</v>
      </c>
    </row>
    <row r="47" spans="1:78" ht="17.2" customHeight="1" x14ac:dyDescent="0.35">
      <c r="A47" s="368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49"/>
      <c r="F47" s="78" t="str">
        <f t="shared" si="34"/>
        <v/>
      </c>
      <c r="G47" s="349"/>
      <c r="H47" s="78" t="str">
        <f t="shared" si="35"/>
        <v/>
      </c>
      <c r="I47" s="349"/>
      <c r="J47" s="78" t="str">
        <f t="shared" si="36"/>
        <v/>
      </c>
      <c r="K47" s="349"/>
      <c r="L47" s="78" t="str">
        <f t="shared" si="37"/>
        <v/>
      </c>
      <c r="M47" s="349"/>
      <c r="N47" s="78" t="str">
        <f t="shared" si="54"/>
        <v/>
      </c>
      <c r="O47" s="349"/>
      <c r="P47" s="78" t="str">
        <f t="shared" si="38"/>
        <v/>
      </c>
      <c r="Q47" s="349"/>
      <c r="R47" s="78" t="str">
        <f t="shared" si="39"/>
        <v/>
      </c>
      <c r="S47" s="349"/>
      <c r="T47" s="78" t="str">
        <f t="shared" si="40"/>
        <v/>
      </c>
      <c r="U47" s="349"/>
      <c r="V47" s="78" t="str">
        <f t="shared" si="41"/>
        <v/>
      </c>
      <c r="W47" s="349"/>
      <c r="Z47" s="352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0</v>
      </c>
      <c r="BU47" s="215" t="str">
        <f t="shared" si="61"/>
        <v>BK München 2</v>
      </c>
      <c r="BV47" s="214">
        <f t="shared" si="62"/>
        <v>2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0</v>
      </c>
      <c r="BZ47" s="214">
        <f t="shared" si="52"/>
        <v>0</v>
      </c>
    </row>
    <row r="48" spans="1:78" ht="17.2" customHeight="1" thickBot="1" x14ac:dyDescent="0.4">
      <c r="A48" s="369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50"/>
      <c r="F48" s="69" t="str">
        <f t="shared" si="34"/>
        <v/>
      </c>
      <c r="G48" s="350"/>
      <c r="H48" s="69" t="str">
        <f t="shared" si="35"/>
        <v/>
      </c>
      <c r="I48" s="350"/>
      <c r="J48" s="69" t="str">
        <f t="shared" si="36"/>
        <v/>
      </c>
      <c r="K48" s="350"/>
      <c r="L48" s="69" t="str">
        <f t="shared" si="37"/>
        <v/>
      </c>
      <c r="M48" s="350"/>
      <c r="N48" s="69" t="str">
        <f t="shared" si="54"/>
        <v/>
      </c>
      <c r="O48" s="350"/>
      <c r="P48" s="69" t="str">
        <f t="shared" si="38"/>
        <v/>
      </c>
      <c r="Q48" s="350"/>
      <c r="R48" s="69" t="str">
        <f t="shared" si="39"/>
        <v/>
      </c>
      <c r="S48" s="350"/>
      <c r="T48" s="69" t="str">
        <f t="shared" si="40"/>
        <v/>
      </c>
      <c r="U48" s="350"/>
      <c r="V48" s="69" t="str">
        <f t="shared" si="41"/>
        <v/>
      </c>
      <c r="W48" s="350"/>
      <c r="Z48" s="353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0</v>
      </c>
      <c r="BU48" s="215" t="str">
        <f t="shared" si="61"/>
        <v>BK München 2</v>
      </c>
      <c r="BV48" s="214">
        <f t="shared" si="62"/>
        <v>2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0</v>
      </c>
      <c r="BZ48" s="214">
        <f t="shared" si="52"/>
        <v>0</v>
      </c>
    </row>
    <row r="49" spans="1:78" ht="27.75" customHeight="1" thickBot="1" x14ac:dyDescent="0.4">
      <c r="B49" s="81" t="str">
        <f>IF(AA49=0,"",AA49)</f>
        <v>Gesamt</v>
      </c>
      <c r="C49" s="82" t="str">
        <f t="shared" si="53"/>
        <v/>
      </c>
      <c r="D49" s="83">
        <f t="shared" si="53"/>
        <v>720</v>
      </c>
      <c r="E49" s="84">
        <f>IF(AD49="","",AD49)</f>
        <v>0</v>
      </c>
      <c r="F49" s="83">
        <f t="shared" si="34"/>
        <v>644</v>
      </c>
      <c r="G49" s="84">
        <f>IF(AF49="","",AF49)</f>
        <v>0</v>
      </c>
      <c r="H49" s="83">
        <f t="shared" si="35"/>
        <v>720</v>
      </c>
      <c r="I49" s="84">
        <f>IF(AH49="","",AH49)</f>
        <v>0</v>
      </c>
      <c r="J49" s="83">
        <f t="shared" si="36"/>
        <v>728</v>
      </c>
      <c r="K49" s="84">
        <f>IF(AJ49="","",AJ49)</f>
        <v>0</v>
      </c>
      <c r="L49" s="83">
        <f t="shared" si="37"/>
        <v>700</v>
      </c>
      <c r="M49" s="84">
        <f>IF(AL49="","",AL49)</f>
        <v>2</v>
      </c>
      <c r="N49" s="83">
        <f t="shared" si="54"/>
        <v>712</v>
      </c>
      <c r="O49" s="84">
        <f>IF(AN49="","",AN49)</f>
        <v>2</v>
      </c>
      <c r="P49" s="83">
        <f t="shared" si="38"/>
        <v>695</v>
      </c>
      <c r="Q49" s="84">
        <f>IF(AP49="","",AP49)</f>
        <v>0</v>
      </c>
      <c r="R49" s="83">
        <f t="shared" si="39"/>
        <v>726</v>
      </c>
      <c r="S49" s="84">
        <f>IF(AR49="","",AR49)</f>
        <v>2</v>
      </c>
      <c r="T49" s="83">
        <f t="shared" si="40"/>
        <v>760</v>
      </c>
      <c r="U49" s="84">
        <f>IF(AT49="","",AT49)</f>
        <v>2</v>
      </c>
      <c r="V49" s="83">
        <f t="shared" si="41"/>
        <v>6405</v>
      </c>
      <c r="W49" s="84">
        <f>IF(AV49="","",AV49)</f>
        <v>8</v>
      </c>
      <c r="AA49" s="81" t="s">
        <v>1799</v>
      </c>
      <c r="AB49" s="120"/>
      <c r="AC49" s="211">
        <f>ABS(SUM(AC37:AC39))+ABS(SUM(AC40:AC42))+ABS(SUM(AC43:AC45))+ABS(SUM(AC46:AC48))</f>
        <v>720</v>
      </c>
      <c r="AD49" s="121">
        <f>IF(AC49+AC59=0,0,IF(AC49=AC59,1,IF(AC49&gt;AC59,2,0)))</f>
        <v>0</v>
      </c>
      <c r="AE49" s="211">
        <f>ABS(SUM(AE37:AE39))+ABS(SUM(AE40:AE42))+ABS(SUM(AE43:AE45))+ABS(SUM(AE46:AE48))</f>
        <v>644</v>
      </c>
      <c r="AF49" s="121">
        <f>IF(AE49+AE59=0,0,IF(AE49=AE59,1,IF(AE49&gt;AE59,2,0)))</f>
        <v>0</v>
      </c>
      <c r="AG49" s="211">
        <f>ABS(SUM(AG37:AG39))+ABS(SUM(AG40:AG42))+ABS(SUM(AG43:AG45))+ABS(SUM(AG46:AG48))</f>
        <v>720</v>
      </c>
      <c r="AH49" s="121">
        <f>IF(AG49+AG59=0,0,IF(AG49=AG59,1,IF(AG49&gt;AG59,2,0)))</f>
        <v>0</v>
      </c>
      <c r="AI49" s="211">
        <f>ABS(SUM(AI37:AI39))+ABS(SUM(AI40:AI42))+ABS(SUM(AI43:AI45))+ABS(SUM(AI46:AI48))</f>
        <v>728</v>
      </c>
      <c r="AJ49" s="121">
        <f>IF(AI49+AI59=0,0,IF(AI49=AI59,1,IF(AI49&gt;AI59,2,0)))</f>
        <v>0</v>
      </c>
      <c r="AK49" s="211">
        <f>ABS(SUM(AK37:AK39))+ABS(SUM(AK40:AK42))+ABS(SUM(AK43:AK45))+ABS(SUM(AK46:AK48))</f>
        <v>700</v>
      </c>
      <c r="AL49" s="121">
        <f>IF(AK49+AK59=0,0,IF(AK49=AK59,1,IF(AK49&gt;AK59,2,0)))</f>
        <v>2</v>
      </c>
      <c r="AM49" s="211">
        <f>ABS(SUM(AM37:AM39))+ABS(SUM(AM40:AM42))+ABS(SUM(AM43:AM45))+ABS(SUM(AM46:AM48))</f>
        <v>712</v>
      </c>
      <c r="AN49" s="121">
        <f>IF(AM49+AM59=0,0,IF(AM49=AM59,1,IF(AM49&gt;AM59,2,0)))</f>
        <v>2</v>
      </c>
      <c r="AO49" s="211">
        <f>ABS(SUM(AO37:AO39))+ABS(SUM(AO40:AO42))+ABS(SUM(AO43:AO45))+ABS(SUM(AO46:AO48))</f>
        <v>695</v>
      </c>
      <c r="AP49" s="121">
        <f>IF(AO49+AO59=0,0,IF(AO49=AO59,1,IF(AO49&gt;AO59,2,0)))</f>
        <v>0</v>
      </c>
      <c r="AQ49" s="211">
        <f>ABS(SUM(AQ37:AQ39))+ABS(SUM(AQ40:AQ42))+ABS(SUM(AQ43:AQ45))+ABS(SUM(AQ46:AQ48))</f>
        <v>726</v>
      </c>
      <c r="AR49" s="121">
        <f>IF(AQ49+AQ59=0,0,IF(AQ49=AQ59,1,IF(AQ49&gt;AQ59,2,0)))</f>
        <v>2</v>
      </c>
      <c r="AS49" s="211">
        <f>ABS(SUM(AS37:AS39))+ABS(SUM(AS40:AS42))+ABS(SUM(AS43:AS45))+ABS(SUM(AS46:AS48))</f>
        <v>760</v>
      </c>
      <c r="AT49" s="121">
        <f>IF(AS49+AS59=0,0,IF(AS49=AS59,1,IF(AS49&gt;AS59,2,0)))</f>
        <v>2</v>
      </c>
      <c r="AU49" s="122">
        <f>SUM(AC49+AE49+AG49+AI49+AK49+AM49+AO49+AQ49+AS49)</f>
        <v>6405</v>
      </c>
      <c r="AV49" s="123">
        <f>SUM(AD49+AF49+AH49+AJ49+AL49+AN49+AP49+AR49+AT49)</f>
        <v>8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4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1</v>
      </c>
      <c r="F50" s="86" t="str">
        <f t="shared" si="34"/>
        <v/>
      </c>
      <c r="G50" s="87">
        <f>IF(AF50="","",AF50)</f>
        <v>0</v>
      </c>
      <c r="H50" s="86" t="str">
        <f t="shared" si="35"/>
        <v/>
      </c>
      <c r="I50" s="87">
        <f>IF(AH50="","",AH50)</f>
        <v>2</v>
      </c>
      <c r="J50" s="86" t="str">
        <f t="shared" si="36"/>
        <v/>
      </c>
      <c r="K50" s="87">
        <f>IF(AJ50="","",AJ50)</f>
        <v>1</v>
      </c>
      <c r="L50" s="86" t="str">
        <f t="shared" si="37"/>
        <v/>
      </c>
      <c r="M50" s="87">
        <f>IF(AL50="","",AL50)</f>
        <v>4</v>
      </c>
      <c r="N50" s="86" t="str">
        <f t="shared" si="54"/>
        <v/>
      </c>
      <c r="O50" s="87">
        <f>IF(AN50="","",AN50)</f>
        <v>4</v>
      </c>
      <c r="P50" s="86" t="str">
        <f t="shared" si="38"/>
        <v/>
      </c>
      <c r="Q50" s="87">
        <f>IF(AP50="","",AP50)</f>
        <v>1</v>
      </c>
      <c r="R50" s="86" t="str">
        <f t="shared" si="39"/>
        <v/>
      </c>
      <c r="S50" s="87">
        <f>IF(AR50="","",AR50)</f>
        <v>6</v>
      </c>
      <c r="T50" s="86" t="str">
        <f t="shared" si="40"/>
        <v/>
      </c>
      <c r="U50" s="87">
        <f>IF(AT50="","",AT50)</f>
        <v>4.5</v>
      </c>
      <c r="V50" s="86" t="str">
        <f t="shared" si="41"/>
        <v/>
      </c>
      <c r="W50" s="87">
        <f>IF(AV50="","",AV50)</f>
        <v>23.5</v>
      </c>
      <c r="AA50" s="85" t="s">
        <v>1814</v>
      </c>
      <c r="AB50" s="86"/>
      <c r="AC50" s="86"/>
      <c r="AD50" s="124">
        <f>SUM(AD37:AD49)</f>
        <v>1</v>
      </c>
      <c r="AE50" s="86"/>
      <c r="AF50" s="124">
        <f>SUM(AF37:AF49)</f>
        <v>0</v>
      </c>
      <c r="AG50" s="86"/>
      <c r="AH50" s="124">
        <f>SUM(AH37:AH49)</f>
        <v>2</v>
      </c>
      <c r="AI50" s="86"/>
      <c r="AJ50" s="124">
        <f>SUM(AJ37:AJ49)</f>
        <v>1</v>
      </c>
      <c r="AK50" s="86"/>
      <c r="AL50" s="124">
        <f>SUM(AL37:AL49)</f>
        <v>4</v>
      </c>
      <c r="AM50" s="86"/>
      <c r="AN50" s="124">
        <f>SUM(AN37:AN49)</f>
        <v>4</v>
      </c>
      <c r="AO50" s="86"/>
      <c r="AP50" s="124">
        <f>SUM(AP37:AP49)</f>
        <v>1</v>
      </c>
      <c r="AQ50" s="86"/>
      <c r="AR50" s="124">
        <f>SUM(AR37:AR49)</f>
        <v>6</v>
      </c>
      <c r="AS50" s="86"/>
      <c r="AT50" s="124">
        <f>SUM(AT37:AT49)</f>
        <v>4.5</v>
      </c>
      <c r="AU50" s="86"/>
      <c r="AV50" s="125">
        <f>SUM(AV37:AV49)</f>
        <v>23.5</v>
      </c>
      <c r="AW50" s="101"/>
      <c r="AX50" s="102"/>
      <c r="BA50" s="212">
        <f>+AV50</f>
        <v>23.5</v>
      </c>
      <c r="BB50" s="213">
        <f>+AU49</f>
        <v>6405</v>
      </c>
      <c r="BC50" s="214">
        <f>+AA32</f>
        <v>2</v>
      </c>
      <c r="BF50" s="215">
        <f>SUM(BF31:BF49)</f>
        <v>36</v>
      </c>
      <c r="BQ50" s="212">
        <f>+BB50/1000000+BA50</f>
        <v>23.506405000000001</v>
      </c>
      <c r="BR50" s="214">
        <f>RANK(BQ50,BQ:BQ)</f>
        <v>9</v>
      </c>
      <c r="BV50" s="214"/>
      <c r="BZ50" s="214"/>
    </row>
    <row r="51" spans="1:78" ht="11.25" customHeight="1" x14ac:dyDescent="0.3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35">
      <c r="B52" s="88" t="str">
        <f t="shared" ref="B52:Q52" si="65">IF(AA52=0,"",AA52)</f>
        <v>Gegner-Nr.:</v>
      </c>
      <c r="C52" s="89" t="str">
        <f t="shared" si="65"/>
        <v>&gt;&gt;&gt;&gt;</v>
      </c>
      <c r="D52" s="346">
        <f t="shared" si="65"/>
        <v>9</v>
      </c>
      <c r="E52" s="346" t="str">
        <f t="shared" si="65"/>
        <v/>
      </c>
      <c r="F52" s="346">
        <f t="shared" si="65"/>
        <v>1</v>
      </c>
      <c r="G52" s="346" t="str">
        <f t="shared" si="65"/>
        <v/>
      </c>
      <c r="H52" s="346">
        <f t="shared" si="65"/>
        <v>10</v>
      </c>
      <c r="I52" s="346" t="str">
        <f t="shared" si="65"/>
        <v/>
      </c>
      <c r="J52" s="346">
        <f t="shared" si="65"/>
        <v>5</v>
      </c>
      <c r="K52" s="346" t="str">
        <f t="shared" si="65"/>
        <v/>
      </c>
      <c r="L52" s="346">
        <f t="shared" si="65"/>
        <v>3</v>
      </c>
      <c r="M52" s="346" t="str">
        <f t="shared" si="65"/>
        <v/>
      </c>
      <c r="N52" s="346">
        <f t="shared" si="65"/>
        <v>7</v>
      </c>
      <c r="O52" s="346" t="str">
        <f t="shared" si="65"/>
        <v/>
      </c>
      <c r="P52" s="346">
        <f t="shared" si="65"/>
        <v>8</v>
      </c>
      <c r="Q52" s="346" t="str">
        <f t="shared" si="65"/>
        <v/>
      </c>
      <c r="R52" s="346">
        <f t="shared" ref="N52:U54" si="66">IF(AQ52=0,"",AQ52)</f>
        <v>4</v>
      </c>
      <c r="S52" s="346" t="str">
        <f t="shared" si="66"/>
        <v/>
      </c>
      <c r="T52" s="346">
        <f t="shared" si="66"/>
        <v>6</v>
      </c>
      <c r="U52" s="346" t="str">
        <f t="shared" si="66"/>
        <v/>
      </c>
      <c r="V52" s="347"/>
      <c r="W52" s="347"/>
      <c r="AA52" s="88" t="s">
        <v>1797</v>
      </c>
      <c r="AB52" s="89" t="s">
        <v>1798</v>
      </c>
      <c r="AC52" s="370">
        <f>VLOOKUP($AA32,Schlüssel!$A$5:$DG$14,23)</f>
        <v>9</v>
      </c>
      <c r="AD52" s="371"/>
      <c r="AE52" s="370">
        <f>VLOOKUP($AA32,Schlüssel!$A$5:$EK$14,24)</f>
        <v>1</v>
      </c>
      <c r="AF52" s="371"/>
      <c r="AG52" s="370">
        <f>VLOOKUP($AA32,Schlüssel!$A$5:$EK$14,25)</f>
        <v>10</v>
      </c>
      <c r="AH52" s="371"/>
      <c r="AI52" s="370">
        <f>VLOOKUP($AA32,Schlüssel!$A$5:$EK$14,26)</f>
        <v>5</v>
      </c>
      <c r="AJ52" s="371"/>
      <c r="AK52" s="370">
        <f>VLOOKUP($AA32,Schlüssel!$A$5:$EK$14,27)</f>
        <v>3</v>
      </c>
      <c r="AL52" s="371"/>
      <c r="AM52" s="370">
        <f>VLOOKUP($AA32,Schlüssel!$A$5:$EK$14,28)</f>
        <v>7</v>
      </c>
      <c r="AN52" s="371"/>
      <c r="AO52" s="370">
        <f>VLOOKUP($AA32,Schlüssel!$A$5:$EK$14,29)</f>
        <v>8</v>
      </c>
      <c r="AP52" s="371"/>
      <c r="AQ52" s="370">
        <f>VLOOKUP($AA32,Schlüssel!$A$5:$EK$14,30)</f>
        <v>4</v>
      </c>
      <c r="AR52" s="371"/>
      <c r="AS52" s="370">
        <f>VLOOKUP($AA32,Schlüssel!$A$5:$EK$14,31)</f>
        <v>6</v>
      </c>
      <c r="AT52" s="371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35">
      <c r="B53" s="90" t="str">
        <f t="shared" ref="B53:M54" si="67">IF(AA53=0,"",AA53)</f>
        <v/>
      </c>
      <c r="C53" s="86" t="str">
        <f t="shared" si="67"/>
        <v/>
      </c>
      <c r="D53" s="343" t="str">
        <f t="shared" si="67"/>
        <v>RW Lichtenhof 69 Stein 2</v>
      </c>
      <c r="E53" s="344" t="str">
        <f t="shared" si="67"/>
        <v/>
      </c>
      <c r="F53" s="343" t="str">
        <f t="shared" si="67"/>
        <v>Praetoria Regensburg</v>
      </c>
      <c r="G53" s="344" t="str">
        <f t="shared" si="67"/>
        <v/>
      </c>
      <c r="H53" s="343" t="str">
        <f t="shared" si="67"/>
        <v>BK München 4</v>
      </c>
      <c r="I53" s="344" t="str">
        <f t="shared" si="67"/>
        <v/>
      </c>
      <c r="J53" s="343" t="str">
        <f t="shared" si="67"/>
        <v xml:space="preserve">Weiß Blau Unterföhring </v>
      </c>
      <c r="K53" s="344" t="str">
        <f t="shared" si="67"/>
        <v/>
      </c>
      <c r="L53" s="343" t="str">
        <f t="shared" si="67"/>
        <v>Highroller Rosenheim</v>
      </c>
      <c r="M53" s="344" t="str">
        <f t="shared" si="67"/>
        <v/>
      </c>
      <c r="N53" s="343" t="str">
        <f t="shared" si="66"/>
        <v>Frankenpower Nürnberg</v>
      </c>
      <c r="O53" s="344" t="str">
        <f t="shared" si="66"/>
        <v/>
      </c>
      <c r="P53" s="343" t="str">
        <f t="shared" si="66"/>
        <v>EPA München 1</v>
      </c>
      <c r="Q53" s="344" t="str">
        <f t="shared" si="66"/>
        <v/>
      </c>
      <c r="R53" s="343" t="str">
        <f t="shared" si="66"/>
        <v>BK München 3</v>
      </c>
      <c r="S53" s="344" t="str">
        <f t="shared" si="66"/>
        <v/>
      </c>
      <c r="T53" s="343" t="str">
        <f t="shared" si="66"/>
        <v>Phönix 03 Lauf</v>
      </c>
      <c r="U53" s="344" t="str">
        <f t="shared" si="66"/>
        <v/>
      </c>
      <c r="V53" s="345"/>
      <c r="W53" s="345"/>
      <c r="AA53" s="90"/>
      <c r="AB53" s="86"/>
      <c r="AC53" s="343" t="str">
        <f>VLOOKUP(AC52,Schlüssel!$A$5:$K$14,2)</f>
        <v>RW Lichtenhof 69 Stein 2</v>
      </c>
      <c r="AD53" s="344"/>
      <c r="AE53" s="343" t="str">
        <f>VLOOKUP(AE52,Schlüssel!$A$5:$K$14,2)</f>
        <v>Praetoria Regensburg</v>
      </c>
      <c r="AF53" s="344"/>
      <c r="AG53" s="343" t="str">
        <f>VLOOKUP(AG52,Schlüssel!$A$5:$K$14,2)</f>
        <v>BK München 4</v>
      </c>
      <c r="AH53" s="344"/>
      <c r="AI53" s="343" t="str">
        <f>VLOOKUP(AI52,Schlüssel!$A$5:$K$14,2)</f>
        <v xml:space="preserve">Weiß Blau Unterföhring </v>
      </c>
      <c r="AJ53" s="344"/>
      <c r="AK53" s="343" t="str">
        <f>VLOOKUP(AK52,Schlüssel!$A$5:$K$14,2)</f>
        <v>Highroller Rosenheim</v>
      </c>
      <c r="AL53" s="344"/>
      <c r="AM53" s="343" t="str">
        <f>VLOOKUP(AM52,Schlüssel!$A$5:$K$14,2)</f>
        <v>Frankenpower Nürnberg</v>
      </c>
      <c r="AN53" s="344"/>
      <c r="AO53" s="343" t="str">
        <f>VLOOKUP(AO52,Schlüssel!$A$5:$K$14,2)</f>
        <v>EPA München 1</v>
      </c>
      <c r="AP53" s="344"/>
      <c r="AQ53" s="343" t="str">
        <f>VLOOKUP(AQ52,Schlüssel!$A$5:$K$14,2)</f>
        <v>BK München 3</v>
      </c>
      <c r="AR53" s="344"/>
      <c r="AS53" s="343" t="str">
        <f>VLOOKUP(AS52,Schlüssel!$A$5:$K$14,2)</f>
        <v>Phönix 03 Lauf</v>
      </c>
      <c r="AT53" s="344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35">
      <c r="B54" s="90" t="str">
        <f t="shared" si="67"/>
        <v/>
      </c>
      <c r="C54" s="86" t="str">
        <f t="shared" si="67"/>
        <v/>
      </c>
      <c r="D54" s="341" t="str">
        <f t="shared" si="67"/>
        <v/>
      </c>
      <c r="E54" s="341" t="str">
        <f t="shared" si="67"/>
        <v/>
      </c>
      <c r="F54" s="341" t="str">
        <f t="shared" si="67"/>
        <v/>
      </c>
      <c r="G54" s="341" t="str">
        <f t="shared" si="67"/>
        <v/>
      </c>
      <c r="H54" s="341" t="str">
        <f t="shared" si="67"/>
        <v/>
      </c>
      <c r="I54" s="341" t="str">
        <f t="shared" si="67"/>
        <v/>
      </c>
      <c r="J54" s="341" t="str">
        <f t="shared" si="67"/>
        <v/>
      </c>
      <c r="K54" s="341" t="str">
        <f t="shared" si="67"/>
        <v/>
      </c>
      <c r="L54" s="341" t="str">
        <f t="shared" si="67"/>
        <v/>
      </c>
      <c r="M54" s="341" t="str">
        <f t="shared" si="67"/>
        <v/>
      </c>
      <c r="N54" s="341" t="str">
        <f t="shared" si="66"/>
        <v/>
      </c>
      <c r="O54" s="341" t="str">
        <f t="shared" si="66"/>
        <v/>
      </c>
      <c r="P54" s="341" t="str">
        <f t="shared" si="66"/>
        <v/>
      </c>
      <c r="Q54" s="341" t="str">
        <f t="shared" si="66"/>
        <v/>
      </c>
      <c r="R54" s="341" t="str">
        <f t="shared" si="66"/>
        <v/>
      </c>
      <c r="S54" s="341" t="str">
        <f t="shared" si="66"/>
        <v/>
      </c>
      <c r="T54" s="341" t="str">
        <f t="shared" si="66"/>
        <v/>
      </c>
      <c r="U54" s="342" t="str">
        <f t="shared" si="66"/>
        <v/>
      </c>
      <c r="V54" s="301"/>
      <c r="W54" s="301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6.05" customHeight="1" x14ac:dyDescent="0.35">
      <c r="B55" s="365" t="str">
        <f t="shared" ref="B55:C59" si="68">IF(AA55=0,"",AA55)</f>
        <v>Spieler 1</v>
      </c>
      <c r="C55" s="366" t="str">
        <f t="shared" si="68"/>
        <v/>
      </c>
      <c r="D55" s="339">
        <f>IF(AC55=301,"",AC55)</f>
        <v>203</v>
      </c>
      <c r="E55" s="339" t="str">
        <f>IF(AD55=0,"",AD55)</f>
        <v/>
      </c>
      <c r="F55" s="339">
        <f>IF(AE55=301,"",AE55)</f>
        <v>174</v>
      </c>
      <c r="G55" s="339" t="str">
        <f>IF(AF55=0,"",AF55)</f>
        <v/>
      </c>
      <c r="H55" s="339">
        <f>IF(AG55=301,"",AG55)</f>
        <v>163</v>
      </c>
      <c r="I55" s="339" t="str">
        <f>IF(AH55=0,"",AH55)</f>
        <v/>
      </c>
      <c r="J55" s="339">
        <f>IF(AI55=301,"",AI55)</f>
        <v>194</v>
      </c>
      <c r="K55" s="339" t="str">
        <f>IF(AJ55=0,"",AJ55)</f>
        <v/>
      </c>
      <c r="L55" s="339">
        <f>IF(AK55=301,"",AK55)</f>
        <v>178</v>
      </c>
      <c r="M55" s="339" t="str">
        <f>IF(AL55=0,"",AL55)</f>
        <v/>
      </c>
      <c r="N55" s="339">
        <f>IF(AM55=301,"",AM55)</f>
        <v>196</v>
      </c>
      <c r="O55" s="339" t="str">
        <f>IF(AN55=0,"",AN55)</f>
        <v/>
      </c>
      <c r="P55" s="339">
        <f>IF(AO55=301,"",AO55)</f>
        <v>213</v>
      </c>
      <c r="Q55" s="339" t="str">
        <f>IF(AP55=0,"",AP55)</f>
        <v/>
      </c>
      <c r="R55" s="339">
        <f>IF(AQ55=301,"",AQ55)</f>
        <v>0</v>
      </c>
      <c r="S55" s="339" t="str">
        <f>IF(AR55=0,"",AR55)</f>
        <v/>
      </c>
      <c r="T55" s="339">
        <f>IF(AS55=301,"",AS55)</f>
        <v>146</v>
      </c>
      <c r="U55" s="339" t="str">
        <f>IF(AT55=0,"",AT55)</f>
        <v/>
      </c>
      <c r="V55" s="340"/>
      <c r="W55" s="340"/>
      <c r="AA55" s="91" t="s">
        <v>0</v>
      </c>
      <c r="AB55" s="92"/>
      <c r="AC55" s="372">
        <f>ABS(INDEX(AC:AC,MATCH(AC52,$AA:$AA,0)+5)+INDEX(AC:AC,MATCH(AC52,$AA:$AA,0)+6)+INDEX(AC:AC,MATCH(AC52,$AA:$AA,0)+7))</f>
        <v>203</v>
      </c>
      <c r="AD55" s="373"/>
      <c r="AE55" s="372">
        <f>ABS(INDEX(AE:AE,MATCH(AE52,$AA:$AA,0)+5)+INDEX(AE:AE,MATCH(AE52,$AA:$AA,0)+6)+INDEX(AE:AE,MATCH(AE52,$AA:$AA,0)+7))</f>
        <v>174</v>
      </c>
      <c r="AF55" s="373"/>
      <c r="AG55" s="372">
        <f>ABS(INDEX(AG:AG,MATCH(AG52,$AA:$AA,0)+5)+INDEX(AG:AG,MATCH(AG52,$AA:$AA,0)+6)+INDEX(AG:AG,MATCH(AG52,$AA:$AA,0)+7))</f>
        <v>163</v>
      </c>
      <c r="AH55" s="373"/>
      <c r="AI55" s="372">
        <f>ABS(INDEX(AI:AI,MATCH(AI52,$AA:$AA,0)+5)+INDEX(AI:AI,MATCH(AI52,$AA:$AA,0)+6)+INDEX(AI:AI,MATCH(AI52,$AA:$AA,0)+7))</f>
        <v>194</v>
      </c>
      <c r="AJ55" s="373"/>
      <c r="AK55" s="372">
        <f>ABS(INDEX(AK:AK,MATCH(AK52,$AA:$AA,0)+5)+INDEX(AK:AK,MATCH(AK52,$AA:$AA,0)+6)+INDEX(AK:AK,MATCH(AK52,$AA:$AA,0)+7))</f>
        <v>178</v>
      </c>
      <c r="AL55" s="373"/>
      <c r="AM55" s="372">
        <f>ABS(INDEX(AM:AM,MATCH(AM52,$AA:$AA,0)+5)+INDEX(AM:AM,MATCH(AM52,$AA:$AA,0)+6)+INDEX(AM:AM,MATCH(AM52,$AA:$AA,0)+7))</f>
        <v>196</v>
      </c>
      <c r="AN55" s="373"/>
      <c r="AO55" s="372">
        <f>ABS(INDEX(AO:AO,MATCH(AO52,$AA:$AA,0)+5)+INDEX(AO:AO,MATCH(AO52,$AA:$AA,0)+6)+INDEX(AO:AO,MATCH(AO52,$AA:$AA,0)+7))</f>
        <v>213</v>
      </c>
      <c r="AP55" s="373"/>
      <c r="AQ55" s="372">
        <f>ABS(INDEX(AQ:AQ,MATCH(AQ52,$AA:$AA,0)+5)+INDEX(AQ:AQ,MATCH(AQ52,$AA:$AA,0)+6)+INDEX(AQ:AQ,MATCH(AQ52,$AA:$AA,0)+7))</f>
        <v>0</v>
      </c>
      <c r="AR55" s="373"/>
      <c r="AS55" s="372">
        <f>ABS(INDEX(AS:AS,MATCH(AS52,$AA:$AA,0)+5)+INDEX(AS:AS,MATCH(AS52,$AA:$AA,0)+6)+INDEX(AS:AS,MATCH(AS52,$AA:$AA,0)+7))</f>
        <v>146</v>
      </c>
      <c r="AT55" s="373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6.05" customHeight="1" x14ac:dyDescent="0.35">
      <c r="B56" s="365" t="str">
        <f t="shared" si="68"/>
        <v>Spieler 2</v>
      </c>
      <c r="C56" s="366" t="str">
        <f t="shared" si="68"/>
        <v/>
      </c>
      <c r="D56" s="339">
        <f>IF(AC56=301,"",AC56)</f>
        <v>180</v>
      </c>
      <c r="E56" s="339" t="str">
        <f>IF(AD56=0,"",AD56)</f>
        <v/>
      </c>
      <c r="F56" s="339">
        <f>IF(AE56=301,"",AE56)</f>
        <v>228</v>
      </c>
      <c r="G56" s="339" t="str">
        <f>IF(AF56=0,"",AF56)</f>
        <v/>
      </c>
      <c r="H56" s="339">
        <f>IF(AG56=301,"",AG56)</f>
        <v>223</v>
      </c>
      <c r="I56" s="339" t="str">
        <f>IF(AH56=0,"",AH56)</f>
        <v/>
      </c>
      <c r="J56" s="339">
        <f>IF(AI56=301,"",AI56)</f>
        <v>183</v>
      </c>
      <c r="K56" s="339" t="str">
        <f>IF(AJ56=0,"",AJ56)</f>
        <v/>
      </c>
      <c r="L56" s="339">
        <f>IF(AK56=301,"",AK56)</f>
        <v>157</v>
      </c>
      <c r="M56" s="339" t="str">
        <f>IF(AL56=0,"",AL56)</f>
        <v/>
      </c>
      <c r="N56" s="339">
        <f>IF(AM56=301,"",AM56)</f>
        <v>183</v>
      </c>
      <c r="O56" s="339" t="str">
        <f>IF(AN56=0,"",AN56)</f>
        <v/>
      </c>
      <c r="P56" s="339">
        <f>IF(AO56=301,"",AO56)</f>
        <v>202</v>
      </c>
      <c r="Q56" s="339" t="str">
        <f>IF(AP56=0,"",AP56)</f>
        <v/>
      </c>
      <c r="R56" s="339">
        <f>IF(AQ56=301,"",AQ56)</f>
        <v>0</v>
      </c>
      <c r="S56" s="339" t="str">
        <f>IF(AR56=0,"",AR56)</f>
        <v/>
      </c>
      <c r="T56" s="339">
        <f>IF(AS56=301,"",AS56)</f>
        <v>180</v>
      </c>
      <c r="U56" s="339" t="str">
        <f>IF(AT56=0,"",AT56)</f>
        <v/>
      </c>
      <c r="V56" s="340"/>
      <c r="W56" s="340"/>
      <c r="AA56" s="91" t="s">
        <v>2</v>
      </c>
      <c r="AB56" s="92"/>
      <c r="AC56" s="374">
        <f>ABS(INDEX(AC:AC,MATCH(AC52,$AA:$AA,0)+8)+INDEX(AC:AC,MATCH(AC52,$AA:$AA,0)+9)+INDEX(AC:AC,MATCH(AC52,$AA:$AA,0)+10))</f>
        <v>180</v>
      </c>
      <c r="AD56" s="375"/>
      <c r="AE56" s="374">
        <f>ABS(INDEX(AE:AE,MATCH(AE52,$AA:$AA,0)+8)+INDEX(AE:AE,MATCH(AE52,$AA:$AA,0)+9)+INDEX(AE:AE,MATCH(AE52,$AA:$AA,0)+10))</f>
        <v>228</v>
      </c>
      <c r="AF56" s="375"/>
      <c r="AG56" s="374">
        <f>ABS(INDEX(AG:AG,MATCH(AG52,$AA:$AA,0)+8)+INDEX(AG:AG,MATCH(AG52,$AA:$AA,0)+9)+INDEX(AG:AG,MATCH(AG52,$AA:$AA,0)+10))</f>
        <v>223</v>
      </c>
      <c r="AH56" s="375"/>
      <c r="AI56" s="374">
        <f>ABS(INDEX(AI:AI,MATCH(AI52,$AA:$AA,0)+8)+INDEX(AI:AI,MATCH(AI52,$AA:$AA,0)+9)+INDEX(AI:AI,MATCH(AI52,$AA:$AA,0)+10))</f>
        <v>183</v>
      </c>
      <c r="AJ56" s="375"/>
      <c r="AK56" s="374">
        <f>ABS(INDEX(AK:AK,MATCH(AK52,$AA:$AA,0)+8)+INDEX(AK:AK,MATCH(AK52,$AA:$AA,0)+9)+INDEX(AK:AK,MATCH(AK52,$AA:$AA,0)+10))</f>
        <v>157</v>
      </c>
      <c r="AL56" s="375"/>
      <c r="AM56" s="374">
        <f>ABS(INDEX(AM:AM,MATCH(AM52,$AA:$AA,0)+8)+INDEX(AM:AM,MATCH(AM52,$AA:$AA,0)+9)+INDEX(AM:AM,MATCH(AM52,$AA:$AA,0)+10))</f>
        <v>183</v>
      </c>
      <c r="AN56" s="375"/>
      <c r="AO56" s="374">
        <f>ABS(INDEX(AO:AO,MATCH(AO52,$AA:$AA,0)+8)+INDEX(AO:AO,MATCH(AO52,$AA:$AA,0)+9)+INDEX(AO:AO,MATCH(AO52,$AA:$AA,0)+10))</f>
        <v>202</v>
      </c>
      <c r="AP56" s="375"/>
      <c r="AQ56" s="374">
        <f>ABS(INDEX(AQ:AQ,MATCH(AQ52,$AA:$AA,0)+8)+INDEX(AQ:AQ,MATCH(AQ52,$AA:$AA,0)+9)+INDEX(AQ:AQ,MATCH(AQ52,$AA:$AA,0)+10))</f>
        <v>0</v>
      </c>
      <c r="AR56" s="375"/>
      <c r="AS56" s="374">
        <f>ABS(INDEX(AS:AS,MATCH(AS52,$AA:$AA,0)+8)+INDEX(AS:AS,MATCH(AS52,$AA:$AA,0)+9)+INDEX(AS:AS,MATCH(AS52,$AA:$AA,0)+10))</f>
        <v>180</v>
      </c>
      <c r="AT56" s="37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6.05" customHeight="1" x14ac:dyDescent="0.35">
      <c r="B57" s="365" t="str">
        <f t="shared" si="68"/>
        <v>Spieler 3</v>
      </c>
      <c r="C57" s="366" t="str">
        <f t="shared" si="68"/>
        <v/>
      </c>
      <c r="D57" s="339">
        <f>IF(AC57=301,"",AC57)</f>
        <v>198</v>
      </c>
      <c r="E57" s="339" t="str">
        <f>IF(AD57=0,"",AD57)</f>
        <v/>
      </c>
      <c r="F57" s="339">
        <f>IF(AE57=301,"",AE57)</f>
        <v>172</v>
      </c>
      <c r="G57" s="339" t="str">
        <f>IF(AF57=0,"",AF57)</f>
        <v/>
      </c>
      <c r="H57" s="339">
        <f>IF(AG57=301,"",AG57)</f>
        <v>150</v>
      </c>
      <c r="I57" s="339" t="str">
        <f>IF(AH57=0,"",AH57)</f>
        <v/>
      </c>
      <c r="J57" s="339">
        <f>IF(AI57=301,"",AI57)</f>
        <v>167</v>
      </c>
      <c r="K57" s="339" t="str">
        <f>IF(AJ57=0,"",AJ57)</f>
        <v/>
      </c>
      <c r="L57" s="339">
        <f>IF(AK57=301,"",AK57)</f>
        <v>162</v>
      </c>
      <c r="M57" s="339" t="str">
        <f>IF(AL57=0,"",AL57)</f>
        <v/>
      </c>
      <c r="N57" s="339">
        <f>IF(AM57=301,"",AM57)</f>
        <v>146</v>
      </c>
      <c r="O57" s="339" t="str">
        <f>IF(AN57=0,"",AN57)</f>
        <v/>
      </c>
      <c r="P57" s="339">
        <f>IF(AO57=301,"",AO57)</f>
        <v>131</v>
      </c>
      <c r="Q57" s="339" t="str">
        <f>IF(AP57=0,"",AP57)</f>
        <v/>
      </c>
      <c r="R57" s="339">
        <f>IF(AQ57=301,"",AQ57)</f>
        <v>0</v>
      </c>
      <c r="S57" s="339" t="str">
        <f>IF(AR57=0,"",AR57)</f>
        <v/>
      </c>
      <c r="T57" s="339">
        <f>IF(AS57=301,"",AS57)</f>
        <v>183</v>
      </c>
      <c r="U57" s="339" t="str">
        <f>IF(AT57=0,"",AT57)</f>
        <v/>
      </c>
      <c r="V57" s="340"/>
      <c r="W57" s="340"/>
      <c r="AA57" s="91" t="s">
        <v>3</v>
      </c>
      <c r="AB57" s="92"/>
      <c r="AC57" s="374">
        <f>ABS(INDEX(AC:AC,MATCH(AC52,$AA:$AA,0)+11)+INDEX(AC:AC,MATCH(AC52,$AA:$AA,0)+12)+INDEX(AC:AC,MATCH(AC52,$AA:$AA,0)+13))</f>
        <v>198</v>
      </c>
      <c r="AD57" s="375"/>
      <c r="AE57" s="374">
        <f>ABS(INDEX(AE:AE,MATCH(AE52,$AA:$AA,0)+11)+INDEX(AE:AE,MATCH(AE52,$AA:$AA,0)+12)+INDEX(AE:AE,MATCH(AE52,$AA:$AA,0)+13))</f>
        <v>172</v>
      </c>
      <c r="AF57" s="375"/>
      <c r="AG57" s="374">
        <f>ABS(INDEX(AG:AG,MATCH(AG52,$AA:$AA,0)+11)+INDEX(AG:AG,MATCH(AG52,$AA:$AA,0)+12)+INDEX(AG:AG,MATCH(AG52,$AA:$AA,0)+13))</f>
        <v>150</v>
      </c>
      <c r="AH57" s="375"/>
      <c r="AI57" s="374">
        <f>ABS(INDEX(AI:AI,MATCH(AI52,$AA:$AA,0)+11)+INDEX(AI:AI,MATCH(AI52,$AA:$AA,0)+12)+INDEX(AI:AI,MATCH(AI52,$AA:$AA,0)+13))</f>
        <v>167</v>
      </c>
      <c r="AJ57" s="375"/>
      <c r="AK57" s="374">
        <f>ABS(INDEX(AK:AK,MATCH(AK52,$AA:$AA,0)+11)+INDEX(AK:AK,MATCH(AK52,$AA:$AA,0)+12)+INDEX(AK:AK,MATCH(AK52,$AA:$AA,0)+13))</f>
        <v>162</v>
      </c>
      <c r="AL57" s="375"/>
      <c r="AM57" s="374">
        <f>ABS(INDEX(AM:AM,MATCH(AM52,$AA:$AA,0)+11)+INDEX(AM:AM,MATCH(AM52,$AA:$AA,0)+12)+INDEX(AM:AM,MATCH(AM52,$AA:$AA,0)+13))</f>
        <v>146</v>
      </c>
      <c r="AN57" s="375"/>
      <c r="AO57" s="374">
        <f>ABS(INDEX(AO:AO,MATCH(AO52,$AA:$AA,0)+11)+INDEX(AO:AO,MATCH(AO52,$AA:$AA,0)+12)+INDEX(AO:AO,MATCH(AO52,$AA:$AA,0)+13))</f>
        <v>131</v>
      </c>
      <c r="AP57" s="375"/>
      <c r="AQ57" s="374">
        <f>ABS(INDEX(AQ:AQ,MATCH(AQ52,$AA:$AA,0)+11)+INDEX(AQ:AQ,MATCH(AQ52,$AA:$AA,0)+12)+INDEX(AQ:AQ,MATCH(AQ52,$AA:$AA,0)+13))</f>
        <v>0</v>
      </c>
      <c r="AR57" s="375"/>
      <c r="AS57" s="374">
        <f>ABS(INDEX(AS:AS,MATCH(AS52,$AA:$AA,0)+11)+INDEX(AS:AS,MATCH(AS52,$AA:$AA,0)+12)+INDEX(AS:AS,MATCH(AS52,$AA:$AA,0)+13))</f>
        <v>183</v>
      </c>
      <c r="AT57" s="37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6.05" customHeight="1" x14ac:dyDescent="0.35">
      <c r="B58" s="365" t="str">
        <f t="shared" si="68"/>
        <v>Spieler 4</v>
      </c>
      <c r="C58" s="366" t="str">
        <f t="shared" si="68"/>
        <v/>
      </c>
      <c r="D58" s="339">
        <f>IF(AC58=301,"",AC58)</f>
        <v>157</v>
      </c>
      <c r="E58" s="339" t="str">
        <f>IF(AD58=0,"",AD58)</f>
        <v/>
      </c>
      <c r="F58" s="339">
        <f>IF(AE58=301,"",AE58)</f>
        <v>184</v>
      </c>
      <c r="G58" s="339" t="str">
        <f>IF(AF58=0,"",AF58)</f>
        <v/>
      </c>
      <c r="H58" s="339">
        <f>IF(AG58=301,"",AG58)</f>
        <v>195</v>
      </c>
      <c r="I58" s="339" t="str">
        <f>IF(AH58=0,"",AH58)</f>
        <v/>
      </c>
      <c r="J58" s="339">
        <f>IF(AI58=301,"",AI58)</f>
        <v>206</v>
      </c>
      <c r="K58" s="339" t="str">
        <f>IF(AJ58=0,"",AJ58)</f>
        <v/>
      </c>
      <c r="L58" s="339">
        <f>IF(AK58=301,"",AK58)</f>
        <v>168</v>
      </c>
      <c r="M58" s="339" t="str">
        <f>IF(AL58=0,"",AL58)</f>
        <v/>
      </c>
      <c r="N58" s="339">
        <f>IF(AM58=301,"",AM58)</f>
        <v>175</v>
      </c>
      <c r="O58" s="339" t="str">
        <f>IF(AN58=0,"",AN58)</f>
        <v/>
      </c>
      <c r="P58" s="339">
        <f>IF(AO58=301,"",AO58)</f>
        <v>263</v>
      </c>
      <c r="Q58" s="339" t="str">
        <f>IF(AP58=0,"",AP58)</f>
        <v/>
      </c>
      <c r="R58" s="339">
        <f>IF(AQ58=301,"",AQ58)</f>
        <v>0</v>
      </c>
      <c r="S58" s="339" t="str">
        <f>IF(AR58=0,"",AR58)</f>
        <v/>
      </c>
      <c r="T58" s="339">
        <f>IF(AS58=301,"",AS58)</f>
        <v>213</v>
      </c>
      <c r="U58" s="339" t="str">
        <f>IF(AT58=0,"",AT58)</f>
        <v/>
      </c>
      <c r="V58" s="340"/>
      <c r="W58" s="340"/>
      <c r="AA58" s="91" t="s">
        <v>11</v>
      </c>
      <c r="AB58" s="92"/>
      <c r="AC58" s="374">
        <f>ABS(INDEX(AC:AC,MATCH(AC52,$AA:$AA,0)+14)+INDEX(AC:AC,MATCH(AC52,$AA:$AA,0)+15)+INDEX(AC:AC,MATCH(AC52,$AA:$AA,0)+16))</f>
        <v>157</v>
      </c>
      <c r="AD58" s="375"/>
      <c r="AE58" s="374">
        <f>ABS(INDEX(AE:AE,MATCH(AE52,$AA:$AA,0)+14)+INDEX(AE:AE,MATCH(AE52,$AA:$AA,0)+15)+INDEX(AE:AE,MATCH(AE52,$AA:$AA,0)+16))</f>
        <v>184</v>
      </c>
      <c r="AF58" s="375"/>
      <c r="AG58" s="374">
        <f>ABS(INDEX(AG:AG,MATCH(AG52,$AA:$AA,0)+14)+INDEX(AG:AG,MATCH(AG52,$AA:$AA,0)+15)+INDEX(AG:AG,MATCH(AG52,$AA:$AA,0)+16))</f>
        <v>195</v>
      </c>
      <c r="AH58" s="375"/>
      <c r="AI58" s="374">
        <f>ABS(INDEX(AI:AI,MATCH(AI52,$AA:$AA,0)+14)+INDEX(AI:AI,MATCH(AI52,$AA:$AA,0)+15)+INDEX(AI:AI,MATCH(AI52,$AA:$AA,0)+16))</f>
        <v>206</v>
      </c>
      <c r="AJ58" s="375"/>
      <c r="AK58" s="374">
        <f>ABS(INDEX(AK:AK,MATCH(AK52,$AA:$AA,0)+14)+INDEX(AK:AK,MATCH(AK52,$AA:$AA,0)+15)+INDEX(AK:AK,MATCH(AK52,$AA:$AA,0)+16))</f>
        <v>168</v>
      </c>
      <c r="AL58" s="375"/>
      <c r="AM58" s="374">
        <f>ABS(INDEX(AM:AM,MATCH(AM52,$AA:$AA,0)+14)+INDEX(AM:AM,MATCH(AM52,$AA:$AA,0)+15)+INDEX(AM:AM,MATCH(AM52,$AA:$AA,0)+16))</f>
        <v>175</v>
      </c>
      <c r="AN58" s="375"/>
      <c r="AO58" s="374">
        <f>ABS(INDEX(AO:AO,MATCH(AO52,$AA:$AA,0)+14)+INDEX(AO:AO,MATCH(AO52,$AA:$AA,0)+15)+INDEX(AO:AO,MATCH(AO52,$AA:$AA,0)+16))</f>
        <v>263</v>
      </c>
      <c r="AP58" s="375"/>
      <c r="AQ58" s="374">
        <f>ABS(INDEX(AQ:AQ,MATCH(AQ52,$AA:$AA,0)+14)+INDEX(AQ:AQ,MATCH(AQ52,$AA:$AA,0)+15)+INDEX(AQ:AQ,MATCH(AQ52,$AA:$AA,0)+16))</f>
        <v>0</v>
      </c>
      <c r="AR58" s="375"/>
      <c r="AS58" s="374">
        <f>ABS(INDEX(AS:AS,MATCH(AS52,$AA:$AA,0)+14)+INDEX(AS:AS,MATCH(AS52,$AA:$AA,0)+15)+INDEX(AS:AS,MATCH(AS52,$AA:$AA,0)+16))</f>
        <v>213</v>
      </c>
      <c r="AT58" s="37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6.05" customHeight="1" x14ac:dyDescent="0.35">
      <c r="B59" s="354" t="str">
        <f t="shared" si="68"/>
        <v>Gesamt</v>
      </c>
      <c r="C59" s="355" t="str">
        <f t="shared" si="68"/>
        <v/>
      </c>
      <c r="D59" s="338">
        <f>IF(AC59=1505,"",AC59)</f>
        <v>738</v>
      </c>
      <c r="E59" s="338" t="str">
        <f>IF(AD59=0,"",AD59)</f>
        <v/>
      </c>
      <c r="F59" s="338">
        <f>IF(AE59=1505,"",AE59)</f>
        <v>758</v>
      </c>
      <c r="G59" s="338" t="str">
        <f>IF(AF59=0,"",AF59)</f>
        <v/>
      </c>
      <c r="H59" s="338">
        <f>IF(AG59=1505,"",AG59)</f>
        <v>731</v>
      </c>
      <c r="I59" s="338" t="str">
        <f>IF(AH59=0,"",AH59)</f>
        <v/>
      </c>
      <c r="J59" s="338">
        <f>IF(AI59=1505,"",AI59)</f>
        <v>750</v>
      </c>
      <c r="K59" s="338" t="str">
        <f>IF(AJ59=0,"",AJ59)</f>
        <v/>
      </c>
      <c r="L59" s="338">
        <f>IF(AK59=1505,"",AK59)</f>
        <v>665</v>
      </c>
      <c r="M59" s="338" t="str">
        <f>IF(AL59=0,"",AL59)</f>
        <v/>
      </c>
      <c r="N59" s="338">
        <f>IF(AM59=1505,"",AM59)</f>
        <v>700</v>
      </c>
      <c r="O59" s="338" t="str">
        <f>IF(AN59=0,"",AN59)</f>
        <v/>
      </c>
      <c r="P59" s="338">
        <f>IF(AO59=1505,"",AO59)</f>
        <v>809</v>
      </c>
      <c r="Q59" s="338" t="str">
        <f>IF(AP59=0,"",AP59)</f>
        <v/>
      </c>
      <c r="R59" s="338">
        <f>IF(AQ59=1505,"",AQ59)</f>
        <v>0</v>
      </c>
      <c r="S59" s="338" t="str">
        <f>IF(AR59=0,"",AR59)</f>
        <v/>
      </c>
      <c r="T59" s="338">
        <f>IF(AS59=1505,"",AS59)</f>
        <v>722</v>
      </c>
      <c r="U59" s="338" t="str">
        <f>IF(AT59=0,"",AT59)</f>
        <v/>
      </c>
      <c r="V59" s="290"/>
      <c r="W59" s="290"/>
      <c r="AA59" s="93" t="s">
        <v>1799</v>
      </c>
      <c r="AB59" s="94"/>
      <c r="AC59" s="354">
        <f>SUM(AC55:AC58)</f>
        <v>738</v>
      </c>
      <c r="AD59" s="355"/>
      <c r="AE59" s="354">
        <f>SUM(AE55:AE58)</f>
        <v>758</v>
      </c>
      <c r="AF59" s="355"/>
      <c r="AG59" s="354">
        <f>SUM(AG55:AG58)</f>
        <v>731</v>
      </c>
      <c r="AH59" s="355"/>
      <c r="AI59" s="354">
        <f>SUM(AI55:AI58)</f>
        <v>750</v>
      </c>
      <c r="AJ59" s="355"/>
      <c r="AK59" s="354">
        <f>SUM(AK55:AK58)</f>
        <v>665</v>
      </c>
      <c r="AL59" s="355"/>
      <c r="AM59" s="354">
        <f>SUM(AM55:AM58)</f>
        <v>700</v>
      </c>
      <c r="AN59" s="355"/>
      <c r="AO59" s="354">
        <f>SUM(AO55:AO58)</f>
        <v>809</v>
      </c>
      <c r="AP59" s="355"/>
      <c r="AQ59" s="354">
        <f>SUM(AQ55:AQ58)</f>
        <v>0</v>
      </c>
      <c r="AR59" s="355"/>
      <c r="AS59" s="354">
        <f>SUM(AS55:AS58)</f>
        <v>722</v>
      </c>
      <c r="AT59" s="35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3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7">
      <c r="B61" s="44" t="str">
        <f>AA61</f>
        <v>Team-Nr.</v>
      </c>
      <c r="C61" s="45"/>
      <c r="D61" s="44" t="str">
        <f>AC61</f>
        <v>Liga:</v>
      </c>
      <c r="E61" s="47"/>
      <c r="F61" s="359" t="str">
        <f>AE61</f>
        <v>Bayernliga Frauen</v>
      </c>
      <c r="G61" s="359"/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48"/>
      <c r="S61" s="49" t="s">
        <v>1794</v>
      </c>
      <c r="T61" s="50"/>
      <c r="U61" s="360" t="str">
        <f>AT61</f>
        <v>02.11./03.11.</v>
      </c>
      <c r="V61" s="361"/>
      <c r="W61" s="362"/>
      <c r="X61" s="363"/>
      <c r="Y61" s="364"/>
      <c r="Z61" s="364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0" t="str">
        <f>VLOOKUP(AS62,Spielorte!$A$1:$C$6,2)</f>
        <v>02.11./03.11.</v>
      </c>
      <c r="AU61" s="361"/>
      <c r="AV61" s="362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65">
      <c r="B62" s="53">
        <f>AA62</f>
        <v>3</v>
      </c>
      <c r="D62" s="46" t="s">
        <v>1793</v>
      </c>
      <c r="E62" s="54"/>
      <c r="F62" s="358" t="str">
        <f>AE62</f>
        <v>Regensburg Super Bowl</v>
      </c>
      <c r="G62" s="358"/>
      <c r="H62" s="358"/>
      <c r="I62" s="358"/>
      <c r="J62" s="358"/>
      <c r="K62" s="358"/>
      <c r="L62" s="358"/>
      <c r="M62" s="358"/>
      <c r="N62" s="358"/>
      <c r="O62" s="358"/>
      <c r="P62" s="55"/>
      <c r="Q62" s="55"/>
      <c r="S62" s="49" t="s">
        <v>1791</v>
      </c>
      <c r="T62" s="56">
        <f>AS62</f>
        <v>2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Regensburg Super Bowl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2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4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5" thickBot="1" x14ac:dyDescent="0.45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VLOOKUP(AA62,Schlüssel!$A$5:$DZ$14,33)</f>
        <v>11</v>
      </c>
      <c r="AE64" s="65" t="s">
        <v>10</v>
      </c>
      <c r="AF64" s="44">
        <f>VLOOKUP(AA62,Schlüssel!$A$5:$DZ$14,34)</f>
        <v>6</v>
      </c>
      <c r="AG64" s="65" t="s">
        <v>10</v>
      </c>
      <c r="AH64" s="44">
        <f>VLOOKUP(AA62,Schlüssel!$A$5:$DZ$14,35)</f>
        <v>10</v>
      </c>
      <c r="AI64" s="65" t="s">
        <v>10</v>
      </c>
      <c r="AJ64" s="44">
        <f>VLOOKUP(AA62,Schlüssel!$A$5:$DZ$14,36)</f>
        <v>7</v>
      </c>
      <c r="AK64" s="65" t="s">
        <v>10</v>
      </c>
      <c r="AL64" s="44">
        <f>VLOOKUP(AA62,Schlüssel!$A$5:$DZ$14,37)</f>
        <v>12</v>
      </c>
      <c r="AM64" s="65" t="s">
        <v>10</v>
      </c>
      <c r="AN64" s="44">
        <f>VLOOKUP(AA62,Schlüssel!$A$5:$DZ$14,38)</f>
        <v>4</v>
      </c>
      <c r="AO64" s="65" t="s">
        <v>10</v>
      </c>
      <c r="AP64" s="44">
        <f>VLOOKUP(AA62,Schlüssel!$A$5:$DZ$14,39)</f>
        <v>9</v>
      </c>
      <c r="AQ64" s="65" t="s">
        <v>10</v>
      </c>
      <c r="AR64" s="44">
        <f>VLOOKUP(AA62,Schlüssel!$A$5:$DZ$14,40)</f>
        <v>5</v>
      </c>
      <c r="AS64" s="65" t="s">
        <v>10</v>
      </c>
      <c r="AT64" s="66">
        <f>VLOOKUP(AA62,Schlüssel!$A$5:$DZ$14,41)</f>
        <v>3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35">
      <c r="B65" s="67" t="s">
        <v>1</v>
      </c>
      <c r="C65" s="68"/>
      <c r="D65" s="354" t="s">
        <v>1800</v>
      </c>
      <c r="E65" s="355"/>
      <c r="F65" s="354" t="s">
        <v>1801</v>
      </c>
      <c r="G65" s="355"/>
      <c r="H65" s="354" t="s">
        <v>1802</v>
      </c>
      <c r="I65" s="355"/>
      <c r="J65" s="354" t="s">
        <v>1803</v>
      </c>
      <c r="K65" s="355"/>
      <c r="L65" s="354" t="s">
        <v>1804</v>
      </c>
      <c r="M65" s="355"/>
      <c r="N65" s="354" t="s">
        <v>1805</v>
      </c>
      <c r="O65" s="355"/>
      <c r="P65" s="354" t="s">
        <v>1806</v>
      </c>
      <c r="Q65" s="355"/>
      <c r="R65" s="354" t="s">
        <v>1807</v>
      </c>
      <c r="S65" s="355"/>
      <c r="T65" s="354" t="s">
        <v>1808</v>
      </c>
      <c r="U65" s="355"/>
      <c r="V65" s="356" t="s">
        <v>1799</v>
      </c>
      <c r="W65" s="357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4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2" customHeight="1" x14ac:dyDescent="0.35">
      <c r="A67" s="367" t="s">
        <v>0</v>
      </c>
      <c r="B67" s="73" t="str">
        <f>IF(AA67=0,"",AA67)</f>
        <v>Auer, Cornelia</v>
      </c>
      <c r="C67" s="74">
        <f>IF(AB67=0,"",AB67)</f>
        <v>25298</v>
      </c>
      <c r="D67" s="75">
        <f>IF(AC67=0,"",AC67)</f>
        <v>191</v>
      </c>
      <c r="E67" s="348">
        <f>IF(AD67="","",AD67)</f>
        <v>1</v>
      </c>
      <c r="F67" s="75">
        <f t="shared" ref="F67:F80" si="69">IF(AE67=0,"",AE67)</f>
        <v>213</v>
      </c>
      <c r="G67" s="348">
        <f>IF(AF67="","",AF67)</f>
        <v>1</v>
      </c>
      <c r="H67" s="75">
        <f t="shared" ref="H67:H80" si="70">IF(AG67=0,"",AG67)</f>
        <v>190</v>
      </c>
      <c r="I67" s="348">
        <f>IF(AH67="","",AH67)</f>
        <v>0</v>
      </c>
      <c r="J67" s="75">
        <f t="shared" ref="J67:J80" si="71">IF(AI67=0,"",AI67)</f>
        <v>155</v>
      </c>
      <c r="K67" s="348">
        <f>IF(AJ67="","",AJ67)</f>
        <v>1</v>
      </c>
      <c r="L67" s="75">
        <f t="shared" ref="L67:L80" si="72">IF(AK67=0,"",AK67)</f>
        <v>178</v>
      </c>
      <c r="M67" s="348">
        <f>IF(AL67="","",AL67)</f>
        <v>0</v>
      </c>
      <c r="N67" s="75">
        <f>IF(AM67=0,"",AM67)</f>
        <v>178</v>
      </c>
      <c r="O67" s="348">
        <f>IF(AN67="","",AN67)</f>
        <v>0</v>
      </c>
      <c r="P67" s="75">
        <f t="shared" ref="P67:P80" si="73">IF(AO67=0,"",AO67)</f>
        <v>182</v>
      </c>
      <c r="Q67" s="348">
        <f>IF(AP67="","",AP67)</f>
        <v>0</v>
      </c>
      <c r="R67" s="75">
        <f t="shared" ref="R67:R80" si="74">IF(AQ67=0,"",AQ67)</f>
        <v>189</v>
      </c>
      <c r="S67" s="348">
        <f>IF(AR67="","",AR67)</f>
        <v>1</v>
      </c>
      <c r="T67" s="75">
        <f t="shared" ref="T67:T80" si="75">IF(AS67=0,"",AS67)</f>
        <v>223</v>
      </c>
      <c r="U67" s="348">
        <f>IF(AT67="","",AT67)</f>
        <v>1</v>
      </c>
      <c r="V67" s="75">
        <f t="shared" ref="V67:V80" si="76">IF(AU67=0,"",AU67)</f>
        <v>1699</v>
      </c>
      <c r="W67" s="348">
        <f>IF(AV67="","",AV67)</f>
        <v>5</v>
      </c>
      <c r="Z67" s="351" t="s">
        <v>0</v>
      </c>
      <c r="AA67" s="108" t="str">
        <f>IF(AB67=0,"",VLOOKUP(AB67,Starter!$A$1:$D$199,2,FALSE))</f>
        <v>Auer, Cornelia</v>
      </c>
      <c r="AB67" s="99">
        <v>25298</v>
      </c>
      <c r="AC67" s="185">
        <v>191</v>
      </c>
      <c r="AD67" s="109">
        <f>IF(SUM(AC67:AC69)+AC85=0,0,IF(SUM(AC67:AC69)=AC85,0.5,IF(SUM(AC67:AC69)&gt;AC85,1,0)))</f>
        <v>1</v>
      </c>
      <c r="AE67" s="185">
        <v>213</v>
      </c>
      <c r="AF67" s="109">
        <f>IF(SUM(AE67:AE69)+AE85=0,0,IF(SUM(AE67:AE69)=AE85,0.5,IF(SUM(AE67:AE69)&gt;AE85,1,0)))</f>
        <v>1</v>
      </c>
      <c r="AG67" s="185">
        <v>190</v>
      </c>
      <c r="AH67" s="109">
        <f>IF(SUM(AG67:AG69)+AG85=0,0,IF(SUM(AG67:AG69)=AG85,0.5,IF(SUM(AG67:AG69)&gt;AG85,1,0)))</f>
        <v>0</v>
      </c>
      <c r="AI67" s="185">
        <v>155</v>
      </c>
      <c r="AJ67" s="109">
        <f>IF(SUM(AI67:AI69)+AI85=0,0,IF(SUM(AI67:AI69)=AI85,0.5,IF(SUM(AI67:AI69)&gt;AI85,1,0)))</f>
        <v>1</v>
      </c>
      <c r="AK67" s="185">
        <v>178</v>
      </c>
      <c r="AL67" s="109">
        <f>IF(SUM(AK67:AK69)+AK85=0,0,IF(SUM(AK67:AK69)=AK85,0.5,IF(SUM(AK67:AK69)&gt;AK85,1,0)))</f>
        <v>0</v>
      </c>
      <c r="AM67" s="185">
        <v>178</v>
      </c>
      <c r="AN67" s="109">
        <f>IF(SUM(AM67:AM69)+AM85=0,0,IF(SUM(AM67:AM69)=AM85,0.5,IF(SUM(AM67:AM69)&gt;AM85,1,0)))</f>
        <v>0</v>
      </c>
      <c r="AO67" s="185">
        <v>182</v>
      </c>
      <c r="AP67" s="109">
        <f>IF(SUM(AO67:AO69)+AO85=0,0,IF(SUM(AO67:AO69)=AO85,0.5,IF(SUM(AO67:AO69)&gt;AO85,1,0)))</f>
        <v>0</v>
      </c>
      <c r="AQ67" s="185">
        <v>189</v>
      </c>
      <c r="AR67" s="109">
        <f>IF(SUM(AQ67:AQ69)+AQ85=0,0,IF(SUM(AQ67:AQ69)=AQ85,0.5,IF(SUM(AQ67:AQ69)&gt;AQ85,1,0)))</f>
        <v>1</v>
      </c>
      <c r="AS67" s="185">
        <v>223</v>
      </c>
      <c r="AT67" s="109">
        <f>IF(SUM(AS67:AS69)+AS85=0,0,IF(SUM(AS67:AS69)=AS85,0.5,IF(SUM(AS67:AS69)&gt;AS85,1,0)))</f>
        <v>1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1699</v>
      </c>
      <c r="AV67" s="111">
        <f>SUM(AD67+AF67+AH67+AJ67+AL67+AN67+AP67+AR67+AT67)</f>
        <v>5</v>
      </c>
      <c r="AW67" s="101"/>
      <c r="AX67" s="102"/>
      <c r="AZ67" s="63"/>
      <c r="BA67" s="212"/>
      <c r="BB67" s="213"/>
      <c r="BC67" s="214"/>
      <c r="BD67" s="217">
        <f>+AB67</f>
        <v>25298</v>
      </c>
      <c r="BE67" s="213">
        <f>+AU67</f>
        <v>1699</v>
      </c>
      <c r="BF67" s="215">
        <f>COUNT(BH67:BP67)</f>
        <v>9</v>
      </c>
      <c r="BG67" s="215">
        <f>COUNTIF(BH67:BP67,"&gt;0")</f>
        <v>9</v>
      </c>
      <c r="BH67" s="215">
        <f t="shared" ref="BH67:BH78" si="78">IF(AC67=0,"",AC67)</f>
        <v>191</v>
      </c>
      <c r="BI67" s="215">
        <f t="shared" ref="BI67:BI78" si="79">IF(AE67=0,"",AE67)</f>
        <v>213</v>
      </c>
      <c r="BJ67" s="215">
        <f t="shared" ref="BJ67:BJ78" si="80">IF(AG67=0,"",AG67)</f>
        <v>190</v>
      </c>
      <c r="BK67" s="215">
        <f t="shared" ref="BK67:BK78" si="81">IF(AI67=0,"",AI67)</f>
        <v>155</v>
      </c>
      <c r="BL67" s="215">
        <f t="shared" ref="BL67:BL78" si="82">IF(AK67=0,"",AK67)</f>
        <v>178</v>
      </c>
      <c r="BM67" s="215">
        <f t="shared" ref="BM67:BM78" si="83">IF(AM67=0,"",AM67)</f>
        <v>178</v>
      </c>
      <c r="BN67" s="215">
        <f t="shared" ref="BN67:BN78" si="84">IF(AO67=0,"",AO67)</f>
        <v>182</v>
      </c>
      <c r="BO67" s="215">
        <f t="shared" ref="BO67:BO78" si="85">IF(AQ67=0,"",AQ67)</f>
        <v>189</v>
      </c>
      <c r="BP67" s="215">
        <f t="shared" ref="BP67:BP78" si="86">IF(AS67=0,"",AS67)</f>
        <v>223</v>
      </c>
      <c r="BQ67" s="216"/>
      <c r="BR67" s="214"/>
      <c r="BS67" s="215">
        <f>MAX(BH67:BP67)</f>
        <v>223</v>
      </c>
      <c r="BT67" s="215">
        <f>IF(BS67&lt;MAX(BS:BS),0,BS67+ROW()/1000000000)</f>
        <v>0</v>
      </c>
      <c r="BU67" s="215" t="str">
        <f>+AA63</f>
        <v>Highroller Rosenheim</v>
      </c>
      <c r="BV67" s="214">
        <f>RANK(BT67,BT:BT)</f>
        <v>2</v>
      </c>
      <c r="BW67" s="215">
        <f>SUMIF(BH67:BP67,"&gt;0")</f>
        <v>1699</v>
      </c>
      <c r="BX67" s="215">
        <f>IF(COUNTIF(BH67:BP67,"&gt;0")&lt;Spielorte!$A$23,0,BE67/Spielorte!$A$23)</f>
        <v>188.77777777777777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2" customHeight="1" x14ac:dyDescent="0.35">
      <c r="A68" s="368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9"/>
      <c r="F68" s="78" t="str">
        <f t="shared" si="69"/>
        <v/>
      </c>
      <c r="G68" s="349"/>
      <c r="H68" s="78" t="str">
        <f t="shared" si="70"/>
        <v/>
      </c>
      <c r="I68" s="349"/>
      <c r="J68" s="78" t="str">
        <f t="shared" si="71"/>
        <v/>
      </c>
      <c r="K68" s="349"/>
      <c r="L68" s="78" t="str">
        <f t="shared" si="72"/>
        <v/>
      </c>
      <c r="M68" s="349"/>
      <c r="N68" s="78" t="str">
        <f t="shared" ref="N68:N80" si="89">IF(AM68=0,"",AM68)</f>
        <v/>
      </c>
      <c r="O68" s="349"/>
      <c r="P68" s="78" t="str">
        <f t="shared" si="73"/>
        <v/>
      </c>
      <c r="Q68" s="349"/>
      <c r="R68" s="78" t="str">
        <f t="shared" si="74"/>
        <v/>
      </c>
      <c r="S68" s="349"/>
      <c r="T68" s="78" t="str">
        <f t="shared" si="75"/>
        <v/>
      </c>
      <c r="U68" s="349"/>
      <c r="V68" s="78" t="str">
        <f t="shared" si="76"/>
        <v/>
      </c>
      <c r="W68" s="349"/>
      <c r="Z68" s="352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0</v>
      </c>
      <c r="BU68" s="215" t="str">
        <f t="shared" ref="BU68:BU78" si="96">+BU67</f>
        <v>Highroller Rosenheim</v>
      </c>
      <c r="BV68" s="214">
        <f t="shared" ref="BV68:BV78" si="97">RANK(BT68,BT:BT)</f>
        <v>2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2" customHeight="1" thickBot="1" x14ac:dyDescent="0.4">
      <c r="A69" s="369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0"/>
      <c r="F69" s="69" t="str">
        <f t="shared" si="69"/>
        <v/>
      </c>
      <c r="G69" s="350"/>
      <c r="H69" s="69" t="str">
        <f t="shared" si="70"/>
        <v/>
      </c>
      <c r="I69" s="350"/>
      <c r="J69" s="69" t="str">
        <f t="shared" si="71"/>
        <v/>
      </c>
      <c r="K69" s="350"/>
      <c r="L69" s="69" t="str">
        <f t="shared" si="72"/>
        <v/>
      </c>
      <c r="M69" s="350"/>
      <c r="N69" s="69" t="str">
        <f t="shared" si="89"/>
        <v/>
      </c>
      <c r="O69" s="350"/>
      <c r="P69" s="69" t="str">
        <f t="shared" si="73"/>
        <v/>
      </c>
      <c r="Q69" s="350"/>
      <c r="R69" s="69" t="str">
        <f t="shared" si="74"/>
        <v/>
      </c>
      <c r="S69" s="350"/>
      <c r="T69" s="69" t="str">
        <f t="shared" si="75"/>
        <v/>
      </c>
      <c r="U69" s="350"/>
      <c r="V69" s="69" t="str">
        <f t="shared" si="76"/>
        <v/>
      </c>
      <c r="W69" s="350"/>
      <c r="Z69" s="353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Highroller Rosenheim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2" customHeight="1" x14ac:dyDescent="0.35">
      <c r="A70" s="367" t="s">
        <v>2</v>
      </c>
      <c r="B70" s="73" t="str">
        <f t="shared" si="88"/>
        <v>Rauscher, Julia</v>
      </c>
      <c r="C70" s="74">
        <f t="shared" si="88"/>
        <v>38758</v>
      </c>
      <c r="D70" s="75">
        <f t="shared" si="88"/>
        <v>179</v>
      </c>
      <c r="E70" s="348">
        <f>IF(AD70="","",AD70)</f>
        <v>1</v>
      </c>
      <c r="F70" s="75">
        <f t="shared" si="69"/>
        <v>213</v>
      </c>
      <c r="G70" s="348">
        <f>IF(AF70="","",AF70)</f>
        <v>1</v>
      </c>
      <c r="H70" s="75">
        <f t="shared" si="70"/>
        <v>189</v>
      </c>
      <c r="I70" s="348">
        <f>IF(AH70="","",AH70)</f>
        <v>1</v>
      </c>
      <c r="J70" s="75">
        <f t="shared" si="71"/>
        <v>162</v>
      </c>
      <c r="K70" s="348">
        <f>IF(AJ70="","",AJ70)</f>
        <v>1</v>
      </c>
      <c r="L70" s="75">
        <f t="shared" si="72"/>
        <v>157</v>
      </c>
      <c r="M70" s="348">
        <f>IF(AL70="","",AL70)</f>
        <v>1</v>
      </c>
      <c r="N70" s="75">
        <f t="shared" si="89"/>
        <v>158</v>
      </c>
      <c r="O70" s="348">
        <f>IF(AN70="","",AN70)</f>
        <v>1</v>
      </c>
      <c r="P70" s="75">
        <f t="shared" si="73"/>
        <v>189</v>
      </c>
      <c r="Q70" s="348">
        <f>IF(AP70="","",AP70)</f>
        <v>1</v>
      </c>
      <c r="R70" s="75">
        <f t="shared" si="74"/>
        <v>149</v>
      </c>
      <c r="S70" s="348">
        <f>IF(AR70="","",AR70)</f>
        <v>0</v>
      </c>
      <c r="T70" s="75">
        <f t="shared" si="75"/>
        <v>162</v>
      </c>
      <c r="U70" s="348">
        <f>IF(AT70="","",AT70)</f>
        <v>1</v>
      </c>
      <c r="V70" s="75">
        <f t="shared" si="76"/>
        <v>1558</v>
      </c>
      <c r="W70" s="348">
        <f>IF(AV70="","",AV70)</f>
        <v>8</v>
      </c>
      <c r="Z70" s="351" t="s">
        <v>2</v>
      </c>
      <c r="AA70" s="108" t="str">
        <f>IF(AB70=0,"",VLOOKUP(AB70,Starter!$A$1:$D$199,2,FALSE))</f>
        <v>Rauscher, Julia</v>
      </c>
      <c r="AB70" s="99">
        <v>38758</v>
      </c>
      <c r="AC70" s="188">
        <v>179</v>
      </c>
      <c r="AD70" s="109">
        <f>IF(SUM(AC70:AC72)+AC86=0,0,IF(SUM(AC70:AC72)=AC86,0.5,IF(SUM(AC70:AC72)&gt;AC86,1,0)))</f>
        <v>1</v>
      </c>
      <c r="AE70" s="188">
        <v>213</v>
      </c>
      <c r="AF70" s="109">
        <f>IF(SUM(AE70:AE72)+AE86=0,0,IF(SUM(AE70:AE72)=AE86,0.5,IF(SUM(AE70:AE72)&gt;AE86,1,0)))</f>
        <v>1</v>
      </c>
      <c r="AG70" s="188">
        <v>189</v>
      </c>
      <c r="AH70" s="109">
        <f>IF(SUM(AG70:AG72)+AG86=0,0,IF(SUM(AG70:AG72)=AG86,0.5,IF(SUM(AG70:AG72)&gt;AG86,1,0)))</f>
        <v>1</v>
      </c>
      <c r="AI70" s="188">
        <v>162</v>
      </c>
      <c r="AJ70" s="109">
        <f>IF(SUM(AI70:AI72)+AI86=0,0,IF(SUM(AI70:AI72)=AI86,0.5,IF(SUM(AI70:AI72)&gt;AI86,1,0)))</f>
        <v>1</v>
      </c>
      <c r="AK70" s="188">
        <v>157</v>
      </c>
      <c r="AL70" s="109">
        <f>IF(SUM(AK70:AK72)+AK86=0,0,IF(SUM(AK70:AK72)=AK86,0.5,IF(SUM(AK70:AK72)&gt;AK86,1,0)))</f>
        <v>1</v>
      </c>
      <c r="AM70" s="188">
        <v>158</v>
      </c>
      <c r="AN70" s="109">
        <f>IF(SUM(AM70:AM72)+AM86=0,0,IF(SUM(AM70:AM72)=AM86,0.5,IF(SUM(AM70:AM72)&gt;AM86,1,0)))</f>
        <v>1</v>
      </c>
      <c r="AO70" s="188">
        <v>189</v>
      </c>
      <c r="AP70" s="109">
        <f>IF(SUM(AO70:AO72)+AO86=0,0,IF(SUM(AO70:AO72)=AO86,0.5,IF(SUM(AO70:AO72)&gt;AO86,1,0)))</f>
        <v>1</v>
      </c>
      <c r="AQ70" s="188">
        <v>149</v>
      </c>
      <c r="AR70" s="109">
        <f>IF(SUM(AQ70:AQ72)+AQ86=0,0,IF(SUM(AQ70:AQ72)=AQ86,0.5,IF(SUM(AQ70:AQ72)&gt;AQ86,1,0)))</f>
        <v>0</v>
      </c>
      <c r="AS70" s="188">
        <v>162</v>
      </c>
      <c r="AT70" s="109">
        <f>IF(SUM(AS70:AS72)+AS86=0,0,IF(SUM(AS70:AS72)=AS86,0.5,IF(SUM(AS70:AS72)&gt;AS86,1,0)))</f>
        <v>1</v>
      </c>
      <c r="AU70" s="110">
        <f t="shared" si="77"/>
        <v>1558</v>
      </c>
      <c r="AV70" s="111">
        <f>SUM(AD70+AF70+AH70+AJ70+AL70+AN70+AP70+AR70+AT70)</f>
        <v>8</v>
      </c>
      <c r="AW70" s="101"/>
      <c r="AX70" s="102"/>
      <c r="AZ70" s="63"/>
      <c r="BA70" s="212"/>
      <c r="BB70" s="213"/>
      <c r="BC70" s="214"/>
      <c r="BD70" s="217">
        <f t="shared" si="90"/>
        <v>38758</v>
      </c>
      <c r="BE70" s="213">
        <f t="shared" si="91"/>
        <v>1558</v>
      </c>
      <c r="BF70" s="215">
        <f t="shared" si="92"/>
        <v>9</v>
      </c>
      <c r="BG70" s="215">
        <f t="shared" si="93"/>
        <v>9</v>
      </c>
      <c r="BH70" s="215">
        <f t="shared" si="78"/>
        <v>179</v>
      </c>
      <c r="BI70" s="215">
        <f t="shared" si="79"/>
        <v>213</v>
      </c>
      <c r="BJ70" s="215">
        <f t="shared" si="80"/>
        <v>189</v>
      </c>
      <c r="BK70" s="215">
        <f t="shared" si="81"/>
        <v>162</v>
      </c>
      <c r="BL70" s="215">
        <f t="shared" si="82"/>
        <v>157</v>
      </c>
      <c r="BM70" s="215">
        <f t="shared" si="83"/>
        <v>158</v>
      </c>
      <c r="BN70" s="215">
        <f t="shared" si="84"/>
        <v>189</v>
      </c>
      <c r="BO70" s="215">
        <f t="shared" si="85"/>
        <v>149</v>
      </c>
      <c r="BP70" s="215">
        <f t="shared" si="86"/>
        <v>162</v>
      </c>
      <c r="BQ70" s="216"/>
      <c r="BR70" s="214"/>
      <c r="BS70" s="215">
        <f t="shared" si="94"/>
        <v>213</v>
      </c>
      <c r="BT70" s="215">
        <f t="shared" si="95"/>
        <v>0</v>
      </c>
      <c r="BU70" s="215" t="str">
        <f t="shared" si="96"/>
        <v>Highroller Rosenheim</v>
      </c>
      <c r="BV70" s="214">
        <f t="shared" si="97"/>
        <v>2</v>
      </c>
      <c r="BW70" s="215">
        <f t="shared" si="98"/>
        <v>1558</v>
      </c>
      <c r="BX70" s="215">
        <f>IF(COUNTIF(BH70:BP70,"&gt;0")&lt;Spielorte!$A$23,0,BE70/Spielorte!$A$23)</f>
        <v>173.11111111111111</v>
      </c>
      <c r="BY70" s="215">
        <f t="shared" si="99"/>
        <v>0</v>
      </c>
      <c r="BZ70" s="214">
        <f t="shared" si="87"/>
        <v>0</v>
      </c>
    </row>
    <row r="71" spans="1:78" ht="17.2" customHeight="1" x14ac:dyDescent="0.35">
      <c r="A71" s="368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9"/>
      <c r="F71" s="78" t="str">
        <f t="shared" si="69"/>
        <v/>
      </c>
      <c r="G71" s="349"/>
      <c r="H71" s="78" t="str">
        <f t="shared" si="70"/>
        <v/>
      </c>
      <c r="I71" s="349"/>
      <c r="J71" s="78" t="str">
        <f t="shared" si="71"/>
        <v/>
      </c>
      <c r="K71" s="349"/>
      <c r="L71" s="78" t="str">
        <f t="shared" si="72"/>
        <v/>
      </c>
      <c r="M71" s="349"/>
      <c r="N71" s="78" t="str">
        <f t="shared" si="89"/>
        <v/>
      </c>
      <c r="O71" s="349"/>
      <c r="P71" s="78" t="str">
        <f t="shared" si="73"/>
        <v/>
      </c>
      <c r="Q71" s="349"/>
      <c r="R71" s="78" t="str">
        <f t="shared" si="74"/>
        <v/>
      </c>
      <c r="S71" s="349"/>
      <c r="T71" s="78" t="str">
        <f t="shared" si="75"/>
        <v/>
      </c>
      <c r="U71" s="349"/>
      <c r="V71" s="78" t="str">
        <f t="shared" si="76"/>
        <v/>
      </c>
      <c r="W71" s="349"/>
      <c r="Z71" s="352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0</v>
      </c>
      <c r="BU71" s="215" t="str">
        <f t="shared" si="96"/>
        <v>Highroller Rosenheim</v>
      </c>
      <c r="BV71" s="214">
        <f t="shared" si="97"/>
        <v>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2" customHeight="1" thickBot="1" x14ac:dyDescent="0.4">
      <c r="A72" s="369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0"/>
      <c r="F72" s="69" t="str">
        <f t="shared" si="69"/>
        <v/>
      </c>
      <c r="G72" s="350"/>
      <c r="H72" s="69" t="str">
        <f t="shared" si="70"/>
        <v/>
      </c>
      <c r="I72" s="350"/>
      <c r="J72" s="69" t="str">
        <f t="shared" si="71"/>
        <v/>
      </c>
      <c r="K72" s="350"/>
      <c r="L72" s="69" t="str">
        <f t="shared" si="72"/>
        <v/>
      </c>
      <c r="M72" s="350"/>
      <c r="N72" s="69" t="str">
        <f t="shared" si="89"/>
        <v/>
      </c>
      <c r="O72" s="350"/>
      <c r="P72" s="69" t="str">
        <f t="shared" si="73"/>
        <v/>
      </c>
      <c r="Q72" s="350"/>
      <c r="R72" s="69" t="str">
        <f t="shared" si="74"/>
        <v/>
      </c>
      <c r="S72" s="350"/>
      <c r="T72" s="69" t="str">
        <f t="shared" si="75"/>
        <v/>
      </c>
      <c r="U72" s="350"/>
      <c r="V72" s="69" t="str">
        <f t="shared" si="76"/>
        <v/>
      </c>
      <c r="W72" s="350"/>
      <c r="Z72" s="353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Highroller Rosenheim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2" customHeight="1" x14ac:dyDescent="0.35">
      <c r="A73" s="367" t="s">
        <v>3</v>
      </c>
      <c r="B73" s="73" t="str">
        <f t="shared" si="88"/>
        <v>Lindner, Theresa</v>
      </c>
      <c r="C73" s="74">
        <f t="shared" si="88"/>
        <v>38458</v>
      </c>
      <c r="D73" s="75">
        <f t="shared" si="88"/>
        <v>148</v>
      </c>
      <c r="E73" s="348">
        <f>IF(AD73="","",AD73)</f>
        <v>0</v>
      </c>
      <c r="F73" s="75">
        <f t="shared" si="69"/>
        <v>151</v>
      </c>
      <c r="G73" s="348">
        <f>IF(AF73="","",AF73)</f>
        <v>1</v>
      </c>
      <c r="H73" s="75" t="str">
        <f t="shared" si="70"/>
        <v/>
      </c>
      <c r="I73" s="348">
        <f>IF(AH73="","",AH73)</f>
        <v>0</v>
      </c>
      <c r="J73" s="75" t="str">
        <f t="shared" si="71"/>
        <v/>
      </c>
      <c r="K73" s="348">
        <f>IF(AJ73="","",AJ73)</f>
        <v>1</v>
      </c>
      <c r="L73" s="75" t="str">
        <f t="shared" si="72"/>
        <v/>
      </c>
      <c r="M73" s="348">
        <f>IF(AL73="","",AL73)</f>
        <v>1</v>
      </c>
      <c r="N73" s="75" t="str">
        <f t="shared" si="89"/>
        <v/>
      </c>
      <c r="O73" s="348">
        <f>IF(AN73="","",AN73)</f>
        <v>1</v>
      </c>
      <c r="P73" s="75" t="str">
        <f t="shared" si="73"/>
        <v/>
      </c>
      <c r="Q73" s="348">
        <f>IF(AP73="","",AP73)</f>
        <v>0</v>
      </c>
      <c r="R73" s="75" t="str">
        <f t="shared" si="74"/>
        <v/>
      </c>
      <c r="S73" s="348">
        <f>IF(AR73="","",AR73)</f>
        <v>1</v>
      </c>
      <c r="T73" s="75" t="str">
        <f t="shared" si="75"/>
        <v/>
      </c>
      <c r="U73" s="348">
        <f>IF(AT73="","",AT73)</f>
        <v>0</v>
      </c>
      <c r="V73" s="75">
        <f t="shared" si="76"/>
        <v>299</v>
      </c>
      <c r="W73" s="348">
        <f>IF(AV73="","",AV73)</f>
        <v>5</v>
      </c>
      <c r="Z73" s="351" t="s">
        <v>3</v>
      </c>
      <c r="AA73" s="108" t="str">
        <f>IF(AB73=0,"",VLOOKUP(AB73,Starter!$A$1:$D$199,2,FALSE))</f>
        <v>Lindner, Theresa</v>
      </c>
      <c r="AB73" s="99">
        <v>38458</v>
      </c>
      <c r="AC73" s="188">
        <v>148</v>
      </c>
      <c r="AD73" s="109">
        <f>IF(SUM(AC73:AC75)+AC87=0,0,IF(SUM(AC73:AC75)=AC87,0.5,IF(SUM(AC73:AC75)&gt;AC87,1,0)))</f>
        <v>0</v>
      </c>
      <c r="AE73" s="188">
        <v>151</v>
      </c>
      <c r="AF73" s="109">
        <f>IF(SUM(AE73:AE75)+AE87=0,0,IF(SUM(AE73:AE75)=AE87,0.5,IF(SUM(AE73:AE75)&gt;AE87,1,0)))</f>
        <v>1</v>
      </c>
      <c r="AG73" s="188"/>
      <c r="AH73" s="109">
        <f>IF(SUM(AG73:AG75)+AG87=0,0,IF(SUM(AG73:AG75)=AG87,0.5,IF(SUM(AG73:AG75)&gt;AG87,1,0)))</f>
        <v>0</v>
      </c>
      <c r="AI73" s="188"/>
      <c r="AJ73" s="109">
        <f>IF(SUM(AI73:AI75)+AI87=0,0,IF(SUM(AI73:AI75)=AI87,0.5,IF(SUM(AI73:AI75)&gt;AI87,1,0)))</f>
        <v>1</v>
      </c>
      <c r="AK73" s="188"/>
      <c r="AL73" s="109">
        <f>IF(SUM(AK73:AK75)+AK87=0,0,IF(SUM(AK73:AK75)=AK87,0.5,IF(SUM(AK73:AK75)&gt;AK87,1,0)))</f>
        <v>1</v>
      </c>
      <c r="AM73" s="188"/>
      <c r="AN73" s="109">
        <f>IF(SUM(AM73:AM75)+AM87=0,0,IF(SUM(AM73:AM75)=AM87,0.5,IF(SUM(AM73:AM75)&gt;AM87,1,0)))</f>
        <v>1</v>
      </c>
      <c r="AO73" s="188"/>
      <c r="AP73" s="109">
        <f>IF(SUM(AO73:AO75)+AO87=0,0,IF(SUM(AO73:AO75)=AO87,0.5,IF(SUM(AO73:AO75)&gt;AO87,1,0)))</f>
        <v>0</v>
      </c>
      <c r="AQ73" s="188"/>
      <c r="AR73" s="109">
        <f>IF(SUM(AQ73:AQ75)+AQ87=0,0,IF(SUM(AQ73:AQ75)=AQ87,0.5,IF(SUM(AQ73:AQ75)&gt;AQ87,1,0)))</f>
        <v>1</v>
      </c>
      <c r="AS73" s="188"/>
      <c r="AT73" s="109">
        <f>IF(SUM(AS73:AS75)+AS87=0,0,IF(SUM(AS73:AS75)=AS87,0.5,IF(SUM(AS73:AS75)&gt;AS87,1,0)))</f>
        <v>0</v>
      </c>
      <c r="AU73" s="110">
        <f t="shared" si="77"/>
        <v>299</v>
      </c>
      <c r="AV73" s="111">
        <f>SUM(AD73+AF73+AH73+AJ73+AL73+AN73+AP73+AR73+AT73)</f>
        <v>5</v>
      </c>
      <c r="AW73" s="101"/>
      <c r="AX73" s="102"/>
      <c r="AZ73" s="63"/>
      <c r="BA73" s="212"/>
      <c r="BB73" s="213"/>
      <c r="BC73" s="214"/>
      <c r="BD73" s="217">
        <f t="shared" si="90"/>
        <v>38458</v>
      </c>
      <c r="BE73" s="213">
        <f t="shared" si="91"/>
        <v>299</v>
      </c>
      <c r="BF73" s="215">
        <f t="shared" si="92"/>
        <v>2</v>
      </c>
      <c r="BG73" s="215">
        <f t="shared" si="93"/>
        <v>2</v>
      </c>
      <c r="BH73" s="215">
        <f t="shared" si="78"/>
        <v>148</v>
      </c>
      <c r="BI73" s="215">
        <f t="shared" si="79"/>
        <v>151</v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151</v>
      </c>
      <c r="BT73" s="215">
        <f t="shared" si="95"/>
        <v>0</v>
      </c>
      <c r="BU73" s="215" t="str">
        <f t="shared" si="96"/>
        <v>Highroller Rosenheim</v>
      </c>
      <c r="BV73" s="214">
        <f t="shared" si="97"/>
        <v>2</v>
      </c>
      <c r="BW73" s="215">
        <f t="shared" si="98"/>
        <v>299</v>
      </c>
      <c r="BX73" s="215">
        <f>IF(COUNTIF(BH73:BP73,"&gt;0")&lt;Spielorte!$A$23,0,BE73/Spielorte!$A$23)</f>
        <v>0</v>
      </c>
      <c r="BY73" s="215">
        <f t="shared" si="99"/>
        <v>0</v>
      </c>
      <c r="BZ73" s="214">
        <f t="shared" si="87"/>
        <v>0</v>
      </c>
    </row>
    <row r="74" spans="1:78" ht="17.2" customHeight="1" x14ac:dyDescent="0.35">
      <c r="A74" s="368"/>
      <c r="B74" s="76" t="str">
        <f t="shared" si="88"/>
        <v>Groll, Hanni</v>
      </c>
      <c r="C74" s="77">
        <f t="shared" si="88"/>
        <v>25630</v>
      </c>
      <c r="D74" s="78" t="str">
        <f t="shared" si="88"/>
        <v/>
      </c>
      <c r="E74" s="349"/>
      <c r="F74" s="78" t="str">
        <f t="shared" si="69"/>
        <v/>
      </c>
      <c r="G74" s="349"/>
      <c r="H74" s="78">
        <f t="shared" si="70"/>
        <v>169</v>
      </c>
      <c r="I74" s="349"/>
      <c r="J74" s="78">
        <f t="shared" si="71"/>
        <v>172</v>
      </c>
      <c r="K74" s="349"/>
      <c r="L74" s="78">
        <f t="shared" si="72"/>
        <v>162</v>
      </c>
      <c r="M74" s="349"/>
      <c r="N74" s="78">
        <f t="shared" si="89"/>
        <v>176</v>
      </c>
      <c r="O74" s="349"/>
      <c r="P74" s="78">
        <f t="shared" si="73"/>
        <v>157</v>
      </c>
      <c r="Q74" s="349"/>
      <c r="R74" s="78">
        <f t="shared" si="74"/>
        <v>163</v>
      </c>
      <c r="S74" s="349"/>
      <c r="T74" s="78">
        <f t="shared" si="75"/>
        <v>159</v>
      </c>
      <c r="U74" s="349"/>
      <c r="V74" s="78">
        <f t="shared" si="76"/>
        <v>1158</v>
      </c>
      <c r="W74" s="349"/>
      <c r="Z74" s="352"/>
      <c r="AA74" s="108" t="str">
        <f>IF(AB74=0,"",VLOOKUP(AB74,Starter!$A$1:$D$199,2,FALSE))</f>
        <v>Groll, Hanni</v>
      </c>
      <c r="AB74" s="98">
        <v>25630</v>
      </c>
      <c r="AC74" s="186"/>
      <c r="AD74" s="112"/>
      <c r="AE74" s="186"/>
      <c r="AF74" s="112"/>
      <c r="AG74" s="186">
        <v>169</v>
      </c>
      <c r="AH74" s="112"/>
      <c r="AI74" s="186">
        <v>172</v>
      </c>
      <c r="AJ74" s="112"/>
      <c r="AK74" s="186">
        <v>162</v>
      </c>
      <c r="AL74" s="112"/>
      <c r="AM74" s="186">
        <v>176</v>
      </c>
      <c r="AN74" s="112"/>
      <c r="AO74" s="186">
        <v>157</v>
      </c>
      <c r="AP74" s="112"/>
      <c r="AQ74" s="186">
        <v>163</v>
      </c>
      <c r="AR74" s="112"/>
      <c r="AS74" s="186">
        <v>159</v>
      </c>
      <c r="AT74" s="112"/>
      <c r="AU74" s="113">
        <f t="shared" si="77"/>
        <v>1158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25630</v>
      </c>
      <c r="BE74" s="213">
        <f t="shared" si="91"/>
        <v>1158</v>
      </c>
      <c r="BF74" s="215">
        <f t="shared" si="92"/>
        <v>7</v>
      </c>
      <c r="BG74" s="215">
        <f t="shared" si="93"/>
        <v>7</v>
      </c>
      <c r="BH74" s="215" t="str">
        <f t="shared" si="78"/>
        <v/>
      </c>
      <c r="BI74" s="215" t="str">
        <f t="shared" si="79"/>
        <v/>
      </c>
      <c r="BJ74" s="215">
        <f t="shared" si="80"/>
        <v>169</v>
      </c>
      <c r="BK74" s="215">
        <f t="shared" si="81"/>
        <v>172</v>
      </c>
      <c r="BL74" s="215">
        <f t="shared" si="82"/>
        <v>162</v>
      </c>
      <c r="BM74" s="215">
        <f t="shared" si="83"/>
        <v>176</v>
      </c>
      <c r="BN74" s="215">
        <f t="shared" si="84"/>
        <v>157</v>
      </c>
      <c r="BO74" s="215">
        <f t="shared" si="85"/>
        <v>163</v>
      </c>
      <c r="BP74" s="215">
        <f t="shared" si="86"/>
        <v>159</v>
      </c>
      <c r="BQ74" s="216"/>
      <c r="BR74" s="214"/>
      <c r="BS74" s="215">
        <f t="shared" si="94"/>
        <v>176</v>
      </c>
      <c r="BT74" s="215">
        <f t="shared" si="95"/>
        <v>0</v>
      </c>
      <c r="BU74" s="215" t="str">
        <f t="shared" si="96"/>
        <v>Highroller Rosenheim</v>
      </c>
      <c r="BV74" s="214">
        <f t="shared" si="97"/>
        <v>2</v>
      </c>
      <c r="BW74" s="215">
        <f t="shared" si="98"/>
        <v>1158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2" customHeight="1" thickBot="1" x14ac:dyDescent="0.4">
      <c r="A75" s="369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0"/>
      <c r="F75" s="69" t="str">
        <f t="shared" si="69"/>
        <v/>
      </c>
      <c r="G75" s="350"/>
      <c r="H75" s="69" t="str">
        <f t="shared" si="70"/>
        <v/>
      </c>
      <c r="I75" s="350"/>
      <c r="J75" s="69" t="str">
        <f t="shared" si="71"/>
        <v/>
      </c>
      <c r="K75" s="350"/>
      <c r="L75" s="69" t="str">
        <f t="shared" si="72"/>
        <v/>
      </c>
      <c r="M75" s="350"/>
      <c r="N75" s="69" t="str">
        <f t="shared" si="89"/>
        <v/>
      </c>
      <c r="O75" s="350"/>
      <c r="P75" s="69" t="str">
        <f t="shared" si="73"/>
        <v/>
      </c>
      <c r="Q75" s="350"/>
      <c r="R75" s="69" t="str">
        <f t="shared" si="74"/>
        <v/>
      </c>
      <c r="S75" s="350"/>
      <c r="T75" s="69" t="str">
        <f t="shared" si="75"/>
        <v/>
      </c>
      <c r="U75" s="350"/>
      <c r="V75" s="69" t="str">
        <f t="shared" si="76"/>
        <v/>
      </c>
      <c r="W75" s="350"/>
      <c r="Z75" s="353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Highroller Rosenheim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2" customHeight="1" x14ac:dyDescent="0.35">
      <c r="A76" s="367" t="s">
        <v>11</v>
      </c>
      <c r="B76" s="73" t="str">
        <f>IF(AA76=0,"",AA76)</f>
        <v>Schanze, Bianka</v>
      </c>
      <c r="C76" s="74">
        <f t="shared" si="88"/>
        <v>38757</v>
      </c>
      <c r="D76" s="75">
        <f t="shared" si="88"/>
        <v>170</v>
      </c>
      <c r="E76" s="348">
        <f>IF(AD76="","",AD76)</f>
        <v>0</v>
      </c>
      <c r="F76" s="75">
        <f t="shared" si="69"/>
        <v>181</v>
      </c>
      <c r="G76" s="348">
        <f>IF(AF76="","",AF76)</f>
        <v>1</v>
      </c>
      <c r="H76" s="75">
        <f t="shared" si="70"/>
        <v>141</v>
      </c>
      <c r="I76" s="348">
        <f>IF(AH76="","",AH76)</f>
        <v>0</v>
      </c>
      <c r="J76" s="75">
        <f t="shared" si="71"/>
        <v>191</v>
      </c>
      <c r="K76" s="348">
        <f>IF(AJ76="","",AJ76)</f>
        <v>1</v>
      </c>
      <c r="L76" s="75">
        <f t="shared" si="72"/>
        <v>168</v>
      </c>
      <c r="M76" s="348">
        <f>IF(AL76="","",AL76)</f>
        <v>0</v>
      </c>
      <c r="N76" s="75">
        <f t="shared" si="89"/>
        <v>157</v>
      </c>
      <c r="O76" s="348">
        <f>IF(AN76="","",AN76)</f>
        <v>0</v>
      </c>
      <c r="P76" s="75">
        <f t="shared" si="73"/>
        <v>168</v>
      </c>
      <c r="Q76" s="348">
        <f>IF(AP76="","",AP76)</f>
        <v>0</v>
      </c>
      <c r="R76" s="75" t="str">
        <f t="shared" si="74"/>
        <v/>
      </c>
      <c r="S76" s="348">
        <f>IF(AR76="","",AR76)</f>
        <v>0</v>
      </c>
      <c r="T76" s="75" t="str">
        <f t="shared" si="75"/>
        <v/>
      </c>
      <c r="U76" s="348">
        <f>IF(AT76="","",AT76)</f>
        <v>1</v>
      </c>
      <c r="V76" s="75">
        <f t="shared" si="76"/>
        <v>1176</v>
      </c>
      <c r="W76" s="348">
        <f>IF(AV76="","",AV76)</f>
        <v>3</v>
      </c>
      <c r="Z76" s="351" t="s">
        <v>11</v>
      </c>
      <c r="AA76" s="108" t="str">
        <f>IF(AB76=0,"",VLOOKUP(AB76,Starter!$A$1:$D$199,2,FALSE))</f>
        <v>Schanze, Bianka</v>
      </c>
      <c r="AB76" s="99">
        <v>38757</v>
      </c>
      <c r="AC76" s="188">
        <v>170</v>
      </c>
      <c r="AD76" s="109">
        <f>IF(SUM(AC76:AC78)+AC88=0,0,IF(SUM(AC76:AC78)=AC88,0.5,IF(SUM(AC76:AC78)&gt;AC88,1,0)))</f>
        <v>0</v>
      </c>
      <c r="AE76" s="188">
        <v>181</v>
      </c>
      <c r="AF76" s="109">
        <f>IF(SUM(AE76:AE78)+AE88=0,0,IF(SUM(AE76:AE78)=AE88,0.5,IF(SUM(AE76:AE78)&gt;AE88,1,0)))</f>
        <v>1</v>
      </c>
      <c r="AG76" s="188">
        <v>141</v>
      </c>
      <c r="AH76" s="109">
        <f>IF(SUM(AG76:AG78)+AG88=0,0,IF(SUM(AG76:AG78)=AG88,0.5,IF(SUM(AG76:AG78)&gt;AG88,1,0)))</f>
        <v>0</v>
      </c>
      <c r="AI76" s="188">
        <v>191</v>
      </c>
      <c r="AJ76" s="109">
        <f>IF(SUM(AI76:AI78)+AI88=0,0,IF(SUM(AI76:AI78)=AI88,0.5,IF(SUM(AI76:AI78)&gt;AI88,1,0)))</f>
        <v>1</v>
      </c>
      <c r="AK76" s="188">
        <v>168</v>
      </c>
      <c r="AL76" s="109">
        <f>IF(SUM(AK76:AK78)+AK88=0,0,IF(SUM(AK76:AK78)=AK88,0.5,IF(SUM(AK76:AK78)&gt;AK88,1,0)))</f>
        <v>0</v>
      </c>
      <c r="AM76" s="188">
        <v>157</v>
      </c>
      <c r="AN76" s="109">
        <f>IF(SUM(AM76:AM78)+AM88=0,0,IF(SUM(AM76:AM78)=AM88,0.5,IF(SUM(AM76:AM78)&gt;AM88,1,0)))</f>
        <v>0</v>
      </c>
      <c r="AO76" s="188">
        <v>168</v>
      </c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1</v>
      </c>
      <c r="AU76" s="110">
        <f t="shared" si="77"/>
        <v>1176</v>
      </c>
      <c r="AV76" s="111">
        <f>SUM(AD76+AF76+AH76+AJ76+AL76+AN76+AP76+AR76+AT76)</f>
        <v>3</v>
      </c>
      <c r="AW76" s="101"/>
      <c r="AX76" s="102"/>
      <c r="AZ76" s="63"/>
      <c r="BA76" s="212"/>
      <c r="BB76" s="213"/>
      <c r="BC76" s="214"/>
      <c r="BD76" s="217">
        <f t="shared" si="90"/>
        <v>38757</v>
      </c>
      <c r="BE76" s="213">
        <f t="shared" si="91"/>
        <v>1176</v>
      </c>
      <c r="BF76" s="215">
        <f t="shared" si="92"/>
        <v>7</v>
      </c>
      <c r="BG76" s="215">
        <f t="shared" si="93"/>
        <v>7</v>
      </c>
      <c r="BH76" s="215">
        <f t="shared" si="78"/>
        <v>170</v>
      </c>
      <c r="BI76" s="215">
        <f t="shared" si="79"/>
        <v>181</v>
      </c>
      <c r="BJ76" s="215">
        <f t="shared" si="80"/>
        <v>141</v>
      </c>
      <c r="BK76" s="215">
        <f t="shared" si="81"/>
        <v>191</v>
      </c>
      <c r="BL76" s="215">
        <f t="shared" si="82"/>
        <v>168</v>
      </c>
      <c r="BM76" s="215">
        <f t="shared" si="83"/>
        <v>157</v>
      </c>
      <c r="BN76" s="215">
        <f t="shared" si="84"/>
        <v>168</v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191</v>
      </c>
      <c r="BT76" s="215">
        <f t="shared" si="95"/>
        <v>0</v>
      </c>
      <c r="BU76" s="215" t="str">
        <f t="shared" si="96"/>
        <v>Highroller Rosenheim</v>
      </c>
      <c r="BV76" s="214">
        <f t="shared" si="97"/>
        <v>2</v>
      </c>
      <c r="BW76" s="215">
        <f t="shared" si="98"/>
        <v>1176</v>
      </c>
      <c r="BX76" s="215">
        <f>IF(COUNTIF(BH76:BP76,"&gt;0")&lt;Spielorte!$A$23,0,BE76/Spielorte!$A$23)</f>
        <v>0</v>
      </c>
      <c r="BY76" s="215">
        <f t="shared" si="99"/>
        <v>0</v>
      </c>
      <c r="BZ76" s="214">
        <f t="shared" si="87"/>
        <v>0</v>
      </c>
    </row>
    <row r="77" spans="1:78" ht="17.2" customHeight="1" x14ac:dyDescent="0.35">
      <c r="A77" s="368"/>
      <c r="B77" s="76" t="str">
        <f>IF(AA77=0,"",AA77)</f>
        <v>Lindner, Theresa</v>
      </c>
      <c r="C77" s="77">
        <f t="shared" si="88"/>
        <v>38458</v>
      </c>
      <c r="D77" s="78" t="str">
        <f t="shared" si="88"/>
        <v/>
      </c>
      <c r="E77" s="349"/>
      <c r="F77" s="78" t="str">
        <f t="shared" si="69"/>
        <v/>
      </c>
      <c r="G77" s="349"/>
      <c r="H77" s="78" t="str">
        <f t="shared" si="70"/>
        <v/>
      </c>
      <c r="I77" s="349"/>
      <c r="J77" s="78" t="str">
        <f t="shared" si="71"/>
        <v/>
      </c>
      <c r="K77" s="349"/>
      <c r="L77" s="78" t="str">
        <f t="shared" si="72"/>
        <v/>
      </c>
      <c r="M77" s="349"/>
      <c r="N77" s="78" t="str">
        <f t="shared" si="89"/>
        <v/>
      </c>
      <c r="O77" s="349"/>
      <c r="P77" s="78" t="str">
        <f t="shared" si="73"/>
        <v/>
      </c>
      <c r="Q77" s="349"/>
      <c r="R77" s="78">
        <f t="shared" si="74"/>
        <v>171</v>
      </c>
      <c r="S77" s="349"/>
      <c r="T77" s="78">
        <f t="shared" si="75"/>
        <v>224</v>
      </c>
      <c r="U77" s="349"/>
      <c r="V77" s="78">
        <f t="shared" si="76"/>
        <v>395</v>
      </c>
      <c r="W77" s="349"/>
      <c r="Z77" s="352"/>
      <c r="AA77" s="108" t="str">
        <f>IF(AB77=0,"",VLOOKUP(AB77,Starter!$A$1:$D$199,2,FALSE))</f>
        <v>Lindner, Theresa</v>
      </c>
      <c r="AB77" s="98">
        <v>38458</v>
      </c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>
        <v>171</v>
      </c>
      <c r="AR77" s="112"/>
      <c r="AS77" s="186">
        <v>224</v>
      </c>
      <c r="AT77" s="112"/>
      <c r="AU77" s="113">
        <f t="shared" si="77"/>
        <v>395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38458</v>
      </c>
      <c r="BE77" s="213">
        <f t="shared" si="91"/>
        <v>395</v>
      </c>
      <c r="BF77" s="215">
        <f t="shared" si="92"/>
        <v>2</v>
      </c>
      <c r="BG77" s="215">
        <f t="shared" si="93"/>
        <v>2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>
        <f t="shared" si="85"/>
        <v>171</v>
      </c>
      <c r="BP77" s="215">
        <f t="shared" si="86"/>
        <v>224</v>
      </c>
      <c r="BQ77" s="216"/>
      <c r="BR77" s="214"/>
      <c r="BS77" s="215">
        <f t="shared" si="94"/>
        <v>224</v>
      </c>
      <c r="BT77" s="215">
        <f t="shared" si="95"/>
        <v>0</v>
      </c>
      <c r="BU77" s="215" t="str">
        <f t="shared" si="96"/>
        <v>Highroller Rosenheim</v>
      </c>
      <c r="BV77" s="214">
        <f t="shared" si="97"/>
        <v>2</v>
      </c>
      <c r="BW77" s="215">
        <f t="shared" si="98"/>
        <v>395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2" customHeight="1" thickBot="1" x14ac:dyDescent="0.4">
      <c r="A78" s="369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0"/>
      <c r="F78" s="69" t="str">
        <f t="shared" si="69"/>
        <v/>
      </c>
      <c r="G78" s="350"/>
      <c r="H78" s="69" t="str">
        <f t="shared" si="70"/>
        <v/>
      </c>
      <c r="I78" s="350"/>
      <c r="J78" s="69" t="str">
        <f t="shared" si="71"/>
        <v/>
      </c>
      <c r="K78" s="350"/>
      <c r="L78" s="69" t="str">
        <f t="shared" si="72"/>
        <v/>
      </c>
      <c r="M78" s="350"/>
      <c r="N78" s="69" t="str">
        <f t="shared" si="89"/>
        <v/>
      </c>
      <c r="O78" s="350"/>
      <c r="P78" s="69" t="str">
        <f t="shared" si="73"/>
        <v/>
      </c>
      <c r="Q78" s="350"/>
      <c r="R78" s="69" t="str">
        <f t="shared" si="74"/>
        <v/>
      </c>
      <c r="S78" s="350"/>
      <c r="T78" s="69" t="str">
        <f t="shared" si="75"/>
        <v/>
      </c>
      <c r="U78" s="350"/>
      <c r="V78" s="69" t="str">
        <f t="shared" si="76"/>
        <v/>
      </c>
      <c r="W78" s="350"/>
      <c r="Z78" s="353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Highroller Rosenheim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4">
      <c r="B79" s="81" t="str">
        <f>IF(AA79=0,"",AA79)</f>
        <v>Gesamt</v>
      </c>
      <c r="C79" s="82" t="str">
        <f t="shared" si="88"/>
        <v/>
      </c>
      <c r="D79" s="83">
        <f t="shared" si="88"/>
        <v>688</v>
      </c>
      <c r="E79" s="84">
        <f>IF(AD79="","",AD79)</f>
        <v>2</v>
      </c>
      <c r="F79" s="83">
        <f t="shared" si="69"/>
        <v>758</v>
      </c>
      <c r="G79" s="84">
        <f>IF(AF79="","",AF79)</f>
        <v>2</v>
      </c>
      <c r="H79" s="83">
        <f t="shared" si="70"/>
        <v>689</v>
      </c>
      <c r="I79" s="84">
        <f>IF(AH79="","",AH79)</f>
        <v>0</v>
      </c>
      <c r="J79" s="83">
        <f t="shared" si="71"/>
        <v>680</v>
      </c>
      <c r="K79" s="84">
        <f>IF(AJ79="","",AJ79)</f>
        <v>2</v>
      </c>
      <c r="L79" s="83">
        <f t="shared" si="72"/>
        <v>665</v>
      </c>
      <c r="M79" s="84">
        <f>IF(AL79="","",AL79)</f>
        <v>0</v>
      </c>
      <c r="N79" s="83">
        <f t="shared" si="89"/>
        <v>669</v>
      </c>
      <c r="O79" s="84">
        <f>IF(AN79="","",AN79)</f>
        <v>0</v>
      </c>
      <c r="P79" s="83">
        <f t="shared" si="73"/>
        <v>696</v>
      </c>
      <c r="Q79" s="84">
        <f>IF(AP79="","",AP79)</f>
        <v>0</v>
      </c>
      <c r="R79" s="83">
        <f t="shared" si="74"/>
        <v>672</v>
      </c>
      <c r="S79" s="84">
        <f>IF(AR79="","",AR79)</f>
        <v>0</v>
      </c>
      <c r="T79" s="83">
        <f t="shared" si="75"/>
        <v>768</v>
      </c>
      <c r="U79" s="84">
        <f>IF(AT79="","",AT79)</f>
        <v>2</v>
      </c>
      <c r="V79" s="83">
        <f t="shared" si="76"/>
        <v>6285</v>
      </c>
      <c r="W79" s="84">
        <f>IF(AV79="","",AV79)</f>
        <v>8</v>
      </c>
      <c r="AA79" s="81" t="s">
        <v>1799</v>
      </c>
      <c r="AB79" s="120"/>
      <c r="AC79" s="211">
        <f>ABS(SUM(AC67:AC69))+ABS(SUM(AC70:AC72))+ABS(SUM(AC73:AC75))+ABS(SUM(AC76:AC78))</f>
        <v>688</v>
      </c>
      <c r="AD79" s="121">
        <f>IF(AC79+AC89=0,0,IF(AC79=AC89,1,IF(AC79&gt;AC89,2,0)))</f>
        <v>2</v>
      </c>
      <c r="AE79" s="211">
        <f>ABS(SUM(AE67:AE69))+ABS(SUM(AE70:AE72))+ABS(SUM(AE73:AE75))+ABS(SUM(AE76:AE78))</f>
        <v>758</v>
      </c>
      <c r="AF79" s="121">
        <f>IF(AE79+AE89=0,0,IF(AE79=AE89,1,IF(AE79&gt;AE89,2,0)))</f>
        <v>2</v>
      </c>
      <c r="AG79" s="211">
        <f>ABS(SUM(AG67:AG69))+ABS(SUM(AG70:AG72))+ABS(SUM(AG73:AG75))+ABS(SUM(AG76:AG78))</f>
        <v>689</v>
      </c>
      <c r="AH79" s="121">
        <f>IF(AG79+AG89=0,0,IF(AG79=AG89,1,IF(AG79&gt;AG89,2,0)))</f>
        <v>0</v>
      </c>
      <c r="AI79" s="211">
        <f>ABS(SUM(AI67:AI69))+ABS(SUM(AI70:AI72))+ABS(SUM(AI73:AI75))+ABS(SUM(AI76:AI78))</f>
        <v>680</v>
      </c>
      <c r="AJ79" s="121">
        <f>IF(AI79+AI89=0,0,IF(AI79=AI89,1,IF(AI79&gt;AI89,2,0)))</f>
        <v>2</v>
      </c>
      <c r="AK79" s="211">
        <f>ABS(SUM(AK67:AK69))+ABS(SUM(AK70:AK72))+ABS(SUM(AK73:AK75))+ABS(SUM(AK76:AK78))</f>
        <v>665</v>
      </c>
      <c r="AL79" s="121">
        <f>IF(AK79+AK89=0,0,IF(AK79=AK89,1,IF(AK79&gt;AK89,2,0)))</f>
        <v>0</v>
      </c>
      <c r="AM79" s="211">
        <f>ABS(SUM(AM67:AM69))+ABS(SUM(AM70:AM72))+ABS(SUM(AM73:AM75))+ABS(SUM(AM76:AM78))</f>
        <v>669</v>
      </c>
      <c r="AN79" s="121">
        <f>IF(AM79+AM89=0,0,IF(AM79=AM89,1,IF(AM79&gt;AM89,2,0)))</f>
        <v>0</v>
      </c>
      <c r="AO79" s="211">
        <f>ABS(SUM(AO67:AO69))+ABS(SUM(AO70:AO72))+ABS(SUM(AO73:AO75))+ABS(SUM(AO76:AO78))</f>
        <v>696</v>
      </c>
      <c r="AP79" s="121">
        <f>IF(AO79+AO89=0,0,IF(AO79=AO89,1,IF(AO79&gt;AO89,2,0)))</f>
        <v>0</v>
      </c>
      <c r="AQ79" s="211">
        <f>ABS(SUM(AQ67:AQ69))+ABS(SUM(AQ70:AQ72))+ABS(SUM(AQ73:AQ75))+ABS(SUM(AQ76:AQ78))</f>
        <v>672</v>
      </c>
      <c r="AR79" s="121">
        <f>IF(AQ79+AQ89=0,0,IF(AQ79=AQ89,1,IF(AQ79&gt;AQ89,2,0)))</f>
        <v>0</v>
      </c>
      <c r="AS79" s="211">
        <f>ABS(SUM(AS67:AS69))+ABS(SUM(AS70:AS72))+ABS(SUM(AS73:AS75))+ABS(SUM(AS76:AS78))</f>
        <v>768</v>
      </c>
      <c r="AT79" s="121">
        <f>IF(AS79+AS89=0,0,IF(AS79=AS89,1,IF(AS79&gt;AS89,2,0)))</f>
        <v>2</v>
      </c>
      <c r="AU79" s="122">
        <f>SUM(AC79+AE79+AG79+AI79+AK79+AM79+AO79+AQ79+AS79)</f>
        <v>6285</v>
      </c>
      <c r="AV79" s="123">
        <f>SUM(AD79+AF79+AH79+AJ79+AL79+AN79+AP79+AR79+AT79)</f>
        <v>8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4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4</v>
      </c>
      <c r="F80" s="86" t="str">
        <f t="shared" si="69"/>
        <v/>
      </c>
      <c r="G80" s="87">
        <f>IF(AF80="","",AF80)</f>
        <v>6</v>
      </c>
      <c r="H80" s="86" t="str">
        <f t="shared" si="70"/>
        <v/>
      </c>
      <c r="I80" s="87">
        <f>IF(AH80="","",AH80)</f>
        <v>1</v>
      </c>
      <c r="J80" s="86" t="str">
        <f t="shared" si="71"/>
        <v/>
      </c>
      <c r="K80" s="87">
        <f>IF(AJ80="","",AJ80)</f>
        <v>6</v>
      </c>
      <c r="L80" s="86" t="str">
        <f t="shared" si="72"/>
        <v/>
      </c>
      <c r="M80" s="87">
        <f>IF(AL80="","",AL80)</f>
        <v>2</v>
      </c>
      <c r="N80" s="86" t="str">
        <f t="shared" si="89"/>
        <v/>
      </c>
      <c r="O80" s="87">
        <f>IF(AN80="","",AN80)</f>
        <v>2</v>
      </c>
      <c r="P80" s="86" t="str">
        <f t="shared" si="73"/>
        <v/>
      </c>
      <c r="Q80" s="87">
        <f>IF(AP80="","",AP80)</f>
        <v>1</v>
      </c>
      <c r="R80" s="86" t="str">
        <f t="shared" si="74"/>
        <v/>
      </c>
      <c r="S80" s="87">
        <f>IF(AR80="","",AR80)</f>
        <v>2</v>
      </c>
      <c r="T80" s="86" t="str">
        <f t="shared" si="75"/>
        <v/>
      </c>
      <c r="U80" s="87">
        <f>IF(AT80="","",AT80)</f>
        <v>5</v>
      </c>
      <c r="V80" s="86" t="str">
        <f t="shared" si="76"/>
        <v/>
      </c>
      <c r="W80" s="87">
        <f>IF(AV80="","",AV80)</f>
        <v>29</v>
      </c>
      <c r="AA80" s="85" t="s">
        <v>1814</v>
      </c>
      <c r="AB80" s="86"/>
      <c r="AC80" s="86"/>
      <c r="AD80" s="124">
        <f>SUM(AD67:AD79)</f>
        <v>4</v>
      </c>
      <c r="AE80" s="86"/>
      <c r="AF80" s="124">
        <f>SUM(AF67:AF79)</f>
        <v>6</v>
      </c>
      <c r="AG80" s="86"/>
      <c r="AH80" s="124">
        <f>SUM(AH67:AH79)</f>
        <v>1</v>
      </c>
      <c r="AI80" s="86"/>
      <c r="AJ80" s="124">
        <f>SUM(AJ67:AJ79)</f>
        <v>6</v>
      </c>
      <c r="AK80" s="86"/>
      <c r="AL80" s="124">
        <f>SUM(AL67:AL79)</f>
        <v>2</v>
      </c>
      <c r="AM80" s="86"/>
      <c r="AN80" s="124">
        <f>SUM(AN67:AN79)</f>
        <v>2</v>
      </c>
      <c r="AO80" s="86"/>
      <c r="AP80" s="124">
        <f>SUM(AP67:AP79)</f>
        <v>1</v>
      </c>
      <c r="AQ80" s="86"/>
      <c r="AR80" s="124">
        <f>SUM(AR67:AR79)</f>
        <v>2</v>
      </c>
      <c r="AS80" s="86"/>
      <c r="AT80" s="124">
        <f>SUM(AT67:AT79)</f>
        <v>5</v>
      </c>
      <c r="AU80" s="86"/>
      <c r="AV80" s="125">
        <f>SUM(AV67:AV79)</f>
        <v>29</v>
      </c>
      <c r="AW80" s="101"/>
      <c r="AX80" s="102"/>
      <c r="BA80" s="212">
        <f>+AV80</f>
        <v>29</v>
      </c>
      <c r="BB80" s="213">
        <f>+AU79</f>
        <v>6285</v>
      </c>
      <c r="BC80" s="214">
        <f>+AA62</f>
        <v>3</v>
      </c>
      <c r="BF80" s="215">
        <f>SUM(BF61:BF79)</f>
        <v>36</v>
      </c>
      <c r="BQ80" s="212">
        <f>+BB80/1000000+BA80</f>
        <v>29.006284999999998</v>
      </c>
      <c r="BR80" s="214">
        <f>RANK(BQ80,BQ:BQ)</f>
        <v>5</v>
      </c>
      <c r="BV80" s="214"/>
      <c r="BZ80" s="214"/>
    </row>
    <row r="81" spans="1:78" ht="11.25" customHeight="1" x14ac:dyDescent="0.3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35">
      <c r="B82" s="88" t="str">
        <f t="shared" ref="B82:Q82" si="100">IF(AA82=0,"",AA82)</f>
        <v>Gegner-Nr.:</v>
      </c>
      <c r="C82" s="89" t="str">
        <f t="shared" si="100"/>
        <v>&gt;&gt;&gt;&gt;</v>
      </c>
      <c r="D82" s="346">
        <f t="shared" si="100"/>
        <v>7</v>
      </c>
      <c r="E82" s="346" t="str">
        <f t="shared" si="100"/>
        <v/>
      </c>
      <c r="F82" s="346">
        <f t="shared" si="100"/>
        <v>4</v>
      </c>
      <c r="G82" s="346" t="str">
        <f t="shared" si="100"/>
        <v/>
      </c>
      <c r="H82" s="346">
        <f t="shared" si="100"/>
        <v>8</v>
      </c>
      <c r="I82" s="346" t="str">
        <f t="shared" si="100"/>
        <v/>
      </c>
      <c r="J82" s="346">
        <f t="shared" si="100"/>
        <v>6</v>
      </c>
      <c r="K82" s="346" t="str">
        <f t="shared" si="100"/>
        <v/>
      </c>
      <c r="L82" s="346">
        <f t="shared" si="100"/>
        <v>2</v>
      </c>
      <c r="M82" s="346" t="str">
        <f t="shared" si="100"/>
        <v/>
      </c>
      <c r="N82" s="346">
        <f t="shared" si="100"/>
        <v>9</v>
      </c>
      <c r="O82" s="346" t="str">
        <f t="shared" si="100"/>
        <v/>
      </c>
      <c r="P82" s="346">
        <f t="shared" si="100"/>
        <v>5</v>
      </c>
      <c r="Q82" s="346" t="str">
        <f t="shared" si="100"/>
        <v/>
      </c>
      <c r="R82" s="346">
        <f t="shared" ref="N82:U84" si="101">IF(AQ82=0,"",AQ82)</f>
        <v>10</v>
      </c>
      <c r="S82" s="346" t="str">
        <f t="shared" si="101"/>
        <v/>
      </c>
      <c r="T82" s="346">
        <f t="shared" si="101"/>
        <v>1</v>
      </c>
      <c r="U82" s="346" t="str">
        <f t="shared" si="101"/>
        <v/>
      </c>
      <c r="V82" s="347"/>
      <c r="W82" s="347"/>
      <c r="AA82" s="88" t="s">
        <v>1797</v>
      </c>
      <c r="AB82" s="89" t="s">
        <v>1798</v>
      </c>
      <c r="AC82" s="370">
        <f>VLOOKUP($AA62,Schlüssel!$A$5:$DG$14,23)</f>
        <v>7</v>
      </c>
      <c r="AD82" s="371"/>
      <c r="AE82" s="370">
        <f>VLOOKUP($AA62,Schlüssel!$A$5:$EK$14,24)</f>
        <v>4</v>
      </c>
      <c r="AF82" s="371"/>
      <c r="AG82" s="370">
        <f>VLOOKUP($AA62,Schlüssel!$A$5:$EK$14,25)</f>
        <v>8</v>
      </c>
      <c r="AH82" s="371"/>
      <c r="AI82" s="370">
        <f>VLOOKUP($AA62,Schlüssel!$A$5:$EK$14,26)</f>
        <v>6</v>
      </c>
      <c r="AJ82" s="371"/>
      <c r="AK82" s="370">
        <f>VLOOKUP($AA62,Schlüssel!$A$5:$EK$14,27)</f>
        <v>2</v>
      </c>
      <c r="AL82" s="371"/>
      <c r="AM82" s="370">
        <f>VLOOKUP($AA62,Schlüssel!$A$5:$EK$14,28)</f>
        <v>9</v>
      </c>
      <c r="AN82" s="371"/>
      <c r="AO82" s="370">
        <f>VLOOKUP($AA62,Schlüssel!$A$5:$EK$14,29)</f>
        <v>5</v>
      </c>
      <c r="AP82" s="371"/>
      <c r="AQ82" s="370">
        <f>VLOOKUP($AA62,Schlüssel!$A$5:$EK$14,30)</f>
        <v>10</v>
      </c>
      <c r="AR82" s="371"/>
      <c r="AS82" s="370">
        <f>VLOOKUP($AA62,Schlüssel!$A$5:$EK$14,31)</f>
        <v>1</v>
      </c>
      <c r="AT82" s="371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35">
      <c r="B83" s="90" t="str">
        <f t="shared" ref="B83:M84" si="102">IF(AA83=0,"",AA83)</f>
        <v/>
      </c>
      <c r="C83" s="86" t="str">
        <f t="shared" si="102"/>
        <v/>
      </c>
      <c r="D83" s="343" t="str">
        <f t="shared" si="102"/>
        <v>Frankenpower Nürnberg</v>
      </c>
      <c r="E83" s="344" t="str">
        <f t="shared" si="102"/>
        <v/>
      </c>
      <c r="F83" s="343" t="str">
        <f t="shared" si="102"/>
        <v>BK München 3</v>
      </c>
      <c r="G83" s="344" t="str">
        <f t="shared" si="102"/>
        <v/>
      </c>
      <c r="H83" s="343" t="str">
        <f t="shared" si="102"/>
        <v>EPA München 1</v>
      </c>
      <c r="I83" s="344" t="str">
        <f t="shared" si="102"/>
        <v/>
      </c>
      <c r="J83" s="343" t="str">
        <f t="shared" si="102"/>
        <v>Phönix 03 Lauf</v>
      </c>
      <c r="K83" s="344" t="str">
        <f t="shared" si="102"/>
        <v/>
      </c>
      <c r="L83" s="343" t="str">
        <f t="shared" si="102"/>
        <v>BK München 2</v>
      </c>
      <c r="M83" s="344" t="str">
        <f t="shared" si="102"/>
        <v/>
      </c>
      <c r="N83" s="343" t="str">
        <f t="shared" si="101"/>
        <v>RW Lichtenhof 69 Stein 2</v>
      </c>
      <c r="O83" s="344" t="str">
        <f t="shared" si="101"/>
        <v/>
      </c>
      <c r="P83" s="343" t="str">
        <f t="shared" si="101"/>
        <v xml:space="preserve">Weiß Blau Unterföhring </v>
      </c>
      <c r="Q83" s="344" t="str">
        <f t="shared" si="101"/>
        <v/>
      </c>
      <c r="R83" s="343" t="str">
        <f t="shared" si="101"/>
        <v>BK München 4</v>
      </c>
      <c r="S83" s="344" t="str">
        <f t="shared" si="101"/>
        <v/>
      </c>
      <c r="T83" s="343" t="str">
        <f t="shared" si="101"/>
        <v>Praetoria Regensburg</v>
      </c>
      <c r="U83" s="344" t="str">
        <f t="shared" si="101"/>
        <v/>
      </c>
      <c r="V83" s="345"/>
      <c r="W83" s="345"/>
      <c r="AA83" s="90"/>
      <c r="AB83" s="86"/>
      <c r="AC83" s="343" t="str">
        <f>VLOOKUP(AC82,Schlüssel!$A$5:$K$14,2)</f>
        <v>Frankenpower Nürnberg</v>
      </c>
      <c r="AD83" s="344"/>
      <c r="AE83" s="343" t="str">
        <f>VLOOKUP(AE82,Schlüssel!$A$5:$K$14,2)</f>
        <v>BK München 3</v>
      </c>
      <c r="AF83" s="344"/>
      <c r="AG83" s="343" t="str">
        <f>VLOOKUP(AG82,Schlüssel!$A$5:$K$14,2)</f>
        <v>EPA München 1</v>
      </c>
      <c r="AH83" s="344"/>
      <c r="AI83" s="343" t="str">
        <f>VLOOKUP(AI82,Schlüssel!$A$5:$K$14,2)</f>
        <v>Phönix 03 Lauf</v>
      </c>
      <c r="AJ83" s="344"/>
      <c r="AK83" s="343" t="str">
        <f>VLOOKUP(AK82,Schlüssel!$A$5:$K$14,2)</f>
        <v>BK München 2</v>
      </c>
      <c r="AL83" s="344"/>
      <c r="AM83" s="343" t="str">
        <f>VLOOKUP(AM82,Schlüssel!$A$5:$K$14,2)</f>
        <v>RW Lichtenhof 69 Stein 2</v>
      </c>
      <c r="AN83" s="344"/>
      <c r="AO83" s="343" t="str">
        <f>VLOOKUP(AO82,Schlüssel!$A$5:$K$14,2)</f>
        <v xml:space="preserve">Weiß Blau Unterföhring </v>
      </c>
      <c r="AP83" s="344"/>
      <c r="AQ83" s="343" t="str">
        <f>VLOOKUP(AQ82,Schlüssel!$A$5:$K$14,2)</f>
        <v>BK München 4</v>
      </c>
      <c r="AR83" s="344"/>
      <c r="AS83" s="343" t="str">
        <f>VLOOKUP(AS82,Schlüssel!$A$5:$K$14,2)</f>
        <v>Praetoria Regensburg</v>
      </c>
      <c r="AT83" s="344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35">
      <c r="B84" s="90" t="str">
        <f t="shared" si="102"/>
        <v/>
      </c>
      <c r="C84" s="86" t="str">
        <f t="shared" si="102"/>
        <v/>
      </c>
      <c r="D84" s="341" t="str">
        <f t="shared" si="102"/>
        <v/>
      </c>
      <c r="E84" s="341" t="str">
        <f t="shared" si="102"/>
        <v/>
      </c>
      <c r="F84" s="341" t="str">
        <f t="shared" si="102"/>
        <v/>
      </c>
      <c r="G84" s="341" t="str">
        <f t="shared" si="102"/>
        <v/>
      </c>
      <c r="H84" s="341" t="str">
        <f t="shared" si="102"/>
        <v/>
      </c>
      <c r="I84" s="341" t="str">
        <f t="shared" si="102"/>
        <v/>
      </c>
      <c r="J84" s="341" t="str">
        <f t="shared" si="102"/>
        <v/>
      </c>
      <c r="K84" s="341" t="str">
        <f t="shared" si="102"/>
        <v/>
      </c>
      <c r="L84" s="341" t="str">
        <f t="shared" si="102"/>
        <v/>
      </c>
      <c r="M84" s="341" t="str">
        <f t="shared" si="102"/>
        <v/>
      </c>
      <c r="N84" s="341" t="str">
        <f t="shared" si="101"/>
        <v/>
      </c>
      <c r="O84" s="341" t="str">
        <f t="shared" si="101"/>
        <v/>
      </c>
      <c r="P84" s="341" t="str">
        <f t="shared" si="101"/>
        <v/>
      </c>
      <c r="Q84" s="341" t="str">
        <f t="shared" si="101"/>
        <v/>
      </c>
      <c r="R84" s="341" t="str">
        <f t="shared" si="101"/>
        <v/>
      </c>
      <c r="S84" s="341" t="str">
        <f t="shared" si="101"/>
        <v/>
      </c>
      <c r="T84" s="341" t="str">
        <f t="shared" si="101"/>
        <v/>
      </c>
      <c r="U84" s="342" t="str">
        <f t="shared" si="101"/>
        <v/>
      </c>
      <c r="V84" s="301"/>
      <c r="W84" s="301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6.05" customHeight="1" x14ac:dyDescent="0.35">
      <c r="B85" s="365" t="str">
        <f t="shared" ref="B85:C89" si="103">IF(AA85=0,"",AA85)</f>
        <v>Spieler 1</v>
      </c>
      <c r="C85" s="366" t="str">
        <f t="shared" si="103"/>
        <v/>
      </c>
      <c r="D85" s="339">
        <f>IF(AC85=301,"",AC85)</f>
        <v>165</v>
      </c>
      <c r="E85" s="339" t="str">
        <f>IF(AD85=0,"",AD85)</f>
        <v/>
      </c>
      <c r="F85" s="339">
        <f>IF(AE85=301,"",AE85)</f>
        <v>0</v>
      </c>
      <c r="G85" s="339" t="str">
        <f>IF(AF85=0,"",AF85)</f>
        <v/>
      </c>
      <c r="H85" s="339">
        <f>IF(AG85=301,"",AG85)</f>
        <v>212</v>
      </c>
      <c r="I85" s="339" t="str">
        <f>IF(AH85=0,"",AH85)</f>
        <v/>
      </c>
      <c r="J85" s="339">
        <f>IF(AI85=301,"",AI85)</f>
        <v>150</v>
      </c>
      <c r="K85" s="339" t="str">
        <f>IF(AJ85=0,"",AJ85)</f>
        <v/>
      </c>
      <c r="L85" s="339">
        <f>IF(AK85=301,"",AK85)</f>
        <v>202</v>
      </c>
      <c r="M85" s="339" t="str">
        <f>IF(AL85=0,"",AL85)</f>
        <v/>
      </c>
      <c r="N85" s="339">
        <f>IF(AM85=301,"",AM85)</f>
        <v>179</v>
      </c>
      <c r="O85" s="339" t="str">
        <f>IF(AN85=0,"",AN85)</f>
        <v/>
      </c>
      <c r="P85" s="339">
        <f>IF(AO85=301,"",AO85)</f>
        <v>204</v>
      </c>
      <c r="Q85" s="339" t="str">
        <f>IF(AP85=0,"",AP85)</f>
        <v/>
      </c>
      <c r="R85" s="339">
        <f>IF(AQ85=301,"",AQ85)</f>
        <v>158</v>
      </c>
      <c r="S85" s="339" t="str">
        <f>IF(AR85=0,"",AR85)</f>
        <v/>
      </c>
      <c r="T85" s="339">
        <f>IF(AS85=301,"",AS85)</f>
        <v>143</v>
      </c>
      <c r="U85" s="339" t="str">
        <f>IF(AT85=0,"",AT85)</f>
        <v/>
      </c>
      <c r="V85" s="340"/>
      <c r="W85" s="340"/>
      <c r="AA85" s="91" t="s">
        <v>0</v>
      </c>
      <c r="AB85" s="92"/>
      <c r="AC85" s="372">
        <f>ABS(INDEX(AC:AC,MATCH(AC82,$AA:$AA,0)+5)+INDEX(AC:AC,MATCH(AC82,$AA:$AA,0)+6)+INDEX(AC:AC,MATCH(AC82,$AA:$AA,0)+7))</f>
        <v>165</v>
      </c>
      <c r="AD85" s="373"/>
      <c r="AE85" s="372">
        <f>ABS(INDEX(AE:AE,MATCH(AE82,$AA:$AA,0)+5)+INDEX(AE:AE,MATCH(AE82,$AA:$AA,0)+6)+INDEX(AE:AE,MATCH(AE82,$AA:$AA,0)+7))</f>
        <v>0</v>
      </c>
      <c r="AF85" s="373"/>
      <c r="AG85" s="372">
        <f>ABS(INDEX(AG:AG,MATCH(AG82,$AA:$AA,0)+5)+INDEX(AG:AG,MATCH(AG82,$AA:$AA,0)+6)+INDEX(AG:AG,MATCH(AG82,$AA:$AA,0)+7))</f>
        <v>212</v>
      </c>
      <c r="AH85" s="373"/>
      <c r="AI85" s="372">
        <f>ABS(INDEX(AI:AI,MATCH(AI82,$AA:$AA,0)+5)+INDEX(AI:AI,MATCH(AI82,$AA:$AA,0)+6)+INDEX(AI:AI,MATCH(AI82,$AA:$AA,0)+7))</f>
        <v>150</v>
      </c>
      <c r="AJ85" s="373"/>
      <c r="AK85" s="372">
        <f>ABS(INDEX(AK:AK,MATCH(AK82,$AA:$AA,0)+5)+INDEX(AK:AK,MATCH(AK82,$AA:$AA,0)+6)+INDEX(AK:AK,MATCH(AK82,$AA:$AA,0)+7))</f>
        <v>202</v>
      </c>
      <c r="AL85" s="373"/>
      <c r="AM85" s="372">
        <f>ABS(INDEX(AM:AM,MATCH(AM82,$AA:$AA,0)+5)+INDEX(AM:AM,MATCH(AM82,$AA:$AA,0)+6)+INDEX(AM:AM,MATCH(AM82,$AA:$AA,0)+7))</f>
        <v>179</v>
      </c>
      <c r="AN85" s="373"/>
      <c r="AO85" s="372">
        <f>ABS(INDEX(AO:AO,MATCH(AO82,$AA:$AA,0)+5)+INDEX(AO:AO,MATCH(AO82,$AA:$AA,0)+6)+INDEX(AO:AO,MATCH(AO82,$AA:$AA,0)+7))</f>
        <v>204</v>
      </c>
      <c r="AP85" s="373"/>
      <c r="AQ85" s="372">
        <f>ABS(INDEX(AQ:AQ,MATCH(AQ82,$AA:$AA,0)+5)+INDEX(AQ:AQ,MATCH(AQ82,$AA:$AA,0)+6)+INDEX(AQ:AQ,MATCH(AQ82,$AA:$AA,0)+7))</f>
        <v>158</v>
      </c>
      <c r="AR85" s="373"/>
      <c r="AS85" s="372">
        <f>ABS(INDEX(AS:AS,MATCH(AS82,$AA:$AA,0)+5)+INDEX(AS:AS,MATCH(AS82,$AA:$AA,0)+6)+INDEX(AS:AS,MATCH(AS82,$AA:$AA,0)+7))</f>
        <v>143</v>
      </c>
      <c r="AT85" s="373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6.05" customHeight="1" x14ac:dyDescent="0.35">
      <c r="B86" s="365" t="str">
        <f t="shared" si="103"/>
        <v>Spieler 2</v>
      </c>
      <c r="C86" s="366" t="str">
        <f t="shared" si="103"/>
        <v/>
      </c>
      <c r="D86" s="339">
        <f>IF(AC86=301,"",AC86)</f>
        <v>157</v>
      </c>
      <c r="E86" s="339" t="str">
        <f>IF(AD86=0,"",AD86)</f>
        <v/>
      </c>
      <c r="F86" s="339">
        <f>IF(AE86=301,"",AE86)</f>
        <v>0</v>
      </c>
      <c r="G86" s="339" t="str">
        <f>IF(AF86=0,"",AF86)</f>
        <v/>
      </c>
      <c r="H86" s="339">
        <f>IF(AG86=301,"",AG86)</f>
        <v>186</v>
      </c>
      <c r="I86" s="339" t="str">
        <f>IF(AH86=0,"",AH86)</f>
        <v/>
      </c>
      <c r="J86" s="339">
        <f>IF(AI86=301,"",AI86)</f>
        <v>160</v>
      </c>
      <c r="K86" s="339" t="str">
        <f>IF(AJ86=0,"",AJ86)</f>
        <v/>
      </c>
      <c r="L86" s="339">
        <f>IF(AK86=301,"",AK86)</f>
        <v>143</v>
      </c>
      <c r="M86" s="339" t="str">
        <f>IF(AL86=0,"",AL86)</f>
        <v/>
      </c>
      <c r="N86" s="339">
        <f>IF(AM86=301,"",AM86)</f>
        <v>151</v>
      </c>
      <c r="O86" s="339" t="str">
        <f>IF(AN86=0,"",AN86)</f>
        <v/>
      </c>
      <c r="P86" s="339">
        <f>IF(AO86=301,"",AO86)</f>
        <v>186</v>
      </c>
      <c r="Q86" s="339" t="str">
        <f>IF(AP86=0,"",AP86)</f>
        <v/>
      </c>
      <c r="R86" s="339">
        <f>IF(AQ86=301,"",AQ86)</f>
        <v>185</v>
      </c>
      <c r="S86" s="339" t="str">
        <f>IF(AR86=0,"",AR86)</f>
        <v/>
      </c>
      <c r="T86" s="339">
        <f>IF(AS86=301,"",AS86)</f>
        <v>137</v>
      </c>
      <c r="U86" s="339" t="str">
        <f>IF(AT86=0,"",AT86)</f>
        <v/>
      </c>
      <c r="V86" s="340"/>
      <c r="W86" s="340"/>
      <c r="AA86" s="91" t="s">
        <v>2</v>
      </c>
      <c r="AB86" s="92"/>
      <c r="AC86" s="374">
        <f>ABS(INDEX(AC:AC,MATCH(AC82,$AA:$AA,0)+8)+INDEX(AC:AC,MATCH(AC82,$AA:$AA,0)+9)+INDEX(AC:AC,MATCH(AC82,$AA:$AA,0)+10))</f>
        <v>157</v>
      </c>
      <c r="AD86" s="375"/>
      <c r="AE86" s="374">
        <f>ABS(INDEX(AE:AE,MATCH(AE82,$AA:$AA,0)+8)+INDEX(AE:AE,MATCH(AE82,$AA:$AA,0)+9)+INDEX(AE:AE,MATCH(AE82,$AA:$AA,0)+10))</f>
        <v>0</v>
      </c>
      <c r="AF86" s="375"/>
      <c r="AG86" s="374">
        <f>ABS(INDEX(AG:AG,MATCH(AG82,$AA:$AA,0)+8)+INDEX(AG:AG,MATCH(AG82,$AA:$AA,0)+9)+INDEX(AG:AG,MATCH(AG82,$AA:$AA,0)+10))</f>
        <v>186</v>
      </c>
      <c r="AH86" s="375"/>
      <c r="AI86" s="374">
        <f>ABS(INDEX(AI:AI,MATCH(AI82,$AA:$AA,0)+8)+INDEX(AI:AI,MATCH(AI82,$AA:$AA,0)+9)+INDEX(AI:AI,MATCH(AI82,$AA:$AA,0)+10))</f>
        <v>160</v>
      </c>
      <c r="AJ86" s="375"/>
      <c r="AK86" s="374">
        <f>ABS(INDEX(AK:AK,MATCH(AK82,$AA:$AA,0)+8)+INDEX(AK:AK,MATCH(AK82,$AA:$AA,0)+9)+INDEX(AK:AK,MATCH(AK82,$AA:$AA,0)+10))</f>
        <v>143</v>
      </c>
      <c r="AL86" s="375"/>
      <c r="AM86" s="374">
        <f>ABS(INDEX(AM:AM,MATCH(AM82,$AA:$AA,0)+8)+INDEX(AM:AM,MATCH(AM82,$AA:$AA,0)+9)+INDEX(AM:AM,MATCH(AM82,$AA:$AA,0)+10))</f>
        <v>151</v>
      </c>
      <c r="AN86" s="375"/>
      <c r="AO86" s="374">
        <f>ABS(INDEX(AO:AO,MATCH(AO82,$AA:$AA,0)+8)+INDEX(AO:AO,MATCH(AO82,$AA:$AA,0)+9)+INDEX(AO:AO,MATCH(AO82,$AA:$AA,0)+10))</f>
        <v>186</v>
      </c>
      <c r="AP86" s="375"/>
      <c r="AQ86" s="374">
        <f>ABS(INDEX(AQ:AQ,MATCH(AQ82,$AA:$AA,0)+8)+INDEX(AQ:AQ,MATCH(AQ82,$AA:$AA,0)+9)+INDEX(AQ:AQ,MATCH(AQ82,$AA:$AA,0)+10))</f>
        <v>185</v>
      </c>
      <c r="AR86" s="375"/>
      <c r="AS86" s="374">
        <f>ABS(INDEX(AS:AS,MATCH(AS82,$AA:$AA,0)+8)+INDEX(AS:AS,MATCH(AS82,$AA:$AA,0)+9)+INDEX(AS:AS,MATCH(AS82,$AA:$AA,0)+10))</f>
        <v>137</v>
      </c>
      <c r="AT86" s="37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6.05" customHeight="1" x14ac:dyDescent="0.35">
      <c r="B87" s="365" t="str">
        <f t="shared" si="103"/>
        <v>Spieler 3</v>
      </c>
      <c r="C87" s="366" t="str">
        <f t="shared" si="103"/>
        <v/>
      </c>
      <c r="D87" s="339">
        <f>IF(AC87=301,"",AC87)</f>
        <v>181</v>
      </c>
      <c r="E87" s="339" t="str">
        <f>IF(AD87=0,"",AD87)</f>
        <v/>
      </c>
      <c r="F87" s="339">
        <f>IF(AE87=301,"",AE87)</f>
        <v>0</v>
      </c>
      <c r="G87" s="339" t="str">
        <f>IF(AF87=0,"",AF87)</f>
        <v/>
      </c>
      <c r="H87" s="339">
        <f>IF(AG87=301,"",AG87)</f>
        <v>197</v>
      </c>
      <c r="I87" s="339" t="str">
        <f>IF(AH87=0,"",AH87)</f>
        <v/>
      </c>
      <c r="J87" s="339">
        <f>IF(AI87=301,"",AI87)</f>
        <v>152</v>
      </c>
      <c r="K87" s="339" t="str">
        <f>IF(AJ87=0,"",AJ87)</f>
        <v/>
      </c>
      <c r="L87" s="339">
        <f>IF(AK87=301,"",AK87)</f>
        <v>153</v>
      </c>
      <c r="M87" s="339" t="str">
        <f>IF(AL87=0,"",AL87)</f>
        <v/>
      </c>
      <c r="N87" s="339">
        <f>IF(AM87=301,"",AM87)</f>
        <v>170</v>
      </c>
      <c r="O87" s="339" t="str">
        <f>IF(AN87=0,"",AN87)</f>
        <v/>
      </c>
      <c r="P87" s="339">
        <f>IF(AO87=301,"",AO87)</f>
        <v>158</v>
      </c>
      <c r="Q87" s="339" t="str">
        <f>IF(AP87=0,"",AP87)</f>
        <v/>
      </c>
      <c r="R87" s="339">
        <f>IF(AQ87=301,"",AQ87)</f>
        <v>158</v>
      </c>
      <c r="S87" s="339" t="str">
        <f>IF(AR87=0,"",AR87)</f>
        <v/>
      </c>
      <c r="T87" s="339">
        <f>IF(AS87=301,"",AS87)</f>
        <v>224</v>
      </c>
      <c r="U87" s="339" t="str">
        <f>IF(AT87=0,"",AT87)</f>
        <v/>
      </c>
      <c r="V87" s="340"/>
      <c r="W87" s="340"/>
      <c r="AA87" s="91" t="s">
        <v>3</v>
      </c>
      <c r="AB87" s="92"/>
      <c r="AC87" s="374">
        <f>ABS(INDEX(AC:AC,MATCH(AC82,$AA:$AA,0)+11)+INDEX(AC:AC,MATCH(AC82,$AA:$AA,0)+12)+INDEX(AC:AC,MATCH(AC82,$AA:$AA,0)+13))</f>
        <v>181</v>
      </c>
      <c r="AD87" s="375"/>
      <c r="AE87" s="374">
        <f>ABS(INDEX(AE:AE,MATCH(AE82,$AA:$AA,0)+11)+INDEX(AE:AE,MATCH(AE82,$AA:$AA,0)+12)+INDEX(AE:AE,MATCH(AE82,$AA:$AA,0)+13))</f>
        <v>0</v>
      </c>
      <c r="AF87" s="375"/>
      <c r="AG87" s="374">
        <f>ABS(INDEX(AG:AG,MATCH(AG82,$AA:$AA,0)+11)+INDEX(AG:AG,MATCH(AG82,$AA:$AA,0)+12)+INDEX(AG:AG,MATCH(AG82,$AA:$AA,0)+13))</f>
        <v>197</v>
      </c>
      <c r="AH87" s="375"/>
      <c r="AI87" s="374">
        <f>ABS(INDEX(AI:AI,MATCH(AI82,$AA:$AA,0)+11)+INDEX(AI:AI,MATCH(AI82,$AA:$AA,0)+12)+INDEX(AI:AI,MATCH(AI82,$AA:$AA,0)+13))</f>
        <v>152</v>
      </c>
      <c r="AJ87" s="375"/>
      <c r="AK87" s="374">
        <f>ABS(INDEX(AK:AK,MATCH(AK82,$AA:$AA,0)+11)+INDEX(AK:AK,MATCH(AK82,$AA:$AA,0)+12)+INDEX(AK:AK,MATCH(AK82,$AA:$AA,0)+13))</f>
        <v>153</v>
      </c>
      <c r="AL87" s="375"/>
      <c r="AM87" s="374">
        <f>ABS(INDEX(AM:AM,MATCH(AM82,$AA:$AA,0)+11)+INDEX(AM:AM,MATCH(AM82,$AA:$AA,0)+12)+INDEX(AM:AM,MATCH(AM82,$AA:$AA,0)+13))</f>
        <v>170</v>
      </c>
      <c r="AN87" s="375"/>
      <c r="AO87" s="374">
        <f>ABS(INDEX(AO:AO,MATCH(AO82,$AA:$AA,0)+11)+INDEX(AO:AO,MATCH(AO82,$AA:$AA,0)+12)+INDEX(AO:AO,MATCH(AO82,$AA:$AA,0)+13))</f>
        <v>158</v>
      </c>
      <c r="AP87" s="375"/>
      <c r="AQ87" s="374">
        <f>ABS(INDEX(AQ:AQ,MATCH(AQ82,$AA:$AA,0)+11)+INDEX(AQ:AQ,MATCH(AQ82,$AA:$AA,0)+12)+INDEX(AQ:AQ,MATCH(AQ82,$AA:$AA,0)+13))</f>
        <v>158</v>
      </c>
      <c r="AR87" s="375"/>
      <c r="AS87" s="374">
        <f>ABS(INDEX(AS:AS,MATCH(AS82,$AA:$AA,0)+11)+INDEX(AS:AS,MATCH(AS82,$AA:$AA,0)+12)+INDEX(AS:AS,MATCH(AS82,$AA:$AA,0)+13))</f>
        <v>224</v>
      </c>
      <c r="AT87" s="37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6.05" customHeight="1" x14ac:dyDescent="0.35">
      <c r="B88" s="365" t="str">
        <f t="shared" si="103"/>
        <v>Spieler 4</v>
      </c>
      <c r="C88" s="366" t="str">
        <f t="shared" si="103"/>
        <v/>
      </c>
      <c r="D88" s="339">
        <f>IF(AC88=301,"",AC88)</f>
        <v>181</v>
      </c>
      <c r="E88" s="339" t="str">
        <f>IF(AD88=0,"",AD88)</f>
        <v/>
      </c>
      <c r="F88" s="339">
        <f>IF(AE88=301,"",AE88)</f>
        <v>0</v>
      </c>
      <c r="G88" s="339" t="str">
        <f>IF(AF88=0,"",AF88)</f>
        <v/>
      </c>
      <c r="H88" s="339">
        <f>IF(AG88=301,"",AG88)</f>
        <v>172</v>
      </c>
      <c r="I88" s="339" t="str">
        <f>IF(AH88=0,"",AH88)</f>
        <v/>
      </c>
      <c r="J88" s="339">
        <f>IF(AI88=301,"",AI88)</f>
        <v>186</v>
      </c>
      <c r="K88" s="339" t="str">
        <f>IF(AJ88=0,"",AJ88)</f>
        <v/>
      </c>
      <c r="L88" s="339">
        <f>IF(AK88=301,"",AK88)</f>
        <v>202</v>
      </c>
      <c r="M88" s="339" t="str">
        <f>IF(AL88=0,"",AL88)</f>
        <v/>
      </c>
      <c r="N88" s="339">
        <f>IF(AM88=301,"",AM88)</f>
        <v>180</v>
      </c>
      <c r="O88" s="339" t="str">
        <f>IF(AN88=0,"",AN88)</f>
        <v/>
      </c>
      <c r="P88" s="339">
        <f>IF(AO88=301,"",AO88)</f>
        <v>177</v>
      </c>
      <c r="Q88" s="339" t="str">
        <f>IF(AP88=0,"",AP88)</f>
        <v/>
      </c>
      <c r="R88" s="339">
        <f>IF(AQ88=301,"",AQ88)</f>
        <v>183</v>
      </c>
      <c r="S88" s="339" t="str">
        <f>IF(AR88=0,"",AR88)</f>
        <v/>
      </c>
      <c r="T88" s="339">
        <f>IF(AS88=301,"",AS88)</f>
        <v>184</v>
      </c>
      <c r="U88" s="339" t="str">
        <f>IF(AT88=0,"",AT88)</f>
        <v/>
      </c>
      <c r="V88" s="340"/>
      <c r="W88" s="340"/>
      <c r="AA88" s="91" t="s">
        <v>11</v>
      </c>
      <c r="AB88" s="92"/>
      <c r="AC88" s="374">
        <f>ABS(INDEX(AC:AC,MATCH(AC82,$AA:$AA,0)+14)+INDEX(AC:AC,MATCH(AC82,$AA:$AA,0)+15)+INDEX(AC:AC,MATCH(AC82,$AA:$AA,0)+16))</f>
        <v>181</v>
      </c>
      <c r="AD88" s="375"/>
      <c r="AE88" s="374">
        <f>ABS(INDEX(AE:AE,MATCH(AE82,$AA:$AA,0)+14)+INDEX(AE:AE,MATCH(AE82,$AA:$AA,0)+15)+INDEX(AE:AE,MATCH(AE82,$AA:$AA,0)+16))</f>
        <v>0</v>
      </c>
      <c r="AF88" s="375"/>
      <c r="AG88" s="374">
        <f>ABS(INDEX(AG:AG,MATCH(AG82,$AA:$AA,0)+14)+INDEX(AG:AG,MATCH(AG82,$AA:$AA,0)+15)+INDEX(AG:AG,MATCH(AG82,$AA:$AA,0)+16))</f>
        <v>172</v>
      </c>
      <c r="AH88" s="375"/>
      <c r="AI88" s="374">
        <f>ABS(INDEX(AI:AI,MATCH(AI82,$AA:$AA,0)+14)+INDEX(AI:AI,MATCH(AI82,$AA:$AA,0)+15)+INDEX(AI:AI,MATCH(AI82,$AA:$AA,0)+16))</f>
        <v>186</v>
      </c>
      <c r="AJ88" s="375"/>
      <c r="AK88" s="374">
        <f>ABS(INDEX(AK:AK,MATCH(AK82,$AA:$AA,0)+14)+INDEX(AK:AK,MATCH(AK82,$AA:$AA,0)+15)+INDEX(AK:AK,MATCH(AK82,$AA:$AA,0)+16))</f>
        <v>202</v>
      </c>
      <c r="AL88" s="375"/>
      <c r="AM88" s="374">
        <f>ABS(INDEX(AM:AM,MATCH(AM82,$AA:$AA,0)+14)+INDEX(AM:AM,MATCH(AM82,$AA:$AA,0)+15)+INDEX(AM:AM,MATCH(AM82,$AA:$AA,0)+16))</f>
        <v>180</v>
      </c>
      <c r="AN88" s="375"/>
      <c r="AO88" s="374">
        <f>ABS(INDEX(AO:AO,MATCH(AO82,$AA:$AA,0)+14)+INDEX(AO:AO,MATCH(AO82,$AA:$AA,0)+15)+INDEX(AO:AO,MATCH(AO82,$AA:$AA,0)+16))</f>
        <v>177</v>
      </c>
      <c r="AP88" s="375"/>
      <c r="AQ88" s="374">
        <f>ABS(INDEX(AQ:AQ,MATCH(AQ82,$AA:$AA,0)+14)+INDEX(AQ:AQ,MATCH(AQ82,$AA:$AA,0)+15)+INDEX(AQ:AQ,MATCH(AQ82,$AA:$AA,0)+16))</f>
        <v>183</v>
      </c>
      <c r="AR88" s="375"/>
      <c r="AS88" s="374">
        <f>ABS(INDEX(AS:AS,MATCH(AS82,$AA:$AA,0)+14)+INDEX(AS:AS,MATCH(AS82,$AA:$AA,0)+15)+INDEX(AS:AS,MATCH(AS82,$AA:$AA,0)+16))</f>
        <v>184</v>
      </c>
      <c r="AT88" s="37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6.05" customHeight="1" x14ac:dyDescent="0.35">
      <c r="B89" s="354" t="str">
        <f t="shared" si="103"/>
        <v>Gesamt</v>
      </c>
      <c r="C89" s="355" t="str">
        <f t="shared" si="103"/>
        <v/>
      </c>
      <c r="D89" s="338">
        <f>IF(AC89=1505,"",AC89)</f>
        <v>684</v>
      </c>
      <c r="E89" s="338" t="str">
        <f>IF(AD89=0,"",AD89)</f>
        <v/>
      </c>
      <c r="F89" s="338">
        <f>IF(AE89=1505,"",AE89)</f>
        <v>0</v>
      </c>
      <c r="G89" s="338" t="str">
        <f>IF(AF89=0,"",AF89)</f>
        <v/>
      </c>
      <c r="H89" s="338">
        <f>IF(AG89=1505,"",AG89)</f>
        <v>767</v>
      </c>
      <c r="I89" s="338" t="str">
        <f>IF(AH89=0,"",AH89)</f>
        <v/>
      </c>
      <c r="J89" s="338">
        <f>IF(AI89=1505,"",AI89)</f>
        <v>648</v>
      </c>
      <c r="K89" s="338" t="str">
        <f>IF(AJ89=0,"",AJ89)</f>
        <v/>
      </c>
      <c r="L89" s="338">
        <f>IF(AK89=1505,"",AK89)</f>
        <v>700</v>
      </c>
      <c r="M89" s="338" t="str">
        <f>IF(AL89=0,"",AL89)</f>
        <v/>
      </c>
      <c r="N89" s="338">
        <f>IF(AM89=1505,"",AM89)</f>
        <v>680</v>
      </c>
      <c r="O89" s="338" t="str">
        <f>IF(AN89=0,"",AN89)</f>
        <v/>
      </c>
      <c r="P89" s="338">
        <f>IF(AO89=1505,"",AO89)</f>
        <v>725</v>
      </c>
      <c r="Q89" s="338" t="str">
        <f>IF(AP89=0,"",AP89)</f>
        <v/>
      </c>
      <c r="R89" s="338">
        <f>IF(AQ89=1505,"",AQ89)</f>
        <v>684</v>
      </c>
      <c r="S89" s="338" t="str">
        <f>IF(AR89=0,"",AR89)</f>
        <v/>
      </c>
      <c r="T89" s="338">
        <f>IF(AS89=1505,"",AS89)</f>
        <v>688</v>
      </c>
      <c r="U89" s="338" t="str">
        <f>IF(AT89=0,"",AT89)</f>
        <v/>
      </c>
      <c r="V89" s="290"/>
      <c r="W89" s="290"/>
      <c r="AA89" s="93" t="s">
        <v>1799</v>
      </c>
      <c r="AB89" s="94"/>
      <c r="AC89" s="354">
        <f>SUM(AC85:AC88)</f>
        <v>684</v>
      </c>
      <c r="AD89" s="355"/>
      <c r="AE89" s="354">
        <f>SUM(AE85:AE88)</f>
        <v>0</v>
      </c>
      <c r="AF89" s="355"/>
      <c r="AG89" s="354">
        <f>SUM(AG85:AG88)</f>
        <v>767</v>
      </c>
      <c r="AH89" s="355"/>
      <c r="AI89" s="354">
        <f>SUM(AI85:AI88)</f>
        <v>648</v>
      </c>
      <c r="AJ89" s="355"/>
      <c r="AK89" s="354">
        <f>SUM(AK85:AK88)</f>
        <v>700</v>
      </c>
      <c r="AL89" s="355"/>
      <c r="AM89" s="354">
        <f>SUM(AM85:AM88)</f>
        <v>680</v>
      </c>
      <c r="AN89" s="355"/>
      <c r="AO89" s="354">
        <f>SUM(AO85:AO88)</f>
        <v>725</v>
      </c>
      <c r="AP89" s="355"/>
      <c r="AQ89" s="354">
        <f>SUM(AQ85:AQ88)</f>
        <v>684</v>
      </c>
      <c r="AR89" s="355"/>
      <c r="AS89" s="354">
        <f>SUM(AS85:AS88)</f>
        <v>688</v>
      </c>
      <c r="AT89" s="35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3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7">
      <c r="B91" s="44" t="str">
        <f>AA91</f>
        <v>Team-Nr.</v>
      </c>
      <c r="C91" s="45"/>
      <c r="D91" s="44" t="str">
        <f>AC91</f>
        <v>Liga:</v>
      </c>
      <c r="E91" s="47"/>
      <c r="F91" s="359" t="str">
        <f>AE91</f>
        <v>Bayernliga Frauen</v>
      </c>
      <c r="G91" s="359"/>
      <c r="H91" s="359"/>
      <c r="I91" s="359"/>
      <c r="J91" s="359"/>
      <c r="K91" s="359"/>
      <c r="L91" s="359"/>
      <c r="M91" s="359"/>
      <c r="N91" s="359"/>
      <c r="O91" s="359"/>
      <c r="P91" s="359"/>
      <c r="Q91" s="359"/>
      <c r="R91" s="48"/>
      <c r="S91" s="49" t="s">
        <v>1794</v>
      </c>
      <c r="T91" s="50"/>
      <c r="U91" s="360" t="str">
        <f>AT91</f>
        <v>02.11./03.11.</v>
      </c>
      <c r="V91" s="361"/>
      <c r="W91" s="362"/>
      <c r="X91" s="363"/>
      <c r="Y91" s="364"/>
      <c r="Z91" s="364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0" t="str">
        <f>VLOOKUP(AS92,Spielorte!$A$1:$C$6,2)</f>
        <v>02.11./03.11.</v>
      </c>
      <c r="AU91" s="361"/>
      <c r="AV91" s="362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65">
      <c r="B92" s="53">
        <f>AA92</f>
        <v>4</v>
      </c>
      <c r="D92" s="46" t="s">
        <v>1793</v>
      </c>
      <c r="E92" s="54"/>
      <c r="F92" s="358" t="str">
        <f>AE92</f>
        <v>Regensburg Super Bowl</v>
      </c>
      <c r="G92" s="358"/>
      <c r="H92" s="358"/>
      <c r="I92" s="358"/>
      <c r="J92" s="358"/>
      <c r="K92" s="358"/>
      <c r="L92" s="358"/>
      <c r="M92" s="358"/>
      <c r="N92" s="358"/>
      <c r="O92" s="358"/>
      <c r="P92" s="55"/>
      <c r="Q92" s="55"/>
      <c r="S92" s="49" t="s">
        <v>1791</v>
      </c>
      <c r="T92" s="56">
        <f>AS92</f>
        <v>2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Regensburg Super Bowl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2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4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5" thickBot="1" x14ac:dyDescent="0.45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VLOOKUP(AA92,Schlüssel!$A$5:$DZ$14,33)</f>
        <v>3</v>
      </c>
      <c r="AE94" s="65" t="s">
        <v>10</v>
      </c>
      <c r="AF94" s="44">
        <f>VLOOKUP(AA92,Schlüssel!$A$5:$DZ$14,34)</f>
        <v>5</v>
      </c>
      <c r="AG94" s="65" t="s">
        <v>10</v>
      </c>
      <c r="AH94" s="44">
        <f>VLOOKUP(AA92,Schlüssel!$A$5:$DZ$14,35)</f>
        <v>8</v>
      </c>
      <c r="AI94" s="65" t="s">
        <v>10</v>
      </c>
      <c r="AJ94" s="44">
        <f>VLOOKUP(AA92,Schlüssel!$A$5:$DZ$14,36)</f>
        <v>4</v>
      </c>
      <c r="AK94" s="65" t="s">
        <v>10</v>
      </c>
      <c r="AL94" s="44">
        <f>VLOOKUP(AA92,Schlüssel!$A$5:$DZ$14,37)</f>
        <v>10</v>
      </c>
      <c r="AM94" s="65" t="s">
        <v>10</v>
      </c>
      <c r="AN94" s="44">
        <f>VLOOKUP(AA92,Schlüssel!$A$5:$DZ$14,38)</f>
        <v>11</v>
      </c>
      <c r="AO94" s="65" t="s">
        <v>10</v>
      </c>
      <c r="AP94" s="44">
        <f>VLOOKUP(AA92,Schlüssel!$A$5:$DZ$14,39)</f>
        <v>6</v>
      </c>
      <c r="AQ94" s="65" t="s">
        <v>10</v>
      </c>
      <c r="AR94" s="44">
        <f>VLOOKUP(AA92,Schlüssel!$A$5:$DZ$14,40)</f>
        <v>7</v>
      </c>
      <c r="AS94" s="65" t="s">
        <v>10</v>
      </c>
      <c r="AT94" s="66">
        <f>VLOOKUP(AA92,Schlüssel!$A$5:$DZ$14,41)</f>
        <v>12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35">
      <c r="B95" s="67" t="s">
        <v>1</v>
      </c>
      <c r="C95" s="68"/>
      <c r="D95" s="354" t="s">
        <v>1800</v>
      </c>
      <c r="E95" s="355"/>
      <c r="F95" s="354" t="s">
        <v>1801</v>
      </c>
      <c r="G95" s="355"/>
      <c r="H95" s="354" t="s">
        <v>1802</v>
      </c>
      <c r="I95" s="355"/>
      <c r="J95" s="354" t="s">
        <v>1803</v>
      </c>
      <c r="K95" s="355"/>
      <c r="L95" s="354" t="s">
        <v>1804</v>
      </c>
      <c r="M95" s="355"/>
      <c r="N95" s="354" t="s">
        <v>1805</v>
      </c>
      <c r="O95" s="355"/>
      <c r="P95" s="354" t="s">
        <v>1806</v>
      </c>
      <c r="Q95" s="355"/>
      <c r="R95" s="354" t="s">
        <v>1807</v>
      </c>
      <c r="S95" s="355"/>
      <c r="T95" s="354" t="s">
        <v>1808</v>
      </c>
      <c r="U95" s="355"/>
      <c r="V95" s="356" t="s">
        <v>1799</v>
      </c>
      <c r="W95" s="357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4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2" customHeight="1" x14ac:dyDescent="0.35">
      <c r="A97" s="367" t="s">
        <v>0</v>
      </c>
      <c r="B97" s="73" t="str">
        <f>IF(AA97=0,"",AA97)</f>
        <v>Schott, Monika</v>
      </c>
      <c r="C97" s="74">
        <f>IF(AB97=0,"",AB97)</f>
        <v>16594</v>
      </c>
      <c r="D97" s="75" t="str">
        <f>IF(AC97=0,"",AC97)</f>
        <v/>
      </c>
      <c r="E97" s="348">
        <f>IF(AD97="","",AD97)</f>
        <v>0</v>
      </c>
      <c r="F97" s="75" t="str">
        <f t="shared" ref="F97:F110" si="104">IF(AE97=0,"",AE97)</f>
        <v/>
      </c>
      <c r="G97" s="348">
        <f>IF(AF97="","",AF97)</f>
        <v>0</v>
      </c>
      <c r="H97" s="75" t="str">
        <f t="shared" ref="H97:H110" si="105">IF(AG97=0,"",AG97)</f>
        <v/>
      </c>
      <c r="I97" s="348">
        <f>IF(AH97="","",AH97)</f>
        <v>0</v>
      </c>
      <c r="J97" s="75" t="str">
        <f t="shared" ref="J97:J110" si="106">IF(AI97=0,"",AI97)</f>
        <v/>
      </c>
      <c r="K97" s="348">
        <f>IF(AJ97="","",AJ97)</f>
        <v>0</v>
      </c>
      <c r="L97" s="75" t="str">
        <f t="shared" ref="L97:L110" si="107">IF(AK97=0,"",AK97)</f>
        <v/>
      </c>
      <c r="M97" s="348">
        <f>IF(AL97="","",AL97)</f>
        <v>0</v>
      </c>
      <c r="N97" s="75" t="str">
        <f>IF(AM97=0,"",AM97)</f>
        <v/>
      </c>
      <c r="O97" s="348">
        <f>IF(AN97="","",AN97)</f>
        <v>0</v>
      </c>
      <c r="P97" s="75" t="str">
        <f t="shared" ref="P97:P110" si="108">IF(AO97=0,"",AO97)</f>
        <v/>
      </c>
      <c r="Q97" s="348">
        <f>IF(AP97="","",AP97)</f>
        <v>0</v>
      </c>
      <c r="R97" s="75" t="str">
        <f t="shared" ref="R97:R110" si="109">IF(AQ97=0,"",AQ97)</f>
        <v/>
      </c>
      <c r="S97" s="348">
        <f>IF(AR97="","",AR97)</f>
        <v>0</v>
      </c>
      <c r="T97" s="75" t="str">
        <f t="shared" ref="T97:T110" si="110">IF(AS97=0,"",AS97)</f>
        <v/>
      </c>
      <c r="U97" s="348">
        <f>IF(AT97="","",AT97)</f>
        <v>0</v>
      </c>
      <c r="V97" s="75" t="str">
        <f t="shared" ref="V97:V110" si="111">IF(AU97=0,"",AU97)</f>
        <v/>
      </c>
      <c r="W97" s="348">
        <f>IF(AV97="","",AV97)</f>
        <v>0</v>
      </c>
      <c r="Z97" s="351" t="s">
        <v>0</v>
      </c>
      <c r="AA97" s="108" t="str">
        <f>IF(AB97=0,"",VLOOKUP(AB97,Starter!$A$1:$D$199,2,FALSE))</f>
        <v>Schott, Monika</v>
      </c>
      <c r="AB97" s="99">
        <v>16594</v>
      </c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16594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3">IF(AC97=0,"",AC97)</f>
        <v/>
      </c>
      <c r="BI97" s="215" t="str">
        <f t="shared" ref="BI97:BI108" si="114">IF(AE97=0,"",AE97)</f>
        <v/>
      </c>
      <c r="BJ97" s="215" t="str">
        <f t="shared" ref="BJ97:BJ108" si="115">IF(AG97=0,"",AG97)</f>
        <v/>
      </c>
      <c r="BK97" s="215" t="str">
        <f t="shared" ref="BK97:BK108" si="116">IF(AI97=0,"",AI97)</f>
        <v/>
      </c>
      <c r="BL97" s="215" t="str">
        <f t="shared" ref="BL97:BL108" si="117">IF(AK97=0,"",AK97)</f>
        <v/>
      </c>
      <c r="BM97" s="215" t="str">
        <f t="shared" ref="BM97:BM108" si="118">IF(AM97=0,"",AM97)</f>
        <v/>
      </c>
      <c r="BN97" s="215" t="str">
        <f t="shared" ref="BN97:BN108" si="119">IF(AO97=0,"",AO97)</f>
        <v/>
      </c>
      <c r="BO97" s="215" t="str">
        <f t="shared" ref="BO97:BO108" si="120">IF(AQ97=0,"",AQ97)</f>
        <v/>
      </c>
      <c r="BP97" s="215" t="str">
        <f t="shared" ref="BP97:BP108" si="121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0</v>
      </c>
      <c r="BU97" s="215" t="str">
        <f>+AA93</f>
        <v>BK München 3</v>
      </c>
      <c r="BV97" s="214">
        <f>RANK(BT97,BT:BT)</f>
        <v>2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0</v>
      </c>
      <c r="BZ97" s="214">
        <f t="shared" ref="BZ97:BZ108" si="122">IF(BY97=0,0,RANK(BY97,BY:BY))</f>
        <v>0</v>
      </c>
    </row>
    <row r="98" spans="1:78" ht="17.2" customHeight="1" x14ac:dyDescent="0.35">
      <c r="A98" s="368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49"/>
      <c r="F98" s="78" t="str">
        <f t="shared" si="104"/>
        <v/>
      </c>
      <c r="G98" s="349"/>
      <c r="H98" s="78" t="str">
        <f t="shared" si="105"/>
        <v/>
      </c>
      <c r="I98" s="349"/>
      <c r="J98" s="78" t="str">
        <f t="shared" si="106"/>
        <v/>
      </c>
      <c r="K98" s="349"/>
      <c r="L98" s="78" t="str">
        <f t="shared" si="107"/>
        <v/>
      </c>
      <c r="M98" s="349"/>
      <c r="N98" s="78" t="str">
        <f t="shared" ref="N98:N110" si="124">IF(AM98=0,"",AM98)</f>
        <v/>
      </c>
      <c r="O98" s="349"/>
      <c r="P98" s="78" t="str">
        <f t="shared" si="108"/>
        <v/>
      </c>
      <c r="Q98" s="349"/>
      <c r="R98" s="78" t="str">
        <f t="shared" si="109"/>
        <v/>
      </c>
      <c r="S98" s="349"/>
      <c r="T98" s="78" t="str">
        <f t="shared" si="110"/>
        <v/>
      </c>
      <c r="U98" s="349"/>
      <c r="V98" s="78" t="str">
        <f t="shared" si="111"/>
        <v/>
      </c>
      <c r="W98" s="349"/>
      <c r="Z98" s="352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0</v>
      </c>
      <c r="BU98" s="215" t="str">
        <f t="shared" ref="BU98:BU108" si="131">+BU97</f>
        <v>BK München 3</v>
      </c>
      <c r="BV98" s="214">
        <f t="shared" ref="BV98:BV108" si="132">RANK(BT98,BT:BT)</f>
        <v>2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0</v>
      </c>
      <c r="BZ98" s="214">
        <f t="shared" si="122"/>
        <v>0</v>
      </c>
    </row>
    <row r="99" spans="1:78" ht="17.2" customHeight="1" thickBot="1" x14ac:dyDescent="0.4">
      <c r="A99" s="369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50"/>
      <c r="F99" s="69" t="str">
        <f t="shared" si="104"/>
        <v/>
      </c>
      <c r="G99" s="350"/>
      <c r="H99" s="69" t="str">
        <f t="shared" si="105"/>
        <v/>
      </c>
      <c r="I99" s="350"/>
      <c r="J99" s="69" t="str">
        <f t="shared" si="106"/>
        <v/>
      </c>
      <c r="K99" s="350"/>
      <c r="L99" s="69" t="str">
        <f t="shared" si="107"/>
        <v/>
      </c>
      <c r="M99" s="350"/>
      <c r="N99" s="69" t="str">
        <f t="shared" si="124"/>
        <v/>
      </c>
      <c r="O99" s="350"/>
      <c r="P99" s="69" t="str">
        <f t="shared" si="108"/>
        <v/>
      </c>
      <c r="Q99" s="350"/>
      <c r="R99" s="69" t="str">
        <f t="shared" si="109"/>
        <v/>
      </c>
      <c r="S99" s="350"/>
      <c r="T99" s="69" t="str">
        <f t="shared" si="110"/>
        <v/>
      </c>
      <c r="U99" s="350"/>
      <c r="V99" s="69" t="str">
        <f t="shared" si="111"/>
        <v/>
      </c>
      <c r="W99" s="350"/>
      <c r="Z99" s="353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0</v>
      </c>
      <c r="BU99" s="215" t="str">
        <f t="shared" si="131"/>
        <v>BK München 3</v>
      </c>
      <c r="BV99" s="214">
        <f t="shared" si="132"/>
        <v>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0</v>
      </c>
      <c r="BZ99" s="214">
        <f t="shared" si="122"/>
        <v>0</v>
      </c>
    </row>
    <row r="100" spans="1:78" ht="17.2" customHeight="1" x14ac:dyDescent="0.35">
      <c r="A100" s="367" t="s">
        <v>2</v>
      </c>
      <c r="B100" s="73" t="str">
        <f t="shared" si="123"/>
        <v>Strahl, Pakwipa</v>
      </c>
      <c r="C100" s="74">
        <f t="shared" si="123"/>
        <v>7991</v>
      </c>
      <c r="D100" s="75" t="str">
        <f t="shared" si="123"/>
        <v/>
      </c>
      <c r="E100" s="348">
        <f>IF(AD100="","",AD100)</f>
        <v>0</v>
      </c>
      <c r="F100" s="75" t="str">
        <f t="shared" si="104"/>
        <v/>
      </c>
      <c r="G100" s="348">
        <f>IF(AF100="","",AF100)</f>
        <v>0</v>
      </c>
      <c r="H100" s="75" t="str">
        <f t="shared" si="105"/>
        <v/>
      </c>
      <c r="I100" s="348">
        <f>IF(AH100="","",AH100)</f>
        <v>0</v>
      </c>
      <c r="J100" s="75" t="str">
        <f t="shared" si="106"/>
        <v/>
      </c>
      <c r="K100" s="348">
        <f>IF(AJ100="","",AJ100)</f>
        <v>0</v>
      </c>
      <c r="L100" s="75" t="str">
        <f t="shared" si="107"/>
        <v/>
      </c>
      <c r="M100" s="348">
        <f>IF(AL100="","",AL100)</f>
        <v>0</v>
      </c>
      <c r="N100" s="75" t="str">
        <f t="shared" si="124"/>
        <v/>
      </c>
      <c r="O100" s="348">
        <f>IF(AN100="","",AN100)</f>
        <v>0</v>
      </c>
      <c r="P100" s="75" t="str">
        <f t="shared" si="108"/>
        <v/>
      </c>
      <c r="Q100" s="348">
        <f>IF(AP100="","",AP100)</f>
        <v>0</v>
      </c>
      <c r="R100" s="75" t="str">
        <f t="shared" si="109"/>
        <v/>
      </c>
      <c r="S100" s="348">
        <f>IF(AR100="","",AR100)</f>
        <v>0</v>
      </c>
      <c r="T100" s="75" t="str">
        <f t="shared" si="110"/>
        <v/>
      </c>
      <c r="U100" s="348">
        <f>IF(AT100="","",AT100)</f>
        <v>0</v>
      </c>
      <c r="V100" s="75" t="str">
        <f t="shared" si="111"/>
        <v/>
      </c>
      <c r="W100" s="348">
        <f>IF(AV100="","",AV100)</f>
        <v>0</v>
      </c>
      <c r="Z100" s="351" t="s">
        <v>2</v>
      </c>
      <c r="AA100" s="108" t="str">
        <f>IF(AB100=0,"",VLOOKUP(AB100,Starter!$A$1:$D$199,2,FALSE))</f>
        <v>Strahl, Pakwipa</v>
      </c>
      <c r="AB100" s="99">
        <v>7991</v>
      </c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2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5"/>
        <v>7991</v>
      </c>
      <c r="BE100" s="213">
        <f t="shared" si="126"/>
        <v>0</v>
      </c>
      <c r="BF100" s="215">
        <f t="shared" si="127"/>
        <v>0</v>
      </c>
      <c r="BG100" s="215">
        <f t="shared" si="128"/>
        <v>0</v>
      </c>
      <c r="BH100" s="215" t="str">
        <f t="shared" si="113"/>
        <v/>
      </c>
      <c r="BI100" s="215" t="str">
        <f t="shared" si="114"/>
        <v/>
      </c>
      <c r="BJ100" s="215" t="str">
        <f t="shared" si="115"/>
        <v/>
      </c>
      <c r="BK100" s="215" t="str">
        <f t="shared" si="116"/>
        <v/>
      </c>
      <c r="BL100" s="215" t="str">
        <f t="shared" si="117"/>
        <v/>
      </c>
      <c r="BM100" s="215" t="str">
        <f t="shared" si="118"/>
        <v/>
      </c>
      <c r="BN100" s="215" t="str">
        <f t="shared" si="119"/>
        <v/>
      </c>
      <c r="BO100" s="215" t="str">
        <f t="shared" si="120"/>
        <v/>
      </c>
      <c r="BP100" s="215" t="str">
        <f t="shared" si="121"/>
        <v/>
      </c>
      <c r="BQ100" s="216"/>
      <c r="BR100" s="214"/>
      <c r="BS100" s="215">
        <f t="shared" si="129"/>
        <v>0</v>
      </c>
      <c r="BT100" s="215">
        <f t="shared" si="130"/>
        <v>0</v>
      </c>
      <c r="BU100" s="215" t="str">
        <f t="shared" si="131"/>
        <v>BK München 3</v>
      </c>
      <c r="BV100" s="214">
        <f t="shared" si="132"/>
        <v>2</v>
      </c>
      <c r="BW100" s="215">
        <f t="shared" si="133"/>
        <v>0</v>
      </c>
      <c r="BX100" s="215">
        <f>IF(COUNTIF(BH100:BP100,"&gt;0")&lt;Spielorte!$A$23,0,BE100/Spielorte!$A$23)</f>
        <v>0</v>
      </c>
      <c r="BY100" s="215">
        <f t="shared" si="134"/>
        <v>0</v>
      </c>
      <c r="BZ100" s="214">
        <f t="shared" si="122"/>
        <v>0</v>
      </c>
    </row>
    <row r="101" spans="1:78" ht="17.2" customHeight="1" x14ac:dyDescent="0.35">
      <c r="A101" s="368"/>
      <c r="B101" s="76" t="str">
        <f t="shared" si="123"/>
        <v>Waigel, Petra</v>
      </c>
      <c r="C101" s="77">
        <f t="shared" si="123"/>
        <v>7061</v>
      </c>
      <c r="D101" s="78" t="str">
        <f t="shared" si="123"/>
        <v/>
      </c>
      <c r="E101" s="349"/>
      <c r="F101" s="78" t="str">
        <f t="shared" si="104"/>
        <v/>
      </c>
      <c r="G101" s="349"/>
      <c r="H101" s="78" t="str">
        <f t="shared" si="105"/>
        <v/>
      </c>
      <c r="I101" s="349"/>
      <c r="J101" s="78" t="str">
        <f t="shared" si="106"/>
        <v/>
      </c>
      <c r="K101" s="349"/>
      <c r="L101" s="78" t="str">
        <f t="shared" si="107"/>
        <v/>
      </c>
      <c r="M101" s="349"/>
      <c r="N101" s="78" t="str">
        <f t="shared" si="124"/>
        <v/>
      </c>
      <c r="O101" s="349"/>
      <c r="P101" s="78" t="str">
        <f t="shared" si="108"/>
        <v/>
      </c>
      <c r="Q101" s="349"/>
      <c r="R101" s="78" t="str">
        <f t="shared" si="109"/>
        <v/>
      </c>
      <c r="S101" s="349"/>
      <c r="T101" s="78" t="str">
        <f t="shared" si="110"/>
        <v/>
      </c>
      <c r="U101" s="349"/>
      <c r="V101" s="78" t="str">
        <f t="shared" si="111"/>
        <v/>
      </c>
      <c r="W101" s="349"/>
      <c r="Z101" s="352"/>
      <c r="AA101" s="108" t="str">
        <f>IF(AB101=0,"",VLOOKUP(AB101,Starter!$A$1:$D$199,2,FALSE))</f>
        <v>Waigel, Petra</v>
      </c>
      <c r="AB101" s="98">
        <v>7061</v>
      </c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7061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0</v>
      </c>
      <c r="BU101" s="215" t="str">
        <f t="shared" si="131"/>
        <v>BK München 3</v>
      </c>
      <c r="BV101" s="214">
        <f t="shared" si="132"/>
        <v>2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0</v>
      </c>
      <c r="BZ101" s="214">
        <f t="shared" si="122"/>
        <v>0</v>
      </c>
    </row>
    <row r="102" spans="1:78" ht="17.2" customHeight="1" thickBot="1" x14ac:dyDescent="0.4">
      <c r="A102" s="369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50"/>
      <c r="F102" s="69" t="str">
        <f t="shared" si="104"/>
        <v/>
      </c>
      <c r="G102" s="350"/>
      <c r="H102" s="69" t="str">
        <f t="shared" si="105"/>
        <v/>
      </c>
      <c r="I102" s="350"/>
      <c r="J102" s="69" t="str">
        <f t="shared" si="106"/>
        <v/>
      </c>
      <c r="K102" s="350"/>
      <c r="L102" s="69" t="str">
        <f t="shared" si="107"/>
        <v/>
      </c>
      <c r="M102" s="350"/>
      <c r="N102" s="69" t="str">
        <f t="shared" si="124"/>
        <v/>
      </c>
      <c r="O102" s="350"/>
      <c r="P102" s="69" t="str">
        <f t="shared" si="108"/>
        <v/>
      </c>
      <c r="Q102" s="350"/>
      <c r="R102" s="69" t="str">
        <f t="shared" si="109"/>
        <v/>
      </c>
      <c r="S102" s="350"/>
      <c r="T102" s="69" t="str">
        <f t="shared" si="110"/>
        <v/>
      </c>
      <c r="U102" s="350"/>
      <c r="V102" s="69" t="str">
        <f t="shared" si="111"/>
        <v/>
      </c>
      <c r="W102" s="350"/>
      <c r="Z102" s="353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0</v>
      </c>
      <c r="BU102" s="215" t="str">
        <f t="shared" si="131"/>
        <v>BK München 3</v>
      </c>
      <c r="BV102" s="214">
        <f t="shared" si="132"/>
        <v>2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0</v>
      </c>
      <c r="BZ102" s="214">
        <f t="shared" si="122"/>
        <v>0</v>
      </c>
    </row>
    <row r="103" spans="1:78" ht="17.2" customHeight="1" x14ac:dyDescent="0.35">
      <c r="A103" s="367" t="s">
        <v>3</v>
      </c>
      <c r="B103" s="73" t="str">
        <f t="shared" si="123"/>
        <v>Dietrich, Ulrike</v>
      </c>
      <c r="C103" s="74">
        <f t="shared" si="123"/>
        <v>25808</v>
      </c>
      <c r="D103" s="75" t="str">
        <f t="shared" si="123"/>
        <v/>
      </c>
      <c r="E103" s="348">
        <f>IF(AD103="","",AD103)</f>
        <v>0</v>
      </c>
      <c r="F103" s="75" t="str">
        <f t="shared" si="104"/>
        <v/>
      </c>
      <c r="G103" s="348">
        <f>IF(AF103="","",AF103)</f>
        <v>0</v>
      </c>
      <c r="H103" s="75" t="str">
        <f t="shared" si="105"/>
        <v/>
      </c>
      <c r="I103" s="348">
        <f>IF(AH103="","",AH103)</f>
        <v>0</v>
      </c>
      <c r="J103" s="75" t="str">
        <f t="shared" si="106"/>
        <v/>
      </c>
      <c r="K103" s="348">
        <f>IF(AJ103="","",AJ103)</f>
        <v>0</v>
      </c>
      <c r="L103" s="75" t="str">
        <f t="shared" si="107"/>
        <v/>
      </c>
      <c r="M103" s="348">
        <f>IF(AL103="","",AL103)</f>
        <v>0</v>
      </c>
      <c r="N103" s="75" t="str">
        <f t="shared" si="124"/>
        <v/>
      </c>
      <c r="O103" s="348">
        <f>IF(AN103="","",AN103)</f>
        <v>0</v>
      </c>
      <c r="P103" s="75" t="str">
        <f t="shared" si="108"/>
        <v/>
      </c>
      <c r="Q103" s="348">
        <f>IF(AP103="","",AP103)</f>
        <v>0</v>
      </c>
      <c r="R103" s="75" t="str">
        <f t="shared" si="109"/>
        <v/>
      </c>
      <c r="S103" s="348">
        <f>IF(AR103="","",AR103)</f>
        <v>0</v>
      </c>
      <c r="T103" s="75" t="str">
        <f t="shared" si="110"/>
        <v/>
      </c>
      <c r="U103" s="348">
        <f>IF(AT103="","",AT103)</f>
        <v>0</v>
      </c>
      <c r="V103" s="75" t="str">
        <f t="shared" si="111"/>
        <v/>
      </c>
      <c r="W103" s="348">
        <f>IF(AV103="","",AV103)</f>
        <v>0</v>
      </c>
      <c r="Z103" s="351" t="s">
        <v>3</v>
      </c>
      <c r="AA103" s="108" t="str">
        <f>IF(AB103=0,"",VLOOKUP(AB103,Starter!$A$1:$D$199,2,FALSE))</f>
        <v>Dietrich, Ulrike</v>
      </c>
      <c r="AB103" s="99">
        <v>25808</v>
      </c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2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5"/>
        <v>25808</v>
      </c>
      <c r="BE103" s="213">
        <f t="shared" si="126"/>
        <v>0</v>
      </c>
      <c r="BF103" s="215">
        <f t="shared" si="127"/>
        <v>0</v>
      </c>
      <c r="BG103" s="215">
        <f t="shared" si="128"/>
        <v>0</v>
      </c>
      <c r="BH103" s="215" t="str">
        <f t="shared" si="113"/>
        <v/>
      </c>
      <c r="BI103" s="215" t="str">
        <f t="shared" si="114"/>
        <v/>
      </c>
      <c r="BJ103" s="215" t="str">
        <f t="shared" si="115"/>
        <v/>
      </c>
      <c r="BK103" s="215" t="str">
        <f t="shared" si="116"/>
        <v/>
      </c>
      <c r="BL103" s="215" t="str">
        <f t="shared" si="117"/>
        <v/>
      </c>
      <c r="BM103" s="215" t="str">
        <f t="shared" si="118"/>
        <v/>
      </c>
      <c r="BN103" s="215" t="str">
        <f t="shared" si="119"/>
        <v/>
      </c>
      <c r="BO103" s="215" t="str">
        <f t="shared" si="120"/>
        <v/>
      </c>
      <c r="BP103" s="215" t="str">
        <f t="shared" si="121"/>
        <v/>
      </c>
      <c r="BQ103" s="216"/>
      <c r="BR103" s="214"/>
      <c r="BS103" s="215">
        <f t="shared" si="129"/>
        <v>0</v>
      </c>
      <c r="BT103" s="215">
        <f t="shared" si="130"/>
        <v>0</v>
      </c>
      <c r="BU103" s="215" t="str">
        <f t="shared" si="131"/>
        <v>BK München 3</v>
      </c>
      <c r="BV103" s="214">
        <f t="shared" si="132"/>
        <v>2</v>
      </c>
      <c r="BW103" s="215">
        <f t="shared" si="133"/>
        <v>0</v>
      </c>
      <c r="BX103" s="215">
        <f>IF(COUNTIF(BH103:BP103,"&gt;0")&lt;Spielorte!$A$23,0,BE103/Spielorte!$A$23)</f>
        <v>0</v>
      </c>
      <c r="BY103" s="215">
        <f t="shared" si="134"/>
        <v>0</v>
      </c>
      <c r="BZ103" s="214">
        <f t="shared" si="122"/>
        <v>0</v>
      </c>
    </row>
    <row r="104" spans="1:78" ht="17.2" customHeight="1" x14ac:dyDescent="0.35">
      <c r="A104" s="368"/>
      <c r="B104" s="76" t="str">
        <f t="shared" si="123"/>
        <v>Waigel, Petra</v>
      </c>
      <c r="C104" s="77">
        <f t="shared" si="123"/>
        <v>7061</v>
      </c>
      <c r="D104" s="78" t="str">
        <f t="shared" si="123"/>
        <v/>
      </c>
      <c r="E104" s="349"/>
      <c r="F104" s="78" t="str">
        <f t="shared" si="104"/>
        <v/>
      </c>
      <c r="G104" s="349"/>
      <c r="H104" s="78" t="str">
        <f t="shared" si="105"/>
        <v/>
      </c>
      <c r="I104" s="349"/>
      <c r="J104" s="78" t="str">
        <f t="shared" si="106"/>
        <v/>
      </c>
      <c r="K104" s="349"/>
      <c r="L104" s="78" t="str">
        <f t="shared" si="107"/>
        <v/>
      </c>
      <c r="M104" s="349"/>
      <c r="N104" s="78" t="str">
        <f t="shared" si="124"/>
        <v/>
      </c>
      <c r="O104" s="349"/>
      <c r="P104" s="78" t="str">
        <f t="shared" si="108"/>
        <v/>
      </c>
      <c r="Q104" s="349"/>
      <c r="R104" s="78" t="str">
        <f t="shared" si="109"/>
        <v/>
      </c>
      <c r="S104" s="349"/>
      <c r="T104" s="78" t="str">
        <f t="shared" si="110"/>
        <v/>
      </c>
      <c r="U104" s="349"/>
      <c r="V104" s="78" t="str">
        <f t="shared" si="111"/>
        <v/>
      </c>
      <c r="W104" s="349"/>
      <c r="Z104" s="352"/>
      <c r="AA104" s="108" t="str">
        <f>IF(AB104=0,"",VLOOKUP(AB104,Starter!$A$1:$D$199,2,FALSE))</f>
        <v>Waigel, Petra</v>
      </c>
      <c r="AB104" s="98">
        <v>7061</v>
      </c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7061</v>
      </c>
      <c r="BE104" s="213">
        <f t="shared" si="126"/>
        <v>0</v>
      </c>
      <c r="BF104" s="215">
        <f t="shared" si="127"/>
        <v>0</v>
      </c>
      <c r="BG104" s="215">
        <f t="shared" si="128"/>
        <v>0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0</v>
      </c>
      <c r="BT104" s="215">
        <f t="shared" si="130"/>
        <v>0</v>
      </c>
      <c r="BU104" s="215" t="str">
        <f t="shared" si="131"/>
        <v>BK München 3</v>
      </c>
      <c r="BV104" s="214">
        <f t="shared" si="132"/>
        <v>2</v>
      </c>
      <c r="BW104" s="215">
        <f t="shared" si="133"/>
        <v>0</v>
      </c>
      <c r="BX104" s="215">
        <f>IF(COUNTIF(BH104:BP104,"&gt;0")&lt;Spielorte!$A$23,0,BE104/Spielorte!$A$23)</f>
        <v>0</v>
      </c>
      <c r="BY104" s="215">
        <f t="shared" si="134"/>
        <v>0</v>
      </c>
      <c r="BZ104" s="214">
        <f t="shared" si="122"/>
        <v>0</v>
      </c>
    </row>
    <row r="105" spans="1:78" ht="17.2" customHeight="1" thickBot="1" x14ac:dyDescent="0.4">
      <c r="A105" s="369"/>
      <c r="B105" s="79" t="str">
        <f t="shared" si="123"/>
        <v>Strahl, Pakwipa</v>
      </c>
      <c r="C105" s="80">
        <f t="shared" si="123"/>
        <v>7991</v>
      </c>
      <c r="D105" s="69" t="str">
        <f t="shared" si="123"/>
        <v/>
      </c>
      <c r="E105" s="350"/>
      <c r="F105" s="69" t="str">
        <f t="shared" si="104"/>
        <v/>
      </c>
      <c r="G105" s="350"/>
      <c r="H105" s="69" t="str">
        <f t="shared" si="105"/>
        <v/>
      </c>
      <c r="I105" s="350"/>
      <c r="J105" s="69" t="str">
        <f t="shared" si="106"/>
        <v/>
      </c>
      <c r="K105" s="350"/>
      <c r="L105" s="69" t="str">
        <f t="shared" si="107"/>
        <v/>
      </c>
      <c r="M105" s="350"/>
      <c r="N105" s="69" t="str">
        <f t="shared" si="124"/>
        <v/>
      </c>
      <c r="O105" s="350"/>
      <c r="P105" s="69" t="str">
        <f t="shared" si="108"/>
        <v/>
      </c>
      <c r="Q105" s="350"/>
      <c r="R105" s="69" t="str">
        <f t="shared" si="109"/>
        <v/>
      </c>
      <c r="S105" s="350"/>
      <c r="T105" s="69" t="str">
        <f t="shared" si="110"/>
        <v/>
      </c>
      <c r="U105" s="350"/>
      <c r="V105" s="69" t="str">
        <f t="shared" si="111"/>
        <v/>
      </c>
      <c r="W105" s="350"/>
      <c r="Z105" s="353"/>
      <c r="AA105" s="118" t="str">
        <f>IF(AB105=0,"",VLOOKUP(AB105,Starter!$A$1:$D$199,2,FALSE))</f>
        <v>Strahl, Pakwipa</v>
      </c>
      <c r="AB105" s="100">
        <v>7991</v>
      </c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7991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0</v>
      </c>
      <c r="BU105" s="215" t="str">
        <f t="shared" si="131"/>
        <v>BK München 3</v>
      </c>
      <c r="BV105" s="214">
        <f t="shared" si="132"/>
        <v>2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0</v>
      </c>
      <c r="BZ105" s="214">
        <f t="shared" si="122"/>
        <v>0</v>
      </c>
    </row>
    <row r="106" spans="1:78" ht="17.2" customHeight="1" x14ac:dyDescent="0.35">
      <c r="A106" s="367" t="s">
        <v>11</v>
      </c>
      <c r="B106" s="73" t="str">
        <f>IF(AA106=0,"",AA106)</f>
        <v>Schott, Nicole</v>
      </c>
      <c r="C106" s="74">
        <f t="shared" si="123"/>
        <v>16595</v>
      </c>
      <c r="D106" s="75" t="str">
        <f t="shared" si="123"/>
        <v/>
      </c>
      <c r="E106" s="348">
        <f>IF(AD106="","",AD106)</f>
        <v>0</v>
      </c>
      <c r="F106" s="75" t="str">
        <f t="shared" si="104"/>
        <v/>
      </c>
      <c r="G106" s="348">
        <f>IF(AF106="","",AF106)</f>
        <v>0</v>
      </c>
      <c r="H106" s="75" t="str">
        <f t="shared" si="105"/>
        <v/>
      </c>
      <c r="I106" s="348">
        <f>IF(AH106="","",AH106)</f>
        <v>0</v>
      </c>
      <c r="J106" s="75" t="str">
        <f t="shared" si="106"/>
        <v/>
      </c>
      <c r="K106" s="348">
        <f>IF(AJ106="","",AJ106)</f>
        <v>0</v>
      </c>
      <c r="L106" s="75" t="str">
        <f t="shared" si="107"/>
        <v/>
      </c>
      <c r="M106" s="348">
        <f>IF(AL106="","",AL106)</f>
        <v>0</v>
      </c>
      <c r="N106" s="75" t="str">
        <f t="shared" si="124"/>
        <v/>
      </c>
      <c r="O106" s="348">
        <f>IF(AN106="","",AN106)</f>
        <v>0</v>
      </c>
      <c r="P106" s="75" t="str">
        <f t="shared" si="108"/>
        <v/>
      </c>
      <c r="Q106" s="348">
        <f>IF(AP106="","",AP106)</f>
        <v>0</v>
      </c>
      <c r="R106" s="75" t="str">
        <f t="shared" si="109"/>
        <v/>
      </c>
      <c r="S106" s="348">
        <f>IF(AR106="","",AR106)</f>
        <v>0</v>
      </c>
      <c r="T106" s="75" t="str">
        <f t="shared" si="110"/>
        <v/>
      </c>
      <c r="U106" s="348">
        <f>IF(AT106="","",AT106)</f>
        <v>0</v>
      </c>
      <c r="V106" s="75" t="str">
        <f t="shared" si="111"/>
        <v/>
      </c>
      <c r="W106" s="348">
        <f>IF(AV106="","",AV106)</f>
        <v>0</v>
      </c>
      <c r="Z106" s="351" t="s">
        <v>11</v>
      </c>
      <c r="AA106" s="108" t="str">
        <f>IF(AB106=0,"",VLOOKUP(AB106,Starter!$A$1:$D$199,2,FALSE))</f>
        <v>Schott, Nicole</v>
      </c>
      <c r="AB106" s="99">
        <v>16595</v>
      </c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2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5"/>
        <v>16595</v>
      </c>
      <c r="BE106" s="213">
        <f t="shared" si="126"/>
        <v>0</v>
      </c>
      <c r="BF106" s="215">
        <f t="shared" si="127"/>
        <v>0</v>
      </c>
      <c r="BG106" s="215">
        <f t="shared" si="128"/>
        <v>0</v>
      </c>
      <c r="BH106" s="215" t="str">
        <f t="shared" si="113"/>
        <v/>
      </c>
      <c r="BI106" s="215" t="str">
        <f t="shared" si="114"/>
        <v/>
      </c>
      <c r="BJ106" s="215" t="str">
        <f t="shared" si="115"/>
        <v/>
      </c>
      <c r="BK106" s="215" t="str">
        <f t="shared" si="116"/>
        <v/>
      </c>
      <c r="BL106" s="215" t="str">
        <f t="shared" si="117"/>
        <v/>
      </c>
      <c r="BM106" s="215" t="str">
        <f t="shared" si="118"/>
        <v/>
      </c>
      <c r="BN106" s="215" t="str">
        <f t="shared" si="119"/>
        <v/>
      </c>
      <c r="BO106" s="215" t="str">
        <f t="shared" si="120"/>
        <v/>
      </c>
      <c r="BP106" s="215" t="str">
        <f t="shared" si="121"/>
        <v/>
      </c>
      <c r="BQ106" s="216"/>
      <c r="BR106" s="214"/>
      <c r="BS106" s="215">
        <f t="shared" si="129"/>
        <v>0</v>
      </c>
      <c r="BT106" s="215">
        <f t="shared" si="130"/>
        <v>0</v>
      </c>
      <c r="BU106" s="215" t="str">
        <f t="shared" si="131"/>
        <v>BK München 3</v>
      </c>
      <c r="BV106" s="214">
        <f t="shared" si="132"/>
        <v>2</v>
      </c>
      <c r="BW106" s="215">
        <f t="shared" si="133"/>
        <v>0</v>
      </c>
      <c r="BX106" s="215">
        <f>IF(COUNTIF(BH106:BP106,"&gt;0")&lt;Spielorte!$A$23,0,BE106/Spielorte!$A$23)</f>
        <v>0</v>
      </c>
      <c r="BY106" s="215">
        <f t="shared" si="134"/>
        <v>0</v>
      </c>
      <c r="BZ106" s="214">
        <f t="shared" si="122"/>
        <v>0</v>
      </c>
    </row>
    <row r="107" spans="1:78" ht="17.2" customHeight="1" x14ac:dyDescent="0.35">
      <c r="A107" s="368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49"/>
      <c r="F107" s="78" t="str">
        <f t="shared" si="104"/>
        <v/>
      </c>
      <c r="G107" s="349"/>
      <c r="H107" s="78" t="str">
        <f t="shared" si="105"/>
        <v/>
      </c>
      <c r="I107" s="349"/>
      <c r="J107" s="78" t="str">
        <f t="shared" si="106"/>
        <v/>
      </c>
      <c r="K107" s="349"/>
      <c r="L107" s="78" t="str">
        <f t="shared" si="107"/>
        <v/>
      </c>
      <c r="M107" s="349"/>
      <c r="N107" s="78" t="str">
        <f t="shared" si="124"/>
        <v/>
      </c>
      <c r="O107" s="349"/>
      <c r="P107" s="78" t="str">
        <f t="shared" si="108"/>
        <v/>
      </c>
      <c r="Q107" s="349"/>
      <c r="R107" s="78" t="str">
        <f t="shared" si="109"/>
        <v/>
      </c>
      <c r="S107" s="349"/>
      <c r="T107" s="78" t="str">
        <f t="shared" si="110"/>
        <v/>
      </c>
      <c r="U107" s="349"/>
      <c r="V107" s="78" t="str">
        <f t="shared" si="111"/>
        <v/>
      </c>
      <c r="W107" s="349"/>
      <c r="Z107" s="352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0</v>
      </c>
      <c r="BU107" s="215" t="str">
        <f t="shared" si="131"/>
        <v>BK München 3</v>
      </c>
      <c r="BV107" s="214">
        <f t="shared" si="132"/>
        <v>2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0</v>
      </c>
      <c r="BZ107" s="214">
        <f t="shared" si="122"/>
        <v>0</v>
      </c>
    </row>
    <row r="108" spans="1:78" ht="17.2" customHeight="1" thickBot="1" x14ac:dyDescent="0.4">
      <c r="A108" s="369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50"/>
      <c r="F108" s="69" t="str">
        <f t="shared" si="104"/>
        <v/>
      </c>
      <c r="G108" s="350"/>
      <c r="H108" s="69" t="str">
        <f t="shared" si="105"/>
        <v/>
      </c>
      <c r="I108" s="350"/>
      <c r="J108" s="69" t="str">
        <f t="shared" si="106"/>
        <v/>
      </c>
      <c r="K108" s="350"/>
      <c r="L108" s="69" t="str">
        <f t="shared" si="107"/>
        <v/>
      </c>
      <c r="M108" s="350"/>
      <c r="N108" s="69" t="str">
        <f t="shared" si="124"/>
        <v/>
      </c>
      <c r="O108" s="350"/>
      <c r="P108" s="69" t="str">
        <f t="shared" si="108"/>
        <v/>
      </c>
      <c r="Q108" s="350"/>
      <c r="R108" s="69" t="str">
        <f t="shared" si="109"/>
        <v/>
      </c>
      <c r="S108" s="350"/>
      <c r="T108" s="69" t="str">
        <f t="shared" si="110"/>
        <v/>
      </c>
      <c r="U108" s="350"/>
      <c r="V108" s="69" t="str">
        <f t="shared" si="111"/>
        <v/>
      </c>
      <c r="W108" s="350"/>
      <c r="Z108" s="353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0</v>
      </c>
      <c r="BU108" s="215" t="str">
        <f t="shared" si="131"/>
        <v>BK München 3</v>
      </c>
      <c r="BV108" s="214">
        <f t="shared" si="132"/>
        <v>2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0</v>
      </c>
      <c r="BZ108" s="214">
        <f t="shared" si="122"/>
        <v>0</v>
      </c>
    </row>
    <row r="109" spans="1:78" ht="27.75" customHeight="1" thickBot="1" x14ac:dyDescent="0.4">
      <c r="B109" s="81" t="str">
        <f>IF(AA109=0,"",AA109)</f>
        <v>Gesamt</v>
      </c>
      <c r="C109" s="82" t="str">
        <f t="shared" si="123"/>
        <v/>
      </c>
      <c r="D109" s="83" t="str">
        <f t="shared" si="123"/>
        <v/>
      </c>
      <c r="E109" s="84">
        <f>IF(AD109="","",AD109)</f>
        <v>0</v>
      </c>
      <c r="F109" s="83" t="str">
        <f t="shared" si="104"/>
        <v/>
      </c>
      <c r="G109" s="84">
        <f>IF(AF109="","",AF109)</f>
        <v>0</v>
      </c>
      <c r="H109" s="83" t="str">
        <f t="shared" si="105"/>
        <v/>
      </c>
      <c r="I109" s="84">
        <f>IF(AH109="","",AH109)</f>
        <v>0</v>
      </c>
      <c r="J109" s="83" t="str">
        <f t="shared" si="106"/>
        <v/>
      </c>
      <c r="K109" s="84">
        <f>IF(AJ109="","",AJ109)</f>
        <v>0</v>
      </c>
      <c r="L109" s="83" t="str">
        <f t="shared" si="107"/>
        <v/>
      </c>
      <c r="M109" s="84">
        <f>IF(AL109="","",AL109)</f>
        <v>0</v>
      </c>
      <c r="N109" s="83" t="str">
        <f t="shared" si="124"/>
        <v/>
      </c>
      <c r="O109" s="84">
        <f>IF(AN109="","",AN109)</f>
        <v>0</v>
      </c>
      <c r="P109" s="83" t="str">
        <f t="shared" si="108"/>
        <v/>
      </c>
      <c r="Q109" s="84">
        <f>IF(AP109="","",AP109)</f>
        <v>0</v>
      </c>
      <c r="R109" s="83" t="str">
        <f t="shared" si="109"/>
        <v/>
      </c>
      <c r="S109" s="84">
        <f>IF(AR109="","",AR109)</f>
        <v>0</v>
      </c>
      <c r="T109" s="83" t="str">
        <f t="shared" si="110"/>
        <v/>
      </c>
      <c r="U109" s="84">
        <f>IF(AT109="","",AT109)</f>
        <v>0</v>
      </c>
      <c r="V109" s="83" t="str">
        <f t="shared" si="111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4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0</v>
      </c>
      <c r="F110" s="86" t="str">
        <f t="shared" si="104"/>
        <v/>
      </c>
      <c r="G110" s="87">
        <f>IF(AF110="","",AF110)</f>
        <v>0</v>
      </c>
      <c r="H110" s="86" t="str">
        <f t="shared" si="105"/>
        <v/>
      </c>
      <c r="I110" s="87">
        <f>IF(AH110="","",AH110)</f>
        <v>0</v>
      </c>
      <c r="J110" s="86" t="str">
        <f t="shared" si="106"/>
        <v/>
      </c>
      <c r="K110" s="87">
        <f>IF(AJ110="","",AJ110)</f>
        <v>0</v>
      </c>
      <c r="L110" s="86" t="str">
        <f t="shared" si="107"/>
        <v/>
      </c>
      <c r="M110" s="87">
        <f>IF(AL110="","",AL110)</f>
        <v>0</v>
      </c>
      <c r="N110" s="86" t="str">
        <f t="shared" si="124"/>
        <v/>
      </c>
      <c r="O110" s="87">
        <f>IF(AN110="","",AN110)</f>
        <v>0</v>
      </c>
      <c r="P110" s="86" t="str">
        <f t="shared" si="108"/>
        <v/>
      </c>
      <c r="Q110" s="87">
        <f>IF(AP110="","",AP110)</f>
        <v>0</v>
      </c>
      <c r="R110" s="86" t="str">
        <f t="shared" si="109"/>
        <v/>
      </c>
      <c r="S110" s="87">
        <f>IF(AR110="","",AR110)</f>
        <v>0</v>
      </c>
      <c r="T110" s="86" t="str">
        <f t="shared" si="110"/>
        <v/>
      </c>
      <c r="U110" s="87">
        <f>IF(AT110="","",AT110)</f>
        <v>0</v>
      </c>
      <c r="V110" s="86" t="str">
        <f t="shared" si="111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10</v>
      </c>
      <c r="BV110" s="214"/>
      <c r="BZ110" s="214"/>
    </row>
    <row r="111" spans="1:78" ht="11.25" customHeight="1" x14ac:dyDescent="0.3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3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46">
        <f t="shared" si="135"/>
        <v>5</v>
      </c>
      <c r="E112" s="346" t="str">
        <f t="shared" si="135"/>
        <v/>
      </c>
      <c r="F112" s="346">
        <f t="shared" si="135"/>
        <v>3</v>
      </c>
      <c r="G112" s="346" t="str">
        <f t="shared" si="135"/>
        <v/>
      </c>
      <c r="H112" s="346">
        <f t="shared" si="135"/>
        <v>1</v>
      </c>
      <c r="I112" s="346" t="str">
        <f t="shared" si="135"/>
        <v/>
      </c>
      <c r="J112" s="346">
        <f t="shared" si="135"/>
        <v>8</v>
      </c>
      <c r="K112" s="346" t="str">
        <f t="shared" si="135"/>
        <v/>
      </c>
      <c r="L112" s="346">
        <f t="shared" si="135"/>
        <v>6</v>
      </c>
      <c r="M112" s="346" t="str">
        <f t="shared" si="135"/>
        <v/>
      </c>
      <c r="N112" s="346">
        <f t="shared" si="135"/>
        <v>10</v>
      </c>
      <c r="O112" s="346" t="str">
        <f t="shared" si="135"/>
        <v/>
      </c>
      <c r="P112" s="346">
        <f t="shared" si="135"/>
        <v>9</v>
      </c>
      <c r="Q112" s="346" t="str">
        <f t="shared" si="135"/>
        <v/>
      </c>
      <c r="R112" s="346">
        <f t="shared" ref="N112:U114" si="136">IF(AQ112=0,"",AQ112)</f>
        <v>2</v>
      </c>
      <c r="S112" s="346" t="str">
        <f t="shared" si="136"/>
        <v/>
      </c>
      <c r="T112" s="346">
        <f t="shared" si="136"/>
        <v>7</v>
      </c>
      <c r="U112" s="346" t="str">
        <f t="shared" si="136"/>
        <v/>
      </c>
      <c r="V112" s="347"/>
      <c r="W112" s="347"/>
      <c r="AA112" s="88" t="s">
        <v>1797</v>
      </c>
      <c r="AB112" s="89" t="s">
        <v>1798</v>
      </c>
      <c r="AC112" s="370">
        <f>VLOOKUP($AA92,Schlüssel!$A$5:$DG$14,23)</f>
        <v>5</v>
      </c>
      <c r="AD112" s="371"/>
      <c r="AE112" s="370">
        <f>VLOOKUP($AA92,Schlüssel!$A$5:$EK$14,24)</f>
        <v>3</v>
      </c>
      <c r="AF112" s="371"/>
      <c r="AG112" s="370">
        <f>VLOOKUP($AA92,Schlüssel!$A$5:$EK$14,25)</f>
        <v>1</v>
      </c>
      <c r="AH112" s="371"/>
      <c r="AI112" s="370">
        <f>VLOOKUP($AA92,Schlüssel!$A$5:$EK$14,26)</f>
        <v>8</v>
      </c>
      <c r="AJ112" s="371"/>
      <c r="AK112" s="370">
        <f>VLOOKUP($AA92,Schlüssel!$A$5:$EK$14,27)</f>
        <v>6</v>
      </c>
      <c r="AL112" s="371"/>
      <c r="AM112" s="370">
        <f>VLOOKUP($AA92,Schlüssel!$A$5:$EK$14,28)</f>
        <v>10</v>
      </c>
      <c r="AN112" s="371"/>
      <c r="AO112" s="370">
        <f>VLOOKUP($AA92,Schlüssel!$A$5:$EK$14,29)</f>
        <v>9</v>
      </c>
      <c r="AP112" s="371"/>
      <c r="AQ112" s="370">
        <f>VLOOKUP($AA92,Schlüssel!$A$5:$EK$14,30)</f>
        <v>2</v>
      </c>
      <c r="AR112" s="371"/>
      <c r="AS112" s="370">
        <f>VLOOKUP($AA92,Schlüssel!$A$5:$EK$14,31)</f>
        <v>7</v>
      </c>
      <c r="AT112" s="371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35">
      <c r="B113" s="90" t="str">
        <f t="shared" ref="B113:M114" si="137">IF(AA113=0,"",AA113)</f>
        <v/>
      </c>
      <c r="C113" s="86" t="str">
        <f t="shared" si="137"/>
        <v/>
      </c>
      <c r="D113" s="343" t="str">
        <f t="shared" si="137"/>
        <v xml:space="preserve">Weiß Blau Unterföhring </v>
      </c>
      <c r="E113" s="344" t="str">
        <f t="shared" si="137"/>
        <v/>
      </c>
      <c r="F113" s="343" t="str">
        <f t="shared" si="137"/>
        <v>Highroller Rosenheim</v>
      </c>
      <c r="G113" s="344" t="str">
        <f t="shared" si="137"/>
        <v/>
      </c>
      <c r="H113" s="343" t="str">
        <f t="shared" si="137"/>
        <v>Praetoria Regensburg</v>
      </c>
      <c r="I113" s="344" t="str">
        <f t="shared" si="137"/>
        <v/>
      </c>
      <c r="J113" s="343" t="str">
        <f t="shared" si="137"/>
        <v>EPA München 1</v>
      </c>
      <c r="K113" s="344" t="str">
        <f t="shared" si="137"/>
        <v/>
      </c>
      <c r="L113" s="343" t="str">
        <f t="shared" si="137"/>
        <v>Phönix 03 Lauf</v>
      </c>
      <c r="M113" s="344" t="str">
        <f t="shared" si="137"/>
        <v/>
      </c>
      <c r="N113" s="343" t="str">
        <f t="shared" si="136"/>
        <v>BK München 4</v>
      </c>
      <c r="O113" s="344" t="str">
        <f t="shared" si="136"/>
        <v/>
      </c>
      <c r="P113" s="343" t="str">
        <f t="shared" si="136"/>
        <v>RW Lichtenhof 69 Stein 2</v>
      </c>
      <c r="Q113" s="344" t="str">
        <f t="shared" si="136"/>
        <v/>
      </c>
      <c r="R113" s="343" t="str">
        <f t="shared" si="136"/>
        <v>BK München 2</v>
      </c>
      <c r="S113" s="344" t="str">
        <f t="shared" si="136"/>
        <v/>
      </c>
      <c r="T113" s="343" t="str">
        <f t="shared" si="136"/>
        <v>Frankenpower Nürnberg</v>
      </c>
      <c r="U113" s="344" t="str">
        <f t="shared" si="136"/>
        <v/>
      </c>
      <c r="V113" s="345"/>
      <c r="W113" s="345"/>
      <c r="AA113" s="90"/>
      <c r="AB113" s="86"/>
      <c r="AC113" s="343" t="str">
        <f>VLOOKUP(AC112,Schlüssel!$A$5:$K$14,2)</f>
        <v xml:space="preserve">Weiß Blau Unterföhring </v>
      </c>
      <c r="AD113" s="344"/>
      <c r="AE113" s="343" t="str">
        <f>VLOOKUP(AE112,Schlüssel!$A$5:$K$14,2)</f>
        <v>Highroller Rosenheim</v>
      </c>
      <c r="AF113" s="344"/>
      <c r="AG113" s="343" t="str">
        <f>VLOOKUP(AG112,Schlüssel!$A$5:$K$14,2)</f>
        <v>Praetoria Regensburg</v>
      </c>
      <c r="AH113" s="344"/>
      <c r="AI113" s="343" t="str">
        <f>VLOOKUP(AI112,Schlüssel!$A$5:$K$14,2)</f>
        <v>EPA München 1</v>
      </c>
      <c r="AJ113" s="344"/>
      <c r="AK113" s="343" t="str">
        <f>VLOOKUP(AK112,Schlüssel!$A$5:$K$14,2)</f>
        <v>Phönix 03 Lauf</v>
      </c>
      <c r="AL113" s="344"/>
      <c r="AM113" s="343" t="str">
        <f>VLOOKUP(AM112,Schlüssel!$A$5:$K$14,2)</f>
        <v>BK München 4</v>
      </c>
      <c r="AN113" s="344"/>
      <c r="AO113" s="343" t="str">
        <f>VLOOKUP(AO112,Schlüssel!$A$5:$K$14,2)</f>
        <v>RW Lichtenhof 69 Stein 2</v>
      </c>
      <c r="AP113" s="344"/>
      <c r="AQ113" s="343" t="str">
        <f>VLOOKUP(AQ112,Schlüssel!$A$5:$K$14,2)</f>
        <v>BK München 2</v>
      </c>
      <c r="AR113" s="344"/>
      <c r="AS113" s="343" t="str">
        <f>VLOOKUP(AS112,Schlüssel!$A$5:$K$14,2)</f>
        <v>Frankenpower Nürnberg</v>
      </c>
      <c r="AT113" s="344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35">
      <c r="B114" s="90" t="str">
        <f t="shared" si="137"/>
        <v/>
      </c>
      <c r="C114" s="86" t="str">
        <f t="shared" si="137"/>
        <v/>
      </c>
      <c r="D114" s="341" t="str">
        <f t="shared" si="137"/>
        <v/>
      </c>
      <c r="E114" s="341" t="str">
        <f t="shared" si="137"/>
        <v/>
      </c>
      <c r="F114" s="341" t="str">
        <f t="shared" si="137"/>
        <v/>
      </c>
      <c r="G114" s="341" t="str">
        <f t="shared" si="137"/>
        <v/>
      </c>
      <c r="H114" s="341" t="str">
        <f t="shared" si="137"/>
        <v/>
      </c>
      <c r="I114" s="341" t="str">
        <f t="shared" si="137"/>
        <v/>
      </c>
      <c r="J114" s="341" t="str">
        <f t="shared" si="137"/>
        <v/>
      </c>
      <c r="K114" s="341" t="str">
        <f t="shared" si="137"/>
        <v/>
      </c>
      <c r="L114" s="341" t="str">
        <f t="shared" si="137"/>
        <v/>
      </c>
      <c r="M114" s="341" t="str">
        <f t="shared" si="137"/>
        <v/>
      </c>
      <c r="N114" s="341" t="str">
        <f t="shared" si="136"/>
        <v/>
      </c>
      <c r="O114" s="341" t="str">
        <f t="shared" si="136"/>
        <v/>
      </c>
      <c r="P114" s="341" t="str">
        <f t="shared" si="136"/>
        <v/>
      </c>
      <c r="Q114" s="341" t="str">
        <f t="shared" si="136"/>
        <v/>
      </c>
      <c r="R114" s="341" t="str">
        <f t="shared" si="136"/>
        <v/>
      </c>
      <c r="S114" s="341" t="str">
        <f t="shared" si="136"/>
        <v/>
      </c>
      <c r="T114" s="341" t="str">
        <f t="shared" si="136"/>
        <v/>
      </c>
      <c r="U114" s="342" t="str">
        <f t="shared" si="136"/>
        <v/>
      </c>
      <c r="V114" s="301"/>
      <c r="W114" s="301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6.05" customHeight="1" x14ac:dyDescent="0.35">
      <c r="B115" s="365" t="str">
        <f t="shared" ref="B115:C119" si="138">IF(AA115=0,"",AA115)</f>
        <v>Spieler 1</v>
      </c>
      <c r="C115" s="366" t="str">
        <f t="shared" si="138"/>
        <v/>
      </c>
      <c r="D115" s="339">
        <f>IF(AC115=301,"",AC115)</f>
        <v>171</v>
      </c>
      <c r="E115" s="339" t="str">
        <f>IF(AD115=0,"",AD115)</f>
        <v/>
      </c>
      <c r="F115" s="339">
        <f>IF(AE115=301,"",AE115)</f>
        <v>213</v>
      </c>
      <c r="G115" s="339" t="str">
        <f>IF(AF115=0,"",AF115)</f>
        <v/>
      </c>
      <c r="H115" s="339">
        <f>IF(AG115=301,"",AG115)</f>
        <v>176</v>
      </c>
      <c r="I115" s="339" t="str">
        <f>IF(AH115=0,"",AH115)</f>
        <v/>
      </c>
      <c r="J115" s="339">
        <f>IF(AI115=301,"",AI115)</f>
        <v>212</v>
      </c>
      <c r="K115" s="339" t="str">
        <f>IF(AJ115=0,"",AJ115)</f>
        <v/>
      </c>
      <c r="L115" s="339">
        <f>IF(AK115=301,"",AK115)</f>
        <v>144</v>
      </c>
      <c r="M115" s="339" t="str">
        <f>IF(AL115=0,"",AL115)</f>
        <v/>
      </c>
      <c r="N115" s="339">
        <f>IF(AM115=301,"",AM115)</f>
        <v>168</v>
      </c>
      <c r="O115" s="339" t="str">
        <f>IF(AN115=0,"",AN115)</f>
        <v/>
      </c>
      <c r="P115" s="339">
        <f>IF(AO115=301,"",AO115)</f>
        <v>185</v>
      </c>
      <c r="Q115" s="339" t="str">
        <f>IF(AP115=0,"",AP115)</f>
        <v/>
      </c>
      <c r="R115" s="339">
        <f>IF(AQ115=301,"",AQ115)</f>
        <v>188</v>
      </c>
      <c r="S115" s="339" t="str">
        <f>IF(AR115=0,"",AR115)</f>
        <v/>
      </c>
      <c r="T115" s="339">
        <f>IF(AS115=301,"",AS115)</f>
        <v>175</v>
      </c>
      <c r="U115" s="339" t="str">
        <f>IF(AT115=0,"",AT115)</f>
        <v/>
      </c>
      <c r="V115" s="340"/>
      <c r="W115" s="340"/>
      <c r="AA115" s="91" t="s">
        <v>0</v>
      </c>
      <c r="AB115" s="92"/>
      <c r="AC115" s="372">
        <f>ABS(INDEX(AC:AC,MATCH(AC112,$AA:$AA,0)+5)+INDEX(AC:AC,MATCH(AC112,$AA:$AA,0)+6)+INDEX(AC:AC,MATCH(AC112,$AA:$AA,0)+7))</f>
        <v>171</v>
      </c>
      <c r="AD115" s="373"/>
      <c r="AE115" s="372">
        <f>ABS(INDEX(AE:AE,MATCH(AE112,$AA:$AA,0)+5)+INDEX(AE:AE,MATCH(AE112,$AA:$AA,0)+6)+INDEX(AE:AE,MATCH(AE112,$AA:$AA,0)+7))</f>
        <v>213</v>
      </c>
      <c r="AF115" s="373"/>
      <c r="AG115" s="372">
        <f>ABS(INDEX(AG:AG,MATCH(AG112,$AA:$AA,0)+5)+INDEX(AG:AG,MATCH(AG112,$AA:$AA,0)+6)+INDEX(AG:AG,MATCH(AG112,$AA:$AA,0)+7))</f>
        <v>176</v>
      </c>
      <c r="AH115" s="373"/>
      <c r="AI115" s="372">
        <f>ABS(INDEX(AI:AI,MATCH(AI112,$AA:$AA,0)+5)+INDEX(AI:AI,MATCH(AI112,$AA:$AA,0)+6)+INDEX(AI:AI,MATCH(AI112,$AA:$AA,0)+7))</f>
        <v>212</v>
      </c>
      <c r="AJ115" s="373"/>
      <c r="AK115" s="372">
        <f>ABS(INDEX(AK:AK,MATCH(AK112,$AA:$AA,0)+5)+INDEX(AK:AK,MATCH(AK112,$AA:$AA,0)+6)+INDEX(AK:AK,MATCH(AK112,$AA:$AA,0)+7))</f>
        <v>144</v>
      </c>
      <c r="AL115" s="373"/>
      <c r="AM115" s="372">
        <f>ABS(INDEX(AM:AM,MATCH(AM112,$AA:$AA,0)+5)+INDEX(AM:AM,MATCH(AM112,$AA:$AA,0)+6)+INDEX(AM:AM,MATCH(AM112,$AA:$AA,0)+7))</f>
        <v>168</v>
      </c>
      <c r="AN115" s="373"/>
      <c r="AO115" s="372">
        <f>ABS(INDEX(AO:AO,MATCH(AO112,$AA:$AA,0)+5)+INDEX(AO:AO,MATCH(AO112,$AA:$AA,0)+6)+INDEX(AO:AO,MATCH(AO112,$AA:$AA,0)+7))</f>
        <v>185</v>
      </c>
      <c r="AP115" s="373"/>
      <c r="AQ115" s="372">
        <f>ABS(INDEX(AQ:AQ,MATCH(AQ112,$AA:$AA,0)+5)+INDEX(AQ:AQ,MATCH(AQ112,$AA:$AA,0)+6)+INDEX(AQ:AQ,MATCH(AQ112,$AA:$AA,0)+7))</f>
        <v>188</v>
      </c>
      <c r="AR115" s="373"/>
      <c r="AS115" s="372">
        <f>ABS(INDEX(AS:AS,MATCH(AS112,$AA:$AA,0)+5)+INDEX(AS:AS,MATCH(AS112,$AA:$AA,0)+6)+INDEX(AS:AS,MATCH(AS112,$AA:$AA,0)+7))</f>
        <v>175</v>
      </c>
      <c r="AT115" s="373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6.05" customHeight="1" x14ac:dyDescent="0.35">
      <c r="B116" s="365" t="str">
        <f t="shared" si="138"/>
        <v>Spieler 2</v>
      </c>
      <c r="C116" s="366" t="str">
        <f t="shared" si="138"/>
        <v/>
      </c>
      <c r="D116" s="339">
        <f>IF(AC116=301,"",AC116)</f>
        <v>232</v>
      </c>
      <c r="E116" s="339" t="str">
        <f>IF(AD116=0,"",AD116)</f>
        <v/>
      </c>
      <c r="F116" s="339">
        <f>IF(AE116=301,"",AE116)</f>
        <v>213</v>
      </c>
      <c r="G116" s="339" t="str">
        <f>IF(AF116=0,"",AF116)</f>
        <v/>
      </c>
      <c r="H116" s="339">
        <f>IF(AG116=301,"",AG116)</f>
        <v>189</v>
      </c>
      <c r="I116" s="339" t="str">
        <f>IF(AH116=0,"",AH116)</f>
        <v/>
      </c>
      <c r="J116" s="339">
        <f>IF(AI116=301,"",AI116)</f>
        <v>181</v>
      </c>
      <c r="K116" s="339" t="str">
        <f>IF(AJ116=0,"",AJ116)</f>
        <v/>
      </c>
      <c r="L116" s="339">
        <f>IF(AK116=301,"",AK116)</f>
        <v>135</v>
      </c>
      <c r="M116" s="339" t="str">
        <f>IF(AL116=0,"",AL116)</f>
        <v/>
      </c>
      <c r="N116" s="339">
        <f>IF(AM116=301,"",AM116)</f>
        <v>148</v>
      </c>
      <c r="O116" s="339" t="str">
        <f>IF(AN116=0,"",AN116)</f>
        <v/>
      </c>
      <c r="P116" s="339">
        <f>IF(AO116=301,"",AO116)</f>
        <v>196</v>
      </c>
      <c r="Q116" s="339" t="str">
        <f>IF(AP116=0,"",AP116)</f>
        <v/>
      </c>
      <c r="R116" s="339">
        <f>IF(AQ116=301,"",AQ116)</f>
        <v>175</v>
      </c>
      <c r="S116" s="339" t="str">
        <f>IF(AR116=0,"",AR116)</f>
        <v/>
      </c>
      <c r="T116" s="339">
        <f>IF(AS116=301,"",AS116)</f>
        <v>150</v>
      </c>
      <c r="U116" s="339" t="str">
        <f>IF(AT116=0,"",AT116)</f>
        <v/>
      </c>
      <c r="V116" s="340"/>
      <c r="W116" s="340"/>
      <c r="AA116" s="91" t="s">
        <v>2</v>
      </c>
      <c r="AB116" s="92"/>
      <c r="AC116" s="374">
        <f>ABS(INDEX(AC:AC,MATCH(AC112,$AA:$AA,0)+8)+INDEX(AC:AC,MATCH(AC112,$AA:$AA,0)+9)+INDEX(AC:AC,MATCH(AC112,$AA:$AA,0)+10))</f>
        <v>232</v>
      </c>
      <c r="AD116" s="375"/>
      <c r="AE116" s="374">
        <f>ABS(INDEX(AE:AE,MATCH(AE112,$AA:$AA,0)+8)+INDEX(AE:AE,MATCH(AE112,$AA:$AA,0)+9)+INDEX(AE:AE,MATCH(AE112,$AA:$AA,0)+10))</f>
        <v>213</v>
      </c>
      <c r="AF116" s="375"/>
      <c r="AG116" s="374">
        <f>ABS(INDEX(AG:AG,MATCH(AG112,$AA:$AA,0)+8)+INDEX(AG:AG,MATCH(AG112,$AA:$AA,0)+9)+INDEX(AG:AG,MATCH(AG112,$AA:$AA,0)+10))</f>
        <v>189</v>
      </c>
      <c r="AH116" s="375"/>
      <c r="AI116" s="374">
        <f>ABS(INDEX(AI:AI,MATCH(AI112,$AA:$AA,0)+8)+INDEX(AI:AI,MATCH(AI112,$AA:$AA,0)+9)+INDEX(AI:AI,MATCH(AI112,$AA:$AA,0)+10))</f>
        <v>181</v>
      </c>
      <c r="AJ116" s="375"/>
      <c r="AK116" s="374">
        <f>ABS(INDEX(AK:AK,MATCH(AK112,$AA:$AA,0)+8)+INDEX(AK:AK,MATCH(AK112,$AA:$AA,0)+9)+INDEX(AK:AK,MATCH(AK112,$AA:$AA,0)+10))</f>
        <v>135</v>
      </c>
      <c r="AL116" s="375"/>
      <c r="AM116" s="374">
        <f>ABS(INDEX(AM:AM,MATCH(AM112,$AA:$AA,0)+8)+INDEX(AM:AM,MATCH(AM112,$AA:$AA,0)+9)+INDEX(AM:AM,MATCH(AM112,$AA:$AA,0)+10))</f>
        <v>148</v>
      </c>
      <c r="AN116" s="375"/>
      <c r="AO116" s="374">
        <f>ABS(INDEX(AO:AO,MATCH(AO112,$AA:$AA,0)+8)+INDEX(AO:AO,MATCH(AO112,$AA:$AA,0)+9)+INDEX(AO:AO,MATCH(AO112,$AA:$AA,0)+10))</f>
        <v>196</v>
      </c>
      <c r="AP116" s="375"/>
      <c r="AQ116" s="374">
        <f>ABS(INDEX(AQ:AQ,MATCH(AQ112,$AA:$AA,0)+8)+INDEX(AQ:AQ,MATCH(AQ112,$AA:$AA,0)+9)+INDEX(AQ:AQ,MATCH(AQ112,$AA:$AA,0)+10))</f>
        <v>175</v>
      </c>
      <c r="AR116" s="375"/>
      <c r="AS116" s="374">
        <f>ABS(INDEX(AS:AS,MATCH(AS112,$AA:$AA,0)+8)+INDEX(AS:AS,MATCH(AS112,$AA:$AA,0)+9)+INDEX(AS:AS,MATCH(AS112,$AA:$AA,0)+10))</f>
        <v>150</v>
      </c>
      <c r="AT116" s="37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6.05" customHeight="1" x14ac:dyDescent="0.35">
      <c r="B117" s="365" t="str">
        <f t="shared" si="138"/>
        <v>Spieler 3</v>
      </c>
      <c r="C117" s="366" t="str">
        <f t="shared" si="138"/>
        <v/>
      </c>
      <c r="D117" s="339">
        <f>IF(AC117=301,"",AC117)</f>
        <v>203</v>
      </c>
      <c r="E117" s="339" t="str">
        <f>IF(AD117=0,"",AD117)</f>
        <v/>
      </c>
      <c r="F117" s="339">
        <f>IF(AE117=301,"",AE117)</f>
        <v>151</v>
      </c>
      <c r="G117" s="339" t="str">
        <f>IF(AF117=0,"",AF117)</f>
        <v/>
      </c>
      <c r="H117" s="339">
        <f>IF(AG117=301,"",AG117)</f>
        <v>183</v>
      </c>
      <c r="I117" s="339" t="str">
        <f>IF(AH117=0,"",AH117)</f>
        <v/>
      </c>
      <c r="J117" s="339">
        <f>IF(AI117=301,"",AI117)</f>
        <v>193</v>
      </c>
      <c r="K117" s="339" t="str">
        <f>IF(AJ117=0,"",AJ117)</f>
        <v/>
      </c>
      <c r="L117" s="339">
        <f>IF(AK117=301,"",AK117)</f>
        <v>162</v>
      </c>
      <c r="M117" s="339" t="str">
        <f>IF(AL117=0,"",AL117)</f>
        <v/>
      </c>
      <c r="N117" s="339">
        <f>IF(AM117=301,"",AM117)</f>
        <v>158</v>
      </c>
      <c r="O117" s="339" t="str">
        <f>IF(AN117=0,"",AN117)</f>
        <v/>
      </c>
      <c r="P117" s="339">
        <f>IF(AO117=301,"",AO117)</f>
        <v>179</v>
      </c>
      <c r="Q117" s="339" t="str">
        <f>IF(AP117=0,"",AP117)</f>
        <v/>
      </c>
      <c r="R117" s="339">
        <f>IF(AQ117=301,"",AQ117)</f>
        <v>171</v>
      </c>
      <c r="S117" s="339" t="str">
        <f>IF(AR117=0,"",AR117)</f>
        <v/>
      </c>
      <c r="T117" s="339">
        <f>IF(AS117=301,"",AS117)</f>
        <v>213</v>
      </c>
      <c r="U117" s="339" t="str">
        <f>IF(AT117=0,"",AT117)</f>
        <v/>
      </c>
      <c r="V117" s="340"/>
      <c r="W117" s="340"/>
      <c r="AA117" s="91" t="s">
        <v>3</v>
      </c>
      <c r="AB117" s="92"/>
      <c r="AC117" s="374">
        <f>ABS(INDEX(AC:AC,MATCH(AC112,$AA:$AA,0)+11)+INDEX(AC:AC,MATCH(AC112,$AA:$AA,0)+12)+INDEX(AC:AC,MATCH(AC112,$AA:$AA,0)+13))</f>
        <v>203</v>
      </c>
      <c r="AD117" s="375"/>
      <c r="AE117" s="374">
        <f>ABS(INDEX(AE:AE,MATCH(AE112,$AA:$AA,0)+11)+INDEX(AE:AE,MATCH(AE112,$AA:$AA,0)+12)+INDEX(AE:AE,MATCH(AE112,$AA:$AA,0)+13))</f>
        <v>151</v>
      </c>
      <c r="AF117" s="375"/>
      <c r="AG117" s="374">
        <f>ABS(INDEX(AG:AG,MATCH(AG112,$AA:$AA,0)+11)+INDEX(AG:AG,MATCH(AG112,$AA:$AA,0)+12)+INDEX(AG:AG,MATCH(AG112,$AA:$AA,0)+13))</f>
        <v>183</v>
      </c>
      <c r="AH117" s="375"/>
      <c r="AI117" s="374">
        <f>ABS(INDEX(AI:AI,MATCH(AI112,$AA:$AA,0)+11)+INDEX(AI:AI,MATCH(AI112,$AA:$AA,0)+12)+INDEX(AI:AI,MATCH(AI112,$AA:$AA,0)+13))</f>
        <v>193</v>
      </c>
      <c r="AJ117" s="375"/>
      <c r="AK117" s="374">
        <f>ABS(INDEX(AK:AK,MATCH(AK112,$AA:$AA,0)+11)+INDEX(AK:AK,MATCH(AK112,$AA:$AA,0)+12)+INDEX(AK:AK,MATCH(AK112,$AA:$AA,0)+13))</f>
        <v>162</v>
      </c>
      <c r="AL117" s="375"/>
      <c r="AM117" s="374">
        <f>ABS(INDEX(AM:AM,MATCH(AM112,$AA:$AA,0)+11)+INDEX(AM:AM,MATCH(AM112,$AA:$AA,0)+12)+INDEX(AM:AM,MATCH(AM112,$AA:$AA,0)+13))</f>
        <v>158</v>
      </c>
      <c r="AN117" s="375"/>
      <c r="AO117" s="374">
        <f>ABS(INDEX(AO:AO,MATCH(AO112,$AA:$AA,0)+11)+INDEX(AO:AO,MATCH(AO112,$AA:$AA,0)+12)+INDEX(AO:AO,MATCH(AO112,$AA:$AA,0)+13))</f>
        <v>179</v>
      </c>
      <c r="AP117" s="375"/>
      <c r="AQ117" s="374">
        <f>ABS(INDEX(AQ:AQ,MATCH(AQ112,$AA:$AA,0)+11)+INDEX(AQ:AQ,MATCH(AQ112,$AA:$AA,0)+12)+INDEX(AQ:AQ,MATCH(AQ112,$AA:$AA,0)+13))</f>
        <v>171</v>
      </c>
      <c r="AR117" s="375"/>
      <c r="AS117" s="374">
        <f>ABS(INDEX(AS:AS,MATCH(AS112,$AA:$AA,0)+11)+INDEX(AS:AS,MATCH(AS112,$AA:$AA,0)+12)+INDEX(AS:AS,MATCH(AS112,$AA:$AA,0)+13))</f>
        <v>213</v>
      </c>
      <c r="AT117" s="37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6.05" customHeight="1" x14ac:dyDescent="0.35">
      <c r="B118" s="365" t="str">
        <f t="shared" si="138"/>
        <v>Spieler 4</v>
      </c>
      <c r="C118" s="366" t="str">
        <f t="shared" si="138"/>
        <v/>
      </c>
      <c r="D118" s="339">
        <f>IF(AC118=301,"",AC118)</f>
        <v>146</v>
      </c>
      <c r="E118" s="339" t="str">
        <f>IF(AD118=0,"",AD118)</f>
        <v/>
      </c>
      <c r="F118" s="339">
        <f>IF(AE118=301,"",AE118)</f>
        <v>181</v>
      </c>
      <c r="G118" s="339" t="str">
        <f>IF(AF118=0,"",AF118)</f>
        <v/>
      </c>
      <c r="H118" s="339">
        <f>IF(AG118=301,"",AG118)</f>
        <v>205</v>
      </c>
      <c r="I118" s="339" t="str">
        <f>IF(AH118=0,"",AH118)</f>
        <v/>
      </c>
      <c r="J118" s="339">
        <f>IF(AI118=301,"",AI118)</f>
        <v>209</v>
      </c>
      <c r="K118" s="339" t="str">
        <f>IF(AJ118=0,"",AJ118)</f>
        <v/>
      </c>
      <c r="L118" s="339">
        <f>IF(AK118=301,"",AK118)</f>
        <v>171</v>
      </c>
      <c r="M118" s="339" t="str">
        <f>IF(AL118=0,"",AL118)</f>
        <v/>
      </c>
      <c r="N118" s="339">
        <f>IF(AM118=301,"",AM118)</f>
        <v>200</v>
      </c>
      <c r="O118" s="339" t="str">
        <f>IF(AN118=0,"",AN118)</f>
        <v/>
      </c>
      <c r="P118" s="339">
        <f>IF(AO118=301,"",AO118)</f>
        <v>167</v>
      </c>
      <c r="Q118" s="339" t="str">
        <f>IF(AP118=0,"",AP118)</f>
        <v/>
      </c>
      <c r="R118" s="339">
        <f>IF(AQ118=301,"",AQ118)</f>
        <v>192</v>
      </c>
      <c r="S118" s="339" t="str">
        <f>IF(AR118=0,"",AR118)</f>
        <v/>
      </c>
      <c r="T118" s="339">
        <f>IF(AS118=301,"",AS118)</f>
        <v>168</v>
      </c>
      <c r="U118" s="339" t="str">
        <f>IF(AT118=0,"",AT118)</f>
        <v/>
      </c>
      <c r="V118" s="340"/>
      <c r="W118" s="340"/>
      <c r="AA118" s="91" t="s">
        <v>11</v>
      </c>
      <c r="AB118" s="92"/>
      <c r="AC118" s="374">
        <f>ABS(INDEX(AC:AC,MATCH(AC112,$AA:$AA,0)+14)+INDEX(AC:AC,MATCH(AC112,$AA:$AA,0)+15)+INDEX(AC:AC,MATCH(AC112,$AA:$AA,0)+16))</f>
        <v>146</v>
      </c>
      <c r="AD118" s="375"/>
      <c r="AE118" s="374">
        <f>ABS(INDEX(AE:AE,MATCH(AE112,$AA:$AA,0)+14)+INDEX(AE:AE,MATCH(AE112,$AA:$AA,0)+15)+INDEX(AE:AE,MATCH(AE112,$AA:$AA,0)+16))</f>
        <v>181</v>
      </c>
      <c r="AF118" s="375"/>
      <c r="AG118" s="374">
        <f>ABS(INDEX(AG:AG,MATCH(AG112,$AA:$AA,0)+14)+INDEX(AG:AG,MATCH(AG112,$AA:$AA,0)+15)+INDEX(AG:AG,MATCH(AG112,$AA:$AA,0)+16))</f>
        <v>205</v>
      </c>
      <c r="AH118" s="375"/>
      <c r="AI118" s="374">
        <f>ABS(INDEX(AI:AI,MATCH(AI112,$AA:$AA,0)+14)+INDEX(AI:AI,MATCH(AI112,$AA:$AA,0)+15)+INDEX(AI:AI,MATCH(AI112,$AA:$AA,0)+16))</f>
        <v>209</v>
      </c>
      <c r="AJ118" s="375"/>
      <c r="AK118" s="374">
        <f>ABS(INDEX(AK:AK,MATCH(AK112,$AA:$AA,0)+14)+INDEX(AK:AK,MATCH(AK112,$AA:$AA,0)+15)+INDEX(AK:AK,MATCH(AK112,$AA:$AA,0)+16))</f>
        <v>171</v>
      </c>
      <c r="AL118" s="375"/>
      <c r="AM118" s="374">
        <f>ABS(INDEX(AM:AM,MATCH(AM112,$AA:$AA,0)+14)+INDEX(AM:AM,MATCH(AM112,$AA:$AA,0)+15)+INDEX(AM:AM,MATCH(AM112,$AA:$AA,0)+16))</f>
        <v>200</v>
      </c>
      <c r="AN118" s="375"/>
      <c r="AO118" s="374">
        <f>ABS(INDEX(AO:AO,MATCH(AO112,$AA:$AA,0)+14)+INDEX(AO:AO,MATCH(AO112,$AA:$AA,0)+15)+INDEX(AO:AO,MATCH(AO112,$AA:$AA,0)+16))</f>
        <v>167</v>
      </c>
      <c r="AP118" s="375"/>
      <c r="AQ118" s="374">
        <f>ABS(INDEX(AQ:AQ,MATCH(AQ112,$AA:$AA,0)+14)+INDEX(AQ:AQ,MATCH(AQ112,$AA:$AA,0)+15)+INDEX(AQ:AQ,MATCH(AQ112,$AA:$AA,0)+16))</f>
        <v>192</v>
      </c>
      <c r="AR118" s="375"/>
      <c r="AS118" s="374">
        <f>ABS(INDEX(AS:AS,MATCH(AS112,$AA:$AA,0)+14)+INDEX(AS:AS,MATCH(AS112,$AA:$AA,0)+15)+INDEX(AS:AS,MATCH(AS112,$AA:$AA,0)+16))</f>
        <v>168</v>
      </c>
      <c r="AT118" s="37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6.05" customHeight="1" x14ac:dyDescent="0.35">
      <c r="B119" s="354" t="str">
        <f t="shared" si="138"/>
        <v>Gesamt</v>
      </c>
      <c r="C119" s="355" t="str">
        <f t="shared" si="138"/>
        <v/>
      </c>
      <c r="D119" s="338">
        <f>IF(AC119=1505,"",AC119)</f>
        <v>752</v>
      </c>
      <c r="E119" s="338" t="str">
        <f>IF(AD119=0,"",AD119)</f>
        <v/>
      </c>
      <c r="F119" s="338">
        <f>IF(AE119=1505,"",AE119)</f>
        <v>758</v>
      </c>
      <c r="G119" s="338" t="str">
        <f>IF(AF119=0,"",AF119)</f>
        <v/>
      </c>
      <c r="H119" s="338">
        <f>IF(AG119=1505,"",AG119)</f>
        <v>753</v>
      </c>
      <c r="I119" s="338" t="str">
        <f>IF(AH119=0,"",AH119)</f>
        <v/>
      </c>
      <c r="J119" s="338">
        <f>IF(AI119=1505,"",AI119)</f>
        <v>795</v>
      </c>
      <c r="K119" s="338" t="str">
        <f>IF(AJ119=0,"",AJ119)</f>
        <v/>
      </c>
      <c r="L119" s="338">
        <f>IF(AK119=1505,"",AK119)</f>
        <v>612</v>
      </c>
      <c r="M119" s="338" t="str">
        <f>IF(AL119=0,"",AL119)</f>
        <v/>
      </c>
      <c r="N119" s="338">
        <f>IF(AM119=1505,"",AM119)</f>
        <v>674</v>
      </c>
      <c r="O119" s="338" t="str">
        <f>IF(AN119=0,"",AN119)</f>
        <v/>
      </c>
      <c r="P119" s="338">
        <f>IF(AO119=1505,"",AO119)</f>
        <v>727</v>
      </c>
      <c r="Q119" s="338" t="str">
        <f>IF(AP119=0,"",AP119)</f>
        <v/>
      </c>
      <c r="R119" s="338">
        <f>IF(AQ119=1505,"",AQ119)</f>
        <v>726</v>
      </c>
      <c r="S119" s="338" t="str">
        <f>IF(AR119=0,"",AR119)</f>
        <v/>
      </c>
      <c r="T119" s="338">
        <f>IF(AS119=1505,"",AS119)</f>
        <v>706</v>
      </c>
      <c r="U119" s="338" t="str">
        <f>IF(AT119=0,"",AT119)</f>
        <v/>
      </c>
      <c r="V119" s="290"/>
      <c r="W119" s="290"/>
      <c r="AA119" s="93" t="s">
        <v>1799</v>
      </c>
      <c r="AB119" s="94"/>
      <c r="AC119" s="354">
        <f>SUM(AC115:AC118)</f>
        <v>752</v>
      </c>
      <c r="AD119" s="355"/>
      <c r="AE119" s="354">
        <f>SUM(AE115:AE118)</f>
        <v>758</v>
      </c>
      <c r="AF119" s="355"/>
      <c r="AG119" s="354">
        <f>SUM(AG115:AG118)</f>
        <v>753</v>
      </c>
      <c r="AH119" s="355"/>
      <c r="AI119" s="354">
        <f>SUM(AI115:AI118)</f>
        <v>795</v>
      </c>
      <c r="AJ119" s="355"/>
      <c r="AK119" s="354">
        <f>SUM(AK115:AK118)</f>
        <v>612</v>
      </c>
      <c r="AL119" s="355"/>
      <c r="AM119" s="354">
        <f>SUM(AM115:AM118)</f>
        <v>674</v>
      </c>
      <c r="AN119" s="355"/>
      <c r="AO119" s="354">
        <f>SUM(AO115:AO118)</f>
        <v>727</v>
      </c>
      <c r="AP119" s="355"/>
      <c r="AQ119" s="354">
        <f>SUM(AQ115:AQ118)</f>
        <v>726</v>
      </c>
      <c r="AR119" s="355"/>
      <c r="AS119" s="354">
        <f>SUM(AS115:AS118)</f>
        <v>706</v>
      </c>
      <c r="AT119" s="35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3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7">
      <c r="B121" s="44" t="str">
        <f>AA121</f>
        <v>Team-Nr.</v>
      </c>
      <c r="C121" s="45"/>
      <c r="D121" s="44" t="str">
        <f>AC121</f>
        <v>Liga:</v>
      </c>
      <c r="E121" s="47"/>
      <c r="F121" s="359" t="str">
        <f>AE121</f>
        <v>Bayernliga Frauen</v>
      </c>
      <c r="G121" s="359"/>
      <c r="H121" s="359"/>
      <c r="I121" s="359"/>
      <c r="J121" s="359"/>
      <c r="K121" s="359"/>
      <c r="L121" s="359"/>
      <c r="M121" s="359"/>
      <c r="N121" s="359"/>
      <c r="O121" s="359"/>
      <c r="P121" s="359"/>
      <c r="Q121" s="359"/>
      <c r="R121" s="48"/>
      <c r="S121" s="49" t="s">
        <v>1794</v>
      </c>
      <c r="T121" s="50"/>
      <c r="U121" s="360" t="str">
        <f>AT121</f>
        <v>02.11./03.11.</v>
      </c>
      <c r="V121" s="361"/>
      <c r="W121" s="362"/>
      <c r="X121" s="363"/>
      <c r="Y121" s="364"/>
      <c r="Z121" s="364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0" t="str">
        <f>VLOOKUP(AS122,Spielorte!$A$1:$C$6,2)</f>
        <v>02.11./03.11.</v>
      </c>
      <c r="AU121" s="361"/>
      <c r="AV121" s="362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65">
      <c r="B122" s="53">
        <f>AA122</f>
        <v>5</v>
      </c>
      <c r="D122" s="46" t="s">
        <v>1793</v>
      </c>
      <c r="E122" s="54"/>
      <c r="F122" s="358" t="str">
        <f>AE122</f>
        <v>Regensburg Super Bowl</v>
      </c>
      <c r="G122" s="358"/>
      <c r="H122" s="358"/>
      <c r="I122" s="358"/>
      <c r="J122" s="358"/>
      <c r="K122" s="358"/>
      <c r="L122" s="358"/>
      <c r="M122" s="358"/>
      <c r="N122" s="358"/>
      <c r="O122" s="358"/>
      <c r="P122" s="55"/>
      <c r="Q122" s="55"/>
      <c r="S122" s="49" t="s">
        <v>1791</v>
      </c>
      <c r="T122" s="56">
        <f>AS122</f>
        <v>2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Regensburg Super Bowl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2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4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5" thickBot="1" x14ac:dyDescent="0.45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VLOOKUP(AA122,Schlüssel!$A$5:$DZ$14,33)</f>
        <v>4</v>
      </c>
      <c r="AE124" s="65" t="s">
        <v>10</v>
      </c>
      <c r="AF124" s="44">
        <f>VLOOKUP(AA122,Schlüssel!$A$5:$DZ$14,34)</f>
        <v>9</v>
      </c>
      <c r="AG124" s="65" t="s">
        <v>10</v>
      </c>
      <c r="AH124" s="44">
        <f>VLOOKUP(AA122,Schlüssel!$A$5:$DZ$14,35)</f>
        <v>11</v>
      </c>
      <c r="AI124" s="65" t="s">
        <v>10</v>
      </c>
      <c r="AJ124" s="44">
        <f>VLOOKUP(AA122,Schlüssel!$A$5:$DZ$14,36)</f>
        <v>6</v>
      </c>
      <c r="AK124" s="65" t="s">
        <v>10</v>
      </c>
      <c r="AL124" s="44">
        <f>VLOOKUP(AA122,Schlüssel!$A$5:$DZ$14,37)</f>
        <v>3</v>
      </c>
      <c r="AM124" s="65" t="s">
        <v>10</v>
      </c>
      <c r="AN124" s="44">
        <f>VLOOKUP(AA122,Schlüssel!$A$5:$DZ$14,38)</f>
        <v>7</v>
      </c>
      <c r="AO124" s="65" t="s">
        <v>10</v>
      </c>
      <c r="AP124" s="44">
        <f>VLOOKUP(AA122,Schlüssel!$A$5:$DZ$14,39)</f>
        <v>10</v>
      </c>
      <c r="AQ124" s="65" t="s">
        <v>10</v>
      </c>
      <c r="AR124" s="44">
        <f>VLOOKUP(AA122,Schlüssel!$A$5:$DZ$14,40)</f>
        <v>12</v>
      </c>
      <c r="AS124" s="65" t="s">
        <v>10</v>
      </c>
      <c r="AT124" s="66">
        <f>VLOOKUP(AA122,Schlüssel!$A$5:$DZ$14,41)</f>
        <v>8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35">
      <c r="B125" s="67" t="s">
        <v>1</v>
      </c>
      <c r="C125" s="68"/>
      <c r="D125" s="354" t="s">
        <v>1800</v>
      </c>
      <c r="E125" s="355"/>
      <c r="F125" s="354" t="s">
        <v>1801</v>
      </c>
      <c r="G125" s="355"/>
      <c r="H125" s="354" t="s">
        <v>1802</v>
      </c>
      <c r="I125" s="355"/>
      <c r="J125" s="354" t="s">
        <v>1803</v>
      </c>
      <c r="K125" s="355"/>
      <c r="L125" s="354" t="s">
        <v>1804</v>
      </c>
      <c r="M125" s="355"/>
      <c r="N125" s="354" t="s">
        <v>1805</v>
      </c>
      <c r="O125" s="355"/>
      <c r="P125" s="354" t="s">
        <v>1806</v>
      </c>
      <c r="Q125" s="355"/>
      <c r="R125" s="354" t="s">
        <v>1807</v>
      </c>
      <c r="S125" s="355"/>
      <c r="T125" s="354" t="s">
        <v>1808</v>
      </c>
      <c r="U125" s="355"/>
      <c r="V125" s="356" t="s">
        <v>1799</v>
      </c>
      <c r="W125" s="357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4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2" customHeight="1" x14ac:dyDescent="0.35">
      <c r="A127" s="367" t="s">
        <v>0</v>
      </c>
      <c r="B127" s="73" t="str">
        <f>IF(AA127=0,"",AA127)</f>
        <v>Richter, Petra</v>
      </c>
      <c r="C127" s="74">
        <f>IF(AB127=0,"",AB127)</f>
        <v>21185</v>
      </c>
      <c r="D127" s="75">
        <f>IF(AC127=0,"",AC127)</f>
        <v>171</v>
      </c>
      <c r="E127" s="348">
        <f>IF(AD127="","",AD127)</f>
        <v>1</v>
      </c>
      <c r="F127" s="75">
        <f t="shared" ref="F127:F140" si="139">IF(AE127=0,"",AE127)</f>
        <v>135</v>
      </c>
      <c r="G127" s="348">
        <f>IF(AF127="","",AF127)</f>
        <v>0</v>
      </c>
      <c r="H127" s="75">
        <f t="shared" ref="H127:H140" si="140">IF(AG127=0,"",AG127)</f>
        <v>171</v>
      </c>
      <c r="I127" s="348">
        <f>IF(AH127="","",AH127)</f>
        <v>1</v>
      </c>
      <c r="J127" s="75">
        <f t="shared" ref="J127:J140" si="141">IF(AI127=0,"",AI127)</f>
        <v>194</v>
      </c>
      <c r="K127" s="348">
        <f>IF(AJ127="","",AJ127)</f>
        <v>1</v>
      </c>
      <c r="L127" s="75">
        <f t="shared" ref="L127:L140" si="142">IF(AK127=0,"",AK127)</f>
        <v>173</v>
      </c>
      <c r="M127" s="348">
        <f>IF(AL127="","",AL127)</f>
        <v>1</v>
      </c>
      <c r="N127" s="75">
        <f>IF(AM127=0,"",AM127)</f>
        <v>170</v>
      </c>
      <c r="O127" s="348">
        <f>IF(AN127="","",AN127)</f>
        <v>1</v>
      </c>
      <c r="P127" s="75">
        <f t="shared" ref="P127:P140" si="143">IF(AO127=0,"",AO127)</f>
        <v>204</v>
      </c>
      <c r="Q127" s="348">
        <f>IF(AP127="","",AP127)</f>
        <v>1</v>
      </c>
      <c r="R127" s="75">
        <f t="shared" ref="R127:R140" si="144">IF(AQ127=0,"",AQ127)</f>
        <v>126</v>
      </c>
      <c r="S127" s="348">
        <f>IF(AR127="","",AR127)</f>
        <v>0</v>
      </c>
      <c r="T127" s="75">
        <f t="shared" ref="T127:T140" si="145">IF(AS127=0,"",AS127)</f>
        <v>172</v>
      </c>
      <c r="U127" s="348">
        <f>IF(AT127="","",AT127)</f>
        <v>1</v>
      </c>
      <c r="V127" s="75">
        <f t="shared" ref="V127:V140" si="146">IF(AU127=0,"",AU127)</f>
        <v>1516</v>
      </c>
      <c r="W127" s="348">
        <f>IF(AV127="","",AV127)</f>
        <v>7</v>
      </c>
      <c r="Z127" s="351" t="s">
        <v>0</v>
      </c>
      <c r="AA127" s="108" t="str">
        <f>IF(AB127=0,"",VLOOKUP(AB127,Starter!$A$1:$D$199,2,FALSE))</f>
        <v>Richter, Petra</v>
      </c>
      <c r="AB127" s="99">
        <v>21185</v>
      </c>
      <c r="AC127" s="185">
        <v>171</v>
      </c>
      <c r="AD127" s="109">
        <f>IF(SUM(AC127:AC129)+AC145=0,0,IF(SUM(AC127:AC129)=AC145,0.5,IF(SUM(AC127:AC129)&gt;AC145,1,0)))</f>
        <v>1</v>
      </c>
      <c r="AE127" s="185">
        <v>135</v>
      </c>
      <c r="AF127" s="109">
        <f>IF(SUM(AE127:AE129)+AE145=0,0,IF(SUM(AE127:AE129)=AE145,0.5,IF(SUM(AE127:AE129)&gt;AE145,1,0)))</f>
        <v>0</v>
      </c>
      <c r="AG127" s="185">
        <v>171</v>
      </c>
      <c r="AH127" s="109">
        <f>IF(SUM(AG127:AG129)+AG145=0,0,IF(SUM(AG127:AG129)=AG145,0.5,IF(SUM(AG127:AG129)&gt;AG145,1,0)))</f>
        <v>1</v>
      </c>
      <c r="AI127" s="185">
        <v>194</v>
      </c>
      <c r="AJ127" s="109">
        <f>IF(SUM(AI127:AI129)+AI145=0,0,IF(SUM(AI127:AI129)=AI145,0.5,IF(SUM(AI127:AI129)&gt;AI145,1,0)))</f>
        <v>1</v>
      </c>
      <c r="AK127" s="185">
        <v>173</v>
      </c>
      <c r="AL127" s="109">
        <f>IF(SUM(AK127:AK129)+AK145=0,0,IF(SUM(AK127:AK129)=AK145,0.5,IF(SUM(AK127:AK129)&gt;AK145,1,0)))</f>
        <v>1</v>
      </c>
      <c r="AM127" s="185">
        <v>170</v>
      </c>
      <c r="AN127" s="109">
        <f>IF(SUM(AM127:AM129)+AM145=0,0,IF(SUM(AM127:AM129)=AM145,0.5,IF(SUM(AM127:AM129)&gt;AM145,1,0)))</f>
        <v>1</v>
      </c>
      <c r="AO127" s="185">
        <v>204</v>
      </c>
      <c r="AP127" s="109">
        <f>IF(SUM(AO127:AO129)+AO145=0,0,IF(SUM(AO127:AO129)=AO145,0.5,IF(SUM(AO127:AO129)&gt;AO145,1,0)))</f>
        <v>1</v>
      </c>
      <c r="AQ127" s="185">
        <v>126</v>
      </c>
      <c r="AR127" s="109">
        <f>IF(SUM(AQ127:AQ129)+AQ145=0,0,IF(SUM(AQ127:AQ129)=AQ145,0.5,IF(SUM(AQ127:AQ129)&gt;AQ145,1,0)))</f>
        <v>0</v>
      </c>
      <c r="AS127" s="185">
        <v>172</v>
      </c>
      <c r="AT127" s="109">
        <f>IF(SUM(AS127:AS129)+AS145=0,0,IF(SUM(AS127:AS129)=AS145,0.5,IF(SUM(AS127:AS129)&gt;AS145,1,0)))</f>
        <v>1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1516</v>
      </c>
      <c r="AV127" s="111">
        <f>SUM(AD127+AF127+AH127+AJ127+AL127+AN127+AP127+AR127+AT127)</f>
        <v>7</v>
      </c>
      <c r="AW127" s="101"/>
      <c r="AX127" s="102"/>
      <c r="AZ127" s="63"/>
      <c r="BA127" s="212"/>
      <c r="BB127" s="213"/>
      <c r="BC127" s="214"/>
      <c r="BD127" s="217">
        <f>+AB127</f>
        <v>21185</v>
      </c>
      <c r="BE127" s="213">
        <f>+AU127</f>
        <v>1516</v>
      </c>
      <c r="BF127" s="215">
        <f>COUNT(BH127:BP127)</f>
        <v>9</v>
      </c>
      <c r="BG127" s="215">
        <f>COUNTIF(BH127:BP127,"&gt;0")</f>
        <v>9</v>
      </c>
      <c r="BH127" s="215">
        <f t="shared" ref="BH127:BH138" si="148">IF(AC127=0,"",AC127)</f>
        <v>171</v>
      </c>
      <c r="BI127" s="215">
        <f t="shared" ref="BI127:BI138" si="149">IF(AE127=0,"",AE127)</f>
        <v>135</v>
      </c>
      <c r="BJ127" s="215">
        <f t="shared" ref="BJ127:BJ138" si="150">IF(AG127=0,"",AG127)</f>
        <v>171</v>
      </c>
      <c r="BK127" s="215">
        <f t="shared" ref="BK127:BK138" si="151">IF(AI127=0,"",AI127)</f>
        <v>194</v>
      </c>
      <c r="BL127" s="215">
        <f t="shared" ref="BL127:BL138" si="152">IF(AK127=0,"",AK127)</f>
        <v>173</v>
      </c>
      <c r="BM127" s="215">
        <f t="shared" ref="BM127:BM138" si="153">IF(AM127=0,"",AM127)</f>
        <v>170</v>
      </c>
      <c r="BN127" s="215">
        <f t="shared" ref="BN127:BN138" si="154">IF(AO127=0,"",AO127)</f>
        <v>204</v>
      </c>
      <c r="BO127" s="215">
        <f t="shared" ref="BO127:BO138" si="155">IF(AQ127=0,"",AQ127)</f>
        <v>126</v>
      </c>
      <c r="BP127" s="215">
        <f t="shared" ref="BP127:BP138" si="156">IF(AS127=0,"",AS127)</f>
        <v>172</v>
      </c>
      <c r="BQ127" s="216"/>
      <c r="BR127" s="214"/>
      <c r="BS127" s="215">
        <f>MAX(BH127:BP127)</f>
        <v>204</v>
      </c>
      <c r="BT127" s="215">
        <f>IF(BS127&lt;MAX(BS:BS),0,BS127+ROW()/1000000000)</f>
        <v>0</v>
      </c>
      <c r="BU127" s="215" t="str">
        <f>+AA123</f>
        <v xml:space="preserve">Weiß Blau Unterföhring </v>
      </c>
      <c r="BV127" s="214">
        <f>RANK(BT127,BT:BT)</f>
        <v>2</v>
      </c>
      <c r="BW127" s="215">
        <f>SUMIF(BH127:BP127,"&gt;0")</f>
        <v>1516</v>
      </c>
      <c r="BX127" s="215">
        <f>IF(COUNTIF(BH127:BP127,"&gt;0")&lt;Spielorte!$A$23,0,BE127/Spielorte!$A$23)</f>
        <v>168.44444444444446</v>
      </c>
      <c r="BY127" s="215">
        <f>IF(BX127&lt;MAX(BX:BX),0,BX127+ROW()/1000000000)</f>
        <v>0</v>
      </c>
      <c r="BZ127" s="214">
        <f t="shared" ref="BZ127:BZ138" si="157">IF(BY127=0,0,RANK(BY127,BY:BY))</f>
        <v>0</v>
      </c>
    </row>
    <row r="128" spans="1:78" ht="17.2" customHeight="1" x14ac:dyDescent="0.35">
      <c r="A128" s="368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49"/>
      <c r="F128" s="78" t="str">
        <f t="shared" si="139"/>
        <v/>
      </c>
      <c r="G128" s="349"/>
      <c r="H128" s="78" t="str">
        <f t="shared" si="140"/>
        <v/>
      </c>
      <c r="I128" s="349"/>
      <c r="J128" s="78" t="str">
        <f t="shared" si="141"/>
        <v/>
      </c>
      <c r="K128" s="349"/>
      <c r="L128" s="78" t="str">
        <f t="shared" si="142"/>
        <v/>
      </c>
      <c r="M128" s="349"/>
      <c r="N128" s="78" t="str">
        <f t="shared" ref="N128:N140" si="159">IF(AM128=0,"",AM128)</f>
        <v/>
      </c>
      <c r="O128" s="349"/>
      <c r="P128" s="78" t="str">
        <f t="shared" si="143"/>
        <v/>
      </c>
      <c r="Q128" s="349"/>
      <c r="R128" s="78" t="str">
        <f t="shared" si="144"/>
        <v/>
      </c>
      <c r="S128" s="349"/>
      <c r="T128" s="78" t="str">
        <f t="shared" si="145"/>
        <v/>
      </c>
      <c r="U128" s="349"/>
      <c r="V128" s="78" t="str">
        <f t="shared" si="146"/>
        <v/>
      </c>
      <c r="W128" s="349"/>
      <c r="Z128" s="352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0</v>
      </c>
      <c r="BU128" s="215" t="str">
        <f t="shared" ref="BU128:BU138" si="166">+BU127</f>
        <v xml:space="preserve">Weiß Blau Unterföhring </v>
      </c>
      <c r="BV128" s="214">
        <f t="shared" ref="BV128:BV138" si="167">RANK(BT128,BT:BT)</f>
        <v>2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0</v>
      </c>
      <c r="BZ128" s="214">
        <f t="shared" si="157"/>
        <v>0</v>
      </c>
    </row>
    <row r="129" spans="1:78" ht="17.2" customHeight="1" thickBot="1" x14ac:dyDescent="0.4">
      <c r="A129" s="369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50"/>
      <c r="F129" s="69" t="str">
        <f t="shared" si="139"/>
        <v/>
      </c>
      <c r="G129" s="350"/>
      <c r="H129" s="69" t="str">
        <f t="shared" si="140"/>
        <v/>
      </c>
      <c r="I129" s="350"/>
      <c r="J129" s="69" t="str">
        <f t="shared" si="141"/>
        <v/>
      </c>
      <c r="K129" s="350"/>
      <c r="L129" s="69" t="str">
        <f t="shared" si="142"/>
        <v/>
      </c>
      <c r="M129" s="350"/>
      <c r="N129" s="69" t="str">
        <f t="shared" si="159"/>
        <v/>
      </c>
      <c r="O129" s="350"/>
      <c r="P129" s="69" t="str">
        <f t="shared" si="143"/>
        <v/>
      </c>
      <c r="Q129" s="350"/>
      <c r="R129" s="69" t="str">
        <f t="shared" si="144"/>
        <v/>
      </c>
      <c r="S129" s="350"/>
      <c r="T129" s="69" t="str">
        <f t="shared" si="145"/>
        <v/>
      </c>
      <c r="U129" s="350"/>
      <c r="V129" s="69" t="str">
        <f t="shared" si="146"/>
        <v/>
      </c>
      <c r="W129" s="350"/>
      <c r="Z129" s="353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0</v>
      </c>
      <c r="BU129" s="215" t="str">
        <f t="shared" si="166"/>
        <v xml:space="preserve">Weiß Blau Unterföhring </v>
      </c>
      <c r="BV129" s="214">
        <f t="shared" si="167"/>
        <v>2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0</v>
      </c>
      <c r="BZ129" s="214">
        <f t="shared" si="157"/>
        <v>0</v>
      </c>
    </row>
    <row r="130" spans="1:78" ht="17.2" customHeight="1" x14ac:dyDescent="0.35">
      <c r="A130" s="367" t="s">
        <v>2</v>
      </c>
      <c r="B130" s="73" t="str">
        <f t="shared" si="158"/>
        <v>Dornacher, Hannelore</v>
      </c>
      <c r="C130" s="74">
        <f t="shared" si="158"/>
        <v>16414</v>
      </c>
      <c r="D130" s="75">
        <f t="shared" si="158"/>
        <v>232</v>
      </c>
      <c r="E130" s="348">
        <f>IF(AD130="","",AD130)</f>
        <v>1</v>
      </c>
      <c r="F130" s="75">
        <f t="shared" si="139"/>
        <v>172</v>
      </c>
      <c r="G130" s="348">
        <f>IF(AF130="","",AF130)</f>
        <v>0</v>
      </c>
      <c r="H130" s="75">
        <f t="shared" si="140"/>
        <v>180</v>
      </c>
      <c r="I130" s="348">
        <f>IF(AH130="","",AH130)</f>
        <v>1</v>
      </c>
      <c r="J130" s="75">
        <f t="shared" si="141"/>
        <v>183</v>
      </c>
      <c r="K130" s="348">
        <f>IF(AJ130="","",AJ130)</f>
        <v>0</v>
      </c>
      <c r="L130" s="75">
        <f t="shared" si="142"/>
        <v>159</v>
      </c>
      <c r="M130" s="348">
        <f>IF(AL130="","",AL130)</f>
        <v>0</v>
      </c>
      <c r="N130" s="75">
        <f t="shared" si="159"/>
        <v>190</v>
      </c>
      <c r="O130" s="348">
        <f>IF(AN130="","",AN130)</f>
        <v>0</v>
      </c>
      <c r="P130" s="75">
        <f t="shared" si="143"/>
        <v>186</v>
      </c>
      <c r="Q130" s="348">
        <f>IF(AP130="","",AP130)</f>
        <v>0</v>
      </c>
      <c r="R130" s="75">
        <f t="shared" si="144"/>
        <v>166</v>
      </c>
      <c r="S130" s="348">
        <f>IF(AR130="","",AR130)</f>
        <v>0</v>
      </c>
      <c r="T130" s="75">
        <f t="shared" si="145"/>
        <v>155</v>
      </c>
      <c r="U130" s="348">
        <f>IF(AT130="","",AT130)</f>
        <v>0</v>
      </c>
      <c r="V130" s="75">
        <f t="shared" si="146"/>
        <v>1623</v>
      </c>
      <c r="W130" s="348">
        <f>IF(AV130="","",AV130)</f>
        <v>2</v>
      </c>
      <c r="Z130" s="351" t="s">
        <v>2</v>
      </c>
      <c r="AA130" s="108" t="str">
        <f>IF(AB130=0,"",VLOOKUP(AB130,Starter!$A$1:$D$199,2,FALSE))</f>
        <v>Dornacher, Hannelore</v>
      </c>
      <c r="AB130" s="99">
        <v>16414</v>
      </c>
      <c r="AC130" s="188">
        <v>232</v>
      </c>
      <c r="AD130" s="109">
        <f>IF(SUM(AC130:AC132)+AC146=0,0,IF(SUM(AC130:AC132)=AC146,0.5,IF(SUM(AC130:AC132)&gt;AC146,1,0)))</f>
        <v>1</v>
      </c>
      <c r="AE130" s="188">
        <v>172</v>
      </c>
      <c r="AF130" s="109">
        <f>IF(SUM(AE130:AE132)+AE146=0,0,IF(SUM(AE130:AE132)=AE146,0.5,IF(SUM(AE130:AE132)&gt;AE146,1,0)))</f>
        <v>0</v>
      </c>
      <c r="AG130" s="188">
        <v>180</v>
      </c>
      <c r="AH130" s="109">
        <f>IF(SUM(AG130:AG132)+AG146=0,0,IF(SUM(AG130:AG132)=AG146,0.5,IF(SUM(AG130:AG132)&gt;AG146,1,0)))</f>
        <v>1</v>
      </c>
      <c r="AI130" s="188">
        <v>183</v>
      </c>
      <c r="AJ130" s="109">
        <f>IF(SUM(AI130:AI132)+AI146=0,0,IF(SUM(AI130:AI132)=AI146,0.5,IF(SUM(AI130:AI132)&gt;AI146,1,0)))</f>
        <v>0</v>
      </c>
      <c r="AK130" s="188">
        <v>159</v>
      </c>
      <c r="AL130" s="109">
        <f>IF(SUM(AK130:AK132)+AK146=0,0,IF(SUM(AK130:AK132)=AK146,0.5,IF(SUM(AK130:AK132)&gt;AK146,1,0)))</f>
        <v>0</v>
      </c>
      <c r="AM130" s="188">
        <v>190</v>
      </c>
      <c r="AN130" s="109">
        <f>IF(SUM(AM130:AM132)+AM146=0,0,IF(SUM(AM130:AM132)=AM146,0.5,IF(SUM(AM130:AM132)&gt;AM146,1,0)))</f>
        <v>0</v>
      </c>
      <c r="AO130" s="188">
        <v>186</v>
      </c>
      <c r="AP130" s="109">
        <f>IF(SUM(AO130:AO132)+AO146=0,0,IF(SUM(AO130:AO132)=AO146,0.5,IF(SUM(AO130:AO132)&gt;AO146,1,0)))</f>
        <v>0</v>
      </c>
      <c r="AQ130" s="188">
        <v>166</v>
      </c>
      <c r="AR130" s="109">
        <f>IF(SUM(AQ130:AQ132)+AQ146=0,0,IF(SUM(AQ130:AQ132)=AQ146,0.5,IF(SUM(AQ130:AQ132)&gt;AQ146,1,0)))</f>
        <v>0</v>
      </c>
      <c r="AS130" s="188">
        <v>155</v>
      </c>
      <c r="AT130" s="109">
        <f>IF(SUM(AS130:AS132)+AS146=0,0,IF(SUM(AS130:AS132)=AS146,0.5,IF(SUM(AS130:AS132)&gt;AS146,1,0)))</f>
        <v>0</v>
      </c>
      <c r="AU130" s="110">
        <f t="shared" si="147"/>
        <v>1623</v>
      </c>
      <c r="AV130" s="111">
        <f>SUM(AD130+AF130+AH130+AJ130+AL130+AN130+AP130+AR130+AT130)</f>
        <v>2</v>
      </c>
      <c r="AW130" s="101"/>
      <c r="AX130" s="102"/>
      <c r="AZ130" s="63"/>
      <c r="BA130" s="212"/>
      <c r="BB130" s="213"/>
      <c r="BC130" s="214"/>
      <c r="BD130" s="217">
        <f t="shared" si="160"/>
        <v>16414</v>
      </c>
      <c r="BE130" s="213">
        <f t="shared" si="161"/>
        <v>1623</v>
      </c>
      <c r="BF130" s="215">
        <f t="shared" si="162"/>
        <v>9</v>
      </c>
      <c r="BG130" s="215">
        <f t="shared" si="163"/>
        <v>9</v>
      </c>
      <c r="BH130" s="215">
        <f t="shared" si="148"/>
        <v>232</v>
      </c>
      <c r="BI130" s="215">
        <f t="shared" si="149"/>
        <v>172</v>
      </c>
      <c r="BJ130" s="215">
        <f t="shared" si="150"/>
        <v>180</v>
      </c>
      <c r="BK130" s="215">
        <f t="shared" si="151"/>
        <v>183</v>
      </c>
      <c r="BL130" s="215">
        <f t="shared" si="152"/>
        <v>159</v>
      </c>
      <c r="BM130" s="215">
        <f t="shared" si="153"/>
        <v>190</v>
      </c>
      <c r="BN130" s="215">
        <f t="shared" si="154"/>
        <v>186</v>
      </c>
      <c r="BO130" s="215">
        <f t="shared" si="155"/>
        <v>166</v>
      </c>
      <c r="BP130" s="215">
        <f t="shared" si="156"/>
        <v>155</v>
      </c>
      <c r="BQ130" s="216"/>
      <c r="BR130" s="214"/>
      <c r="BS130" s="215">
        <f t="shared" si="164"/>
        <v>232</v>
      </c>
      <c r="BT130" s="215">
        <f t="shared" si="165"/>
        <v>0</v>
      </c>
      <c r="BU130" s="215" t="str">
        <f t="shared" si="166"/>
        <v xml:space="preserve">Weiß Blau Unterföhring </v>
      </c>
      <c r="BV130" s="214">
        <f t="shared" si="167"/>
        <v>2</v>
      </c>
      <c r="BW130" s="215">
        <f t="shared" si="168"/>
        <v>1623</v>
      </c>
      <c r="BX130" s="215">
        <f>IF(COUNTIF(BH130:BP130,"&gt;0")&lt;Spielorte!$A$23,0,BE130/Spielorte!$A$23)</f>
        <v>180.33333333333334</v>
      </c>
      <c r="BY130" s="215">
        <f t="shared" si="169"/>
        <v>0</v>
      </c>
      <c r="BZ130" s="214">
        <f t="shared" si="157"/>
        <v>0</v>
      </c>
    </row>
    <row r="131" spans="1:78" ht="17.2" customHeight="1" x14ac:dyDescent="0.35">
      <c r="A131" s="368"/>
      <c r="B131" s="76" t="str">
        <f t="shared" si="158"/>
        <v/>
      </c>
      <c r="C131" s="77" t="str">
        <f t="shared" si="158"/>
        <v/>
      </c>
      <c r="D131" s="78" t="str">
        <f t="shared" si="158"/>
        <v/>
      </c>
      <c r="E131" s="349"/>
      <c r="F131" s="78" t="str">
        <f t="shared" si="139"/>
        <v/>
      </c>
      <c r="G131" s="349"/>
      <c r="H131" s="78" t="str">
        <f t="shared" si="140"/>
        <v/>
      </c>
      <c r="I131" s="349"/>
      <c r="J131" s="78" t="str">
        <f t="shared" si="141"/>
        <v/>
      </c>
      <c r="K131" s="349"/>
      <c r="L131" s="78" t="str">
        <f t="shared" si="142"/>
        <v/>
      </c>
      <c r="M131" s="349"/>
      <c r="N131" s="78" t="str">
        <f t="shared" si="159"/>
        <v/>
      </c>
      <c r="O131" s="349"/>
      <c r="P131" s="78" t="str">
        <f t="shared" si="143"/>
        <v/>
      </c>
      <c r="Q131" s="349"/>
      <c r="R131" s="78" t="str">
        <f t="shared" si="144"/>
        <v/>
      </c>
      <c r="S131" s="349"/>
      <c r="T131" s="78" t="str">
        <f t="shared" si="145"/>
        <v/>
      </c>
      <c r="U131" s="349"/>
      <c r="V131" s="78" t="str">
        <f t="shared" si="146"/>
        <v/>
      </c>
      <c r="W131" s="349"/>
      <c r="Z131" s="352"/>
      <c r="AA131" s="108" t="str">
        <f>IF(AB131=0,"",VLOOKUP(AB131,Starter!$A$1:$D$199,2,FALSE))</f>
        <v/>
      </c>
      <c r="AB131" s="98"/>
      <c r="AC131" s="186"/>
      <c r="AD131" s="112"/>
      <c r="AE131" s="186"/>
      <c r="AF131" s="112"/>
      <c r="AG131" s="186"/>
      <c r="AH131" s="112"/>
      <c r="AI131" s="186"/>
      <c r="AJ131" s="112"/>
      <c r="AK131" s="186"/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7"/>
        <v>0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0</v>
      </c>
      <c r="BE131" s="213">
        <f t="shared" si="161"/>
        <v>0</v>
      </c>
      <c r="BF131" s="215">
        <f t="shared" si="162"/>
        <v>0</v>
      </c>
      <c r="BG131" s="215">
        <f t="shared" si="163"/>
        <v>0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 t="str">
        <f t="shared" si="151"/>
        <v/>
      </c>
      <c r="BL131" s="215" t="str">
        <f t="shared" si="152"/>
        <v/>
      </c>
      <c r="BM131" s="215" t="str">
        <f t="shared" si="153"/>
        <v/>
      </c>
      <c r="BN131" s="215" t="str">
        <f t="shared" si="154"/>
        <v/>
      </c>
      <c r="BO131" s="215" t="str">
        <f t="shared" si="155"/>
        <v/>
      </c>
      <c r="BP131" s="215" t="str">
        <f t="shared" si="156"/>
        <v/>
      </c>
      <c r="BQ131" s="216"/>
      <c r="BR131" s="214"/>
      <c r="BS131" s="215">
        <f t="shared" si="164"/>
        <v>0</v>
      </c>
      <c r="BT131" s="215">
        <f t="shared" si="165"/>
        <v>0</v>
      </c>
      <c r="BU131" s="215" t="str">
        <f t="shared" si="166"/>
        <v xml:space="preserve">Weiß Blau Unterföhring </v>
      </c>
      <c r="BV131" s="214">
        <f t="shared" si="167"/>
        <v>2</v>
      </c>
      <c r="BW131" s="215">
        <f t="shared" si="168"/>
        <v>0</v>
      </c>
      <c r="BX131" s="215">
        <f>IF(COUNTIF(BH131:BP131,"&gt;0")&lt;Spielorte!$A$23,0,BE131/Spielorte!$A$23)</f>
        <v>0</v>
      </c>
      <c r="BY131" s="215">
        <f t="shared" si="169"/>
        <v>0</v>
      </c>
      <c r="BZ131" s="214">
        <f t="shared" si="157"/>
        <v>0</v>
      </c>
    </row>
    <row r="132" spans="1:78" ht="17.2" customHeight="1" thickBot="1" x14ac:dyDescent="0.4">
      <c r="A132" s="369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50"/>
      <c r="F132" s="69" t="str">
        <f t="shared" si="139"/>
        <v/>
      </c>
      <c r="G132" s="350"/>
      <c r="H132" s="69" t="str">
        <f t="shared" si="140"/>
        <v/>
      </c>
      <c r="I132" s="350"/>
      <c r="J132" s="69" t="str">
        <f t="shared" si="141"/>
        <v/>
      </c>
      <c r="K132" s="350"/>
      <c r="L132" s="69" t="str">
        <f t="shared" si="142"/>
        <v/>
      </c>
      <c r="M132" s="350"/>
      <c r="N132" s="69" t="str">
        <f t="shared" si="159"/>
        <v/>
      </c>
      <c r="O132" s="350"/>
      <c r="P132" s="69" t="str">
        <f t="shared" si="143"/>
        <v/>
      </c>
      <c r="Q132" s="350"/>
      <c r="R132" s="69" t="str">
        <f t="shared" si="144"/>
        <v/>
      </c>
      <c r="S132" s="350"/>
      <c r="T132" s="69" t="str">
        <f t="shared" si="145"/>
        <v/>
      </c>
      <c r="U132" s="350"/>
      <c r="V132" s="69" t="str">
        <f t="shared" si="146"/>
        <v/>
      </c>
      <c r="W132" s="350"/>
      <c r="Z132" s="353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0</v>
      </c>
      <c r="BU132" s="215" t="str">
        <f t="shared" si="166"/>
        <v xml:space="preserve">Weiß Blau Unterföhring </v>
      </c>
      <c r="BV132" s="214">
        <f t="shared" si="167"/>
        <v>2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0</v>
      </c>
      <c r="BZ132" s="214">
        <f t="shared" si="157"/>
        <v>0</v>
      </c>
    </row>
    <row r="133" spans="1:78" ht="17.2" customHeight="1" x14ac:dyDescent="0.35">
      <c r="A133" s="367" t="s">
        <v>3</v>
      </c>
      <c r="B133" s="73" t="str">
        <f t="shared" si="158"/>
        <v>Denz, Angelika</v>
      </c>
      <c r="C133" s="74">
        <f t="shared" si="158"/>
        <v>7431</v>
      </c>
      <c r="D133" s="75">
        <f t="shared" si="158"/>
        <v>203</v>
      </c>
      <c r="E133" s="348">
        <f>IF(AD133="","",AD133)</f>
        <v>1</v>
      </c>
      <c r="F133" s="75">
        <f t="shared" si="139"/>
        <v>184</v>
      </c>
      <c r="G133" s="348">
        <f>IF(AF133="","",AF133)</f>
        <v>1</v>
      </c>
      <c r="H133" s="75">
        <f t="shared" si="140"/>
        <v>150</v>
      </c>
      <c r="I133" s="348">
        <f>IF(AH133="","",AH133)</f>
        <v>0</v>
      </c>
      <c r="J133" s="75">
        <f t="shared" si="141"/>
        <v>167</v>
      </c>
      <c r="K133" s="348">
        <f>IF(AJ133="","",AJ133)</f>
        <v>1</v>
      </c>
      <c r="L133" s="75">
        <f t="shared" si="142"/>
        <v>202</v>
      </c>
      <c r="M133" s="348">
        <f>IF(AL133="","",AL133)</f>
        <v>0</v>
      </c>
      <c r="N133" s="75">
        <f t="shared" si="159"/>
        <v>181</v>
      </c>
      <c r="O133" s="348">
        <f>IF(AN133="","",AN133)</f>
        <v>0.5</v>
      </c>
      <c r="P133" s="75">
        <f t="shared" si="143"/>
        <v>158</v>
      </c>
      <c r="Q133" s="348">
        <f>IF(AP133="","",AP133)</f>
        <v>1</v>
      </c>
      <c r="R133" s="75">
        <f t="shared" si="144"/>
        <v>169</v>
      </c>
      <c r="S133" s="348">
        <f>IF(AR133="","",AR133)</f>
        <v>1</v>
      </c>
      <c r="T133" s="75">
        <f t="shared" si="145"/>
        <v>201</v>
      </c>
      <c r="U133" s="348">
        <f>IF(AT133="","",AT133)</f>
        <v>1</v>
      </c>
      <c r="V133" s="75">
        <f t="shared" si="146"/>
        <v>1615</v>
      </c>
      <c r="W133" s="348">
        <f>IF(AV133="","",AV133)</f>
        <v>6.5</v>
      </c>
      <c r="Z133" s="351" t="s">
        <v>3</v>
      </c>
      <c r="AA133" s="108" t="str">
        <f>IF(AB133=0,"",VLOOKUP(AB133,Starter!$A$1:$D$199,2,FALSE))</f>
        <v>Denz, Angelika</v>
      </c>
      <c r="AB133" s="99">
        <v>7431</v>
      </c>
      <c r="AC133" s="188">
        <v>203</v>
      </c>
      <c r="AD133" s="109">
        <f>IF(SUM(AC133:AC135)+AC147=0,0,IF(SUM(AC133:AC135)=AC147,0.5,IF(SUM(AC133:AC135)&gt;AC147,1,0)))</f>
        <v>1</v>
      </c>
      <c r="AE133" s="188">
        <v>184</v>
      </c>
      <c r="AF133" s="109">
        <f>IF(SUM(AE133:AE135)+AE147=0,0,IF(SUM(AE133:AE135)=AE147,0.5,IF(SUM(AE133:AE135)&gt;AE147,1,0)))</f>
        <v>1</v>
      </c>
      <c r="AG133" s="188">
        <v>150</v>
      </c>
      <c r="AH133" s="109">
        <f>IF(SUM(AG133:AG135)+AG147=0,0,IF(SUM(AG133:AG135)=AG147,0.5,IF(SUM(AG133:AG135)&gt;AG147,1,0)))</f>
        <v>0</v>
      </c>
      <c r="AI133" s="188">
        <v>167</v>
      </c>
      <c r="AJ133" s="109">
        <f>IF(SUM(AI133:AI135)+AI147=0,0,IF(SUM(AI133:AI135)=AI147,0.5,IF(SUM(AI133:AI135)&gt;AI147,1,0)))</f>
        <v>1</v>
      </c>
      <c r="AK133" s="188">
        <v>202</v>
      </c>
      <c r="AL133" s="109">
        <f>IF(SUM(AK133:AK135)+AK147=0,0,IF(SUM(AK133:AK135)=AK147,0.5,IF(SUM(AK133:AK135)&gt;AK147,1,0)))</f>
        <v>0</v>
      </c>
      <c r="AM133" s="188">
        <v>181</v>
      </c>
      <c r="AN133" s="109">
        <f>IF(SUM(AM133:AM135)+AM147=0,0,IF(SUM(AM133:AM135)=AM147,0.5,IF(SUM(AM133:AM135)&gt;AM147,1,0)))</f>
        <v>0.5</v>
      </c>
      <c r="AO133" s="188">
        <v>158</v>
      </c>
      <c r="AP133" s="109">
        <f>IF(SUM(AO133:AO135)+AO147=0,0,IF(SUM(AO133:AO135)=AO147,0.5,IF(SUM(AO133:AO135)&gt;AO147,1,0)))</f>
        <v>1</v>
      </c>
      <c r="AQ133" s="188">
        <v>169</v>
      </c>
      <c r="AR133" s="109">
        <f>IF(SUM(AQ133:AQ135)+AQ147=0,0,IF(SUM(AQ133:AQ135)=AQ147,0.5,IF(SUM(AQ133:AQ135)&gt;AQ147,1,0)))</f>
        <v>1</v>
      </c>
      <c r="AS133" s="188">
        <v>201</v>
      </c>
      <c r="AT133" s="109">
        <f>IF(SUM(AS133:AS135)+AS147=0,0,IF(SUM(AS133:AS135)=AS147,0.5,IF(SUM(AS133:AS135)&gt;AS147,1,0)))</f>
        <v>1</v>
      </c>
      <c r="AU133" s="110">
        <f t="shared" si="147"/>
        <v>1615</v>
      </c>
      <c r="AV133" s="111">
        <f>SUM(AD133+AF133+AH133+AJ133+AL133+AN133+AP133+AR133+AT133)</f>
        <v>6.5</v>
      </c>
      <c r="AW133" s="101"/>
      <c r="AX133" s="102"/>
      <c r="AZ133" s="63"/>
      <c r="BA133" s="212"/>
      <c r="BB133" s="213"/>
      <c r="BC133" s="214"/>
      <c r="BD133" s="217">
        <f t="shared" si="160"/>
        <v>7431</v>
      </c>
      <c r="BE133" s="213">
        <f t="shared" si="161"/>
        <v>1615</v>
      </c>
      <c r="BF133" s="215">
        <f t="shared" si="162"/>
        <v>9</v>
      </c>
      <c r="BG133" s="215">
        <f t="shared" si="163"/>
        <v>9</v>
      </c>
      <c r="BH133" s="215">
        <f t="shared" si="148"/>
        <v>203</v>
      </c>
      <c r="BI133" s="215">
        <f t="shared" si="149"/>
        <v>184</v>
      </c>
      <c r="BJ133" s="215">
        <f t="shared" si="150"/>
        <v>150</v>
      </c>
      <c r="BK133" s="215">
        <f t="shared" si="151"/>
        <v>167</v>
      </c>
      <c r="BL133" s="215">
        <f t="shared" si="152"/>
        <v>202</v>
      </c>
      <c r="BM133" s="215">
        <f t="shared" si="153"/>
        <v>181</v>
      </c>
      <c r="BN133" s="215">
        <f t="shared" si="154"/>
        <v>158</v>
      </c>
      <c r="BO133" s="215">
        <f t="shared" si="155"/>
        <v>169</v>
      </c>
      <c r="BP133" s="215">
        <f t="shared" si="156"/>
        <v>201</v>
      </c>
      <c r="BQ133" s="216"/>
      <c r="BR133" s="214"/>
      <c r="BS133" s="215">
        <f t="shared" si="164"/>
        <v>203</v>
      </c>
      <c r="BT133" s="215">
        <f t="shared" si="165"/>
        <v>0</v>
      </c>
      <c r="BU133" s="215" t="str">
        <f t="shared" si="166"/>
        <v xml:space="preserve">Weiß Blau Unterföhring </v>
      </c>
      <c r="BV133" s="214">
        <f t="shared" si="167"/>
        <v>2</v>
      </c>
      <c r="BW133" s="215">
        <f t="shared" si="168"/>
        <v>1615</v>
      </c>
      <c r="BX133" s="215">
        <f>IF(COUNTIF(BH133:BP133,"&gt;0")&lt;Spielorte!$A$23,0,BE133/Spielorte!$A$23)</f>
        <v>179.44444444444446</v>
      </c>
      <c r="BY133" s="215">
        <f t="shared" si="169"/>
        <v>0</v>
      </c>
      <c r="BZ133" s="214">
        <f t="shared" si="157"/>
        <v>0</v>
      </c>
    </row>
    <row r="134" spans="1:78" ht="17.2" customHeight="1" x14ac:dyDescent="0.35">
      <c r="A134" s="368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49"/>
      <c r="F134" s="78" t="str">
        <f t="shared" si="139"/>
        <v/>
      </c>
      <c r="G134" s="349"/>
      <c r="H134" s="78" t="str">
        <f t="shared" si="140"/>
        <v/>
      </c>
      <c r="I134" s="349"/>
      <c r="J134" s="78" t="str">
        <f t="shared" si="141"/>
        <v/>
      </c>
      <c r="K134" s="349"/>
      <c r="L134" s="78" t="str">
        <f t="shared" si="142"/>
        <v/>
      </c>
      <c r="M134" s="349"/>
      <c r="N134" s="78" t="str">
        <f t="shared" si="159"/>
        <v/>
      </c>
      <c r="O134" s="349"/>
      <c r="P134" s="78" t="str">
        <f t="shared" si="143"/>
        <v/>
      </c>
      <c r="Q134" s="349"/>
      <c r="R134" s="78" t="str">
        <f t="shared" si="144"/>
        <v/>
      </c>
      <c r="S134" s="349"/>
      <c r="T134" s="78" t="str">
        <f t="shared" si="145"/>
        <v/>
      </c>
      <c r="U134" s="349"/>
      <c r="V134" s="78" t="str">
        <f t="shared" si="146"/>
        <v/>
      </c>
      <c r="W134" s="349"/>
      <c r="Z134" s="352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0</v>
      </c>
      <c r="BU134" s="215" t="str">
        <f t="shared" si="166"/>
        <v xml:space="preserve">Weiß Blau Unterföhring </v>
      </c>
      <c r="BV134" s="214">
        <f t="shared" si="167"/>
        <v>2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0</v>
      </c>
      <c r="BZ134" s="214">
        <f t="shared" si="157"/>
        <v>0</v>
      </c>
    </row>
    <row r="135" spans="1:78" ht="17.2" customHeight="1" thickBot="1" x14ac:dyDescent="0.4">
      <c r="A135" s="369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50"/>
      <c r="F135" s="69" t="str">
        <f t="shared" si="139"/>
        <v/>
      </c>
      <c r="G135" s="350"/>
      <c r="H135" s="69" t="str">
        <f t="shared" si="140"/>
        <v/>
      </c>
      <c r="I135" s="350"/>
      <c r="J135" s="69" t="str">
        <f t="shared" si="141"/>
        <v/>
      </c>
      <c r="K135" s="350"/>
      <c r="L135" s="69" t="str">
        <f t="shared" si="142"/>
        <v/>
      </c>
      <c r="M135" s="350"/>
      <c r="N135" s="69" t="str">
        <f t="shared" si="159"/>
        <v/>
      </c>
      <c r="O135" s="350"/>
      <c r="P135" s="69" t="str">
        <f t="shared" si="143"/>
        <v/>
      </c>
      <c r="Q135" s="350"/>
      <c r="R135" s="69" t="str">
        <f t="shared" si="144"/>
        <v/>
      </c>
      <c r="S135" s="350"/>
      <c r="T135" s="69" t="str">
        <f t="shared" si="145"/>
        <v/>
      </c>
      <c r="U135" s="350"/>
      <c r="V135" s="69" t="str">
        <f t="shared" si="146"/>
        <v/>
      </c>
      <c r="W135" s="350"/>
      <c r="Z135" s="353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0</v>
      </c>
      <c r="BU135" s="215" t="str">
        <f t="shared" si="166"/>
        <v xml:space="preserve">Weiß Blau Unterföhring </v>
      </c>
      <c r="BV135" s="214">
        <f t="shared" si="167"/>
        <v>2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0</v>
      </c>
      <c r="BZ135" s="214">
        <f t="shared" si="157"/>
        <v>0</v>
      </c>
    </row>
    <row r="136" spans="1:78" ht="17.2" customHeight="1" x14ac:dyDescent="0.35">
      <c r="A136" s="367" t="s">
        <v>11</v>
      </c>
      <c r="B136" s="73" t="str">
        <f>IF(AA136=0,"",AA136)</f>
        <v>Albert, Beate</v>
      </c>
      <c r="C136" s="74">
        <f t="shared" si="158"/>
        <v>7087</v>
      </c>
      <c r="D136" s="75">
        <f t="shared" si="158"/>
        <v>146</v>
      </c>
      <c r="E136" s="348">
        <f>IF(AD136="","",AD136)</f>
        <v>1</v>
      </c>
      <c r="F136" s="75">
        <f t="shared" si="139"/>
        <v>155</v>
      </c>
      <c r="G136" s="348">
        <f>IF(AF136="","",AF136)</f>
        <v>0</v>
      </c>
      <c r="H136" s="75">
        <f t="shared" si="140"/>
        <v>181</v>
      </c>
      <c r="I136" s="348">
        <f>IF(AH136="","",AH136)</f>
        <v>1</v>
      </c>
      <c r="J136" s="75">
        <f t="shared" si="141"/>
        <v>206</v>
      </c>
      <c r="K136" s="348">
        <f>IF(AJ136="","",AJ136)</f>
        <v>1</v>
      </c>
      <c r="L136" s="75">
        <f t="shared" si="142"/>
        <v>176</v>
      </c>
      <c r="M136" s="348">
        <f>IF(AL136="","",AL136)</f>
        <v>0</v>
      </c>
      <c r="N136" s="75">
        <f t="shared" si="159"/>
        <v>181</v>
      </c>
      <c r="O136" s="348">
        <f>IF(AN136="","",AN136)</f>
        <v>0</v>
      </c>
      <c r="P136" s="75">
        <f t="shared" si="143"/>
        <v>177</v>
      </c>
      <c r="Q136" s="348">
        <f>IF(AP136="","",AP136)</f>
        <v>1</v>
      </c>
      <c r="R136" s="75">
        <f t="shared" si="144"/>
        <v>180</v>
      </c>
      <c r="S136" s="348">
        <f>IF(AR136="","",AR136)</f>
        <v>0</v>
      </c>
      <c r="T136" s="75">
        <f t="shared" si="145"/>
        <v>193</v>
      </c>
      <c r="U136" s="348">
        <f>IF(AT136="","",AT136)</f>
        <v>1</v>
      </c>
      <c r="V136" s="75">
        <f t="shared" si="146"/>
        <v>1595</v>
      </c>
      <c r="W136" s="348">
        <f>IF(AV136="","",AV136)</f>
        <v>5</v>
      </c>
      <c r="Z136" s="351" t="s">
        <v>11</v>
      </c>
      <c r="AA136" s="108" t="str">
        <f>IF(AB136=0,"",VLOOKUP(AB136,Starter!$A$1:$D$199,2,FALSE))</f>
        <v>Albert, Beate</v>
      </c>
      <c r="AB136" s="99">
        <v>7087</v>
      </c>
      <c r="AC136" s="188">
        <v>146</v>
      </c>
      <c r="AD136" s="109">
        <f>IF(SUM(AC136:AC138)+AC148=0,0,IF(SUM(AC136:AC138)=AC148,0.5,IF(SUM(AC136:AC138)&gt;AC148,1,0)))</f>
        <v>1</v>
      </c>
      <c r="AE136" s="188">
        <v>155</v>
      </c>
      <c r="AF136" s="109">
        <f>IF(SUM(AE136:AE138)+AE148=0,0,IF(SUM(AE136:AE138)=AE148,0.5,IF(SUM(AE136:AE138)&gt;AE148,1,0)))</f>
        <v>0</v>
      </c>
      <c r="AG136" s="188">
        <v>181</v>
      </c>
      <c r="AH136" s="109">
        <f>IF(SUM(AG136:AG138)+AG148=0,0,IF(SUM(AG136:AG138)=AG148,0.5,IF(SUM(AG136:AG138)&gt;AG148,1,0)))</f>
        <v>1</v>
      </c>
      <c r="AI136" s="188">
        <v>206</v>
      </c>
      <c r="AJ136" s="109">
        <f>IF(SUM(AI136:AI138)+AI148=0,0,IF(SUM(AI136:AI138)=AI148,0.5,IF(SUM(AI136:AI138)&gt;AI148,1,0)))</f>
        <v>1</v>
      </c>
      <c r="AK136" s="188">
        <v>176</v>
      </c>
      <c r="AL136" s="109">
        <f>IF(SUM(AK136:AK138)+AK148=0,0,IF(SUM(AK136:AK138)=AK148,0.5,IF(SUM(AK136:AK138)&gt;AK148,1,0)))</f>
        <v>0</v>
      </c>
      <c r="AM136" s="188">
        <v>181</v>
      </c>
      <c r="AN136" s="109">
        <f>IF(SUM(AM136:AM138)+AM148=0,0,IF(SUM(AM136:AM138)=AM148,0.5,IF(SUM(AM136:AM138)&gt;AM148,1,0)))</f>
        <v>0</v>
      </c>
      <c r="AO136" s="188">
        <v>177</v>
      </c>
      <c r="AP136" s="109">
        <f>IF(SUM(AO136:AO138)+AO148=0,0,IF(SUM(AO136:AO138)=AO148,0.5,IF(SUM(AO136:AO138)&gt;AO148,1,0)))</f>
        <v>1</v>
      </c>
      <c r="AQ136" s="188">
        <v>180</v>
      </c>
      <c r="AR136" s="109">
        <f>IF(SUM(AQ136:AQ138)+AQ148=0,0,IF(SUM(AQ136:AQ138)=AQ148,0.5,IF(SUM(AQ136:AQ138)&gt;AQ148,1,0)))</f>
        <v>0</v>
      </c>
      <c r="AS136" s="188">
        <v>193</v>
      </c>
      <c r="AT136" s="109">
        <f>IF(SUM(AS136:AS138)+AS148=0,0,IF(SUM(AS136:AS138)=AS148,0.5,IF(SUM(AS136:AS138)&gt;AS148,1,0)))</f>
        <v>1</v>
      </c>
      <c r="AU136" s="110">
        <f t="shared" si="147"/>
        <v>1595</v>
      </c>
      <c r="AV136" s="111">
        <f>SUM(AD136+AF136+AH136+AJ136+AL136+AN136+AP136+AR136+AT136)</f>
        <v>5</v>
      </c>
      <c r="AW136" s="101"/>
      <c r="AX136" s="102"/>
      <c r="AZ136" s="63"/>
      <c r="BA136" s="212"/>
      <c r="BB136" s="213"/>
      <c r="BC136" s="214"/>
      <c r="BD136" s="217">
        <f t="shared" si="160"/>
        <v>7087</v>
      </c>
      <c r="BE136" s="213">
        <f t="shared" si="161"/>
        <v>1595</v>
      </c>
      <c r="BF136" s="215">
        <f t="shared" si="162"/>
        <v>9</v>
      </c>
      <c r="BG136" s="215">
        <f t="shared" si="163"/>
        <v>9</v>
      </c>
      <c r="BH136" s="215">
        <f t="shared" si="148"/>
        <v>146</v>
      </c>
      <c r="BI136" s="215">
        <f t="shared" si="149"/>
        <v>155</v>
      </c>
      <c r="BJ136" s="215">
        <f t="shared" si="150"/>
        <v>181</v>
      </c>
      <c r="BK136" s="215">
        <f t="shared" si="151"/>
        <v>206</v>
      </c>
      <c r="BL136" s="215">
        <f t="shared" si="152"/>
        <v>176</v>
      </c>
      <c r="BM136" s="215">
        <f t="shared" si="153"/>
        <v>181</v>
      </c>
      <c r="BN136" s="215">
        <f t="shared" si="154"/>
        <v>177</v>
      </c>
      <c r="BO136" s="215">
        <f t="shared" si="155"/>
        <v>180</v>
      </c>
      <c r="BP136" s="215">
        <f t="shared" si="156"/>
        <v>193</v>
      </c>
      <c r="BQ136" s="216"/>
      <c r="BR136" s="214"/>
      <c r="BS136" s="215">
        <f t="shared" si="164"/>
        <v>206</v>
      </c>
      <c r="BT136" s="215">
        <f t="shared" si="165"/>
        <v>0</v>
      </c>
      <c r="BU136" s="215" t="str">
        <f t="shared" si="166"/>
        <v xml:space="preserve">Weiß Blau Unterföhring </v>
      </c>
      <c r="BV136" s="214">
        <f t="shared" si="167"/>
        <v>2</v>
      </c>
      <c r="BW136" s="215">
        <f t="shared" si="168"/>
        <v>1595</v>
      </c>
      <c r="BX136" s="215">
        <f>IF(COUNTIF(BH136:BP136,"&gt;0")&lt;Spielorte!$A$23,0,BE136/Spielorte!$A$23)</f>
        <v>177.22222222222223</v>
      </c>
      <c r="BY136" s="215">
        <f t="shared" si="169"/>
        <v>0</v>
      </c>
      <c r="BZ136" s="214">
        <f t="shared" si="157"/>
        <v>0</v>
      </c>
    </row>
    <row r="137" spans="1:78" ht="17.2" customHeight="1" x14ac:dyDescent="0.35">
      <c r="A137" s="368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49"/>
      <c r="F137" s="78" t="str">
        <f t="shared" si="139"/>
        <v/>
      </c>
      <c r="G137" s="349"/>
      <c r="H137" s="78" t="str">
        <f t="shared" si="140"/>
        <v/>
      </c>
      <c r="I137" s="349"/>
      <c r="J137" s="78" t="str">
        <f t="shared" si="141"/>
        <v/>
      </c>
      <c r="K137" s="349"/>
      <c r="L137" s="78" t="str">
        <f t="shared" si="142"/>
        <v/>
      </c>
      <c r="M137" s="349"/>
      <c r="N137" s="78" t="str">
        <f t="shared" si="159"/>
        <v/>
      </c>
      <c r="O137" s="349"/>
      <c r="P137" s="78" t="str">
        <f t="shared" si="143"/>
        <v/>
      </c>
      <c r="Q137" s="349"/>
      <c r="R137" s="78" t="str">
        <f t="shared" si="144"/>
        <v/>
      </c>
      <c r="S137" s="349"/>
      <c r="T137" s="78" t="str">
        <f t="shared" si="145"/>
        <v/>
      </c>
      <c r="U137" s="349"/>
      <c r="V137" s="78" t="str">
        <f t="shared" si="146"/>
        <v/>
      </c>
      <c r="W137" s="349"/>
      <c r="Z137" s="352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0</v>
      </c>
      <c r="BU137" s="215" t="str">
        <f t="shared" si="166"/>
        <v xml:space="preserve">Weiß Blau Unterföhring </v>
      </c>
      <c r="BV137" s="214">
        <f t="shared" si="167"/>
        <v>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0</v>
      </c>
      <c r="BZ137" s="214">
        <f t="shared" si="157"/>
        <v>0</v>
      </c>
    </row>
    <row r="138" spans="1:78" ht="17.2" customHeight="1" thickBot="1" x14ac:dyDescent="0.4">
      <c r="A138" s="369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50"/>
      <c r="F138" s="69" t="str">
        <f t="shared" si="139"/>
        <v/>
      </c>
      <c r="G138" s="350"/>
      <c r="H138" s="69" t="str">
        <f t="shared" si="140"/>
        <v/>
      </c>
      <c r="I138" s="350"/>
      <c r="J138" s="69" t="str">
        <f t="shared" si="141"/>
        <v/>
      </c>
      <c r="K138" s="350"/>
      <c r="L138" s="69" t="str">
        <f t="shared" si="142"/>
        <v/>
      </c>
      <c r="M138" s="350"/>
      <c r="N138" s="69" t="str">
        <f t="shared" si="159"/>
        <v/>
      </c>
      <c r="O138" s="350"/>
      <c r="P138" s="69" t="str">
        <f t="shared" si="143"/>
        <v/>
      </c>
      <c r="Q138" s="350"/>
      <c r="R138" s="69" t="str">
        <f t="shared" si="144"/>
        <v/>
      </c>
      <c r="S138" s="350"/>
      <c r="T138" s="69" t="str">
        <f t="shared" si="145"/>
        <v/>
      </c>
      <c r="U138" s="350"/>
      <c r="V138" s="69" t="str">
        <f t="shared" si="146"/>
        <v/>
      </c>
      <c r="W138" s="350"/>
      <c r="Z138" s="353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0</v>
      </c>
      <c r="BU138" s="215" t="str">
        <f t="shared" si="166"/>
        <v xml:space="preserve">Weiß Blau Unterföhring </v>
      </c>
      <c r="BV138" s="214">
        <f t="shared" si="167"/>
        <v>2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0</v>
      </c>
      <c r="BZ138" s="214">
        <f t="shared" si="157"/>
        <v>0</v>
      </c>
    </row>
    <row r="139" spans="1:78" ht="27.75" customHeight="1" thickBot="1" x14ac:dyDescent="0.4">
      <c r="B139" s="81" t="str">
        <f>IF(AA139=0,"",AA139)</f>
        <v>Gesamt</v>
      </c>
      <c r="C139" s="82" t="str">
        <f t="shared" si="158"/>
        <v/>
      </c>
      <c r="D139" s="83">
        <f t="shared" si="158"/>
        <v>752</v>
      </c>
      <c r="E139" s="84">
        <f>IF(AD139="","",AD139)</f>
        <v>2</v>
      </c>
      <c r="F139" s="83">
        <f t="shared" si="139"/>
        <v>646</v>
      </c>
      <c r="G139" s="84">
        <f>IF(AF139="","",AF139)</f>
        <v>0</v>
      </c>
      <c r="H139" s="83">
        <f t="shared" si="140"/>
        <v>682</v>
      </c>
      <c r="I139" s="84">
        <f>IF(AH139="","",AH139)</f>
        <v>2</v>
      </c>
      <c r="J139" s="83">
        <f t="shared" si="141"/>
        <v>750</v>
      </c>
      <c r="K139" s="84">
        <f>IF(AJ139="","",AJ139)</f>
        <v>2</v>
      </c>
      <c r="L139" s="83">
        <f t="shared" si="142"/>
        <v>710</v>
      </c>
      <c r="M139" s="84">
        <f>IF(AL139="","",AL139)</f>
        <v>0</v>
      </c>
      <c r="N139" s="83">
        <f t="shared" si="159"/>
        <v>722</v>
      </c>
      <c r="O139" s="84">
        <f>IF(AN139="","",AN139)</f>
        <v>0</v>
      </c>
      <c r="P139" s="83">
        <f t="shared" si="143"/>
        <v>725</v>
      </c>
      <c r="Q139" s="84">
        <f>IF(AP139="","",AP139)</f>
        <v>2</v>
      </c>
      <c r="R139" s="83">
        <f t="shared" si="144"/>
        <v>641</v>
      </c>
      <c r="S139" s="84">
        <f>IF(AR139="","",AR139)</f>
        <v>0</v>
      </c>
      <c r="T139" s="83">
        <f t="shared" si="145"/>
        <v>721</v>
      </c>
      <c r="U139" s="84">
        <f>IF(AT139="","",AT139)</f>
        <v>2</v>
      </c>
      <c r="V139" s="83">
        <f t="shared" si="146"/>
        <v>6349</v>
      </c>
      <c r="W139" s="84">
        <f>IF(AV139="","",AV139)</f>
        <v>10</v>
      </c>
      <c r="AA139" s="81" t="s">
        <v>1799</v>
      </c>
      <c r="AB139" s="120"/>
      <c r="AC139" s="211">
        <f>ABS(SUM(AC127:AC129))+ABS(SUM(AC130:AC132))+ABS(SUM(AC133:AC135))+ABS(SUM(AC136:AC138))</f>
        <v>752</v>
      </c>
      <c r="AD139" s="121">
        <f>IF(AC139+AC149=0,0,IF(AC139=AC149,1,IF(AC139&gt;AC149,2,0)))</f>
        <v>2</v>
      </c>
      <c r="AE139" s="211">
        <f>ABS(SUM(AE127:AE129))+ABS(SUM(AE130:AE132))+ABS(SUM(AE133:AE135))+ABS(SUM(AE136:AE138))</f>
        <v>646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682</v>
      </c>
      <c r="AH139" s="121">
        <f>IF(AG139+AG149=0,0,IF(AG139=AG149,1,IF(AG139&gt;AG149,2,0)))</f>
        <v>2</v>
      </c>
      <c r="AI139" s="211">
        <f>ABS(SUM(AI127:AI129))+ABS(SUM(AI130:AI132))+ABS(SUM(AI133:AI135))+ABS(SUM(AI136:AI138))</f>
        <v>750</v>
      </c>
      <c r="AJ139" s="121">
        <f>IF(AI139+AI149=0,0,IF(AI139=AI149,1,IF(AI139&gt;AI149,2,0)))</f>
        <v>2</v>
      </c>
      <c r="AK139" s="211">
        <f>ABS(SUM(AK127:AK129))+ABS(SUM(AK130:AK132))+ABS(SUM(AK133:AK135))+ABS(SUM(AK136:AK138))</f>
        <v>710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722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725</v>
      </c>
      <c r="AP139" s="121">
        <f>IF(AO139+AO149=0,0,IF(AO139=AO149,1,IF(AO139&gt;AO149,2,0)))</f>
        <v>2</v>
      </c>
      <c r="AQ139" s="211">
        <f>ABS(SUM(AQ127:AQ129))+ABS(SUM(AQ130:AQ132))+ABS(SUM(AQ133:AQ135))+ABS(SUM(AQ136:AQ138))</f>
        <v>641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721</v>
      </c>
      <c r="AT139" s="121">
        <f>IF(AS139+AS149=0,0,IF(AS139=AS149,1,IF(AS139&gt;AS149,2,0)))</f>
        <v>2</v>
      </c>
      <c r="AU139" s="122">
        <f>SUM(AC139+AE139+AG139+AI139+AK139+AM139+AO139+AQ139+AS139)</f>
        <v>6349</v>
      </c>
      <c r="AV139" s="123">
        <f>SUM(AD139+AF139+AH139+AJ139+AL139+AN139+AP139+AR139+AT139)</f>
        <v>10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4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6</v>
      </c>
      <c r="F140" s="86" t="str">
        <f t="shared" si="139"/>
        <v/>
      </c>
      <c r="G140" s="87">
        <f>IF(AF140="","",AF140)</f>
        <v>1</v>
      </c>
      <c r="H140" s="86" t="str">
        <f t="shared" si="140"/>
        <v/>
      </c>
      <c r="I140" s="87">
        <f>IF(AH140="","",AH140)</f>
        <v>5</v>
      </c>
      <c r="J140" s="86" t="str">
        <f t="shared" si="141"/>
        <v/>
      </c>
      <c r="K140" s="87">
        <f>IF(AJ140="","",AJ140)</f>
        <v>5</v>
      </c>
      <c r="L140" s="86" t="str">
        <f t="shared" si="142"/>
        <v/>
      </c>
      <c r="M140" s="87">
        <f>IF(AL140="","",AL140)</f>
        <v>1</v>
      </c>
      <c r="N140" s="86" t="str">
        <f t="shared" si="159"/>
        <v/>
      </c>
      <c r="O140" s="87">
        <f>IF(AN140="","",AN140)</f>
        <v>1.5</v>
      </c>
      <c r="P140" s="86" t="str">
        <f t="shared" si="143"/>
        <v/>
      </c>
      <c r="Q140" s="87">
        <f>IF(AP140="","",AP140)</f>
        <v>5</v>
      </c>
      <c r="R140" s="86" t="str">
        <f t="shared" si="144"/>
        <v/>
      </c>
      <c r="S140" s="87">
        <f>IF(AR140="","",AR140)</f>
        <v>1</v>
      </c>
      <c r="T140" s="86" t="str">
        <f t="shared" si="145"/>
        <v/>
      </c>
      <c r="U140" s="87">
        <f>IF(AT140="","",AT140)</f>
        <v>5</v>
      </c>
      <c r="V140" s="86" t="str">
        <f t="shared" si="146"/>
        <v/>
      </c>
      <c r="W140" s="87">
        <f>IF(AV140="","",AV140)</f>
        <v>30.5</v>
      </c>
      <c r="AA140" s="85" t="s">
        <v>1814</v>
      </c>
      <c r="AB140" s="86"/>
      <c r="AC140" s="86"/>
      <c r="AD140" s="124">
        <f>SUM(AD127:AD139)</f>
        <v>6</v>
      </c>
      <c r="AE140" s="86"/>
      <c r="AF140" s="124">
        <f>SUM(AF127:AF139)</f>
        <v>1</v>
      </c>
      <c r="AG140" s="86"/>
      <c r="AH140" s="124">
        <f>SUM(AH127:AH139)</f>
        <v>5</v>
      </c>
      <c r="AI140" s="86"/>
      <c r="AJ140" s="124">
        <f>SUM(AJ127:AJ139)</f>
        <v>5</v>
      </c>
      <c r="AK140" s="86"/>
      <c r="AL140" s="124">
        <f>SUM(AL127:AL139)</f>
        <v>1</v>
      </c>
      <c r="AM140" s="86"/>
      <c r="AN140" s="124">
        <f>SUM(AN127:AN139)</f>
        <v>1.5</v>
      </c>
      <c r="AO140" s="86"/>
      <c r="AP140" s="124">
        <f>SUM(AP127:AP139)</f>
        <v>5</v>
      </c>
      <c r="AQ140" s="86"/>
      <c r="AR140" s="124">
        <f>SUM(AR127:AR139)</f>
        <v>1</v>
      </c>
      <c r="AS140" s="86"/>
      <c r="AT140" s="124">
        <f>SUM(AT127:AT139)</f>
        <v>5</v>
      </c>
      <c r="AU140" s="86"/>
      <c r="AV140" s="125">
        <f>SUM(AV127:AV139)</f>
        <v>30.5</v>
      </c>
      <c r="AW140" s="101"/>
      <c r="AX140" s="102"/>
      <c r="BA140" s="212">
        <f>+AV140</f>
        <v>30.5</v>
      </c>
      <c r="BB140" s="213">
        <f>+AU139</f>
        <v>6349</v>
      </c>
      <c r="BC140" s="214">
        <f>+AA122</f>
        <v>5</v>
      </c>
      <c r="BF140" s="215">
        <f>SUM(BF121:BF139)</f>
        <v>36</v>
      </c>
      <c r="BQ140" s="212">
        <f>+BB140/1000000+BA140</f>
        <v>30.506349</v>
      </c>
      <c r="BR140" s="214">
        <f>RANK(BQ140,BQ:BQ)</f>
        <v>4</v>
      </c>
      <c r="BV140" s="214"/>
      <c r="BZ140" s="214"/>
    </row>
    <row r="141" spans="1:78" ht="11.25" customHeight="1" x14ac:dyDescent="0.3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3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46">
        <f t="shared" si="170"/>
        <v>4</v>
      </c>
      <c r="E142" s="346" t="str">
        <f t="shared" si="170"/>
        <v/>
      </c>
      <c r="F142" s="346">
        <f t="shared" si="170"/>
        <v>10</v>
      </c>
      <c r="G142" s="346" t="str">
        <f t="shared" si="170"/>
        <v/>
      </c>
      <c r="H142" s="346">
        <f t="shared" si="170"/>
        <v>6</v>
      </c>
      <c r="I142" s="346" t="str">
        <f t="shared" si="170"/>
        <v/>
      </c>
      <c r="J142" s="346">
        <f t="shared" si="170"/>
        <v>2</v>
      </c>
      <c r="K142" s="346" t="str">
        <f t="shared" si="170"/>
        <v/>
      </c>
      <c r="L142" s="346">
        <f t="shared" si="170"/>
        <v>7</v>
      </c>
      <c r="M142" s="346" t="str">
        <f t="shared" si="170"/>
        <v/>
      </c>
      <c r="N142" s="346">
        <f t="shared" si="170"/>
        <v>1</v>
      </c>
      <c r="O142" s="346" t="str">
        <f t="shared" si="170"/>
        <v/>
      </c>
      <c r="P142" s="346">
        <f t="shared" si="170"/>
        <v>3</v>
      </c>
      <c r="Q142" s="346" t="str">
        <f t="shared" si="170"/>
        <v/>
      </c>
      <c r="R142" s="346">
        <f t="shared" ref="N142:U144" si="171">IF(AQ142=0,"",AQ142)</f>
        <v>8</v>
      </c>
      <c r="S142" s="346" t="str">
        <f t="shared" si="171"/>
        <v/>
      </c>
      <c r="T142" s="346">
        <f t="shared" si="171"/>
        <v>9</v>
      </c>
      <c r="U142" s="346" t="str">
        <f t="shared" si="171"/>
        <v/>
      </c>
      <c r="V142" s="347"/>
      <c r="W142" s="347"/>
      <c r="AA142" s="88" t="s">
        <v>1797</v>
      </c>
      <c r="AB142" s="89" t="s">
        <v>1798</v>
      </c>
      <c r="AC142" s="370">
        <f>VLOOKUP($AA122,Schlüssel!$A$5:$DG$14,23)</f>
        <v>4</v>
      </c>
      <c r="AD142" s="371"/>
      <c r="AE142" s="370">
        <f>VLOOKUP($AA122,Schlüssel!$A$5:$EK$14,24)</f>
        <v>10</v>
      </c>
      <c r="AF142" s="371"/>
      <c r="AG142" s="370">
        <f>VLOOKUP($AA122,Schlüssel!$A$5:$EK$14,25)</f>
        <v>6</v>
      </c>
      <c r="AH142" s="371"/>
      <c r="AI142" s="370">
        <f>VLOOKUP($AA122,Schlüssel!$A$5:$EK$14,26)</f>
        <v>2</v>
      </c>
      <c r="AJ142" s="371"/>
      <c r="AK142" s="370">
        <f>VLOOKUP($AA122,Schlüssel!$A$5:$EK$14,27)</f>
        <v>7</v>
      </c>
      <c r="AL142" s="371"/>
      <c r="AM142" s="370">
        <f>VLOOKUP($AA122,Schlüssel!$A$5:$EK$14,28)</f>
        <v>1</v>
      </c>
      <c r="AN142" s="371"/>
      <c r="AO142" s="370">
        <f>VLOOKUP($AA122,Schlüssel!$A$5:$EK$14,29)</f>
        <v>3</v>
      </c>
      <c r="AP142" s="371"/>
      <c r="AQ142" s="370">
        <f>VLOOKUP($AA122,Schlüssel!$A$5:$EK$14,30)</f>
        <v>8</v>
      </c>
      <c r="AR142" s="371"/>
      <c r="AS142" s="370">
        <f>VLOOKUP($AA122,Schlüssel!$A$5:$EK$14,31)</f>
        <v>9</v>
      </c>
      <c r="AT142" s="371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35">
      <c r="B143" s="90" t="str">
        <f t="shared" ref="B143:M144" si="172">IF(AA143=0,"",AA143)</f>
        <v/>
      </c>
      <c r="C143" s="86" t="str">
        <f t="shared" si="172"/>
        <v/>
      </c>
      <c r="D143" s="343" t="str">
        <f t="shared" si="172"/>
        <v>BK München 3</v>
      </c>
      <c r="E143" s="344" t="str">
        <f t="shared" si="172"/>
        <v/>
      </c>
      <c r="F143" s="343" t="str">
        <f t="shared" si="172"/>
        <v>BK München 4</v>
      </c>
      <c r="G143" s="344" t="str">
        <f t="shared" si="172"/>
        <v/>
      </c>
      <c r="H143" s="343" t="str">
        <f t="shared" si="172"/>
        <v>Phönix 03 Lauf</v>
      </c>
      <c r="I143" s="344" t="str">
        <f t="shared" si="172"/>
        <v/>
      </c>
      <c r="J143" s="343" t="str">
        <f t="shared" si="172"/>
        <v>BK München 2</v>
      </c>
      <c r="K143" s="344" t="str">
        <f t="shared" si="172"/>
        <v/>
      </c>
      <c r="L143" s="343" t="str">
        <f t="shared" si="172"/>
        <v>Frankenpower Nürnberg</v>
      </c>
      <c r="M143" s="344" t="str">
        <f t="shared" si="172"/>
        <v/>
      </c>
      <c r="N143" s="343" t="str">
        <f t="shared" si="171"/>
        <v>Praetoria Regensburg</v>
      </c>
      <c r="O143" s="344" t="str">
        <f t="shared" si="171"/>
        <v/>
      </c>
      <c r="P143" s="343" t="str">
        <f t="shared" si="171"/>
        <v>Highroller Rosenheim</v>
      </c>
      <c r="Q143" s="344" t="str">
        <f t="shared" si="171"/>
        <v/>
      </c>
      <c r="R143" s="343" t="str">
        <f t="shared" si="171"/>
        <v>EPA München 1</v>
      </c>
      <c r="S143" s="344" t="str">
        <f t="shared" si="171"/>
        <v/>
      </c>
      <c r="T143" s="343" t="str">
        <f t="shared" si="171"/>
        <v>RW Lichtenhof 69 Stein 2</v>
      </c>
      <c r="U143" s="344" t="str">
        <f t="shared" si="171"/>
        <v/>
      </c>
      <c r="V143" s="345"/>
      <c r="W143" s="345"/>
      <c r="AA143" s="90"/>
      <c r="AB143" s="86"/>
      <c r="AC143" s="343" t="str">
        <f>VLOOKUP(AC142,Schlüssel!$A$5:$K$14,2)</f>
        <v>BK München 3</v>
      </c>
      <c r="AD143" s="344"/>
      <c r="AE143" s="343" t="str">
        <f>VLOOKUP(AE142,Schlüssel!$A$5:$K$14,2)</f>
        <v>BK München 4</v>
      </c>
      <c r="AF143" s="344"/>
      <c r="AG143" s="343" t="str">
        <f>VLOOKUP(AG142,Schlüssel!$A$5:$K$14,2)</f>
        <v>Phönix 03 Lauf</v>
      </c>
      <c r="AH143" s="344"/>
      <c r="AI143" s="343" t="str">
        <f>VLOOKUP(AI142,Schlüssel!$A$5:$K$14,2)</f>
        <v>BK München 2</v>
      </c>
      <c r="AJ143" s="344"/>
      <c r="AK143" s="343" t="str">
        <f>VLOOKUP(AK142,Schlüssel!$A$5:$K$14,2)</f>
        <v>Frankenpower Nürnberg</v>
      </c>
      <c r="AL143" s="344"/>
      <c r="AM143" s="343" t="str">
        <f>VLOOKUP(AM142,Schlüssel!$A$5:$K$14,2)</f>
        <v>Praetoria Regensburg</v>
      </c>
      <c r="AN143" s="344"/>
      <c r="AO143" s="343" t="str">
        <f>VLOOKUP(AO142,Schlüssel!$A$5:$K$14,2)</f>
        <v>Highroller Rosenheim</v>
      </c>
      <c r="AP143" s="344"/>
      <c r="AQ143" s="343" t="str">
        <f>VLOOKUP(AQ142,Schlüssel!$A$5:$K$14,2)</f>
        <v>EPA München 1</v>
      </c>
      <c r="AR143" s="344"/>
      <c r="AS143" s="343" t="str">
        <f>VLOOKUP(AS142,Schlüssel!$A$5:$K$14,2)</f>
        <v>RW Lichtenhof 69 Stein 2</v>
      </c>
      <c r="AT143" s="344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35">
      <c r="B144" s="90" t="str">
        <f t="shared" si="172"/>
        <v/>
      </c>
      <c r="C144" s="86" t="str">
        <f t="shared" si="172"/>
        <v/>
      </c>
      <c r="D144" s="341" t="str">
        <f t="shared" si="172"/>
        <v/>
      </c>
      <c r="E144" s="341" t="str">
        <f t="shared" si="172"/>
        <v/>
      </c>
      <c r="F144" s="341" t="str">
        <f t="shared" si="172"/>
        <v/>
      </c>
      <c r="G144" s="341" t="str">
        <f t="shared" si="172"/>
        <v/>
      </c>
      <c r="H144" s="341" t="str">
        <f t="shared" si="172"/>
        <v/>
      </c>
      <c r="I144" s="341" t="str">
        <f t="shared" si="172"/>
        <v/>
      </c>
      <c r="J144" s="341" t="str">
        <f t="shared" si="172"/>
        <v/>
      </c>
      <c r="K144" s="341" t="str">
        <f t="shared" si="172"/>
        <v/>
      </c>
      <c r="L144" s="341" t="str">
        <f t="shared" si="172"/>
        <v/>
      </c>
      <c r="M144" s="341" t="str">
        <f t="shared" si="172"/>
        <v/>
      </c>
      <c r="N144" s="341" t="str">
        <f t="shared" si="171"/>
        <v/>
      </c>
      <c r="O144" s="341" t="str">
        <f t="shared" si="171"/>
        <v/>
      </c>
      <c r="P144" s="341" t="str">
        <f t="shared" si="171"/>
        <v/>
      </c>
      <c r="Q144" s="341" t="str">
        <f t="shared" si="171"/>
        <v/>
      </c>
      <c r="R144" s="341" t="str">
        <f t="shared" si="171"/>
        <v/>
      </c>
      <c r="S144" s="341" t="str">
        <f t="shared" si="171"/>
        <v/>
      </c>
      <c r="T144" s="341" t="str">
        <f t="shared" si="171"/>
        <v/>
      </c>
      <c r="U144" s="342" t="str">
        <f t="shared" si="171"/>
        <v/>
      </c>
      <c r="V144" s="301"/>
      <c r="W144" s="301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6.05" customHeight="1" x14ac:dyDescent="0.35">
      <c r="B145" s="365" t="str">
        <f t="shared" ref="B145:C149" si="173">IF(AA145=0,"",AA145)</f>
        <v>Spieler 1</v>
      </c>
      <c r="C145" s="366" t="str">
        <f t="shared" si="173"/>
        <v/>
      </c>
      <c r="D145" s="339">
        <f>IF(AC145=301,"",AC145)</f>
        <v>0</v>
      </c>
      <c r="E145" s="339" t="str">
        <f>IF(AD145=0,"",AD145)</f>
        <v/>
      </c>
      <c r="F145" s="339">
        <f>IF(AE145=301,"",AE145)</f>
        <v>238</v>
      </c>
      <c r="G145" s="339" t="str">
        <f>IF(AF145=0,"",AF145)</f>
        <v/>
      </c>
      <c r="H145" s="339">
        <f>IF(AG145=301,"",AG145)</f>
        <v>146</v>
      </c>
      <c r="I145" s="339" t="str">
        <f>IF(AH145=0,"",AH145)</f>
        <v/>
      </c>
      <c r="J145" s="339">
        <f>IF(AI145=301,"",AI145)</f>
        <v>184</v>
      </c>
      <c r="K145" s="339" t="str">
        <f>IF(AJ145=0,"",AJ145)</f>
        <v/>
      </c>
      <c r="L145" s="339">
        <f>IF(AK145=301,"",AK145)</f>
        <v>168</v>
      </c>
      <c r="M145" s="339" t="str">
        <f>IF(AL145=0,"",AL145)</f>
        <v/>
      </c>
      <c r="N145" s="339">
        <f>IF(AM145=301,"",AM145)</f>
        <v>169</v>
      </c>
      <c r="O145" s="339" t="str">
        <f>IF(AN145=0,"",AN145)</f>
        <v/>
      </c>
      <c r="P145" s="339">
        <f>IF(AO145=301,"",AO145)</f>
        <v>182</v>
      </c>
      <c r="Q145" s="339" t="str">
        <f>IF(AP145=0,"",AP145)</f>
        <v/>
      </c>
      <c r="R145" s="339">
        <f>IF(AQ145=301,"",AQ145)</f>
        <v>179</v>
      </c>
      <c r="S145" s="339" t="str">
        <f>IF(AR145=0,"",AR145)</f>
        <v/>
      </c>
      <c r="T145" s="339">
        <f>IF(AS145=301,"",AS145)</f>
        <v>158</v>
      </c>
      <c r="U145" s="339" t="str">
        <f>IF(AT145=0,"",AT145)</f>
        <v/>
      </c>
      <c r="V145" s="340"/>
      <c r="W145" s="340"/>
      <c r="AA145" s="91" t="s">
        <v>0</v>
      </c>
      <c r="AB145" s="92"/>
      <c r="AC145" s="372">
        <f>ABS(INDEX(AC:AC,MATCH(AC142,$AA:$AA,0)+5)+INDEX(AC:AC,MATCH(AC142,$AA:$AA,0)+6)+INDEX(AC:AC,MATCH(AC142,$AA:$AA,0)+7))</f>
        <v>0</v>
      </c>
      <c r="AD145" s="373"/>
      <c r="AE145" s="372">
        <f>ABS(INDEX(AE:AE,MATCH(AE142,$AA:$AA,0)+5)+INDEX(AE:AE,MATCH(AE142,$AA:$AA,0)+6)+INDEX(AE:AE,MATCH(AE142,$AA:$AA,0)+7))</f>
        <v>238</v>
      </c>
      <c r="AF145" s="373"/>
      <c r="AG145" s="372">
        <f>ABS(INDEX(AG:AG,MATCH(AG142,$AA:$AA,0)+5)+INDEX(AG:AG,MATCH(AG142,$AA:$AA,0)+6)+INDEX(AG:AG,MATCH(AG142,$AA:$AA,0)+7))</f>
        <v>146</v>
      </c>
      <c r="AH145" s="373"/>
      <c r="AI145" s="372">
        <f>ABS(INDEX(AI:AI,MATCH(AI142,$AA:$AA,0)+5)+INDEX(AI:AI,MATCH(AI142,$AA:$AA,0)+6)+INDEX(AI:AI,MATCH(AI142,$AA:$AA,0)+7))</f>
        <v>184</v>
      </c>
      <c r="AJ145" s="373"/>
      <c r="AK145" s="372">
        <f>ABS(INDEX(AK:AK,MATCH(AK142,$AA:$AA,0)+5)+INDEX(AK:AK,MATCH(AK142,$AA:$AA,0)+6)+INDEX(AK:AK,MATCH(AK142,$AA:$AA,0)+7))</f>
        <v>168</v>
      </c>
      <c r="AL145" s="373"/>
      <c r="AM145" s="372">
        <f>ABS(INDEX(AM:AM,MATCH(AM142,$AA:$AA,0)+5)+INDEX(AM:AM,MATCH(AM142,$AA:$AA,0)+6)+INDEX(AM:AM,MATCH(AM142,$AA:$AA,0)+7))</f>
        <v>169</v>
      </c>
      <c r="AN145" s="373"/>
      <c r="AO145" s="372">
        <f>ABS(INDEX(AO:AO,MATCH(AO142,$AA:$AA,0)+5)+INDEX(AO:AO,MATCH(AO142,$AA:$AA,0)+6)+INDEX(AO:AO,MATCH(AO142,$AA:$AA,0)+7))</f>
        <v>182</v>
      </c>
      <c r="AP145" s="373"/>
      <c r="AQ145" s="372">
        <f>ABS(INDEX(AQ:AQ,MATCH(AQ142,$AA:$AA,0)+5)+INDEX(AQ:AQ,MATCH(AQ142,$AA:$AA,0)+6)+INDEX(AQ:AQ,MATCH(AQ142,$AA:$AA,0)+7))</f>
        <v>179</v>
      </c>
      <c r="AR145" s="373"/>
      <c r="AS145" s="372">
        <f>ABS(INDEX(AS:AS,MATCH(AS142,$AA:$AA,0)+5)+INDEX(AS:AS,MATCH(AS142,$AA:$AA,0)+6)+INDEX(AS:AS,MATCH(AS142,$AA:$AA,0)+7))</f>
        <v>158</v>
      </c>
      <c r="AT145" s="373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6.05" customHeight="1" x14ac:dyDescent="0.35">
      <c r="B146" s="365" t="str">
        <f t="shared" si="173"/>
        <v>Spieler 2</v>
      </c>
      <c r="C146" s="366" t="str">
        <f t="shared" si="173"/>
        <v/>
      </c>
      <c r="D146" s="339">
        <f>IF(AC146=301,"",AC146)</f>
        <v>0</v>
      </c>
      <c r="E146" s="339" t="str">
        <f>IF(AD146=0,"",AD146)</f>
        <v/>
      </c>
      <c r="F146" s="339">
        <f>IF(AE146=301,"",AE146)</f>
        <v>191</v>
      </c>
      <c r="G146" s="339" t="str">
        <f>IF(AF146=0,"",AF146)</f>
        <v/>
      </c>
      <c r="H146" s="339">
        <f>IF(AG146=301,"",AG146)</f>
        <v>158</v>
      </c>
      <c r="I146" s="339" t="str">
        <f>IF(AH146=0,"",AH146)</f>
        <v/>
      </c>
      <c r="J146" s="339">
        <f>IF(AI146=301,"",AI146)</f>
        <v>193</v>
      </c>
      <c r="K146" s="339" t="str">
        <f>IF(AJ146=0,"",AJ146)</f>
        <v/>
      </c>
      <c r="L146" s="339">
        <f>IF(AK146=301,"",AK146)</f>
        <v>161</v>
      </c>
      <c r="M146" s="339" t="str">
        <f>IF(AL146=0,"",AL146)</f>
        <v/>
      </c>
      <c r="N146" s="339">
        <f>IF(AM146=301,"",AM146)</f>
        <v>193</v>
      </c>
      <c r="O146" s="339" t="str">
        <f>IF(AN146=0,"",AN146)</f>
        <v/>
      </c>
      <c r="P146" s="339">
        <f>IF(AO146=301,"",AO146)</f>
        <v>189</v>
      </c>
      <c r="Q146" s="339" t="str">
        <f>IF(AP146=0,"",AP146)</f>
        <v/>
      </c>
      <c r="R146" s="339">
        <f>IF(AQ146=301,"",AQ146)</f>
        <v>181</v>
      </c>
      <c r="S146" s="339" t="str">
        <f>IF(AR146=0,"",AR146)</f>
        <v/>
      </c>
      <c r="T146" s="339">
        <f>IF(AS146=301,"",AS146)</f>
        <v>211</v>
      </c>
      <c r="U146" s="339" t="str">
        <f>IF(AT146=0,"",AT146)</f>
        <v/>
      </c>
      <c r="V146" s="340"/>
      <c r="W146" s="340"/>
      <c r="AA146" s="91" t="s">
        <v>2</v>
      </c>
      <c r="AB146" s="92"/>
      <c r="AC146" s="374">
        <f>ABS(INDEX(AC:AC,MATCH(AC142,$AA:$AA,0)+8)+INDEX(AC:AC,MATCH(AC142,$AA:$AA,0)+9)+INDEX(AC:AC,MATCH(AC142,$AA:$AA,0)+10))</f>
        <v>0</v>
      </c>
      <c r="AD146" s="375"/>
      <c r="AE146" s="374">
        <f>ABS(INDEX(AE:AE,MATCH(AE142,$AA:$AA,0)+8)+INDEX(AE:AE,MATCH(AE142,$AA:$AA,0)+9)+INDEX(AE:AE,MATCH(AE142,$AA:$AA,0)+10))</f>
        <v>191</v>
      </c>
      <c r="AF146" s="375"/>
      <c r="AG146" s="374">
        <f>ABS(INDEX(AG:AG,MATCH(AG142,$AA:$AA,0)+8)+INDEX(AG:AG,MATCH(AG142,$AA:$AA,0)+9)+INDEX(AG:AG,MATCH(AG142,$AA:$AA,0)+10))</f>
        <v>158</v>
      </c>
      <c r="AH146" s="375"/>
      <c r="AI146" s="374">
        <f>ABS(INDEX(AI:AI,MATCH(AI142,$AA:$AA,0)+8)+INDEX(AI:AI,MATCH(AI142,$AA:$AA,0)+9)+INDEX(AI:AI,MATCH(AI142,$AA:$AA,0)+10))</f>
        <v>193</v>
      </c>
      <c r="AJ146" s="375"/>
      <c r="AK146" s="374">
        <f>ABS(INDEX(AK:AK,MATCH(AK142,$AA:$AA,0)+8)+INDEX(AK:AK,MATCH(AK142,$AA:$AA,0)+9)+INDEX(AK:AK,MATCH(AK142,$AA:$AA,0)+10))</f>
        <v>161</v>
      </c>
      <c r="AL146" s="375"/>
      <c r="AM146" s="374">
        <f>ABS(INDEX(AM:AM,MATCH(AM142,$AA:$AA,0)+8)+INDEX(AM:AM,MATCH(AM142,$AA:$AA,0)+9)+INDEX(AM:AM,MATCH(AM142,$AA:$AA,0)+10))</f>
        <v>193</v>
      </c>
      <c r="AN146" s="375"/>
      <c r="AO146" s="374">
        <f>ABS(INDEX(AO:AO,MATCH(AO142,$AA:$AA,0)+8)+INDEX(AO:AO,MATCH(AO142,$AA:$AA,0)+9)+INDEX(AO:AO,MATCH(AO142,$AA:$AA,0)+10))</f>
        <v>189</v>
      </c>
      <c r="AP146" s="375"/>
      <c r="AQ146" s="374">
        <f>ABS(INDEX(AQ:AQ,MATCH(AQ142,$AA:$AA,0)+8)+INDEX(AQ:AQ,MATCH(AQ142,$AA:$AA,0)+9)+INDEX(AQ:AQ,MATCH(AQ142,$AA:$AA,0)+10))</f>
        <v>181</v>
      </c>
      <c r="AR146" s="375"/>
      <c r="AS146" s="374">
        <f>ABS(INDEX(AS:AS,MATCH(AS142,$AA:$AA,0)+8)+INDEX(AS:AS,MATCH(AS142,$AA:$AA,0)+9)+INDEX(AS:AS,MATCH(AS142,$AA:$AA,0)+10))</f>
        <v>211</v>
      </c>
      <c r="AT146" s="37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6.05" customHeight="1" x14ac:dyDescent="0.35">
      <c r="B147" s="365" t="str">
        <f t="shared" si="173"/>
        <v>Spieler 3</v>
      </c>
      <c r="C147" s="366" t="str">
        <f t="shared" si="173"/>
        <v/>
      </c>
      <c r="D147" s="339">
        <f>IF(AC147=301,"",AC147)</f>
        <v>0</v>
      </c>
      <c r="E147" s="339" t="str">
        <f>IF(AD147=0,"",AD147)</f>
        <v/>
      </c>
      <c r="F147" s="339">
        <f>IF(AE147=301,"",AE147)</f>
        <v>155</v>
      </c>
      <c r="G147" s="339" t="str">
        <f>IF(AF147=0,"",AF147)</f>
        <v/>
      </c>
      <c r="H147" s="339">
        <f>IF(AG147=301,"",AG147)</f>
        <v>201</v>
      </c>
      <c r="I147" s="339" t="str">
        <f>IF(AH147=0,"",AH147)</f>
        <v/>
      </c>
      <c r="J147" s="339">
        <f>IF(AI147=301,"",AI147)</f>
        <v>147</v>
      </c>
      <c r="K147" s="339" t="str">
        <f>IF(AJ147=0,"",AJ147)</f>
        <v/>
      </c>
      <c r="L147" s="339">
        <f>IF(AK147=301,"",AK147)</f>
        <v>236</v>
      </c>
      <c r="M147" s="339" t="str">
        <f>IF(AL147=0,"",AL147)</f>
        <v/>
      </c>
      <c r="N147" s="339">
        <f>IF(AM147=301,"",AM147)</f>
        <v>181</v>
      </c>
      <c r="O147" s="339" t="str">
        <f>IF(AN147=0,"",AN147)</f>
        <v/>
      </c>
      <c r="P147" s="339">
        <f>IF(AO147=301,"",AO147)</f>
        <v>157</v>
      </c>
      <c r="Q147" s="339" t="str">
        <f>IF(AP147=0,"",AP147)</f>
        <v/>
      </c>
      <c r="R147" s="339">
        <f>IF(AQ147=301,"",AQ147)</f>
        <v>157</v>
      </c>
      <c r="S147" s="339" t="str">
        <f>IF(AR147=0,"",AR147)</f>
        <v/>
      </c>
      <c r="T147" s="339">
        <f>IF(AS147=301,"",AS147)</f>
        <v>146</v>
      </c>
      <c r="U147" s="339" t="str">
        <f>IF(AT147=0,"",AT147)</f>
        <v/>
      </c>
      <c r="V147" s="340"/>
      <c r="W147" s="340"/>
      <c r="AA147" s="91" t="s">
        <v>3</v>
      </c>
      <c r="AB147" s="92"/>
      <c r="AC147" s="374">
        <f>ABS(INDEX(AC:AC,MATCH(AC142,$AA:$AA,0)+11)+INDEX(AC:AC,MATCH(AC142,$AA:$AA,0)+12)+INDEX(AC:AC,MATCH(AC142,$AA:$AA,0)+13))</f>
        <v>0</v>
      </c>
      <c r="AD147" s="375"/>
      <c r="AE147" s="374">
        <f>ABS(INDEX(AE:AE,MATCH(AE142,$AA:$AA,0)+11)+INDEX(AE:AE,MATCH(AE142,$AA:$AA,0)+12)+INDEX(AE:AE,MATCH(AE142,$AA:$AA,0)+13))</f>
        <v>155</v>
      </c>
      <c r="AF147" s="375"/>
      <c r="AG147" s="374">
        <f>ABS(INDEX(AG:AG,MATCH(AG142,$AA:$AA,0)+11)+INDEX(AG:AG,MATCH(AG142,$AA:$AA,0)+12)+INDEX(AG:AG,MATCH(AG142,$AA:$AA,0)+13))</f>
        <v>201</v>
      </c>
      <c r="AH147" s="375"/>
      <c r="AI147" s="374">
        <f>ABS(INDEX(AI:AI,MATCH(AI142,$AA:$AA,0)+11)+INDEX(AI:AI,MATCH(AI142,$AA:$AA,0)+12)+INDEX(AI:AI,MATCH(AI142,$AA:$AA,0)+13))</f>
        <v>147</v>
      </c>
      <c r="AJ147" s="375"/>
      <c r="AK147" s="374">
        <f>ABS(INDEX(AK:AK,MATCH(AK142,$AA:$AA,0)+11)+INDEX(AK:AK,MATCH(AK142,$AA:$AA,0)+12)+INDEX(AK:AK,MATCH(AK142,$AA:$AA,0)+13))</f>
        <v>236</v>
      </c>
      <c r="AL147" s="375"/>
      <c r="AM147" s="374">
        <f>ABS(INDEX(AM:AM,MATCH(AM142,$AA:$AA,0)+11)+INDEX(AM:AM,MATCH(AM142,$AA:$AA,0)+12)+INDEX(AM:AM,MATCH(AM142,$AA:$AA,0)+13))</f>
        <v>181</v>
      </c>
      <c r="AN147" s="375"/>
      <c r="AO147" s="374">
        <f>ABS(INDEX(AO:AO,MATCH(AO142,$AA:$AA,0)+11)+INDEX(AO:AO,MATCH(AO142,$AA:$AA,0)+12)+INDEX(AO:AO,MATCH(AO142,$AA:$AA,0)+13))</f>
        <v>157</v>
      </c>
      <c r="AP147" s="375"/>
      <c r="AQ147" s="374">
        <f>ABS(INDEX(AQ:AQ,MATCH(AQ142,$AA:$AA,0)+11)+INDEX(AQ:AQ,MATCH(AQ142,$AA:$AA,0)+12)+INDEX(AQ:AQ,MATCH(AQ142,$AA:$AA,0)+13))</f>
        <v>157</v>
      </c>
      <c r="AR147" s="375"/>
      <c r="AS147" s="374">
        <f>ABS(INDEX(AS:AS,MATCH(AS142,$AA:$AA,0)+11)+INDEX(AS:AS,MATCH(AS142,$AA:$AA,0)+12)+INDEX(AS:AS,MATCH(AS142,$AA:$AA,0)+13))</f>
        <v>146</v>
      </c>
      <c r="AT147" s="37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6.05" customHeight="1" x14ac:dyDescent="0.35">
      <c r="B148" s="365" t="str">
        <f t="shared" si="173"/>
        <v>Spieler 4</v>
      </c>
      <c r="C148" s="366" t="str">
        <f t="shared" si="173"/>
        <v/>
      </c>
      <c r="D148" s="339">
        <f>IF(AC148=301,"",AC148)</f>
        <v>0</v>
      </c>
      <c r="E148" s="339" t="str">
        <f>IF(AD148=0,"",AD148)</f>
        <v/>
      </c>
      <c r="F148" s="339">
        <f>IF(AE148=301,"",AE148)</f>
        <v>221</v>
      </c>
      <c r="G148" s="339" t="str">
        <f>IF(AF148=0,"",AF148)</f>
        <v/>
      </c>
      <c r="H148" s="339">
        <f>IF(AG148=301,"",AG148)</f>
        <v>173</v>
      </c>
      <c r="I148" s="339" t="str">
        <f>IF(AH148=0,"",AH148)</f>
        <v/>
      </c>
      <c r="J148" s="339">
        <f>IF(AI148=301,"",AI148)</f>
        <v>204</v>
      </c>
      <c r="K148" s="339" t="str">
        <f>IF(AJ148=0,"",AJ148)</f>
        <v/>
      </c>
      <c r="L148" s="339">
        <f>IF(AK148=301,"",AK148)</f>
        <v>180</v>
      </c>
      <c r="M148" s="339" t="str">
        <f>IF(AL148=0,"",AL148)</f>
        <v/>
      </c>
      <c r="N148" s="339">
        <f>IF(AM148=301,"",AM148)</f>
        <v>185</v>
      </c>
      <c r="O148" s="339" t="str">
        <f>IF(AN148=0,"",AN148)</f>
        <v/>
      </c>
      <c r="P148" s="339">
        <f>IF(AO148=301,"",AO148)</f>
        <v>168</v>
      </c>
      <c r="Q148" s="339" t="str">
        <f>IF(AP148=0,"",AP148)</f>
        <v/>
      </c>
      <c r="R148" s="339">
        <f>IF(AQ148=301,"",AQ148)</f>
        <v>183</v>
      </c>
      <c r="S148" s="339" t="str">
        <f>IF(AR148=0,"",AR148)</f>
        <v/>
      </c>
      <c r="T148" s="339">
        <f>IF(AS148=301,"",AS148)</f>
        <v>136</v>
      </c>
      <c r="U148" s="339" t="str">
        <f>IF(AT148=0,"",AT148)</f>
        <v/>
      </c>
      <c r="V148" s="340"/>
      <c r="W148" s="340"/>
      <c r="AA148" s="91" t="s">
        <v>11</v>
      </c>
      <c r="AB148" s="92"/>
      <c r="AC148" s="374">
        <f>ABS(INDEX(AC:AC,MATCH(AC142,$AA:$AA,0)+14)+INDEX(AC:AC,MATCH(AC142,$AA:$AA,0)+15)+INDEX(AC:AC,MATCH(AC142,$AA:$AA,0)+16))</f>
        <v>0</v>
      </c>
      <c r="AD148" s="375"/>
      <c r="AE148" s="374">
        <f>ABS(INDEX(AE:AE,MATCH(AE142,$AA:$AA,0)+14)+INDEX(AE:AE,MATCH(AE142,$AA:$AA,0)+15)+INDEX(AE:AE,MATCH(AE142,$AA:$AA,0)+16))</f>
        <v>221</v>
      </c>
      <c r="AF148" s="375"/>
      <c r="AG148" s="374">
        <f>ABS(INDEX(AG:AG,MATCH(AG142,$AA:$AA,0)+14)+INDEX(AG:AG,MATCH(AG142,$AA:$AA,0)+15)+INDEX(AG:AG,MATCH(AG142,$AA:$AA,0)+16))</f>
        <v>173</v>
      </c>
      <c r="AH148" s="375"/>
      <c r="AI148" s="374">
        <f>ABS(INDEX(AI:AI,MATCH(AI142,$AA:$AA,0)+14)+INDEX(AI:AI,MATCH(AI142,$AA:$AA,0)+15)+INDEX(AI:AI,MATCH(AI142,$AA:$AA,0)+16))</f>
        <v>204</v>
      </c>
      <c r="AJ148" s="375"/>
      <c r="AK148" s="374">
        <f>ABS(INDEX(AK:AK,MATCH(AK142,$AA:$AA,0)+14)+INDEX(AK:AK,MATCH(AK142,$AA:$AA,0)+15)+INDEX(AK:AK,MATCH(AK142,$AA:$AA,0)+16))</f>
        <v>180</v>
      </c>
      <c r="AL148" s="375"/>
      <c r="AM148" s="374">
        <f>ABS(INDEX(AM:AM,MATCH(AM142,$AA:$AA,0)+14)+INDEX(AM:AM,MATCH(AM142,$AA:$AA,0)+15)+INDEX(AM:AM,MATCH(AM142,$AA:$AA,0)+16))</f>
        <v>185</v>
      </c>
      <c r="AN148" s="375"/>
      <c r="AO148" s="374">
        <f>ABS(INDEX(AO:AO,MATCH(AO142,$AA:$AA,0)+14)+INDEX(AO:AO,MATCH(AO142,$AA:$AA,0)+15)+INDEX(AO:AO,MATCH(AO142,$AA:$AA,0)+16))</f>
        <v>168</v>
      </c>
      <c r="AP148" s="375"/>
      <c r="AQ148" s="374">
        <f>ABS(INDEX(AQ:AQ,MATCH(AQ142,$AA:$AA,0)+14)+INDEX(AQ:AQ,MATCH(AQ142,$AA:$AA,0)+15)+INDEX(AQ:AQ,MATCH(AQ142,$AA:$AA,0)+16))</f>
        <v>183</v>
      </c>
      <c r="AR148" s="375"/>
      <c r="AS148" s="374">
        <f>ABS(INDEX(AS:AS,MATCH(AS142,$AA:$AA,0)+14)+INDEX(AS:AS,MATCH(AS142,$AA:$AA,0)+15)+INDEX(AS:AS,MATCH(AS142,$AA:$AA,0)+16))</f>
        <v>136</v>
      </c>
      <c r="AT148" s="37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6.05" customHeight="1" x14ac:dyDescent="0.35">
      <c r="B149" s="354" t="str">
        <f t="shared" si="173"/>
        <v>Gesamt</v>
      </c>
      <c r="C149" s="355" t="str">
        <f t="shared" si="173"/>
        <v/>
      </c>
      <c r="D149" s="338">
        <f>IF(AC149=1505,"",AC149)</f>
        <v>0</v>
      </c>
      <c r="E149" s="338" t="str">
        <f>IF(AD149=0,"",AD149)</f>
        <v/>
      </c>
      <c r="F149" s="338">
        <f>IF(AE149=1505,"",AE149)</f>
        <v>805</v>
      </c>
      <c r="G149" s="338" t="str">
        <f>IF(AF149=0,"",AF149)</f>
        <v/>
      </c>
      <c r="H149" s="338">
        <f>IF(AG149=1505,"",AG149)</f>
        <v>678</v>
      </c>
      <c r="I149" s="338" t="str">
        <f>IF(AH149=0,"",AH149)</f>
        <v/>
      </c>
      <c r="J149" s="338">
        <f>IF(AI149=1505,"",AI149)</f>
        <v>728</v>
      </c>
      <c r="K149" s="338" t="str">
        <f>IF(AJ149=0,"",AJ149)</f>
        <v/>
      </c>
      <c r="L149" s="338">
        <f>IF(AK149=1505,"",AK149)</f>
        <v>745</v>
      </c>
      <c r="M149" s="338" t="str">
        <f>IF(AL149=0,"",AL149)</f>
        <v/>
      </c>
      <c r="N149" s="338">
        <f>IF(AM149=1505,"",AM149)</f>
        <v>728</v>
      </c>
      <c r="O149" s="338" t="str">
        <f>IF(AN149=0,"",AN149)</f>
        <v/>
      </c>
      <c r="P149" s="338">
        <f>IF(AO149=1505,"",AO149)</f>
        <v>696</v>
      </c>
      <c r="Q149" s="338" t="str">
        <f>IF(AP149=0,"",AP149)</f>
        <v/>
      </c>
      <c r="R149" s="338">
        <f>IF(AQ149=1505,"",AQ149)</f>
        <v>700</v>
      </c>
      <c r="S149" s="338" t="str">
        <f>IF(AR149=0,"",AR149)</f>
        <v/>
      </c>
      <c r="T149" s="338">
        <f>IF(AS149=1505,"",AS149)</f>
        <v>651</v>
      </c>
      <c r="U149" s="338" t="str">
        <f>IF(AT149=0,"",AT149)</f>
        <v/>
      </c>
      <c r="V149" s="290"/>
      <c r="W149" s="290"/>
      <c r="AA149" s="93" t="s">
        <v>1799</v>
      </c>
      <c r="AB149" s="94"/>
      <c r="AC149" s="354">
        <f>SUM(AC145:AC148)</f>
        <v>0</v>
      </c>
      <c r="AD149" s="355"/>
      <c r="AE149" s="354">
        <f>SUM(AE145:AE148)</f>
        <v>805</v>
      </c>
      <c r="AF149" s="355"/>
      <c r="AG149" s="354">
        <f>SUM(AG145:AG148)</f>
        <v>678</v>
      </c>
      <c r="AH149" s="355"/>
      <c r="AI149" s="354">
        <f>SUM(AI145:AI148)</f>
        <v>728</v>
      </c>
      <c r="AJ149" s="355"/>
      <c r="AK149" s="354">
        <f>SUM(AK145:AK148)</f>
        <v>745</v>
      </c>
      <c r="AL149" s="355"/>
      <c r="AM149" s="354">
        <f>SUM(AM145:AM148)</f>
        <v>728</v>
      </c>
      <c r="AN149" s="355"/>
      <c r="AO149" s="354">
        <f>SUM(AO145:AO148)</f>
        <v>696</v>
      </c>
      <c r="AP149" s="355"/>
      <c r="AQ149" s="354">
        <f>SUM(AQ145:AQ148)</f>
        <v>700</v>
      </c>
      <c r="AR149" s="355"/>
      <c r="AS149" s="354">
        <f>SUM(AS145:AS148)</f>
        <v>651</v>
      </c>
      <c r="AT149" s="35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3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7">
      <c r="B151" s="44" t="str">
        <f>AA151</f>
        <v>Team-Nr.</v>
      </c>
      <c r="C151" s="45"/>
      <c r="D151" s="44" t="str">
        <f>AC151</f>
        <v>Liga:</v>
      </c>
      <c r="E151" s="47"/>
      <c r="F151" s="359" t="str">
        <f>AE151</f>
        <v>Bayernliga Frauen</v>
      </c>
      <c r="G151" s="359"/>
      <c r="H151" s="359"/>
      <c r="I151" s="359"/>
      <c r="J151" s="359"/>
      <c r="K151" s="359"/>
      <c r="L151" s="359"/>
      <c r="M151" s="359"/>
      <c r="N151" s="359"/>
      <c r="O151" s="359"/>
      <c r="P151" s="359"/>
      <c r="Q151" s="359"/>
      <c r="R151" s="48"/>
      <c r="S151" s="49" t="s">
        <v>1794</v>
      </c>
      <c r="T151" s="50"/>
      <c r="U151" s="360" t="str">
        <f>AT151</f>
        <v>02.11./03.11.</v>
      </c>
      <c r="V151" s="361"/>
      <c r="W151" s="362"/>
      <c r="X151" s="363"/>
      <c r="Y151" s="364"/>
      <c r="Z151" s="364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0" t="str">
        <f>VLOOKUP(AS152,Spielorte!$A$1:$C$6,2)</f>
        <v>02.11./03.11.</v>
      </c>
      <c r="AU151" s="361"/>
      <c r="AV151" s="362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65">
      <c r="B152" s="53">
        <f>AA152</f>
        <v>6</v>
      </c>
      <c r="D152" s="46" t="s">
        <v>1793</v>
      </c>
      <c r="E152" s="54"/>
      <c r="F152" s="358" t="str">
        <f>AE152</f>
        <v>Regensburg Super Bowl</v>
      </c>
      <c r="G152" s="358"/>
      <c r="H152" s="358"/>
      <c r="I152" s="358"/>
      <c r="J152" s="358"/>
      <c r="K152" s="358"/>
      <c r="L152" s="358"/>
      <c r="M152" s="358"/>
      <c r="N152" s="358"/>
      <c r="O152" s="358"/>
      <c r="P152" s="55"/>
      <c r="Q152" s="55"/>
      <c r="S152" s="49" t="s">
        <v>1791</v>
      </c>
      <c r="T152" s="56">
        <f>AS152</f>
        <v>2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Regensburg Super Bowl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2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4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5" thickBot="1" x14ac:dyDescent="0.45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VLOOKUP(AA152,Schlüssel!$A$5:$DZ$14,33)</f>
        <v>7</v>
      </c>
      <c r="AE154" s="65" t="s">
        <v>10</v>
      </c>
      <c r="AF154" s="44">
        <f>VLOOKUP(AA152,Schlüssel!$A$5:$DZ$14,34)</f>
        <v>3</v>
      </c>
      <c r="AG154" s="65" t="s">
        <v>10</v>
      </c>
      <c r="AH154" s="44">
        <f>VLOOKUP(AA152,Schlüssel!$A$5:$DZ$14,35)</f>
        <v>12</v>
      </c>
      <c r="AI154" s="65" t="s">
        <v>10</v>
      </c>
      <c r="AJ154" s="44">
        <f>VLOOKUP(AA152,Schlüssel!$A$5:$DZ$14,36)</f>
        <v>8</v>
      </c>
      <c r="AK154" s="65" t="s">
        <v>10</v>
      </c>
      <c r="AL154" s="44">
        <f>VLOOKUP(AA152,Schlüssel!$A$5:$DZ$14,37)</f>
        <v>9</v>
      </c>
      <c r="AM154" s="65" t="s">
        <v>10</v>
      </c>
      <c r="AN154" s="44">
        <f>VLOOKUP(AA152,Schlüssel!$A$5:$DZ$14,38)</f>
        <v>6</v>
      </c>
      <c r="AO154" s="65" t="s">
        <v>10</v>
      </c>
      <c r="AP154" s="44">
        <f>VLOOKUP(AA152,Schlüssel!$A$5:$DZ$14,39)</f>
        <v>11</v>
      </c>
      <c r="AQ154" s="65" t="s">
        <v>10</v>
      </c>
      <c r="AR154" s="44">
        <f>VLOOKUP(AA152,Schlüssel!$A$5:$DZ$14,40)</f>
        <v>4</v>
      </c>
      <c r="AS154" s="65" t="s">
        <v>10</v>
      </c>
      <c r="AT154" s="66">
        <f>VLOOKUP(AA152,Schlüssel!$A$5:$DZ$14,41)</f>
        <v>5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35">
      <c r="B155" s="67" t="s">
        <v>1</v>
      </c>
      <c r="C155" s="68"/>
      <c r="D155" s="354" t="s">
        <v>1800</v>
      </c>
      <c r="E155" s="355"/>
      <c r="F155" s="354" t="s">
        <v>1801</v>
      </c>
      <c r="G155" s="355"/>
      <c r="H155" s="354" t="s">
        <v>1802</v>
      </c>
      <c r="I155" s="355"/>
      <c r="J155" s="354" t="s">
        <v>1803</v>
      </c>
      <c r="K155" s="355"/>
      <c r="L155" s="354" t="s">
        <v>1804</v>
      </c>
      <c r="M155" s="355"/>
      <c r="N155" s="354" t="s">
        <v>1805</v>
      </c>
      <c r="O155" s="355"/>
      <c r="P155" s="354" t="s">
        <v>1806</v>
      </c>
      <c r="Q155" s="355"/>
      <c r="R155" s="354" t="s">
        <v>1807</v>
      </c>
      <c r="S155" s="355"/>
      <c r="T155" s="354" t="s">
        <v>1808</v>
      </c>
      <c r="U155" s="355"/>
      <c r="V155" s="356" t="s">
        <v>1799</v>
      </c>
      <c r="W155" s="357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4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2" customHeight="1" x14ac:dyDescent="0.35">
      <c r="A157" s="367" t="s">
        <v>0</v>
      </c>
      <c r="B157" s="73" t="str">
        <f>IF(AA157=0,"",AA157)</f>
        <v>Kleim, Helga</v>
      </c>
      <c r="C157" s="74">
        <f>IF(AB157=0,"",AB157)</f>
        <v>7787</v>
      </c>
      <c r="D157" s="75">
        <f>IF(AC157=0,"",AC157)</f>
        <v>176</v>
      </c>
      <c r="E157" s="348">
        <f>IF(AD157="","",AD157)</f>
        <v>0</v>
      </c>
      <c r="F157" s="75">
        <f t="shared" ref="F157:F170" si="174">IF(AE157=0,"",AE157)</f>
        <v>143</v>
      </c>
      <c r="G157" s="348">
        <f>IF(AF157="","",AF157)</f>
        <v>0</v>
      </c>
      <c r="H157" s="75">
        <f t="shared" ref="H157:H170" si="175">IF(AG157=0,"",AG157)</f>
        <v>146</v>
      </c>
      <c r="I157" s="348">
        <f>IF(AH157="","",AH157)</f>
        <v>0</v>
      </c>
      <c r="J157" s="75">
        <f t="shared" ref="J157:J170" si="176">IF(AI157=0,"",AI157)</f>
        <v>150</v>
      </c>
      <c r="K157" s="348">
        <f>IF(AJ157="","",AJ157)</f>
        <v>0</v>
      </c>
      <c r="L157" s="75" t="str">
        <f t="shared" ref="L157:L170" si="177">IF(AK157=0,"",AK157)</f>
        <v/>
      </c>
      <c r="M157" s="348">
        <f>IF(AL157="","",AL157)</f>
        <v>1</v>
      </c>
      <c r="N157" s="75" t="str">
        <f>IF(AM157=0,"",AM157)</f>
        <v/>
      </c>
      <c r="O157" s="348">
        <f>IF(AN157="","",AN157)</f>
        <v>0</v>
      </c>
      <c r="P157" s="75" t="str">
        <f t="shared" ref="P157:P170" si="178">IF(AO157=0,"",AO157)</f>
        <v/>
      </c>
      <c r="Q157" s="348">
        <f>IF(AP157="","",AP157)</f>
        <v>0</v>
      </c>
      <c r="R157" s="75">
        <f t="shared" ref="R157:R170" si="179">IF(AQ157=0,"",AQ157)</f>
        <v>172</v>
      </c>
      <c r="S157" s="348">
        <f>IF(AR157="","",AR157)</f>
        <v>0</v>
      </c>
      <c r="T157" s="75">
        <f t="shared" ref="T157:T170" si="180">IF(AS157=0,"",AS157)</f>
        <v>146</v>
      </c>
      <c r="U157" s="348">
        <f>IF(AT157="","",AT157)</f>
        <v>0</v>
      </c>
      <c r="V157" s="75">
        <f t="shared" ref="V157:V170" si="181">IF(AU157=0,"",AU157)</f>
        <v>933</v>
      </c>
      <c r="W157" s="348">
        <f>IF(AV157="","",AV157)</f>
        <v>1</v>
      </c>
      <c r="Z157" s="351" t="s">
        <v>0</v>
      </c>
      <c r="AA157" s="108" t="str">
        <f>IF(AB157=0,"",VLOOKUP(AB157,Starter!$A$1:$D$199,2,FALSE))</f>
        <v>Kleim, Helga</v>
      </c>
      <c r="AB157" s="99">
        <v>7787</v>
      </c>
      <c r="AC157" s="185">
        <v>176</v>
      </c>
      <c r="AD157" s="109">
        <f>IF(SUM(AC157:AC159)+AC175=0,0,IF(SUM(AC157:AC159)=AC175,0.5,IF(SUM(AC157:AC159)&gt;AC175,1,0)))</f>
        <v>0</v>
      </c>
      <c r="AE157" s="185">
        <v>143</v>
      </c>
      <c r="AF157" s="109">
        <f>IF(SUM(AE157:AE159)+AE175=0,0,IF(SUM(AE157:AE159)=AE175,0.5,IF(SUM(AE157:AE159)&gt;AE175,1,0)))</f>
        <v>0</v>
      </c>
      <c r="AG157" s="185">
        <v>146</v>
      </c>
      <c r="AH157" s="109">
        <f>IF(SUM(AG157:AG159)+AG175=0,0,IF(SUM(AG157:AG159)=AG175,0.5,IF(SUM(AG157:AG159)&gt;AG175,1,0)))</f>
        <v>0</v>
      </c>
      <c r="AI157" s="185">
        <v>150</v>
      </c>
      <c r="AJ157" s="109">
        <f>IF(SUM(AI157:AI159)+AI175=0,0,IF(SUM(AI157:AI159)=AI175,0.5,IF(SUM(AI157:AI159)&gt;AI175,1,0)))</f>
        <v>0</v>
      </c>
      <c r="AK157" s="185"/>
      <c r="AL157" s="109">
        <f>IF(SUM(AK157:AK159)+AK175=0,0,IF(SUM(AK157:AK159)=AK175,0.5,IF(SUM(AK157:AK159)&gt;AK175,1,0)))</f>
        <v>1</v>
      </c>
      <c r="AM157" s="185"/>
      <c r="AN157" s="109">
        <f>IF(SUM(AM157:AM159)+AM175=0,0,IF(SUM(AM157:AM159)=AM175,0.5,IF(SUM(AM157:AM159)&gt;AM175,1,0)))</f>
        <v>0</v>
      </c>
      <c r="AO157" s="185"/>
      <c r="AP157" s="109">
        <f>IF(SUM(AO157:AO159)+AO175=0,0,IF(SUM(AO157:AO159)=AO175,0.5,IF(SUM(AO157:AO159)&gt;AO175,1,0)))</f>
        <v>0</v>
      </c>
      <c r="AQ157" s="185">
        <v>172</v>
      </c>
      <c r="AR157" s="109">
        <f>IF(SUM(AQ157:AQ159)+AQ175=0,0,IF(SUM(AQ157:AQ159)=AQ175,0.5,IF(SUM(AQ157:AQ159)&gt;AQ175,1,0)))</f>
        <v>0</v>
      </c>
      <c r="AS157" s="185">
        <v>146</v>
      </c>
      <c r="AT157" s="109">
        <f>IF(SUM(AS157:AS159)+AS175=0,0,IF(SUM(AS157:AS159)=AS175,0.5,IF(SUM(AS157:AS159)&gt;AS175,1,0)))</f>
        <v>0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933</v>
      </c>
      <c r="AV157" s="111">
        <f>SUM(AD157+AF157+AH157+AJ157+AL157+AN157+AP157+AR157+AT157)</f>
        <v>1</v>
      </c>
      <c r="AW157" s="101"/>
      <c r="AX157" s="102"/>
      <c r="AZ157" s="63"/>
      <c r="BA157" s="212"/>
      <c r="BB157" s="213"/>
      <c r="BC157" s="214"/>
      <c r="BD157" s="217">
        <f>+AB157</f>
        <v>7787</v>
      </c>
      <c r="BE157" s="213">
        <f>+AU157</f>
        <v>933</v>
      </c>
      <c r="BF157" s="215">
        <f>COUNT(BH157:BP157)</f>
        <v>6</v>
      </c>
      <c r="BG157" s="215">
        <f>COUNTIF(BH157:BP157,"&gt;0")</f>
        <v>6</v>
      </c>
      <c r="BH157" s="215">
        <f t="shared" ref="BH157:BH168" si="183">IF(AC157=0,"",AC157)</f>
        <v>176</v>
      </c>
      <c r="BI157" s="215">
        <f t="shared" ref="BI157:BI168" si="184">IF(AE157=0,"",AE157)</f>
        <v>143</v>
      </c>
      <c r="BJ157" s="215">
        <f t="shared" ref="BJ157:BJ168" si="185">IF(AG157=0,"",AG157)</f>
        <v>146</v>
      </c>
      <c r="BK157" s="215">
        <f t="shared" ref="BK157:BK168" si="186">IF(AI157=0,"",AI157)</f>
        <v>150</v>
      </c>
      <c r="BL157" s="215" t="str">
        <f t="shared" ref="BL157:BL168" si="187">IF(AK157=0,"",AK157)</f>
        <v/>
      </c>
      <c r="BM157" s="215" t="str">
        <f t="shared" ref="BM157:BM168" si="188">IF(AM157=0,"",AM157)</f>
        <v/>
      </c>
      <c r="BN157" s="215" t="str">
        <f t="shared" ref="BN157:BN168" si="189">IF(AO157=0,"",AO157)</f>
        <v/>
      </c>
      <c r="BO157" s="215">
        <f t="shared" ref="BO157:BO168" si="190">IF(AQ157=0,"",AQ157)</f>
        <v>172</v>
      </c>
      <c r="BP157" s="215">
        <f t="shared" ref="BP157:BP168" si="191">IF(AS157=0,"",AS157)</f>
        <v>146</v>
      </c>
      <c r="BQ157" s="216"/>
      <c r="BR157" s="214"/>
      <c r="BS157" s="215">
        <f>MAX(BH157:BP157)</f>
        <v>176</v>
      </c>
      <c r="BT157" s="215">
        <f>IF(BS157&lt;MAX(BS:BS),0,BS157+ROW()/1000000000)</f>
        <v>0</v>
      </c>
      <c r="BU157" s="215" t="str">
        <f>+AA153</f>
        <v>Phönix 03 Lauf</v>
      </c>
      <c r="BV157" s="214">
        <f>RANK(BT157,BT:BT)</f>
        <v>2</v>
      </c>
      <c r="BW157" s="215">
        <f>SUMIF(BH157:BP157,"&gt;0")</f>
        <v>933</v>
      </c>
      <c r="BX157" s="215">
        <f>IF(COUNTIF(BH157:BP157,"&gt;0")&lt;Spielorte!$A$23,0,BE157/Spielorte!$A$23)</f>
        <v>0</v>
      </c>
      <c r="BY157" s="215">
        <f>IF(BX157&lt;MAX(BX:BX),0,BX157+ROW()/1000000000)</f>
        <v>0</v>
      </c>
      <c r="BZ157" s="214">
        <f t="shared" ref="BZ157:BZ168" si="192">IF(BY157=0,0,RANK(BY157,BY:BY))</f>
        <v>0</v>
      </c>
    </row>
    <row r="158" spans="1:78" ht="17.2" customHeight="1" x14ac:dyDescent="0.35">
      <c r="A158" s="368"/>
      <c r="B158" s="76" t="str">
        <f t="shared" ref="B158:D170" si="193">IF(AA158=0,"",AA158)</f>
        <v>Kulzer, Katharina</v>
      </c>
      <c r="C158" s="77">
        <f t="shared" si="193"/>
        <v>38210</v>
      </c>
      <c r="D158" s="78" t="str">
        <f t="shared" si="193"/>
        <v/>
      </c>
      <c r="E158" s="349"/>
      <c r="F158" s="78" t="str">
        <f t="shared" si="174"/>
        <v/>
      </c>
      <c r="G158" s="349"/>
      <c r="H158" s="78" t="str">
        <f t="shared" si="175"/>
        <v/>
      </c>
      <c r="I158" s="349"/>
      <c r="J158" s="78" t="str">
        <f t="shared" si="176"/>
        <v/>
      </c>
      <c r="K158" s="349"/>
      <c r="L158" s="78">
        <f t="shared" si="177"/>
        <v>144</v>
      </c>
      <c r="M158" s="349"/>
      <c r="N158" s="78">
        <f t="shared" ref="N158:N170" si="194">IF(AM158=0,"",AM158)</f>
        <v>162</v>
      </c>
      <c r="O158" s="349"/>
      <c r="P158" s="78">
        <f t="shared" si="178"/>
        <v>128</v>
      </c>
      <c r="Q158" s="349"/>
      <c r="R158" s="78" t="str">
        <f t="shared" si="179"/>
        <v/>
      </c>
      <c r="S158" s="349"/>
      <c r="T158" s="78" t="str">
        <f t="shared" si="180"/>
        <v/>
      </c>
      <c r="U158" s="349"/>
      <c r="V158" s="78">
        <f t="shared" si="181"/>
        <v>434</v>
      </c>
      <c r="W158" s="349"/>
      <c r="Z158" s="352"/>
      <c r="AA158" s="108" t="str">
        <f>IF(AB158=0,"",VLOOKUP(AB158,Starter!$A$1:$D$199,2,FALSE))</f>
        <v>Kulzer, Katharina</v>
      </c>
      <c r="AB158" s="98">
        <v>38210</v>
      </c>
      <c r="AC158" s="186"/>
      <c r="AD158" s="112"/>
      <c r="AE158" s="186"/>
      <c r="AF158" s="112"/>
      <c r="AG158" s="186"/>
      <c r="AH158" s="112"/>
      <c r="AI158" s="186"/>
      <c r="AJ158" s="112"/>
      <c r="AK158" s="186">
        <v>144</v>
      </c>
      <c r="AL158" s="112"/>
      <c r="AM158" s="186">
        <v>162</v>
      </c>
      <c r="AN158" s="112"/>
      <c r="AO158" s="186">
        <v>128</v>
      </c>
      <c r="AP158" s="112"/>
      <c r="AQ158" s="186"/>
      <c r="AR158" s="112"/>
      <c r="AS158" s="186"/>
      <c r="AT158" s="112"/>
      <c r="AU158" s="113">
        <f t="shared" si="182"/>
        <v>434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38210</v>
      </c>
      <c r="BE158" s="213">
        <f t="shared" ref="BE158:BE168" si="196">+AU158</f>
        <v>434</v>
      </c>
      <c r="BF158" s="215">
        <f t="shared" ref="BF158:BF168" si="197">COUNT(BH158:BP158)</f>
        <v>3</v>
      </c>
      <c r="BG158" s="215">
        <f t="shared" ref="BG158:BG168" si="198">COUNTIF(BH158:BP158,"&gt;0")</f>
        <v>3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>
        <f t="shared" si="187"/>
        <v>144</v>
      </c>
      <c r="BM158" s="215">
        <f t="shared" si="188"/>
        <v>162</v>
      </c>
      <c r="BN158" s="215">
        <f t="shared" si="189"/>
        <v>128</v>
      </c>
      <c r="BO158" s="215" t="str">
        <f t="shared" si="190"/>
        <v/>
      </c>
      <c r="BP158" s="215" t="str">
        <f t="shared" si="191"/>
        <v/>
      </c>
      <c r="BQ158" s="216"/>
      <c r="BR158" s="214"/>
      <c r="BS158" s="215">
        <f t="shared" ref="BS158:BS168" si="199">MAX(BH158:BP158)</f>
        <v>162</v>
      </c>
      <c r="BT158" s="215">
        <f t="shared" ref="BT158:BT168" si="200">IF(BS158&lt;MAX(BS:BS),0,BS158+ROW()/1000000000)</f>
        <v>0</v>
      </c>
      <c r="BU158" s="215" t="str">
        <f t="shared" ref="BU158:BU168" si="201">+BU157</f>
        <v>Phönix 03 Lauf</v>
      </c>
      <c r="BV158" s="214">
        <f t="shared" ref="BV158:BV168" si="202">RANK(BT158,BT:BT)</f>
        <v>2</v>
      </c>
      <c r="BW158" s="215">
        <f t="shared" ref="BW158:BW168" si="203">SUMIF(BH158:BP158,"&gt;0")</f>
        <v>434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0</v>
      </c>
      <c r="BZ158" s="214">
        <f t="shared" si="192"/>
        <v>0</v>
      </c>
    </row>
    <row r="159" spans="1:78" ht="17.2" customHeight="1" thickBot="1" x14ac:dyDescent="0.4">
      <c r="A159" s="369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50"/>
      <c r="F159" s="69" t="str">
        <f t="shared" si="174"/>
        <v/>
      </c>
      <c r="G159" s="350"/>
      <c r="H159" s="69" t="str">
        <f t="shared" si="175"/>
        <v/>
      </c>
      <c r="I159" s="350"/>
      <c r="J159" s="69" t="str">
        <f t="shared" si="176"/>
        <v/>
      </c>
      <c r="K159" s="350"/>
      <c r="L159" s="69" t="str">
        <f t="shared" si="177"/>
        <v/>
      </c>
      <c r="M159" s="350"/>
      <c r="N159" s="69" t="str">
        <f t="shared" si="194"/>
        <v/>
      </c>
      <c r="O159" s="350"/>
      <c r="P159" s="69" t="str">
        <f t="shared" si="178"/>
        <v/>
      </c>
      <c r="Q159" s="350"/>
      <c r="R159" s="69" t="str">
        <f t="shared" si="179"/>
        <v/>
      </c>
      <c r="S159" s="350"/>
      <c r="T159" s="69" t="str">
        <f t="shared" si="180"/>
        <v/>
      </c>
      <c r="U159" s="350"/>
      <c r="V159" s="69" t="str">
        <f t="shared" si="181"/>
        <v/>
      </c>
      <c r="W159" s="350"/>
      <c r="Z159" s="353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0</v>
      </c>
      <c r="BU159" s="215" t="str">
        <f t="shared" si="201"/>
        <v>Phönix 03 Lauf</v>
      </c>
      <c r="BV159" s="214">
        <f t="shared" si="202"/>
        <v>2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0</v>
      </c>
      <c r="BZ159" s="214">
        <f t="shared" si="192"/>
        <v>0</v>
      </c>
    </row>
    <row r="160" spans="1:78" ht="17.2" customHeight="1" x14ac:dyDescent="0.35">
      <c r="A160" s="367" t="s">
        <v>2</v>
      </c>
      <c r="B160" s="73" t="str">
        <f t="shared" si="193"/>
        <v>Kulzer, Katharina</v>
      </c>
      <c r="C160" s="74">
        <f t="shared" si="193"/>
        <v>38210</v>
      </c>
      <c r="D160" s="75">
        <f t="shared" si="193"/>
        <v>128</v>
      </c>
      <c r="E160" s="348">
        <f>IF(AD160="","",AD160)</f>
        <v>0</v>
      </c>
      <c r="F160" s="75">
        <f t="shared" si="174"/>
        <v>163</v>
      </c>
      <c r="G160" s="348">
        <f>IF(AF160="","",AF160)</f>
        <v>1</v>
      </c>
      <c r="H160" s="75" t="str">
        <f t="shared" si="175"/>
        <v/>
      </c>
      <c r="I160" s="348">
        <f>IF(AH160="","",AH160)</f>
        <v>0</v>
      </c>
      <c r="J160" s="75" t="str">
        <f t="shared" si="176"/>
        <v/>
      </c>
      <c r="K160" s="348">
        <f>IF(AJ160="","",AJ160)</f>
        <v>0</v>
      </c>
      <c r="L160" s="75" t="str">
        <f t="shared" si="177"/>
        <v/>
      </c>
      <c r="M160" s="348">
        <f>IF(AL160="","",AL160)</f>
        <v>1</v>
      </c>
      <c r="N160" s="75" t="str">
        <f t="shared" si="194"/>
        <v/>
      </c>
      <c r="O160" s="348">
        <f>IF(AN160="","",AN160)</f>
        <v>1</v>
      </c>
      <c r="P160" s="75" t="str">
        <f t="shared" si="178"/>
        <v/>
      </c>
      <c r="Q160" s="348">
        <f>IF(AP160="","",AP160)</f>
        <v>0</v>
      </c>
      <c r="R160" s="75" t="str">
        <f t="shared" si="179"/>
        <v/>
      </c>
      <c r="S160" s="348">
        <f>IF(AR160="","",AR160)</f>
        <v>1</v>
      </c>
      <c r="T160" s="75" t="str">
        <f t="shared" si="180"/>
        <v/>
      </c>
      <c r="U160" s="348">
        <f>IF(AT160="","",AT160)</f>
        <v>1</v>
      </c>
      <c r="V160" s="75">
        <f t="shared" si="181"/>
        <v>291</v>
      </c>
      <c r="W160" s="348">
        <f>IF(AV160="","",AV160)</f>
        <v>5</v>
      </c>
      <c r="Z160" s="351" t="s">
        <v>2</v>
      </c>
      <c r="AA160" s="108" t="str">
        <f>IF(AB160=0,"",VLOOKUP(AB160,Starter!$A$1:$D$199,2,FALSE))</f>
        <v>Kulzer, Katharina</v>
      </c>
      <c r="AB160" s="99">
        <v>38210</v>
      </c>
      <c r="AC160" s="188">
        <v>128</v>
      </c>
      <c r="AD160" s="109">
        <f>IF(SUM(AC160:AC162)+AC176=0,0,IF(SUM(AC160:AC162)=AC176,0.5,IF(SUM(AC160:AC162)&gt;AC176,1,0)))</f>
        <v>0</v>
      </c>
      <c r="AE160" s="188">
        <v>163</v>
      </c>
      <c r="AF160" s="109">
        <f>IF(SUM(AE160:AE162)+AE176=0,0,IF(SUM(AE160:AE162)=AE176,0.5,IF(SUM(AE160:AE162)&gt;AE176,1,0)))</f>
        <v>1</v>
      </c>
      <c r="AG160" s="188"/>
      <c r="AH160" s="109">
        <f>IF(SUM(AG160:AG162)+AG176=0,0,IF(SUM(AG160:AG162)=AG176,0.5,IF(SUM(AG160:AG162)&gt;AG176,1,0)))</f>
        <v>0</v>
      </c>
      <c r="AI160" s="188"/>
      <c r="AJ160" s="109">
        <f>IF(SUM(AI160:AI162)+AI176=0,0,IF(SUM(AI160:AI162)=AI176,0.5,IF(SUM(AI160:AI162)&gt;AI176,1,0)))</f>
        <v>0</v>
      </c>
      <c r="AK160" s="188"/>
      <c r="AL160" s="109">
        <f>IF(SUM(AK160:AK162)+AK176=0,0,IF(SUM(AK160:AK162)=AK176,0.5,IF(SUM(AK160:AK162)&gt;AK176,1,0)))</f>
        <v>1</v>
      </c>
      <c r="AM160" s="188"/>
      <c r="AN160" s="109">
        <f>IF(SUM(AM160:AM162)+AM176=0,0,IF(SUM(AM160:AM162)=AM176,0.5,IF(SUM(AM160:AM162)&gt;AM176,1,0)))</f>
        <v>1</v>
      </c>
      <c r="AO160" s="188"/>
      <c r="AP160" s="109">
        <f>IF(SUM(AO160:AO162)+AO176=0,0,IF(SUM(AO160:AO162)=AO176,0.5,IF(SUM(AO160:AO162)&gt;AO176,1,0)))</f>
        <v>0</v>
      </c>
      <c r="AQ160" s="188"/>
      <c r="AR160" s="109">
        <f>IF(SUM(AQ160:AQ162)+AQ176=0,0,IF(SUM(AQ160:AQ162)=AQ176,0.5,IF(SUM(AQ160:AQ162)&gt;AQ176,1,0)))</f>
        <v>1</v>
      </c>
      <c r="AS160" s="188"/>
      <c r="AT160" s="109">
        <f>IF(SUM(AS160:AS162)+AS176=0,0,IF(SUM(AS160:AS162)=AS176,0.5,IF(SUM(AS160:AS162)&gt;AS176,1,0)))</f>
        <v>1</v>
      </c>
      <c r="AU160" s="110">
        <f t="shared" si="182"/>
        <v>291</v>
      </c>
      <c r="AV160" s="111">
        <f>SUM(AD160+AF160+AH160+AJ160+AL160+AN160+AP160+AR160+AT160)</f>
        <v>5</v>
      </c>
      <c r="AW160" s="101"/>
      <c r="AX160" s="102"/>
      <c r="AZ160" s="63"/>
      <c r="BA160" s="212"/>
      <c r="BB160" s="213"/>
      <c r="BC160" s="214"/>
      <c r="BD160" s="217">
        <f t="shared" si="195"/>
        <v>38210</v>
      </c>
      <c r="BE160" s="213">
        <f t="shared" si="196"/>
        <v>291</v>
      </c>
      <c r="BF160" s="215">
        <f t="shared" si="197"/>
        <v>2</v>
      </c>
      <c r="BG160" s="215">
        <f t="shared" si="198"/>
        <v>2</v>
      </c>
      <c r="BH160" s="215">
        <f t="shared" si="183"/>
        <v>128</v>
      </c>
      <c r="BI160" s="215">
        <f t="shared" si="184"/>
        <v>163</v>
      </c>
      <c r="BJ160" s="215" t="str">
        <f t="shared" si="185"/>
        <v/>
      </c>
      <c r="BK160" s="215" t="str">
        <f t="shared" si="186"/>
        <v/>
      </c>
      <c r="BL160" s="215" t="str">
        <f t="shared" si="187"/>
        <v/>
      </c>
      <c r="BM160" s="215" t="str">
        <f t="shared" si="188"/>
        <v/>
      </c>
      <c r="BN160" s="215" t="str">
        <f t="shared" si="189"/>
        <v/>
      </c>
      <c r="BO160" s="215" t="str">
        <f t="shared" si="190"/>
        <v/>
      </c>
      <c r="BP160" s="215" t="str">
        <f t="shared" si="191"/>
        <v/>
      </c>
      <c r="BQ160" s="216"/>
      <c r="BR160" s="214"/>
      <c r="BS160" s="215">
        <f t="shared" si="199"/>
        <v>163</v>
      </c>
      <c r="BT160" s="215">
        <f t="shared" si="200"/>
        <v>0</v>
      </c>
      <c r="BU160" s="215" t="str">
        <f t="shared" si="201"/>
        <v>Phönix 03 Lauf</v>
      </c>
      <c r="BV160" s="214">
        <f t="shared" si="202"/>
        <v>2</v>
      </c>
      <c r="BW160" s="215">
        <f t="shared" si="203"/>
        <v>291</v>
      </c>
      <c r="BX160" s="215">
        <f>IF(COUNTIF(BH160:BP160,"&gt;0")&lt;Spielorte!$A$23,0,BE160/Spielorte!$A$23)</f>
        <v>0</v>
      </c>
      <c r="BY160" s="215">
        <f t="shared" si="204"/>
        <v>0</v>
      </c>
      <c r="BZ160" s="214">
        <f t="shared" si="192"/>
        <v>0</v>
      </c>
    </row>
    <row r="161" spans="1:78" ht="17.2" customHeight="1" x14ac:dyDescent="0.35">
      <c r="A161" s="368"/>
      <c r="B161" s="76" t="str">
        <f t="shared" si="193"/>
        <v>Schulz-Burkert, Roswitha</v>
      </c>
      <c r="C161" s="77">
        <f t="shared" si="193"/>
        <v>25347</v>
      </c>
      <c r="D161" s="78" t="str">
        <f t="shared" si="193"/>
        <v/>
      </c>
      <c r="E161" s="349"/>
      <c r="F161" s="78" t="str">
        <f t="shared" si="174"/>
        <v/>
      </c>
      <c r="G161" s="349"/>
      <c r="H161" s="78">
        <f t="shared" si="175"/>
        <v>158</v>
      </c>
      <c r="I161" s="349"/>
      <c r="J161" s="78">
        <f t="shared" si="176"/>
        <v>160</v>
      </c>
      <c r="K161" s="349"/>
      <c r="L161" s="78">
        <f t="shared" si="177"/>
        <v>135</v>
      </c>
      <c r="M161" s="349"/>
      <c r="N161" s="78">
        <f t="shared" si="194"/>
        <v>151</v>
      </c>
      <c r="O161" s="349"/>
      <c r="P161" s="78">
        <f t="shared" si="178"/>
        <v>160</v>
      </c>
      <c r="Q161" s="349"/>
      <c r="R161" s="78">
        <f t="shared" si="179"/>
        <v>181</v>
      </c>
      <c r="S161" s="349"/>
      <c r="T161" s="78">
        <f t="shared" si="180"/>
        <v>180</v>
      </c>
      <c r="U161" s="349"/>
      <c r="V161" s="78">
        <f t="shared" si="181"/>
        <v>1125</v>
      </c>
      <c r="W161" s="349"/>
      <c r="Z161" s="352"/>
      <c r="AA161" s="108" t="str">
        <f>IF(AB161=0,"",VLOOKUP(AB161,Starter!$A$1:$D$199,2,FALSE))</f>
        <v>Schulz-Burkert, Roswitha</v>
      </c>
      <c r="AB161" s="98">
        <v>25347</v>
      </c>
      <c r="AC161" s="186"/>
      <c r="AD161" s="112"/>
      <c r="AE161" s="186"/>
      <c r="AF161" s="112"/>
      <c r="AG161" s="186">
        <v>158</v>
      </c>
      <c r="AH161" s="112"/>
      <c r="AI161" s="186">
        <v>160</v>
      </c>
      <c r="AJ161" s="112"/>
      <c r="AK161" s="186">
        <v>135</v>
      </c>
      <c r="AL161" s="112"/>
      <c r="AM161" s="186">
        <v>151</v>
      </c>
      <c r="AN161" s="112"/>
      <c r="AO161" s="190">
        <v>160</v>
      </c>
      <c r="AP161" s="112"/>
      <c r="AQ161" s="190">
        <v>181</v>
      </c>
      <c r="AR161" s="112"/>
      <c r="AS161" s="190">
        <v>180</v>
      </c>
      <c r="AT161" s="112"/>
      <c r="AU161" s="113">
        <f t="shared" si="182"/>
        <v>1125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25347</v>
      </c>
      <c r="BE161" s="213">
        <f t="shared" si="196"/>
        <v>1125</v>
      </c>
      <c r="BF161" s="215">
        <f t="shared" si="197"/>
        <v>7</v>
      </c>
      <c r="BG161" s="215">
        <f t="shared" si="198"/>
        <v>7</v>
      </c>
      <c r="BH161" s="215" t="str">
        <f t="shared" si="183"/>
        <v/>
      </c>
      <c r="BI161" s="215" t="str">
        <f t="shared" si="184"/>
        <v/>
      </c>
      <c r="BJ161" s="215">
        <f t="shared" si="185"/>
        <v>158</v>
      </c>
      <c r="BK161" s="215">
        <f t="shared" si="186"/>
        <v>160</v>
      </c>
      <c r="BL161" s="215">
        <f t="shared" si="187"/>
        <v>135</v>
      </c>
      <c r="BM161" s="215">
        <f t="shared" si="188"/>
        <v>151</v>
      </c>
      <c r="BN161" s="215">
        <f t="shared" si="189"/>
        <v>160</v>
      </c>
      <c r="BO161" s="215">
        <f t="shared" si="190"/>
        <v>181</v>
      </c>
      <c r="BP161" s="215">
        <f t="shared" si="191"/>
        <v>180</v>
      </c>
      <c r="BQ161" s="216"/>
      <c r="BR161" s="214"/>
      <c r="BS161" s="215">
        <f t="shared" si="199"/>
        <v>181</v>
      </c>
      <c r="BT161" s="215">
        <f t="shared" si="200"/>
        <v>0</v>
      </c>
      <c r="BU161" s="215" t="str">
        <f t="shared" si="201"/>
        <v>Phönix 03 Lauf</v>
      </c>
      <c r="BV161" s="214">
        <f t="shared" si="202"/>
        <v>2</v>
      </c>
      <c r="BW161" s="215">
        <f t="shared" si="203"/>
        <v>1125</v>
      </c>
      <c r="BX161" s="215">
        <f>IF(COUNTIF(BH161:BP161,"&gt;0")&lt;Spielorte!$A$23,0,BE161/Spielorte!$A$23)</f>
        <v>0</v>
      </c>
      <c r="BY161" s="215">
        <f t="shared" si="204"/>
        <v>0</v>
      </c>
      <c r="BZ161" s="214">
        <f t="shared" si="192"/>
        <v>0</v>
      </c>
    </row>
    <row r="162" spans="1:78" ht="17.2" customHeight="1" thickBot="1" x14ac:dyDescent="0.4">
      <c r="A162" s="369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50"/>
      <c r="F162" s="69" t="str">
        <f t="shared" si="174"/>
        <v/>
      </c>
      <c r="G162" s="350"/>
      <c r="H162" s="69" t="str">
        <f t="shared" si="175"/>
        <v/>
      </c>
      <c r="I162" s="350"/>
      <c r="J162" s="69" t="str">
        <f t="shared" si="176"/>
        <v/>
      </c>
      <c r="K162" s="350"/>
      <c r="L162" s="69" t="str">
        <f t="shared" si="177"/>
        <v/>
      </c>
      <c r="M162" s="350"/>
      <c r="N162" s="69" t="str">
        <f t="shared" si="194"/>
        <v/>
      </c>
      <c r="O162" s="350"/>
      <c r="P162" s="69" t="str">
        <f t="shared" si="178"/>
        <v/>
      </c>
      <c r="Q162" s="350"/>
      <c r="R162" s="69" t="str">
        <f t="shared" si="179"/>
        <v/>
      </c>
      <c r="S162" s="350"/>
      <c r="T162" s="69" t="str">
        <f t="shared" si="180"/>
        <v/>
      </c>
      <c r="U162" s="350"/>
      <c r="V162" s="69" t="str">
        <f t="shared" si="181"/>
        <v/>
      </c>
      <c r="W162" s="350"/>
      <c r="Z162" s="353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0</v>
      </c>
      <c r="BU162" s="215" t="str">
        <f t="shared" si="201"/>
        <v>Phönix 03 Lauf</v>
      </c>
      <c r="BV162" s="214">
        <f t="shared" si="202"/>
        <v>2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0</v>
      </c>
      <c r="BZ162" s="214">
        <f t="shared" si="192"/>
        <v>0</v>
      </c>
    </row>
    <row r="163" spans="1:78" ht="17.2" customHeight="1" x14ac:dyDescent="0.35">
      <c r="A163" s="367" t="s">
        <v>3</v>
      </c>
      <c r="B163" s="73" t="str">
        <f t="shared" si="193"/>
        <v>Reichel, Christina</v>
      </c>
      <c r="C163" s="74">
        <f t="shared" si="193"/>
        <v>7786</v>
      </c>
      <c r="D163" s="75">
        <f t="shared" si="193"/>
        <v>169</v>
      </c>
      <c r="E163" s="348">
        <f>IF(AD163="","",AD163)</f>
        <v>1</v>
      </c>
      <c r="F163" s="75">
        <f t="shared" si="174"/>
        <v>192</v>
      </c>
      <c r="G163" s="348">
        <f>IF(AF163="","",AF163)</f>
        <v>1</v>
      </c>
      <c r="H163" s="75">
        <f t="shared" si="175"/>
        <v>201</v>
      </c>
      <c r="I163" s="348">
        <f>IF(AH163="","",AH163)</f>
        <v>1</v>
      </c>
      <c r="J163" s="75">
        <f t="shared" si="176"/>
        <v>152</v>
      </c>
      <c r="K163" s="348">
        <f>IF(AJ163="","",AJ163)</f>
        <v>0</v>
      </c>
      <c r="L163" s="75">
        <f t="shared" si="177"/>
        <v>162</v>
      </c>
      <c r="M163" s="348">
        <f>IF(AL163="","",AL163)</f>
        <v>1</v>
      </c>
      <c r="N163" s="75">
        <f t="shared" si="194"/>
        <v>141</v>
      </c>
      <c r="O163" s="348">
        <f>IF(AN163="","",AN163)</f>
        <v>0</v>
      </c>
      <c r="P163" s="75">
        <f t="shared" si="178"/>
        <v>212</v>
      </c>
      <c r="Q163" s="348">
        <f>IF(AP163="","",AP163)</f>
        <v>1</v>
      </c>
      <c r="R163" s="75">
        <f t="shared" si="179"/>
        <v>201</v>
      </c>
      <c r="S163" s="348">
        <f>IF(AR163="","",AR163)</f>
        <v>1</v>
      </c>
      <c r="T163" s="75">
        <f t="shared" si="180"/>
        <v>183</v>
      </c>
      <c r="U163" s="348">
        <f>IF(AT163="","",AT163)</f>
        <v>0</v>
      </c>
      <c r="V163" s="75">
        <f t="shared" si="181"/>
        <v>1613</v>
      </c>
      <c r="W163" s="348">
        <f>IF(AV163="","",AV163)</f>
        <v>6</v>
      </c>
      <c r="Z163" s="351" t="s">
        <v>3</v>
      </c>
      <c r="AA163" s="108" t="str">
        <f>IF(AB163=0,"",VLOOKUP(AB163,Starter!$A$1:$D$199,2,FALSE))</f>
        <v>Reichel, Christina</v>
      </c>
      <c r="AB163" s="99">
        <v>7786</v>
      </c>
      <c r="AC163" s="188">
        <v>169</v>
      </c>
      <c r="AD163" s="109">
        <f>IF(SUM(AC163:AC165)+AC177=0,0,IF(SUM(AC163:AC165)=AC177,0.5,IF(SUM(AC163:AC165)&gt;AC177,1,0)))</f>
        <v>1</v>
      </c>
      <c r="AE163" s="188">
        <v>192</v>
      </c>
      <c r="AF163" s="109">
        <f>IF(SUM(AE163:AE165)+AE177=0,0,IF(SUM(AE163:AE165)=AE177,0.5,IF(SUM(AE163:AE165)&gt;AE177,1,0)))</f>
        <v>1</v>
      </c>
      <c r="AG163" s="188">
        <v>201</v>
      </c>
      <c r="AH163" s="109">
        <f>IF(SUM(AG163:AG165)+AG177=0,0,IF(SUM(AG163:AG165)=AG177,0.5,IF(SUM(AG163:AG165)&gt;AG177,1,0)))</f>
        <v>1</v>
      </c>
      <c r="AI163" s="188">
        <v>152</v>
      </c>
      <c r="AJ163" s="109">
        <f>IF(SUM(AI163:AI165)+AI177=0,0,IF(SUM(AI163:AI165)=AI177,0.5,IF(SUM(AI163:AI165)&gt;AI177,1,0)))</f>
        <v>0</v>
      </c>
      <c r="AK163" s="188">
        <v>162</v>
      </c>
      <c r="AL163" s="109">
        <f>IF(SUM(AK163:AK165)+AK177=0,0,IF(SUM(AK163:AK165)=AK177,0.5,IF(SUM(AK163:AK165)&gt;AK177,1,0)))</f>
        <v>1</v>
      </c>
      <c r="AM163" s="188">
        <v>141</v>
      </c>
      <c r="AN163" s="109">
        <f>IF(SUM(AM163:AM165)+AM177=0,0,IF(SUM(AM163:AM165)=AM177,0.5,IF(SUM(AM163:AM165)&gt;AM177,1,0)))</f>
        <v>0</v>
      </c>
      <c r="AO163" s="188">
        <v>212</v>
      </c>
      <c r="AP163" s="109">
        <f>IF(SUM(AO163:AO165)+AO177=0,0,IF(SUM(AO163:AO165)=AO177,0.5,IF(SUM(AO163:AO165)&gt;AO177,1,0)))</f>
        <v>1</v>
      </c>
      <c r="AQ163" s="188">
        <v>201</v>
      </c>
      <c r="AR163" s="109">
        <f>IF(SUM(AQ163:AQ165)+AQ177=0,0,IF(SUM(AQ163:AQ165)=AQ177,0.5,IF(SUM(AQ163:AQ165)&gt;AQ177,1,0)))</f>
        <v>1</v>
      </c>
      <c r="AS163" s="188">
        <v>183</v>
      </c>
      <c r="AT163" s="109">
        <f>IF(SUM(AS163:AS165)+AS177=0,0,IF(SUM(AS163:AS165)=AS177,0.5,IF(SUM(AS163:AS165)&gt;AS177,1,0)))</f>
        <v>0</v>
      </c>
      <c r="AU163" s="110">
        <f t="shared" si="182"/>
        <v>1613</v>
      </c>
      <c r="AV163" s="111">
        <f>SUM(AD163+AF163+AH163+AJ163+AL163+AN163+AP163+AR163+AT163)</f>
        <v>6</v>
      </c>
      <c r="AW163" s="101"/>
      <c r="AX163" s="102"/>
      <c r="AZ163" s="63"/>
      <c r="BA163" s="212"/>
      <c r="BB163" s="213"/>
      <c r="BC163" s="214"/>
      <c r="BD163" s="217">
        <f t="shared" si="195"/>
        <v>7786</v>
      </c>
      <c r="BE163" s="213">
        <f t="shared" si="196"/>
        <v>1613</v>
      </c>
      <c r="BF163" s="215">
        <f t="shared" si="197"/>
        <v>9</v>
      </c>
      <c r="BG163" s="215">
        <f t="shared" si="198"/>
        <v>9</v>
      </c>
      <c r="BH163" s="215">
        <f t="shared" si="183"/>
        <v>169</v>
      </c>
      <c r="BI163" s="215">
        <f t="shared" si="184"/>
        <v>192</v>
      </c>
      <c r="BJ163" s="215">
        <f t="shared" si="185"/>
        <v>201</v>
      </c>
      <c r="BK163" s="215">
        <f t="shared" si="186"/>
        <v>152</v>
      </c>
      <c r="BL163" s="215">
        <f t="shared" si="187"/>
        <v>162</v>
      </c>
      <c r="BM163" s="215">
        <f t="shared" si="188"/>
        <v>141</v>
      </c>
      <c r="BN163" s="215">
        <f t="shared" si="189"/>
        <v>212</v>
      </c>
      <c r="BO163" s="215">
        <f t="shared" si="190"/>
        <v>201</v>
      </c>
      <c r="BP163" s="215">
        <f t="shared" si="191"/>
        <v>183</v>
      </c>
      <c r="BQ163" s="216"/>
      <c r="BR163" s="214"/>
      <c r="BS163" s="215">
        <f t="shared" si="199"/>
        <v>212</v>
      </c>
      <c r="BT163" s="215">
        <f t="shared" si="200"/>
        <v>0</v>
      </c>
      <c r="BU163" s="215" t="str">
        <f t="shared" si="201"/>
        <v>Phönix 03 Lauf</v>
      </c>
      <c r="BV163" s="214">
        <f t="shared" si="202"/>
        <v>2</v>
      </c>
      <c r="BW163" s="215">
        <f t="shared" si="203"/>
        <v>1613</v>
      </c>
      <c r="BX163" s="215">
        <f>IF(COUNTIF(BH163:BP163,"&gt;0")&lt;Spielorte!$A$23,0,BE163/Spielorte!$A$23)</f>
        <v>179.22222222222223</v>
      </c>
      <c r="BY163" s="215">
        <f t="shared" si="204"/>
        <v>0</v>
      </c>
      <c r="BZ163" s="214">
        <f t="shared" si="192"/>
        <v>0</v>
      </c>
    </row>
    <row r="164" spans="1:78" ht="17.2" customHeight="1" x14ac:dyDescent="0.35">
      <c r="A164" s="368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49"/>
      <c r="F164" s="78" t="str">
        <f t="shared" si="174"/>
        <v/>
      </c>
      <c r="G164" s="349"/>
      <c r="H164" s="78" t="str">
        <f t="shared" si="175"/>
        <v/>
      </c>
      <c r="I164" s="349"/>
      <c r="J164" s="78" t="str">
        <f t="shared" si="176"/>
        <v/>
      </c>
      <c r="K164" s="349"/>
      <c r="L164" s="78" t="str">
        <f t="shared" si="177"/>
        <v/>
      </c>
      <c r="M164" s="349"/>
      <c r="N164" s="78" t="str">
        <f t="shared" si="194"/>
        <v/>
      </c>
      <c r="O164" s="349"/>
      <c r="P164" s="78" t="str">
        <f t="shared" si="178"/>
        <v/>
      </c>
      <c r="Q164" s="349"/>
      <c r="R164" s="78" t="str">
        <f t="shared" si="179"/>
        <v/>
      </c>
      <c r="S164" s="349"/>
      <c r="T164" s="78" t="str">
        <f t="shared" si="180"/>
        <v/>
      </c>
      <c r="U164" s="349"/>
      <c r="V164" s="78" t="str">
        <f t="shared" si="181"/>
        <v/>
      </c>
      <c r="W164" s="349"/>
      <c r="Z164" s="352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0</v>
      </c>
      <c r="BU164" s="215" t="str">
        <f t="shared" si="201"/>
        <v>Phönix 03 Lauf</v>
      </c>
      <c r="BV164" s="214">
        <f t="shared" si="202"/>
        <v>2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0</v>
      </c>
      <c r="BZ164" s="214">
        <f t="shared" si="192"/>
        <v>0</v>
      </c>
    </row>
    <row r="165" spans="1:78" ht="17.2" customHeight="1" thickBot="1" x14ac:dyDescent="0.4">
      <c r="A165" s="369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50"/>
      <c r="F165" s="69" t="str">
        <f t="shared" si="174"/>
        <v/>
      </c>
      <c r="G165" s="350"/>
      <c r="H165" s="69" t="str">
        <f t="shared" si="175"/>
        <v/>
      </c>
      <c r="I165" s="350"/>
      <c r="J165" s="69" t="str">
        <f t="shared" si="176"/>
        <v/>
      </c>
      <c r="K165" s="350"/>
      <c r="L165" s="69" t="str">
        <f t="shared" si="177"/>
        <v/>
      </c>
      <c r="M165" s="350"/>
      <c r="N165" s="69" t="str">
        <f t="shared" si="194"/>
        <v/>
      </c>
      <c r="O165" s="350"/>
      <c r="P165" s="69" t="str">
        <f t="shared" si="178"/>
        <v/>
      </c>
      <c r="Q165" s="350"/>
      <c r="R165" s="69" t="str">
        <f t="shared" si="179"/>
        <v/>
      </c>
      <c r="S165" s="350"/>
      <c r="T165" s="69" t="str">
        <f t="shared" si="180"/>
        <v/>
      </c>
      <c r="U165" s="350"/>
      <c r="V165" s="69" t="str">
        <f t="shared" si="181"/>
        <v/>
      </c>
      <c r="W165" s="350"/>
      <c r="Z165" s="353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0</v>
      </c>
      <c r="BU165" s="215" t="str">
        <f t="shared" si="201"/>
        <v>Phönix 03 Lauf</v>
      </c>
      <c r="BV165" s="214">
        <f t="shared" si="202"/>
        <v>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0</v>
      </c>
      <c r="BZ165" s="214">
        <f t="shared" si="192"/>
        <v>0</v>
      </c>
    </row>
    <row r="166" spans="1:78" ht="17.2" customHeight="1" x14ac:dyDescent="0.35">
      <c r="A166" s="367" t="s">
        <v>11</v>
      </c>
      <c r="B166" s="73" t="str">
        <f>IF(AA166=0,"",AA166)</f>
        <v>Schuster, Katharina</v>
      </c>
      <c r="C166" s="74">
        <f t="shared" si="193"/>
        <v>7801</v>
      </c>
      <c r="D166" s="75">
        <f t="shared" si="193"/>
        <v>205</v>
      </c>
      <c r="E166" s="348">
        <f>IF(AD166="","",AD166)</f>
        <v>1</v>
      </c>
      <c r="F166" s="75">
        <f t="shared" si="174"/>
        <v>180</v>
      </c>
      <c r="G166" s="348">
        <f>IF(AF166="","",AF166)</f>
        <v>1</v>
      </c>
      <c r="H166" s="75">
        <f t="shared" si="175"/>
        <v>173</v>
      </c>
      <c r="I166" s="348">
        <f>IF(AH166="","",AH166)</f>
        <v>0</v>
      </c>
      <c r="J166" s="75">
        <f t="shared" si="176"/>
        <v>186</v>
      </c>
      <c r="K166" s="348">
        <f>IF(AJ166="","",AJ166)</f>
        <v>0</v>
      </c>
      <c r="L166" s="75">
        <f t="shared" si="177"/>
        <v>171</v>
      </c>
      <c r="M166" s="348">
        <f>IF(AL166="","",AL166)</f>
        <v>1</v>
      </c>
      <c r="N166" s="75">
        <f t="shared" si="194"/>
        <v>194</v>
      </c>
      <c r="O166" s="348">
        <f>IF(AN166="","",AN166)</f>
        <v>1</v>
      </c>
      <c r="P166" s="75">
        <f t="shared" si="178"/>
        <v>184</v>
      </c>
      <c r="Q166" s="348">
        <f>IF(AP166="","",AP166)</f>
        <v>1</v>
      </c>
      <c r="R166" s="75">
        <f t="shared" si="179"/>
        <v>204</v>
      </c>
      <c r="S166" s="348">
        <f>IF(AR166="","",AR166)</f>
        <v>1</v>
      </c>
      <c r="T166" s="75">
        <f t="shared" si="180"/>
        <v>213</v>
      </c>
      <c r="U166" s="348">
        <f>IF(AT166="","",AT166)</f>
        <v>0.5</v>
      </c>
      <c r="V166" s="75">
        <f t="shared" si="181"/>
        <v>1710</v>
      </c>
      <c r="W166" s="348">
        <f>IF(AV166="","",AV166)</f>
        <v>6.5</v>
      </c>
      <c r="Z166" s="351" t="s">
        <v>11</v>
      </c>
      <c r="AA166" s="108" t="str">
        <f>IF(AB166=0,"",VLOOKUP(AB166,Starter!$A$1:$D$199,2,FALSE))</f>
        <v>Schuster, Katharina</v>
      </c>
      <c r="AB166" s="99">
        <v>7801</v>
      </c>
      <c r="AC166" s="188">
        <v>205</v>
      </c>
      <c r="AD166" s="109">
        <f>IF(SUM(AC166:AC168)+AC178=0,0,IF(SUM(AC166:AC168)=AC178,0.5,IF(SUM(AC166:AC168)&gt;AC178,1,0)))</f>
        <v>1</v>
      </c>
      <c r="AE166" s="188">
        <v>180</v>
      </c>
      <c r="AF166" s="109">
        <f>IF(SUM(AE166:AE168)+AE178=0,0,IF(SUM(AE166:AE168)=AE178,0.5,IF(SUM(AE166:AE168)&gt;AE178,1,0)))</f>
        <v>1</v>
      </c>
      <c r="AG166" s="188">
        <v>173</v>
      </c>
      <c r="AH166" s="109">
        <f>IF(SUM(AG166:AG168)+AG178=0,0,IF(SUM(AG166:AG168)=AG178,0.5,IF(SUM(AG166:AG168)&gt;AG178,1,0)))</f>
        <v>0</v>
      </c>
      <c r="AI166" s="188">
        <v>186</v>
      </c>
      <c r="AJ166" s="109">
        <f>IF(SUM(AI166:AI168)+AI178=0,0,IF(SUM(AI166:AI168)=AI178,0.5,IF(SUM(AI166:AI168)&gt;AI178,1,0)))</f>
        <v>0</v>
      </c>
      <c r="AK166" s="188">
        <v>171</v>
      </c>
      <c r="AL166" s="109">
        <f>IF(SUM(AK166:AK168)+AK178=0,0,IF(SUM(AK166:AK168)=AK178,0.5,IF(SUM(AK166:AK168)&gt;AK178,1,0)))</f>
        <v>1</v>
      </c>
      <c r="AM166" s="188">
        <v>194</v>
      </c>
      <c r="AN166" s="109">
        <f>IF(SUM(AM166:AM168)+AM178=0,0,IF(SUM(AM166:AM168)=AM178,0.5,IF(SUM(AM166:AM168)&gt;AM178,1,0)))</f>
        <v>1</v>
      </c>
      <c r="AO166" s="188">
        <v>184</v>
      </c>
      <c r="AP166" s="109">
        <f>IF(SUM(AO166:AO168)+AO178=0,0,IF(SUM(AO166:AO168)=AO178,0.5,IF(SUM(AO166:AO168)&gt;AO178,1,0)))</f>
        <v>1</v>
      </c>
      <c r="AQ166" s="188">
        <v>204</v>
      </c>
      <c r="AR166" s="109">
        <f>IF(SUM(AQ166:AQ168)+AQ178=0,0,IF(SUM(AQ166:AQ168)=AQ178,0.5,IF(SUM(AQ166:AQ168)&gt;AQ178,1,0)))</f>
        <v>1</v>
      </c>
      <c r="AS166" s="188">
        <v>213</v>
      </c>
      <c r="AT166" s="109">
        <f>IF(SUM(AS166:AS168)+AS178=0,0,IF(SUM(AS166:AS168)=AS178,0.5,IF(SUM(AS166:AS168)&gt;AS178,1,0)))</f>
        <v>0.5</v>
      </c>
      <c r="AU166" s="110">
        <f t="shared" si="182"/>
        <v>1710</v>
      </c>
      <c r="AV166" s="111">
        <f>SUM(AD166+AF166+AH166+AJ166+AL166+AN166+AP166+AR166+AT166)</f>
        <v>6.5</v>
      </c>
      <c r="AW166" s="101"/>
      <c r="AX166" s="102"/>
      <c r="AZ166" s="63"/>
      <c r="BA166" s="212"/>
      <c r="BB166" s="213"/>
      <c r="BC166" s="214"/>
      <c r="BD166" s="217">
        <f t="shared" si="195"/>
        <v>7801</v>
      </c>
      <c r="BE166" s="213">
        <f t="shared" si="196"/>
        <v>1710</v>
      </c>
      <c r="BF166" s="215">
        <f t="shared" si="197"/>
        <v>9</v>
      </c>
      <c r="BG166" s="215">
        <f t="shared" si="198"/>
        <v>9</v>
      </c>
      <c r="BH166" s="215">
        <f t="shared" si="183"/>
        <v>205</v>
      </c>
      <c r="BI166" s="215">
        <f t="shared" si="184"/>
        <v>180</v>
      </c>
      <c r="BJ166" s="215">
        <f t="shared" si="185"/>
        <v>173</v>
      </c>
      <c r="BK166" s="215">
        <f t="shared" si="186"/>
        <v>186</v>
      </c>
      <c r="BL166" s="215">
        <f t="shared" si="187"/>
        <v>171</v>
      </c>
      <c r="BM166" s="215">
        <f t="shared" si="188"/>
        <v>194</v>
      </c>
      <c r="BN166" s="215">
        <f t="shared" si="189"/>
        <v>184</v>
      </c>
      <c r="BO166" s="215">
        <f t="shared" si="190"/>
        <v>204</v>
      </c>
      <c r="BP166" s="215">
        <f t="shared" si="191"/>
        <v>213</v>
      </c>
      <c r="BQ166" s="216"/>
      <c r="BR166" s="214"/>
      <c r="BS166" s="215">
        <f t="shared" si="199"/>
        <v>213</v>
      </c>
      <c r="BT166" s="215">
        <f t="shared" si="200"/>
        <v>0</v>
      </c>
      <c r="BU166" s="215" t="str">
        <f t="shared" si="201"/>
        <v>Phönix 03 Lauf</v>
      </c>
      <c r="BV166" s="214">
        <f t="shared" si="202"/>
        <v>2</v>
      </c>
      <c r="BW166" s="215">
        <f t="shared" si="203"/>
        <v>1710</v>
      </c>
      <c r="BX166" s="215">
        <f>IF(COUNTIF(BH166:BP166,"&gt;0")&lt;Spielorte!$A$23,0,BE166/Spielorte!$A$23)</f>
        <v>190</v>
      </c>
      <c r="BY166" s="215">
        <f t="shared" si="204"/>
        <v>0</v>
      </c>
      <c r="BZ166" s="214">
        <f t="shared" si="192"/>
        <v>0</v>
      </c>
    </row>
    <row r="167" spans="1:78" ht="17.2" customHeight="1" x14ac:dyDescent="0.35">
      <c r="A167" s="368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49"/>
      <c r="F167" s="78" t="str">
        <f t="shared" si="174"/>
        <v/>
      </c>
      <c r="G167" s="349"/>
      <c r="H167" s="78" t="str">
        <f t="shared" si="175"/>
        <v/>
      </c>
      <c r="I167" s="349"/>
      <c r="J167" s="78" t="str">
        <f t="shared" si="176"/>
        <v/>
      </c>
      <c r="K167" s="349"/>
      <c r="L167" s="78" t="str">
        <f t="shared" si="177"/>
        <v/>
      </c>
      <c r="M167" s="349"/>
      <c r="N167" s="78" t="str">
        <f t="shared" si="194"/>
        <v/>
      </c>
      <c r="O167" s="349"/>
      <c r="P167" s="78" t="str">
        <f t="shared" si="178"/>
        <v/>
      </c>
      <c r="Q167" s="349"/>
      <c r="R167" s="78" t="str">
        <f t="shared" si="179"/>
        <v/>
      </c>
      <c r="S167" s="349"/>
      <c r="T167" s="78" t="str">
        <f t="shared" si="180"/>
        <v/>
      </c>
      <c r="U167" s="349"/>
      <c r="V167" s="78" t="str">
        <f t="shared" si="181"/>
        <v/>
      </c>
      <c r="W167" s="349"/>
      <c r="Z167" s="352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0</v>
      </c>
      <c r="BU167" s="215" t="str">
        <f t="shared" si="201"/>
        <v>Phönix 03 Lauf</v>
      </c>
      <c r="BV167" s="214">
        <f t="shared" si="202"/>
        <v>2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0</v>
      </c>
      <c r="BZ167" s="214">
        <f t="shared" si="192"/>
        <v>0</v>
      </c>
    </row>
    <row r="168" spans="1:78" ht="17.2" customHeight="1" thickBot="1" x14ac:dyDescent="0.4">
      <c r="A168" s="369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50"/>
      <c r="F168" s="69" t="str">
        <f t="shared" si="174"/>
        <v/>
      </c>
      <c r="G168" s="350"/>
      <c r="H168" s="69" t="str">
        <f t="shared" si="175"/>
        <v/>
      </c>
      <c r="I168" s="350"/>
      <c r="J168" s="69" t="str">
        <f t="shared" si="176"/>
        <v/>
      </c>
      <c r="K168" s="350"/>
      <c r="L168" s="69" t="str">
        <f t="shared" si="177"/>
        <v/>
      </c>
      <c r="M168" s="350"/>
      <c r="N168" s="69" t="str">
        <f t="shared" si="194"/>
        <v/>
      </c>
      <c r="O168" s="350"/>
      <c r="P168" s="69" t="str">
        <f t="shared" si="178"/>
        <v/>
      </c>
      <c r="Q168" s="350"/>
      <c r="R168" s="69" t="str">
        <f t="shared" si="179"/>
        <v/>
      </c>
      <c r="S168" s="350"/>
      <c r="T168" s="69" t="str">
        <f t="shared" si="180"/>
        <v/>
      </c>
      <c r="U168" s="350"/>
      <c r="V168" s="69" t="str">
        <f t="shared" si="181"/>
        <v/>
      </c>
      <c r="W168" s="350"/>
      <c r="Z168" s="353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0</v>
      </c>
      <c r="BU168" s="215" t="str">
        <f t="shared" si="201"/>
        <v>Phönix 03 Lauf</v>
      </c>
      <c r="BV168" s="214">
        <f t="shared" si="202"/>
        <v>2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0</v>
      </c>
      <c r="BZ168" s="214">
        <f t="shared" si="192"/>
        <v>0</v>
      </c>
    </row>
    <row r="169" spans="1:78" ht="27.75" customHeight="1" thickBot="1" x14ac:dyDescent="0.4">
      <c r="B169" s="81" t="str">
        <f>IF(AA169=0,"",AA169)</f>
        <v>Gesamt</v>
      </c>
      <c r="C169" s="82" t="str">
        <f t="shared" si="193"/>
        <v/>
      </c>
      <c r="D169" s="83">
        <f t="shared" si="193"/>
        <v>678</v>
      </c>
      <c r="E169" s="84">
        <f>IF(AD169="","",AD169)</f>
        <v>0</v>
      </c>
      <c r="F169" s="83">
        <f t="shared" si="174"/>
        <v>678</v>
      </c>
      <c r="G169" s="84">
        <f>IF(AF169="","",AF169)</f>
        <v>2</v>
      </c>
      <c r="H169" s="83">
        <f t="shared" si="175"/>
        <v>678</v>
      </c>
      <c r="I169" s="84">
        <f>IF(AH169="","",AH169)</f>
        <v>0</v>
      </c>
      <c r="J169" s="83">
        <f t="shared" si="176"/>
        <v>648</v>
      </c>
      <c r="K169" s="84">
        <f>IF(AJ169="","",AJ169)</f>
        <v>0</v>
      </c>
      <c r="L169" s="83">
        <f t="shared" si="177"/>
        <v>612</v>
      </c>
      <c r="M169" s="84">
        <f>IF(AL169="","",AL169)</f>
        <v>2</v>
      </c>
      <c r="N169" s="83">
        <f t="shared" si="194"/>
        <v>648</v>
      </c>
      <c r="O169" s="84">
        <f>IF(AN169="","",AN169)</f>
        <v>0</v>
      </c>
      <c r="P169" s="83">
        <f t="shared" si="178"/>
        <v>684</v>
      </c>
      <c r="Q169" s="84">
        <f>IF(AP169="","",AP169)</f>
        <v>2</v>
      </c>
      <c r="R169" s="83">
        <f t="shared" si="179"/>
        <v>758</v>
      </c>
      <c r="S169" s="84">
        <f>IF(AR169="","",AR169)</f>
        <v>2</v>
      </c>
      <c r="T169" s="83">
        <f t="shared" si="180"/>
        <v>722</v>
      </c>
      <c r="U169" s="84">
        <f>IF(AT169="","",AT169)</f>
        <v>0</v>
      </c>
      <c r="V169" s="83">
        <f t="shared" si="181"/>
        <v>6106</v>
      </c>
      <c r="W169" s="84">
        <f>IF(AV169="","",AV169)</f>
        <v>8</v>
      </c>
      <c r="AA169" s="81" t="s">
        <v>1799</v>
      </c>
      <c r="AB169" s="120"/>
      <c r="AC169" s="211">
        <f>ABS(SUM(AC157:AC159))+ABS(SUM(AC160:AC162))+ABS(SUM(AC163:AC165))+ABS(SUM(AC166:AC168))</f>
        <v>678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678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678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648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612</v>
      </c>
      <c r="AL169" s="121">
        <f>IF(AK169+AK179=0,0,IF(AK169=AK179,1,IF(AK169&gt;AK179,2,0)))</f>
        <v>2</v>
      </c>
      <c r="AM169" s="211">
        <f>ABS(SUM(AM157:AM159))+ABS(SUM(AM160:AM162))+ABS(SUM(AM163:AM165))+ABS(SUM(AM166:AM168))</f>
        <v>648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684</v>
      </c>
      <c r="AP169" s="121">
        <f>IF(AO169+AO179=0,0,IF(AO169=AO179,1,IF(AO169&gt;AO179,2,0)))</f>
        <v>2</v>
      </c>
      <c r="AQ169" s="211">
        <f>ABS(SUM(AQ157:AQ159))+ABS(SUM(AQ160:AQ162))+ABS(SUM(AQ163:AQ165))+ABS(SUM(AQ166:AQ168))</f>
        <v>758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722</v>
      </c>
      <c r="AT169" s="121">
        <f>IF(AS169+AS179=0,0,IF(AS169=AS179,1,IF(AS169&gt;AS179,2,0)))</f>
        <v>0</v>
      </c>
      <c r="AU169" s="122">
        <f>SUM(AC169+AE169+AG169+AI169+AK169+AM169+AO169+AQ169+AS169)</f>
        <v>6106</v>
      </c>
      <c r="AV169" s="123">
        <f>SUM(AD169+AF169+AH169+AJ169+AL169+AN169+AP169+AR169+AT169)</f>
        <v>8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4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2</v>
      </c>
      <c r="F170" s="86" t="str">
        <f t="shared" si="174"/>
        <v/>
      </c>
      <c r="G170" s="87">
        <f>IF(AF170="","",AF170)</f>
        <v>5</v>
      </c>
      <c r="H170" s="86" t="str">
        <f t="shared" si="175"/>
        <v/>
      </c>
      <c r="I170" s="87">
        <f>IF(AH170="","",AH170)</f>
        <v>1</v>
      </c>
      <c r="J170" s="86" t="str">
        <f t="shared" si="176"/>
        <v/>
      </c>
      <c r="K170" s="87">
        <f>IF(AJ170="","",AJ170)</f>
        <v>0</v>
      </c>
      <c r="L170" s="86" t="str">
        <f t="shared" si="177"/>
        <v/>
      </c>
      <c r="M170" s="87">
        <f>IF(AL170="","",AL170)</f>
        <v>6</v>
      </c>
      <c r="N170" s="86" t="str">
        <f t="shared" si="194"/>
        <v/>
      </c>
      <c r="O170" s="87">
        <f>IF(AN170="","",AN170)</f>
        <v>2</v>
      </c>
      <c r="P170" s="86" t="str">
        <f t="shared" si="178"/>
        <v/>
      </c>
      <c r="Q170" s="87">
        <f>IF(AP170="","",AP170)</f>
        <v>4</v>
      </c>
      <c r="R170" s="86" t="str">
        <f t="shared" si="179"/>
        <v/>
      </c>
      <c r="S170" s="87">
        <f>IF(AR170="","",AR170)</f>
        <v>5</v>
      </c>
      <c r="T170" s="86" t="str">
        <f t="shared" si="180"/>
        <v/>
      </c>
      <c r="U170" s="87">
        <f>IF(AT170="","",AT170)</f>
        <v>1.5</v>
      </c>
      <c r="V170" s="86" t="str">
        <f t="shared" si="181"/>
        <v/>
      </c>
      <c r="W170" s="87">
        <f>IF(AV170="","",AV170)</f>
        <v>26.5</v>
      </c>
      <c r="AA170" s="85" t="s">
        <v>1814</v>
      </c>
      <c r="AB170" s="86"/>
      <c r="AC170" s="86"/>
      <c r="AD170" s="124">
        <f>SUM(AD157:AD169)</f>
        <v>2</v>
      </c>
      <c r="AE170" s="86"/>
      <c r="AF170" s="124">
        <f>SUM(AF157:AF169)</f>
        <v>5</v>
      </c>
      <c r="AG170" s="86"/>
      <c r="AH170" s="124">
        <f>SUM(AH157:AH169)</f>
        <v>1</v>
      </c>
      <c r="AI170" s="86"/>
      <c r="AJ170" s="124">
        <f>SUM(AJ157:AJ169)</f>
        <v>0</v>
      </c>
      <c r="AK170" s="86"/>
      <c r="AL170" s="124">
        <f>SUM(AL157:AL169)</f>
        <v>6</v>
      </c>
      <c r="AM170" s="86"/>
      <c r="AN170" s="124">
        <f>SUM(AN157:AN169)</f>
        <v>2</v>
      </c>
      <c r="AO170" s="86"/>
      <c r="AP170" s="124">
        <f>SUM(AP157:AP169)</f>
        <v>4</v>
      </c>
      <c r="AQ170" s="86"/>
      <c r="AR170" s="124">
        <f>SUM(AR157:AR169)</f>
        <v>5</v>
      </c>
      <c r="AS170" s="86"/>
      <c r="AT170" s="124">
        <f>SUM(AT157:AT169)</f>
        <v>1.5</v>
      </c>
      <c r="AU170" s="86"/>
      <c r="AV170" s="125">
        <f>SUM(AV157:AV169)</f>
        <v>26.5</v>
      </c>
      <c r="AW170" s="101"/>
      <c r="AX170" s="102"/>
      <c r="BA170" s="212">
        <f>+AV170</f>
        <v>26.5</v>
      </c>
      <c r="BB170" s="213">
        <f>+AU169</f>
        <v>6106</v>
      </c>
      <c r="BC170" s="214">
        <f>+AA152</f>
        <v>6</v>
      </c>
      <c r="BF170" s="215">
        <f>SUM(BF151:BF169)</f>
        <v>36</v>
      </c>
      <c r="BQ170" s="212">
        <f>+BB170/1000000+BA170</f>
        <v>26.506105999999999</v>
      </c>
      <c r="BR170" s="214">
        <f>RANK(BQ170,BQ:BQ)</f>
        <v>7</v>
      </c>
      <c r="BV170" s="214"/>
      <c r="BZ170" s="214"/>
    </row>
    <row r="171" spans="1:78" ht="11.25" customHeight="1" x14ac:dyDescent="0.3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3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46">
        <f t="shared" si="205"/>
        <v>10</v>
      </c>
      <c r="E172" s="346" t="str">
        <f t="shared" si="205"/>
        <v/>
      </c>
      <c r="F172" s="346">
        <f t="shared" si="205"/>
        <v>9</v>
      </c>
      <c r="G172" s="346" t="str">
        <f t="shared" si="205"/>
        <v/>
      </c>
      <c r="H172" s="346">
        <f t="shared" si="205"/>
        <v>5</v>
      </c>
      <c r="I172" s="346" t="str">
        <f t="shared" si="205"/>
        <v/>
      </c>
      <c r="J172" s="346">
        <f t="shared" si="205"/>
        <v>3</v>
      </c>
      <c r="K172" s="346" t="str">
        <f t="shared" si="205"/>
        <v/>
      </c>
      <c r="L172" s="346">
        <f t="shared" si="205"/>
        <v>4</v>
      </c>
      <c r="M172" s="346" t="str">
        <f t="shared" si="205"/>
        <v/>
      </c>
      <c r="N172" s="346">
        <f t="shared" si="205"/>
        <v>8</v>
      </c>
      <c r="O172" s="346" t="str">
        <f t="shared" si="205"/>
        <v/>
      </c>
      <c r="P172" s="346">
        <f t="shared" si="205"/>
        <v>1</v>
      </c>
      <c r="Q172" s="346" t="str">
        <f t="shared" si="205"/>
        <v/>
      </c>
      <c r="R172" s="346">
        <f t="shared" ref="N172:U174" si="206">IF(AQ172=0,"",AQ172)</f>
        <v>7</v>
      </c>
      <c r="S172" s="346" t="str">
        <f t="shared" si="206"/>
        <v/>
      </c>
      <c r="T172" s="346">
        <f t="shared" si="206"/>
        <v>2</v>
      </c>
      <c r="U172" s="346" t="str">
        <f t="shared" si="206"/>
        <v/>
      </c>
      <c r="V172" s="347"/>
      <c r="W172" s="347"/>
      <c r="AA172" s="88" t="s">
        <v>1797</v>
      </c>
      <c r="AB172" s="89" t="s">
        <v>1798</v>
      </c>
      <c r="AC172" s="370">
        <f>VLOOKUP($AA152,Schlüssel!$A$5:$DG$14,23)</f>
        <v>10</v>
      </c>
      <c r="AD172" s="371"/>
      <c r="AE172" s="370">
        <f>VLOOKUP($AA152,Schlüssel!$A$5:$EK$14,24)</f>
        <v>9</v>
      </c>
      <c r="AF172" s="371"/>
      <c r="AG172" s="370">
        <f>VLOOKUP($AA152,Schlüssel!$A$5:$EK$14,25)</f>
        <v>5</v>
      </c>
      <c r="AH172" s="371"/>
      <c r="AI172" s="370">
        <f>VLOOKUP($AA152,Schlüssel!$A$5:$EK$14,26)</f>
        <v>3</v>
      </c>
      <c r="AJ172" s="371"/>
      <c r="AK172" s="370">
        <f>VLOOKUP($AA152,Schlüssel!$A$5:$EK$14,27)</f>
        <v>4</v>
      </c>
      <c r="AL172" s="371"/>
      <c r="AM172" s="370">
        <f>VLOOKUP($AA152,Schlüssel!$A$5:$EK$14,28)</f>
        <v>8</v>
      </c>
      <c r="AN172" s="371"/>
      <c r="AO172" s="370">
        <f>VLOOKUP($AA152,Schlüssel!$A$5:$EK$14,29)</f>
        <v>1</v>
      </c>
      <c r="AP172" s="371"/>
      <c r="AQ172" s="370">
        <f>VLOOKUP($AA152,Schlüssel!$A$5:$EK$14,30)</f>
        <v>7</v>
      </c>
      <c r="AR172" s="371"/>
      <c r="AS172" s="370">
        <f>VLOOKUP($AA152,Schlüssel!$A$5:$EK$14,31)</f>
        <v>2</v>
      </c>
      <c r="AT172" s="371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35">
      <c r="B173" s="90" t="str">
        <f t="shared" ref="B173:M174" si="207">IF(AA173=0,"",AA173)</f>
        <v/>
      </c>
      <c r="C173" s="86" t="str">
        <f t="shared" si="207"/>
        <v/>
      </c>
      <c r="D173" s="343" t="str">
        <f t="shared" si="207"/>
        <v>BK München 4</v>
      </c>
      <c r="E173" s="344" t="str">
        <f t="shared" si="207"/>
        <v/>
      </c>
      <c r="F173" s="343" t="str">
        <f t="shared" si="207"/>
        <v>RW Lichtenhof 69 Stein 2</v>
      </c>
      <c r="G173" s="344" t="str">
        <f t="shared" si="207"/>
        <v/>
      </c>
      <c r="H173" s="343" t="str">
        <f t="shared" si="207"/>
        <v xml:space="preserve">Weiß Blau Unterföhring </v>
      </c>
      <c r="I173" s="344" t="str">
        <f t="shared" si="207"/>
        <v/>
      </c>
      <c r="J173" s="343" t="str">
        <f t="shared" si="207"/>
        <v>Highroller Rosenheim</v>
      </c>
      <c r="K173" s="344" t="str">
        <f t="shared" si="207"/>
        <v/>
      </c>
      <c r="L173" s="343" t="str">
        <f t="shared" si="207"/>
        <v>BK München 3</v>
      </c>
      <c r="M173" s="344" t="str">
        <f t="shared" si="207"/>
        <v/>
      </c>
      <c r="N173" s="343" t="str">
        <f t="shared" si="206"/>
        <v>EPA München 1</v>
      </c>
      <c r="O173" s="344" t="str">
        <f t="shared" si="206"/>
        <v/>
      </c>
      <c r="P173" s="343" t="str">
        <f t="shared" si="206"/>
        <v>Praetoria Regensburg</v>
      </c>
      <c r="Q173" s="344" t="str">
        <f t="shared" si="206"/>
        <v/>
      </c>
      <c r="R173" s="343" t="str">
        <f t="shared" si="206"/>
        <v>Frankenpower Nürnberg</v>
      </c>
      <c r="S173" s="344" t="str">
        <f t="shared" si="206"/>
        <v/>
      </c>
      <c r="T173" s="343" t="str">
        <f t="shared" si="206"/>
        <v>BK München 2</v>
      </c>
      <c r="U173" s="344" t="str">
        <f t="shared" si="206"/>
        <v/>
      </c>
      <c r="V173" s="345"/>
      <c r="W173" s="345"/>
      <c r="AA173" s="90"/>
      <c r="AB173" s="86"/>
      <c r="AC173" s="343" t="str">
        <f>VLOOKUP(AC172,Schlüssel!$A$5:$K$14,2)</f>
        <v>BK München 4</v>
      </c>
      <c r="AD173" s="344"/>
      <c r="AE173" s="343" t="str">
        <f>VLOOKUP(AE172,Schlüssel!$A$5:$K$14,2)</f>
        <v>RW Lichtenhof 69 Stein 2</v>
      </c>
      <c r="AF173" s="344"/>
      <c r="AG173" s="343" t="str">
        <f>VLOOKUP(AG172,Schlüssel!$A$5:$K$14,2)</f>
        <v xml:space="preserve">Weiß Blau Unterföhring </v>
      </c>
      <c r="AH173" s="344"/>
      <c r="AI173" s="343" t="str">
        <f>VLOOKUP(AI172,Schlüssel!$A$5:$K$14,2)</f>
        <v>Highroller Rosenheim</v>
      </c>
      <c r="AJ173" s="344"/>
      <c r="AK173" s="343" t="str">
        <f>VLOOKUP(AK172,Schlüssel!$A$5:$K$14,2)</f>
        <v>BK München 3</v>
      </c>
      <c r="AL173" s="344"/>
      <c r="AM173" s="343" t="str">
        <f>VLOOKUP(AM172,Schlüssel!$A$5:$K$14,2)</f>
        <v>EPA München 1</v>
      </c>
      <c r="AN173" s="344"/>
      <c r="AO173" s="343" t="str">
        <f>VLOOKUP(AO172,Schlüssel!$A$5:$K$14,2)</f>
        <v>Praetoria Regensburg</v>
      </c>
      <c r="AP173" s="344"/>
      <c r="AQ173" s="343" t="str">
        <f>VLOOKUP(AQ172,Schlüssel!$A$5:$K$14,2)</f>
        <v>Frankenpower Nürnberg</v>
      </c>
      <c r="AR173" s="344"/>
      <c r="AS173" s="343" t="str">
        <f>VLOOKUP(AS172,Schlüssel!$A$5:$K$14,2)</f>
        <v>BK München 2</v>
      </c>
      <c r="AT173" s="344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35">
      <c r="B174" s="90" t="str">
        <f t="shared" si="207"/>
        <v/>
      </c>
      <c r="C174" s="86" t="str">
        <f t="shared" si="207"/>
        <v/>
      </c>
      <c r="D174" s="341" t="str">
        <f t="shared" si="207"/>
        <v/>
      </c>
      <c r="E174" s="341" t="str">
        <f t="shared" si="207"/>
        <v/>
      </c>
      <c r="F174" s="341" t="str">
        <f t="shared" si="207"/>
        <v/>
      </c>
      <c r="G174" s="341" t="str">
        <f t="shared" si="207"/>
        <v/>
      </c>
      <c r="H174" s="341" t="str">
        <f t="shared" si="207"/>
        <v/>
      </c>
      <c r="I174" s="341" t="str">
        <f t="shared" si="207"/>
        <v/>
      </c>
      <c r="J174" s="341" t="str">
        <f t="shared" si="207"/>
        <v/>
      </c>
      <c r="K174" s="341" t="str">
        <f t="shared" si="207"/>
        <v/>
      </c>
      <c r="L174" s="341" t="str">
        <f t="shared" si="207"/>
        <v/>
      </c>
      <c r="M174" s="341" t="str">
        <f t="shared" si="207"/>
        <v/>
      </c>
      <c r="N174" s="341" t="str">
        <f t="shared" si="206"/>
        <v/>
      </c>
      <c r="O174" s="341" t="str">
        <f t="shared" si="206"/>
        <v/>
      </c>
      <c r="P174" s="341" t="str">
        <f t="shared" si="206"/>
        <v/>
      </c>
      <c r="Q174" s="341" t="str">
        <f t="shared" si="206"/>
        <v/>
      </c>
      <c r="R174" s="341" t="str">
        <f t="shared" si="206"/>
        <v/>
      </c>
      <c r="S174" s="341" t="str">
        <f t="shared" si="206"/>
        <v/>
      </c>
      <c r="T174" s="341" t="str">
        <f t="shared" si="206"/>
        <v/>
      </c>
      <c r="U174" s="342" t="str">
        <f t="shared" si="206"/>
        <v/>
      </c>
      <c r="V174" s="301"/>
      <c r="W174" s="301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6.05" customHeight="1" x14ac:dyDescent="0.35">
      <c r="B175" s="365" t="str">
        <f t="shared" ref="B175:C179" si="208">IF(AA175=0,"",AA175)</f>
        <v>Spieler 1</v>
      </c>
      <c r="C175" s="366" t="str">
        <f t="shared" si="208"/>
        <v/>
      </c>
      <c r="D175" s="339">
        <f>IF(AC175=301,"",AC175)</f>
        <v>237</v>
      </c>
      <c r="E175" s="339" t="str">
        <f>IF(AD175=0,"",AD175)</f>
        <v/>
      </c>
      <c r="F175" s="339">
        <f>IF(AE175=301,"",AE175)</f>
        <v>155</v>
      </c>
      <c r="G175" s="339" t="str">
        <f>IF(AF175=0,"",AF175)</f>
        <v/>
      </c>
      <c r="H175" s="339">
        <f>IF(AG175=301,"",AG175)</f>
        <v>171</v>
      </c>
      <c r="I175" s="339" t="str">
        <f>IF(AH175=0,"",AH175)</f>
        <v/>
      </c>
      <c r="J175" s="339">
        <f>IF(AI175=301,"",AI175)</f>
        <v>155</v>
      </c>
      <c r="K175" s="339" t="str">
        <f>IF(AJ175=0,"",AJ175)</f>
        <v/>
      </c>
      <c r="L175" s="339">
        <f>IF(AK175=301,"",AK175)</f>
        <v>0</v>
      </c>
      <c r="M175" s="339" t="str">
        <f>IF(AL175=0,"",AL175)</f>
        <v/>
      </c>
      <c r="N175" s="339">
        <f>IF(AM175=301,"",AM175)</f>
        <v>214</v>
      </c>
      <c r="O175" s="339" t="str">
        <f>IF(AN175=0,"",AN175)</f>
        <v/>
      </c>
      <c r="P175" s="339">
        <f>IF(AO175=301,"",AO175)</f>
        <v>192</v>
      </c>
      <c r="Q175" s="339" t="str">
        <f>IF(AP175=0,"",AP175)</f>
        <v/>
      </c>
      <c r="R175" s="339">
        <f>IF(AQ175=301,"",AQ175)</f>
        <v>186</v>
      </c>
      <c r="S175" s="339" t="str">
        <f>IF(AR175=0,"",AR175)</f>
        <v/>
      </c>
      <c r="T175" s="339">
        <f>IF(AS175=301,"",AS175)</f>
        <v>148</v>
      </c>
      <c r="U175" s="339" t="str">
        <f>IF(AT175=0,"",AT175)</f>
        <v/>
      </c>
      <c r="V175" s="340"/>
      <c r="W175" s="340"/>
      <c r="AA175" s="91" t="s">
        <v>0</v>
      </c>
      <c r="AB175" s="92"/>
      <c r="AC175" s="372">
        <f>ABS(INDEX(AC:AC,MATCH(AC172,$AA:$AA,0)+5)+INDEX(AC:AC,MATCH(AC172,$AA:$AA,0)+6)+INDEX(AC:AC,MATCH(AC172,$AA:$AA,0)+7))</f>
        <v>237</v>
      </c>
      <c r="AD175" s="373"/>
      <c r="AE175" s="372">
        <f>ABS(INDEX(AE:AE,MATCH(AE172,$AA:$AA,0)+5)+INDEX(AE:AE,MATCH(AE172,$AA:$AA,0)+6)+INDEX(AE:AE,MATCH(AE172,$AA:$AA,0)+7))</f>
        <v>155</v>
      </c>
      <c r="AF175" s="373"/>
      <c r="AG175" s="372">
        <f>ABS(INDEX(AG:AG,MATCH(AG172,$AA:$AA,0)+5)+INDEX(AG:AG,MATCH(AG172,$AA:$AA,0)+6)+INDEX(AG:AG,MATCH(AG172,$AA:$AA,0)+7))</f>
        <v>171</v>
      </c>
      <c r="AH175" s="373"/>
      <c r="AI175" s="372">
        <f>ABS(INDEX(AI:AI,MATCH(AI172,$AA:$AA,0)+5)+INDEX(AI:AI,MATCH(AI172,$AA:$AA,0)+6)+INDEX(AI:AI,MATCH(AI172,$AA:$AA,0)+7))</f>
        <v>155</v>
      </c>
      <c r="AJ175" s="373"/>
      <c r="AK175" s="372">
        <f>ABS(INDEX(AK:AK,MATCH(AK172,$AA:$AA,0)+5)+INDEX(AK:AK,MATCH(AK172,$AA:$AA,0)+6)+INDEX(AK:AK,MATCH(AK172,$AA:$AA,0)+7))</f>
        <v>0</v>
      </c>
      <c r="AL175" s="373"/>
      <c r="AM175" s="372">
        <f>ABS(INDEX(AM:AM,MATCH(AM172,$AA:$AA,0)+5)+INDEX(AM:AM,MATCH(AM172,$AA:$AA,0)+6)+INDEX(AM:AM,MATCH(AM172,$AA:$AA,0)+7))</f>
        <v>214</v>
      </c>
      <c r="AN175" s="373"/>
      <c r="AO175" s="372">
        <f>ABS(INDEX(AO:AO,MATCH(AO172,$AA:$AA,0)+5)+INDEX(AO:AO,MATCH(AO172,$AA:$AA,0)+6)+INDEX(AO:AO,MATCH(AO172,$AA:$AA,0)+7))</f>
        <v>192</v>
      </c>
      <c r="AP175" s="373"/>
      <c r="AQ175" s="372">
        <f>ABS(INDEX(AQ:AQ,MATCH(AQ172,$AA:$AA,0)+5)+INDEX(AQ:AQ,MATCH(AQ172,$AA:$AA,0)+6)+INDEX(AQ:AQ,MATCH(AQ172,$AA:$AA,0)+7))</f>
        <v>186</v>
      </c>
      <c r="AR175" s="373"/>
      <c r="AS175" s="372">
        <f>ABS(INDEX(AS:AS,MATCH(AS172,$AA:$AA,0)+5)+INDEX(AS:AS,MATCH(AS172,$AA:$AA,0)+6)+INDEX(AS:AS,MATCH(AS172,$AA:$AA,0)+7))</f>
        <v>148</v>
      </c>
      <c r="AT175" s="373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6.05" customHeight="1" x14ac:dyDescent="0.35">
      <c r="B176" s="365" t="str">
        <f t="shared" si="208"/>
        <v>Spieler 2</v>
      </c>
      <c r="C176" s="366" t="str">
        <f t="shared" si="208"/>
        <v/>
      </c>
      <c r="D176" s="339">
        <f>IF(AC176=301,"",AC176)</f>
        <v>208</v>
      </c>
      <c r="E176" s="339" t="str">
        <f>IF(AD176=0,"",AD176)</f>
        <v/>
      </c>
      <c r="F176" s="339">
        <f>IF(AE176=301,"",AE176)</f>
        <v>151</v>
      </c>
      <c r="G176" s="339" t="str">
        <f>IF(AF176=0,"",AF176)</f>
        <v/>
      </c>
      <c r="H176" s="339">
        <f>IF(AG176=301,"",AG176)</f>
        <v>180</v>
      </c>
      <c r="I176" s="339" t="str">
        <f>IF(AH176=0,"",AH176)</f>
        <v/>
      </c>
      <c r="J176" s="339">
        <f>IF(AI176=301,"",AI176)</f>
        <v>162</v>
      </c>
      <c r="K176" s="339" t="str">
        <f>IF(AJ176=0,"",AJ176)</f>
        <v/>
      </c>
      <c r="L176" s="339">
        <f>IF(AK176=301,"",AK176)</f>
        <v>0</v>
      </c>
      <c r="M176" s="339" t="str">
        <f>IF(AL176=0,"",AL176)</f>
        <v/>
      </c>
      <c r="N176" s="339">
        <f>IF(AM176=301,"",AM176)</f>
        <v>146</v>
      </c>
      <c r="O176" s="339" t="str">
        <f>IF(AN176=0,"",AN176)</f>
        <v/>
      </c>
      <c r="P176" s="339">
        <f>IF(AO176=301,"",AO176)</f>
        <v>191</v>
      </c>
      <c r="Q176" s="339" t="str">
        <f>IF(AP176=0,"",AP176)</f>
        <v/>
      </c>
      <c r="R176" s="339">
        <f>IF(AQ176=301,"",AQ176)</f>
        <v>166</v>
      </c>
      <c r="S176" s="339" t="str">
        <f>IF(AR176=0,"",AR176)</f>
        <v/>
      </c>
      <c r="T176" s="339">
        <f>IF(AS176=301,"",AS176)</f>
        <v>177</v>
      </c>
      <c r="U176" s="339" t="str">
        <f>IF(AT176=0,"",AT176)</f>
        <v/>
      </c>
      <c r="V176" s="340"/>
      <c r="W176" s="340"/>
      <c r="AA176" s="91" t="s">
        <v>2</v>
      </c>
      <c r="AB176" s="92"/>
      <c r="AC176" s="374">
        <f>ABS(INDEX(AC:AC,MATCH(AC172,$AA:$AA,0)+8)+INDEX(AC:AC,MATCH(AC172,$AA:$AA,0)+9)+INDEX(AC:AC,MATCH(AC172,$AA:$AA,0)+10))</f>
        <v>208</v>
      </c>
      <c r="AD176" s="375"/>
      <c r="AE176" s="374">
        <f>ABS(INDEX(AE:AE,MATCH(AE172,$AA:$AA,0)+8)+INDEX(AE:AE,MATCH(AE172,$AA:$AA,0)+9)+INDEX(AE:AE,MATCH(AE172,$AA:$AA,0)+10))</f>
        <v>151</v>
      </c>
      <c r="AF176" s="375"/>
      <c r="AG176" s="374">
        <f>ABS(INDEX(AG:AG,MATCH(AG172,$AA:$AA,0)+8)+INDEX(AG:AG,MATCH(AG172,$AA:$AA,0)+9)+INDEX(AG:AG,MATCH(AG172,$AA:$AA,0)+10))</f>
        <v>180</v>
      </c>
      <c r="AH176" s="375"/>
      <c r="AI176" s="374">
        <f>ABS(INDEX(AI:AI,MATCH(AI172,$AA:$AA,0)+8)+INDEX(AI:AI,MATCH(AI172,$AA:$AA,0)+9)+INDEX(AI:AI,MATCH(AI172,$AA:$AA,0)+10))</f>
        <v>162</v>
      </c>
      <c r="AJ176" s="375"/>
      <c r="AK176" s="374">
        <f>ABS(INDEX(AK:AK,MATCH(AK172,$AA:$AA,0)+8)+INDEX(AK:AK,MATCH(AK172,$AA:$AA,0)+9)+INDEX(AK:AK,MATCH(AK172,$AA:$AA,0)+10))</f>
        <v>0</v>
      </c>
      <c r="AL176" s="375"/>
      <c r="AM176" s="374">
        <f>ABS(INDEX(AM:AM,MATCH(AM172,$AA:$AA,0)+8)+INDEX(AM:AM,MATCH(AM172,$AA:$AA,0)+9)+INDEX(AM:AM,MATCH(AM172,$AA:$AA,0)+10))</f>
        <v>146</v>
      </c>
      <c r="AN176" s="375"/>
      <c r="AO176" s="374">
        <f>ABS(INDEX(AO:AO,MATCH(AO172,$AA:$AA,0)+8)+INDEX(AO:AO,MATCH(AO172,$AA:$AA,0)+9)+INDEX(AO:AO,MATCH(AO172,$AA:$AA,0)+10))</f>
        <v>191</v>
      </c>
      <c r="AP176" s="375"/>
      <c r="AQ176" s="374">
        <f>ABS(INDEX(AQ:AQ,MATCH(AQ172,$AA:$AA,0)+8)+INDEX(AQ:AQ,MATCH(AQ172,$AA:$AA,0)+9)+INDEX(AQ:AQ,MATCH(AQ172,$AA:$AA,0)+10))</f>
        <v>166</v>
      </c>
      <c r="AR176" s="375"/>
      <c r="AS176" s="374">
        <f>ABS(INDEX(AS:AS,MATCH(AS172,$AA:$AA,0)+8)+INDEX(AS:AS,MATCH(AS172,$AA:$AA,0)+9)+INDEX(AS:AS,MATCH(AS172,$AA:$AA,0)+10))</f>
        <v>177</v>
      </c>
      <c r="AT176" s="37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6.05" customHeight="1" x14ac:dyDescent="0.35">
      <c r="B177" s="365" t="str">
        <f t="shared" si="208"/>
        <v>Spieler 3</v>
      </c>
      <c r="C177" s="366" t="str">
        <f t="shared" si="208"/>
        <v/>
      </c>
      <c r="D177" s="339">
        <f>IF(AC177=301,"",AC177)</f>
        <v>157</v>
      </c>
      <c r="E177" s="339" t="str">
        <f>IF(AD177=0,"",AD177)</f>
        <v/>
      </c>
      <c r="F177" s="339">
        <f>IF(AE177=301,"",AE177)</f>
        <v>135</v>
      </c>
      <c r="G177" s="339" t="str">
        <f>IF(AF177=0,"",AF177)</f>
        <v/>
      </c>
      <c r="H177" s="339">
        <f>IF(AG177=301,"",AG177)</f>
        <v>150</v>
      </c>
      <c r="I177" s="339" t="str">
        <f>IF(AH177=0,"",AH177)</f>
        <v/>
      </c>
      <c r="J177" s="339">
        <f>IF(AI177=301,"",AI177)</f>
        <v>172</v>
      </c>
      <c r="K177" s="339" t="str">
        <f>IF(AJ177=0,"",AJ177)</f>
        <v/>
      </c>
      <c r="L177" s="339">
        <f>IF(AK177=301,"",AK177)</f>
        <v>0</v>
      </c>
      <c r="M177" s="339" t="str">
        <f>IF(AL177=0,"",AL177)</f>
        <v/>
      </c>
      <c r="N177" s="339">
        <f>IF(AM177=301,"",AM177)</f>
        <v>175</v>
      </c>
      <c r="O177" s="339" t="str">
        <f>IF(AN177=0,"",AN177)</f>
        <v/>
      </c>
      <c r="P177" s="339">
        <f>IF(AO177=301,"",AO177)</f>
        <v>149</v>
      </c>
      <c r="Q177" s="339" t="str">
        <f>IF(AP177=0,"",AP177)</f>
        <v/>
      </c>
      <c r="R177" s="339">
        <f>IF(AQ177=301,"",AQ177)</f>
        <v>142</v>
      </c>
      <c r="S177" s="339" t="str">
        <f>IF(AR177=0,"",AR177)</f>
        <v/>
      </c>
      <c r="T177" s="339">
        <f>IF(AS177=301,"",AS177)</f>
        <v>222</v>
      </c>
      <c r="U177" s="339" t="str">
        <f>IF(AT177=0,"",AT177)</f>
        <v/>
      </c>
      <c r="V177" s="340"/>
      <c r="W177" s="340"/>
      <c r="AA177" s="91" t="s">
        <v>3</v>
      </c>
      <c r="AB177" s="92"/>
      <c r="AC177" s="374">
        <f>ABS(INDEX(AC:AC,MATCH(AC172,$AA:$AA,0)+11)+INDEX(AC:AC,MATCH(AC172,$AA:$AA,0)+12)+INDEX(AC:AC,MATCH(AC172,$AA:$AA,0)+13))</f>
        <v>157</v>
      </c>
      <c r="AD177" s="375"/>
      <c r="AE177" s="374">
        <f>ABS(INDEX(AE:AE,MATCH(AE172,$AA:$AA,0)+11)+INDEX(AE:AE,MATCH(AE172,$AA:$AA,0)+12)+INDEX(AE:AE,MATCH(AE172,$AA:$AA,0)+13))</f>
        <v>135</v>
      </c>
      <c r="AF177" s="375"/>
      <c r="AG177" s="374">
        <f>ABS(INDEX(AG:AG,MATCH(AG172,$AA:$AA,0)+11)+INDEX(AG:AG,MATCH(AG172,$AA:$AA,0)+12)+INDEX(AG:AG,MATCH(AG172,$AA:$AA,0)+13))</f>
        <v>150</v>
      </c>
      <c r="AH177" s="375"/>
      <c r="AI177" s="374">
        <f>ABS(INDEX(AI:AI,MATCH(AI172,$AA:$AA,0)+11)+INDEX(AI:AI,MATCH(AI172,$AA:$AA,0)+12)+INDEX(AI:AI,MATCH(AI172,$AA:$AA,0)+13))</f>
        <v>172</v>
      </c>
      <c r="AJ177" s="375"/>
      <c r="AK177" s="374">
        <f>ABS(INDEX(AK:AK,MATCH(AK172,$AA:$AA,0)+11)+INDEX(AK:AK,MATCH(AK172,$AA:$AA,0)+12)+INDEX(AK:AK,MATCH(AK172,$AA:$AA,0)+13))</f>
        <v>0</v>
      </c>
      <c r="AL177" s="375"/>
      <c r="AM177" s="374">
        <f>ABS(INDEX(AM:AM,MATCH(AM172,$AA:$AA,0)+11)+INDEX(AM:AM,MATCH(AM172,$AA:$AA,0)+12)+INDEX(AM:AM,MATCH(AM172,$AA:$AA,0)+13))</f>
        <v>175</v>
      </c>
      <c r="AN177" s="375"/>
      <c r="AO177" s="374">
        <f>ABS(INDEX(AO:AO,MATCH(AO172,$AA:$AA,0)+11)+INDEX(AO:AO,MATCH(AO172,$AA:$AA,0)+12)+INDEX(AO:AO,MATCH(AO172,$AA:$AA,0)+13))</f>
        <v>149</v>
      </c>
      <c r="AP177" s="375"/>
      <c r="AQ177" s="374">
        <f>ABS(INDEX(AQ:AQ,MATCH(AQ172,$AA:$AA,0)+11)+INDEX(AQ:AQ,MATCH(AQ172,$AA:$AA,0)+12)+INDEX(AQ:AQ,MATCH(AQ172,$AA:$AA,0)+13))</f>
        <v>142</v>
      </c>
      <c r="AR177" s="375"/>
      <c r="AS177" s="374">
        <f>ABS(INDEX(AS:AS,MATCH(AS172,$AA:$AA,0)+11)+INDEX(AS:AS,MATCH(AS172,$AA:$AA,0)+12)+INDEX(AS:AS,MATCH(AS172,$AA:$AA,0)+13))</f>
        <v>222</v>
      </c>
      <c r="AT177" s="37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6.05" customHeight="1" x14ac:dyDescent="0.35">
      <c r="B178" s="365" t="str">
        <f t="shared" si="208"/>
        <v>Spieler 4</v>
      </c>
      <c r="C178" s="366" t="str">
        <f t="shared" si="208"/>
        <v/>
      </c>
      <c r="D178" s="339">
        <f>IF(AC178=301,"",AC178)</f>
        <v>186</v>
      </c>
      <c r="E178" s="339" t="str">
        <f>IF(AD178=0,"",AD178)</f>
        <v/>
      </c>
      <c r="F178" s="339">
        <f>IF(AE178=301,"",AE178)</f>
        <v>177</v>
      </c>
      <c r="G178" s="339" t="str">
        <f>IF(AF178=0,"",AF178)</f>
        <v/>
      </c>
      <c r="H178" s="339">
        <f>IF(AG178=301,"",AG178)</f>
        <v>181</v>
      </c>
      <c r="I178" s="339" t="str">
        <f>IF(AH178=0,"",AH178)</f>
        <v/>
      </c>
      <c r="J178" s="339">
        <f>IF(AI178=301,"",AI178)</f>
        <v>191</v>
      </c>
      <c r="K178" s="339" t="str">
        <f>IF(AJ178=0,"",AJ178)</f>
        <v/>
      </c>
      <c r="L178" s="339">
        <f>IF(AK178=301,"",AK178)</f>
        <v>0</v>
      </c>
      <c r="M178" s="339" t="str">
        <f>IF(AL178=0,"",AL178)</f>
        <v/>
      </c>
      <c r="N178" s="339">
        <f>IF(AM178=301,"",AM178)</f>
        <v>148</v>
      </c>
      <c r="O178" s="339" t="str">
        <f>IF(AN178=0,"",AN178)</f>
        <v/>
      </c>
      <c r="P178" s="339">
        <f>IF(AO178=301,"",AO178)</f>
        <v>150</v>
      </c>
      <c r="Q178" s="339" t="str">
        <f>IF(AP178=0,"",AP178)</f>
        <v/>
      </c>
      <c r="R178" s="339">
        <f>IF(AQ178=301,"",AQ178)</f>
        <v>167</v>
      </c>
      <c r="S178" s="339" t="str">
        <f>IF(AR178=0,"",AR178)</f>
        <v/>
      </c>
      <c r="T178" s="339">
        <f>IF(AS178=301,"",AS178)</f>
        <v>213</v>
      </c>
      <c r="U178" s="339" t="str">
        <f>IF(AT178=0,"",AT178)</f>
        <v/>
      </c>
      <c r="V178" s="340"/>
      <c r="W178" s="340"/>
      <c r="AA178" s="91" t="s">
        <v>11</v>
      </c>
      <c r="AB178" s="92"/>
      <c r="AC178" s="374">
        <f>ABS(INDEX(AC:AC,MATCH(AC172,$AA:$AA,0)+14)+INDEX(AC:AC,MATCH(AC172,$AA:$AA,0)+15)+INDEX(AC:AC,MATCH(AC172,$AA:$AA,0)+16))</f>
        <v>186</v>
      </c>
      <c r="AD178" s="375"/>
      <c r="AE178" s="374">
        <f>ABS(INDEX(AE:AE,MATCH(AE172,$AA:$AA,0)+14)+INDEX(AE:AE,MATCH(AE172,$AA:$AA,0)+15)+INDEX(AE:AE,MATCH(AE172,$AA:$AA,0)+16))</f>
        <v>177</v>
      </c>
      <c r="AF178" s="375"/>
      <c r="AG178" s="374">
        <f>ABS(INDEX(AG:AG,MATCH(AG172,$AA:$AA,0)+14)+INDEX(AG:AG,MATCH(AG172,$AA:$AA,0)+15)+INDEX(AG:AG,MATCH(AG172,$AA:$AA,0)+16))</f>
        <v>181</v>
      </c>
      <c r="AH178" s="375"/>
      <c r="AI178" s="374">
        <f>ABS(INDEX(AI:AI,MATCH(AI172,$AA:$AA,0)+14)+INDEX(AI:AI,MATCH(AI172,$AA:$AA,0)+15)+INDEX(AI:AI,MATCH(AI172,$AA:$AA,0)+16))</f>
        <v>191</v>
      </c>
      <c r="AJ178" s="375"/>
      <c r="AK178" s="374">
        <f>ABS(INDEX(AK:AK,MATCH(AK172,$AA:$AA,0)+14)+INDEX(AK:AK,MATCH(AK172,$AA:$AA,0)+15)+INDEX(AK:AK,MATCH(AK172,$AA:$AA,0)+16))</f>
        <v>0</v>
      </c>
      <c r="AL178" s="375"/>
      <c r="AM178" s="374">
        <f>ABS(INDEX(AM:AM,MATCH(AM172,$AA:$AA,0)+14)+INDEX(AM:AM,MATCH(AM172,$AA:$AA,0)+15)+INDEX(AM:AM,MATCH(AM172,$AA:$AA,0)+16))</f>
        <v>148</v>
      </c>
      <c r="AN178" s="375"/>
      <c r="AO178" s="374">
        <f>ABS(INDEX(AO:AO,MATCH(AO172,$AA:$AA,0)+14)+INDEX(AO:AO,MATCH(AO172,$AA:$AA,0)+15)+INDEX(AO:AO,MATCH(AO172,$AA:$AA,0)+16))</f>
        <v>150</v>
      </c>
      <c r="AP178" s="375"/>
      <c r="AQ178" s="374">
        <f>ABS(INDEX(AQ:AQ,MATCH(AQ172,$AA:$AA,0)+14)+INDEX(AQ:AQ,MATCH(AQ172,$AA:$AA,0)+15)+INDEX(AQ:AQ,MATCH(AQ172,$AA:$AA,0)+16))</f>
        <v>167</v>
      </c>
      <c r="AR178" s="375"/>
      <c r="AS178" s="374">
        <f>ABS(INDEX(AS:AS,MATCH(AS172,$AA:$AA,0)+14)+INDEX(AS:AS,MATCH(AS172,$AA:$AA,0)+15)+INDEX(AS:AS,MATCH(AS172,$AA:$AA,0)+16))</f>
        <v>213</v>
      </c>
      <c r="AT178" s="37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6.05" customHeight="1" x14ac:dyDescent="0.35">
      <c r="B179" s="354" t="str">
        <f t="shared" si="208"/>
        <v>Gesamt</v>
      </c>
      <c r="C179" s="355" t="str">
        <f t="shared" si="208"/>
        <v/>
      </c>
      <c r="D179" s="338">
        <f>IF(AC179=1505,"",AC179)</f>
        <v>788</v>
      </c>
      <c r="E179" s="338" t="str">
        <f>IF(AD179=0,"",AD179)</f>
        <v/>
      </c>
      <c r="F179" s="338">
        <f>IF(AE179=1505,"",AE179)</f>
        <v>618</v>
      </c>
      <c r="G179" s="338" t="str">
        <f>IF(AF179=0,"",AF179)</f>
        <v/>
      </c>
      <c r="H179" s="338">
        <f>IF(AG179=1505,"",AG179)</f>
        <v>682</v>
      </c>
      <c r="I179" s="338" t="str">
        <f>IF(AH179=0,"",AH179)</f>
        <v/>
      </c>
      <c r="J179" s="338">
        <f>IF(AI179=1505,"",AI179)</f>
        <v>680</v>
      </c>
      <c r="K179" s="338" t="str">
        <f>IF(AJ179=0,"",AJ179)</f>
        <v/>
      </c>
      <c r="L179" s="338">
        <f>IF(AK179=1505,"",AK179)</f>
        <v>0</v>
      </c>
      <c r="M179" s="338" t="str">
        <f>IF(AL179=0,"",AL179)</f>
        <v/>
      </c>
      <c r="N179" s="338">
        <f>IF(AM179=1505,"",AM179)</f>
        <v>683</v>
      </c>
      <c r="O179" s="338" t="str">
        <f>IF(AN179=0,"",AN179)</f>
        <v/>
      </c>
      <c r="P179" s="338">
        <f>IF(AO179=1505,"",AO179)</f>
        <v>682</v>
      </c>
      <c r="Q179" s="338" t="str">
        <f>IF(AP179=0,"",AP179)</f>
        <v/>
      </c>
      <c r="R179" s="338">
        <f>IF(AQ179=1505,"",AQ179)</f>
        <v>661</v>
      </c>
      <c r="S179" s="338" t="str">
        <f>IF(AR179=0,"",AR179)</f>
        <v/>
      </c>
      <c r="T179" s="338">
        <f>IF(AS179=1505,"",AS179)</f>
        <v>760</v>
      </c>
      <c r="U179" s="338" t="str">
        <f>IF(AT179=0,"",AT179)</f>
        <v/>
      </c>
      <c r="V179" s="290"/>
      <c r="W179" s="290"/>
      <c r="AA179" s="93" t="s">
        <v>1799</v>
      </c>
      <c r="AB179" s="94"/>
      <c r="AC179" s="354">
        <f>SUM(AC175:AC178)</f>
        <v>788</v>
      </c>
      <c r="AD179" s="355"/>
      <c r="AE179" s="354">
        <f>SUM(AE175:AE178)</f>
        <v>618</v>
      </c>
      <c r="AF179" s="355"/>
      <c r="AG179" s="354">
        <f>SUM(AG175:AG178)</f>
        <v>682</v>
      </c>
      <c r="AH179" s="355"/>
      <c r="AI179" s="354">
        <f>SUM(AI175:AI178)</f>
        <v>680</v>
      </c>
      <c r="AJ179" s="355"/>
      <c r="AK179" s="354">
        <f>SUM(AK175:AK178)</f>
        <v>0</v>
      </c>
      <c r="AL179" s="355"/>
      <c r="AM179" s="354">
        <f>SUM(AM175:AM178)</f>
        <v>683</v>
      </c>
      <c r="AN179" s="355"/>
      <c r="AO179" s="354">
        <f>SUM(AO175:AO178)</f>
        <v>682</v>
      </c>
      <c r="AP179" s="355"/>
      <c r="AQ179" s="354">
        <f>SUM(AQ175:AQ178)</f>
        <v>661</v>
      </c>
      <c r="AR179" s="355"/>
      <c r="AS179" s="354">
        <f>SUM(AS175:AS178)</f>
        <v>760</v>
      </c>
      <c r="AT179" s="35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3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7">
      <c r="B181" s="44" t="str">
        <f>AA181</f>
        <v>Team-Nr.</v>
      </c>
      <c r="C181" s="45"/>
      <c r="D181" s="44" t="str">
        <f>AC181</f>
        <v>Liga:</v>
      </c>
      <c r="E181" s="47"/>
      <c r="F181" s="359" t="str">
        <f>AE181</f>
        <v>Bayernliga Frauen</v>
      </c>
      <c r="G181" s="359"/>
      <c r="H181" s="359"/>
      <c r="I181" s="359"/>
      <c r="J181" s="359"/>
      <c r="K181" s="359"/>
      <c r="L181" s="359"/>
      <c r="M181" s="359"/>
      <c r="N181" s="359"/>
      <c r="O181" s="359"/>
      <c r="P181" s="359"/>
      <c r="Q181" s="359"/>
      <c r="R181" s="48"/>
      <c r="S181" s="49" t="s">
        <v>1794</v>
      </c>
      <c r="T181" s="50"/>
      <c r="U181" s="360" t="str">
        <f>AT181</f>
        <v>02.11./03.11.</v>
      </c>
      <c r="V181" s="361"/>
      <c r="W181" s="362"/>
      <c r="X181" s="363"/>
      <c r="Y181" s="364"/>
      <c r="Z181" s="364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0" t="str">
        <f>VLOOKUP(AS182,Spielorte!$A$1:$C$6,2)</f>
        <v>02.11./03.11.</v>
      </c>
      <c r="AU181" s="361"/>
      <c r="AV181" s="362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65">
      <c r="B182" s="53">
        <f>AA182</f>
        <v>7</v>
      </c>
      <c r="D182" s="46" t="s">
        <v>1793</v>
      </c>
      <c r="E182" s="54"/>
      <c r="F182" s="358" t="str">
        <f>AE182</f>
        <v>Regensburg Super Bowl</v>
      </c>
      <c r="G182" s="358"/>
      <c r="H182" s="358"/>
      <c r="I182" s="358"/>
      <c r="J182" s="358"/>
      <c r="K182" s="358"/>
      <c r="L182" s="358"/>
      <c r="M182" s="358"/>
      <c r="N182" s="358"/>
      <c r="O182" s="358"/>
      <c r="P182" s="55"/>
      <c r="Q182" s="55"/>
      <c r="S182" s="49" t="s">
        <v>1791</v>
      </c>
      <c r="T182" s="56">
        <f>AS182</f>
        <v>2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Regensburg Super Bowl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2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4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5" thickBot="1" x14ac:dyDescent="0.45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VLOOKUP(AA182,Schlüssel!$A$5:$DZ$14,33)</f>
        <v>12</v>
      </c>
      <c r="AE184" s="65" t="s">
        <v>10</v>
      </c>
      <c r="AF184" s="44">
        <f>VLOOKUP(AA182,Schlüssel!$A$5:$DZ$14,34)</f>
        <v>7</v>
      </c>
      <c r="AG184" s="65" t="s">
        <v>10</v>
      </c>
      <c r="AH184" s="44">
        <f>VLOOKUP(AA182,Schlüssel!$A$5:$DZ$14,35)</f>
        <v>5</v>
      </c>
      <c r="AI184" s="65" t="s">
        <v>10</v>
      </c>
      <c r="AJ184" s="44">
        <f>VLOOKUP(AA182,Schlüssel!$A$5:$DZ$14,36)</f>
        <v>9</v>
      </c>
      <c r="AK184" s="65" t="s">
        <v>10</v>
      </c>
      <c r="AL184" s="44">
        <f>VLOOKUP(AA182,Schlüssel!$A$5:$DZ$14,37)</f>
        <v>4</v>
      </c>
      <c r="AM184" s="65" t="s">
        <v>10</v>
      </c>
      <c r="AN184" s="44">
        <f>VLOOKUP(AA182,Schlüssel!$A$5:$DZ$14,38)</f>
        <v>10</v>
      </c>
      <c r="AO184" s="65" t="s">
        <v>10</v>
      </c>
      <c r="AP184" s="44">
        <f>VLOOKUP(AA182,Schlüssel!$A$5:$DZ$14,39)</f>
        <v>8</v>
      </c>
      <c r="AQ184" s="65" t="s">
        <v>10</v>
      </c>
      <c r="AR184" s="44">
        <f>VLOOKUP(AA182,Schlüssel!$A$5:$DZ$14,40)</f>
        <v>3</v>
      </c>
      <c r="AS184" s="65" t="s">
        <v>10</v>
      </c>
      <c r="AT184" s="66">
        <f>VLOOKUP(AA182,Schlüssel!$A$5:$DZ$14,41)</f>
        <v>11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35">
      <c r="B185" s="67" t="s">
        <v>1</v>
      </c>
      <c r="C185" s="68"/>
      <c r="D185" s="354" t="s">
        <v>1800</v>
      </c>
      <c r="E185" s="355"/>
      <c r="F185" s="354" t="s">
        <v>1801</v>
      </c>
      <c r="G185" s="355"/>
      <c r="H185" s="354" t="s">
        <v>1802</v>
      </c>
      <c r="I185" s="355"/>
      <c r="J185" s="354" t="s">
        <v>1803</v>
      </c>
      <c r="K185" s="355"/>
      <c r="L185" s="354" t="s">
        <v>1804</v>
      </c>
      <c r="M185" s="355"/>
      <c r="N185" s="354" t="s">
        <v>1805</v>
      </c>
      <c r="O185" s="355"/>
      <c r="P185" s="354" t="s">
        <v>1806</v>
      </c>
      <c r="Q185" s="355"/>
      <c r="R185" s="354" t="s">
        <v>1807</v>
      </c>
      <c r="S185" s="355"/>
      <c r="T185" s="354" t="s">
        <v>1808</v>
      </c>
      <c r="U185" s="355"/>
      <c r="V185" s="356" t="s">
        <v>1799</v>
      </c>
      <c r="W185" s="357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4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2" customHeight="1" x14ac:dyDescent="0.35">
      <c r="A187" s="367" t="s">
        <v>0</v>
      </c>
      <c r="B187" s="73" t="str">
        <f>IF(AA187=0,"",AA187)</f>
        <v>Deinlein, Christine</v>
      </c>
      <c r="C187" s="74">
        <f>IF(AB187=0,"",AB187)</f>
        <v>7758</v>
      </c>
      <c r="D187" s="75">
        <f>IF(AC187=0,"",AC187)</f>
        <v>165</v>
      </c>
      <c r="E187" s="348">
        <f>IF(AD187="","",AD187)</f>
        <v>0</v>
      </c>
      <c r="F187" s="75">
        <f t="shared" ref="F187:F200" si="209">IF(AE187=0,"",AE187)</f>
        <v>169</v>
      </c>
      <c r="G187" s="348">
        <f>IF(AF187="","",AF187)</f>
        <v>0</v>
      </c>
      <c r="H187" s="75">
        <f t="shared" ref="H187:H200" si="210">IF(AG187=0,"",AG187)</f>
        <v>182</v>
      </c>
      <c r="I187" s="348">
        <f>IF(AH187="","",AH187)</f>
        <v>1</v>
      </c>
      <c r="J187" s="75">
        <f t="shared" ref="J187:J200" si="211">IF(AI187=0,"",AI187)</f>
        <v>176</v>
      </c>
      <c r="K187" s="348">
        <f>IF(AJ187="","",AJ187)</f>
        <v>1</v>
      </c>
      <c r="L187" s="75">
        <f t="shared" ref="L187:L200" si="212">IF(AK187=0,"",AK187)</f>
        <v>168</v>
      </c>
      <c r="M187" s="348">
        <f>IF(AL187="","",AL187)</f>
        <v>0</v>
      </c>
      <c r="N187" s="75">
        <f>IF(AM187=0,"",AM187)</f>
        <v>196</v>
      </c>
      <c r="O187" s="348">
        <f>IF(AN187="","",AN187)</f>
        <v>1</v>
      </c>
      <c r="P187" s="75">
        <f t="shared" ref="P187:P200" si="213">IF(AO187=0,"",AO187)</f>
        <v>167</v>
      </c>
      <c r="Q187" s="348">
        <f>IF(AP187="","",AP187)</f>
        <v>0</v>
      </c>
      <c r="R187" s="75">
        <f t="shared" ref="R187:R200" si="214">IF(AQ187=0,"",AQ187)</f>
        <v>186</v>
      </c>
      <c r="S187" s="348">
        <f>IF(AR187="","",AR187)</f>
        <v>1</v>
      </c>
      <c r="T187" s="75">
        <f t="shared" ref="T187:T200" si="215">IF(AS187=0,"",AS187)</f>
        <v>175</v>
      </c>
      <c r="U187" s="348">
        <f>IF(AT187="","",AT187)</f>
        <v>1</v>
      </c>
      <c r="V187" s="75">
        <f t="shared" ref="V187:V200" si="216">IF(AU187=0,"",AU187)</f>
        <v>1584</v>
      </c>
      <c r="W187" s="348">
        <f>IF(AV187="","",AV187)</f>
        <v>5</v>
      </c>
      <c r="Z187" s="351" t="s">
        <v>0</v>
      </c>
      <c r="AA187" s="108" t="str">
        <f>IF(AB187=0,"",VLOOKUP(AB187,Starter!$A$1:$D$199,2,FALSE))</f>
        <v>Deinlein, Christine</v>
      </c>
      <c r="AB187" s="99">
        <v>7758</v>
      </c>
      <c r="AC187" s="185">
        <v>165</v>
      </c>
      <c r="AD187" s="109">
        <f>IF(SUM(AC187:AC189)+AC205=0,0,IF(SUM(AC187:AC189)=AC205,0.5,IF(SUM(AC187:AC189)&gt;AC205,1,0)))</f>
        <v>0</v>
      </c>
      <c r="AE187" s="185">
        <v>169</v>
      </c>
      <c r="AF187" s="109">
        <f>IF(SUM(AE187:AE189)+AE205=0,0,IF(SUM(AE187:AE189)=AE205,0.5,IF(SUM(AE187:AE189)&gt;AE205,1,0)))</f>
        <v>0</v>
      </c>
      <c r="AG187" s="185">
        <v>182</v>
      </c>
      <c r="AH187" s="109">
        <f>IF(SUM(AG187:AG189)+AG205=0,0,IF(SUM(AG187:AG189)=AG205,0.5,IF(SUM(AG187:AG189)&gt;AG205,1,0)))</f>
        <v>1</v>
      </c>
      <c r="AI187" s="185">
        <v>176</v>
      </c>
      <c r="AJ187" s="109">
        <f>IF(SUM(AI187:AI189)+AI205=0,0,IF(SUM(AI187:AI189)=AI205,0.5,IF(SUM(AI187:AI189)&gt;AI205,1,0)))</f>
        <v>1</v>
      </c>
      <c r="AK187" s="185">
        <v>168</v>
      </c>
      <c r="AL187" s="109">
        <f>IF(SUM(AK187:AK189)+AK205=0,0,IF(SUM(AK187:AK189)=AK205,0.5,IF(SUM(AK187:AK189)&gt;AK205,1,0)))</f>
        <v>0</v>
      </c>
      <c r="AM187" s="185">
        <v>196</v>
      </c>
      <c r="AN187" s="109">
        <f>IF(SUM(AM187:AM189)+AM205=0,0,IF(SUM(AM187:AM189)=AM205,0.5,IF(SUM(AM187:AM189)&gt;AM205,1,0)))</f>
        <v>1</v>
      </c>
      <c r="AO187" s="185">
        <v>167</v>
      </c>
      <c r="AP187" s="109">
        <f>IF(SUM(AO187:AO189)+AO205=0,0,IF(SUM(AO187:AO189)=AO205,0.5,IF(SUM(AO187:AO189)&gt;AO205,1,0)))</f>
        <v>0</v>
      </c>
      <c r="AQ187" s="185">
        <v>186</v>
      </c>
      <c r="AR187" s="109">
        <f>IF(SUM(AQ187:AQ189)+AQ205=0,0,IF(SUM(AQ187:AQ189)=AQ205,0.5,IF(SUM(AQ187:AQ189)&gt;AQ205,1,0)))</f>
        <v>1</v>
      </c>
      <c r="AS187" s="185">
        <v>175</v>
      </c>
      <c r="AT187" s="109">
        <f>IF(SUM(AS187:AS189)+AS205=0,0,IF(SUM(AS187:AS189)=AS205,0.5,IF(SUM(AS187:AS189)&gt;AS205,1,0)))</f>
        <v>1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1584</v>
      </c>
      <c r="AV187" s="111">
        <f>SUM(AD187+AF187+AH187+AJ187+AL187+AN187+AP187+AR187+AT187)</f>
        <v>5</v>
      </c>
      <c r="AW187" s="101"/>
      <c r="AX187" s="102"/>
      <c r="AZ187" s="63"/>
      <c r="BA187" s="212"/>
      <c r="BB187" s="213"/>
      <c r="BC187" s="214"/>
      <c r="BD187" s="217">
        <f>+AB187</f>
        <v>7758</v>
      </c>
      <c r="BE187" s="213">
        <f>+AU187</f>
        <v>1584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8">IF(AC187=0,"",AC187)</f>
        <v>165</v>
      </c>
      <c r="BI187" s="215">
        <f t="shared" ref="BI187:BI198" si="219">IF(AE187=0,"",AE187)</f>
        <v>169</v>
      </c>
      <c r="BJ187" s="215">
        <f t="shared" ref="BJ187:BJ198" si="220">IF(AG187=0,"",AG187)</f>
        <v>182</v>
      </c>
      <c r="BK187" s="215">
        <f t="shared" ref="BK187:BK198" si="221">IF(AI187=0,"",AI187)</f>
        <v>176</v>
      </c>
      <c r="BL187" s="215">
        <f t="shared" ref="BL187:BL198" si="222">IF(AK187=0,"",AK187)</f>
        <v>168</v>
      </c>
      <c r="BM187" s="215">
        <f t="shared" ref="BM187:BM198" si="223">IF(AM187=0,"",AM187)</f>
        <v>196</v>
      </c>
      <c r="BN187" s="215">
        <f t="shared" ref="BN187:BN198" si="224">IF(AO187=0,"",AO187)</f>
        <v>167</v>
      </c>
      <c r="BO187" s="215">
        <f t="shared" ref="BO187:BO198" si="225">IF(AQ187=0,"",AQ187)</f>
        <v>186</v>
      </c>
      <c r="BP187" s="215">
        <f t="shared" ref="BP187:BP198" si="226">IF(AS187=0,"",AS187)</f>
        <v>175</v>
      </c>
      <c r="BQ187" s="216"/>
      <c r="BR187" s="214"/>
      <c r="BS187" s="215">
        <f>MAX(BH187:BP187)</f>
        <v>196</v>
      </c>
      <c r="BT187" s="215">
        <f>IF(BS187&lt;MAX(BS:BS),0,BS187+ROW()/1000000000)</f>
        <v>0</v>
      </c>
      <c r="BU187" s="215" t="str">
        <f>+AA183</f>
        <v>Frankenpower Nürnberg</v>
      </c>
      <c r="BV187" s="214">
        <f>RANK(BT187,BT:BT)</f>
        <v>2</v>
      </c>
      <c r="BW187" s="215">
        <f>SUMIF(BH187:BP187,"&gt;0")</f>
        <v>1584</v>
      </c>
      <c r="BX187" s="215">
        <f>IF(COUNTIF(BH187:BP187,"&gt;0")&lt;Spielorte!$A$23,0,BE187/Spielorte!$A$23)</f>
        <v>176</v>
      </c>
      <c r="BY187" s="215">
        <f>IF(BX187&lt;MAX(BX:BX),0,BX187+ROW()/1000000000)</f>
        <v>0</v>
      </c>
      <c r="BZ187" s="214">
        <f t="shared" ref="BZ187:BZ198" si="227">IF(BY187=0,0,RANK(BY187,BY:BY))</f>
        <v>0</v>
      </c>
    </row>
    <row r="188" spans="1:78" ht="17.2" customHeight="1" x14ac:dyDescent="0.35">
      <c r="A188" s="368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49"/>
      <c r="F188" s="78" t="str">
        <f t="shared" si="209"/>
        <v/>
      </c>
      <c r="G188" s="349"/>
      <c r="H188" s="78" t="str">
        <f t="shared" si="210"/>
        <v/>
      </c>
      <c r="I188" s="349"/>
      <c r="J188" s="78" t="str">
        <f t="shared" si="211"/>
        <v/>
      </c>
      <c r="K188" s="349"/>
      <c r="L188" s="78" t="str">
        <f t="shared" si="212"/>
        <v/>
      </c>
      <c r="M188" s="349"/>
      <c r="N188" s="78" t="str">
        <f t="shared" ref="N188:N200" si="229">IF(AM188=0,"",AM188)</f>
        <v/>
      </c>
      <c r="O188" s="349"/>
      <c r="P188" s="78" t="str">
        <f t="shared" si="213"/>
        <v/>
      </c>
      <c r="Q188" s="349"/>
      <c r="R188" s="78" t="str">
        <f t="shared" si="214"/>
        <v/>
      </c>
      <c r="S188" s="349"/>
      <c r="T188" s="78" t="str">
        <f t="shared" si="215"/>
        <v/>
      </c>
      <c r="U188" s="349"/>
      <c r="V188" s="78" t="str">
        <f t="shared" si="216"/>
        <v/>
      </c>
      <c r="W188" s="349"/>
      <c r="Z188" s="352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0</v>
      </c>
      <c r="BU188" s="215" t="str">
        <f t="shared" ref="BU188:BU198" si="236">+BU187</f>
        <v>Frankenpower Nürnberg</v>
      </c>
      <c r="BV188" s="214">
        <f t="shared" ref="BV188:BV198" si="237">RANK(BT188,BT:BT)</f>
        <v>2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0</v>
      </c>
      <c r="BZ188" s="214">
        <f t="shared" si="227"/>
        <v>0</v>
      </c>
    </row>
    <row r="189" spans="1:78" ht="17.2" customHeight="1" thickBot="1" x14ac:dyDescent="0.4">
      <c r="A189" s="369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50"/>
      <c r="F189" s="69" t="str">
        <f t="shared" si="209"/>
        <v/>
      </c>
      <c r="G189" s="350"/>
      <c r="H189" s="69" t="str">
        <f t="shared" si="210"/>
        <v/>
      </c>
      <c r="I189" s="350"/>
      <c r="J189" s="69" t="str">
        <f t="shared" si="211"/>
        <v/>
      </c>
      <c r="K189" s="350"/>
      <c r="L189" s="69" t="str">
        <f t="shared" si="212"/>
        <v/>
      </c>
      <c r="M189" s="350"/>
      <c r="N189" s="69" t="str">
        <f t="shared" si="229"/>
        <v/>
      </c>
      <c r="O189" s="350"/>
      <c r="P189" s="69" t="str">
        <f t="shared" si="213"/>
        <v/>
      </c>
      <c r="Q189" s="350"/>
      <c r="R189" s="69" t="str">
        <f t="shared" si="214"/>
        <v/>
      </c>
      <c r="S189" s="350"/>
      <c r="T189" s="69" t="str">
        <f t="shared" si="215"/>
        <v/>
      </c>
      <c r="U189" s="350"/>
      <c r="V189" s="69" t="str">
        <f t="shared" si="216"/>
        <v/>
      </c>
      <c r="W189" s="350"/>
      <c r="Z189" s="353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0</v>
      </c>
      <c r="BU189" s="215" t="str">
        <f t="shared" si="236"/>
        <v>Frankenpower Nürnberg</v>
      </c>
      <c r="BV189" s="214">
        <f t="shared" si="237"/>
        <v>2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0</v>
      </c>
      <c r="BZ189" s="214">
        <f t="shared" si="227"/>
        <v>0</v>
      </c>
    </row>
    <row r="190" spans="1:78" ht="17.2" customHeight="1" x14ac:dyDescent="0.35">
      <c r="A190" s="367" t="s">
        <v>2</v>
      </c>
      <c r="B190" s="73" t="str">
        <f t="shared" si="228"/>
        <v>Legl, Renate</v>
      </c>
      <c r="C190" s="74">
        <f t="shared" si="228"/>
        <v>7757</v>
      </c>
      <c r="D190" s="75">
        <f t="shared" si="228"/>
        <v>157</v>
      </c>
      <c r="E190" s="348">
        <f>IF(AD190="","",AD190)</f>
        <v>0</v>
      </c>
      <c r="F190" s="75">
        <f t="shared" si="209"/>
        <v>163</v>
      </c>
      <c r="G190" s="348">
        <f>IF(AF190="","",AF190)</f>
        <v>0</v>
      </c>
      <c r="H190" s="75">
        <f t="shared" si="210"/>
        <v>170</v>
      </c>
      <c r="I190" s="348">
        <f>IF(AH190="","",AH190)</f>
        <v>0</v>
      </c>
      <c r="J190" s="75">
        <f t="shared" si="211"/>
        <v>202</v>
      </c>
      <c r="K190" s="348">
        <f>IF(AJ190="","",AJ190)</f>
        <v>1</v>
      </c>
      <c r="L190" s="75">
        <f t="shared" si="212"/>
        <v>161</v>
      </c>
      <c r="M190" s="348">
        <f>IF(AL190="","",AL190)</f>
        <v>1</v>
      </c>
      <c r="N190" s="75">
        <f t="shared" si="229"/>
        <v>183</v>
      </c>
      <c r="O190" s="348">
        <f>IF(AN190="","",AN190)</f>
        <v>0</v>
      </c>
      <c r="P190" s="75">
        <f t="shared" si="213"/>
        <v>162</v>
      </c>
      <c r="Q190" s="348">
        <f>IF(AP190="","",AP190)</f>
        <v>0</v>
      </c>
      <c r="R190" s="75">
        <f t="shared" si="214"/>
        <v>166</v>
      </c>
      <c r="S190" s="348">
        <f>IF(AR190="","",AR190)</f>
        <v>0</v>
      </c>
      <c r="T190" s="75">
        <f t="shared" si="215"/>
        <v>150</v>
      </c>
      <c r="U190" s="348">
        <f>IF(AT190="","",AT190)</f>
        <v>1</v>
      </c>
      <c r="V190" s="75">
        <f t="shared" si="216"/>
        <v>1514</v>
      </c>
      <c r="W190" s="348">
        <f>IF(AV190="","",AV190)</f>
        <v>3</v>
      </c>
      <c r="Z190" s="351" t="s">
        <v>2</v>
      </c>
      <c r="AA190" s="108" t="str">
        <f>IF(AB190=0,"",VLOOKUP(AB190,Starter!$A$1:$D$199,2,FALSE))</f>
        <v>Legl, Renate</v>
      </c>
      <c r="AB190" s="99">
        <v>7757</v>
      </c>
      <c r="AC190" s="188">
        <v>157</v>
      </c>
      <c r="AD190" s="109">
        <f>IF(SUM(AC190:AC192)+AC206=0,0,IF(SUM(AC190:AC192)=AC206,0.5,IF(SUM(AC190:AC192)&gt;AC206,1,0)))</f>
        <v>0</v>
      </c>
      <c r="AE190" s="188">
        <v>163</v>
      </c>
      <c r="AF190" s="109">
        <f>IF(SUM(AE190:AE192)+AE206=0,0,IF(SUM(AE190:AE192)=AE206,0.5,IF(SUM(AE190:AE192)&gt;AE206,1,0)))</f>
        <v>0</v>
      </c>
      <c r="AG190" s="188">
        <v>170</v>
      </c>
      <c r="AH190" s="109">
        <f>IF(SUM(AG190:AG192)+AG206=0,0,IF(SUM(AG190:AG192)=AG206,0.5,IF(SUM(AG190:AG192)&gt;AG206,1,0)))</f>
        <v>0</v>
      </c>
      <c r="AI190" s="188">
        <v>202</v>
      </c>
      <c r="AJ190" s="109">
        <f>IF(SUM(AI190:AI192)+AI206=0,0,IF(SUM(AI190:AI192)=AI206,0.5,IF(SUM(AI190:AI192)&gt;AI206,1,0)))</f>
        <v>1</v>
      </c>
      <c r="AK190" s="188">
        <v>161</v>
      </c>
      <c r="AL190" s="109">
        <f>IF(SUM(AK190:AK192)+AK206=0,0,IF(SUM(AK190:AK192)=AK206,0.5,IF(SUM(AK190:AK192)&gt;AK206,1,0)))</f>
        <v>1</v>
      </c>
      <c r="AM190" s="188">
        <v>183</v>
      </c>
      <c r="AN190" s="109">
        <f>IF(SUM(AM190:AM192)+AM206=0,0,IF(SUM(AM190:AM192)=AM206,0.5,IF(SUM(AM190:AM192)&gt;AM206,1,0)))</f>
        <v>0</v>
      </c>
      <c r="AO190" s="188">
        <v>162</v>
      </c>
      <c r="AP190" s="109">
        <f>IF(SUM(AO190:AO192)+AO206=0,0,IF(SUM(AO190:AO192)=AO206,0.5,IF(SUM(AO190:AO192)&gt;AO206,1,0)))</f>
        <v>0</v>
      </c>
      <c r="AQ190" s="188">
        <v>166</v>
      </c>
      <c r="AR190" s="109">
        <f>IF(SUM(AQ190:AQ192)+AQ206=0,0,IF(SUM(AQ190:AQ192)=AQ206,0.5,IF(SUM(AQ190:AQ192)&gt;AQ206,1,0)))</f>
        <v>0</v>
      </c>
      <c r="AS190" s="188">
        <v>150</v>
      </c>
      <c r="AT190" s="109">
        <f>IF(SUM(AS190:AS192)+AS206=0,0,IF(SUM(AS190:AS192)=AS206,0.5,IF(SUM(AS190:AS192)&gt;AS206,1,0)))</f>
        <v>1</v>
      </c>
      <c r="AU190" s="110">
        <f t="shared" si="217"/>
        <v>1514</v>
      </c>
      <c r="AV190" s="111">
        <f>SUM(AD190+AF190+AH190+AJ190+AL190+AN190+AP190+AR190+AT190)</f>
        <v>3</v>
      </c>
      <c r="AW190" s="101"/>
      <c r="AX190" s="102"/>
      <c r="AZ190" s="63"/>
      <c r="BA190" s="212"/>
      <c r="BB190" s="213"/>
      <c r="BC190" s="214"/>
      <c r="BD190" s="217">
        <f t="shared" si="230"/>
        <v>7757</v>
      </c>
      <c r="BE190" s="213">
        <f t="shared" si="231"/>
        <v>1514</v>
      </c>
      <c r="BF190" s="215">
        <f t="shared" si="232"/>
        <v>9</v>
      </c>
      <c r="BG190" s="215">
        <f t="shared" si="233"/>
        <v>9</v>
      </c>
      <c r="BH190" s="215">
        <f t="shared" si="218"/>
        <v>157</v>
      </c>
      <c r="BI190" s="215">
        <f t="shared" si="219"/>
        <v>163</v>
      </c>
      <c r="BJ190" s="215">
        <f t="shared" si="220"/>
        <v>170</v>
      </c>
      <c r="BK190" s="215">
        <f t="shared" si="221"/>
        <v>202</v>
      </c>
      <c r="BL190" s="215">
        <f t="shared" si="222"/>
        <v>161</v>
      </c>
      <c r="BM190" s="215">
        <f t="shared" si="223"/>
        <v>183</v>
      </c>
      <c r="BN190" s="215">
        <f t="shared" si="224"/>
        <v>162</v>
      </c>
      <c r="BO190" s="215">
        <f t="shared" si="225"/>
        <v>166</v>
      </c>
      <c r="BP190" s="215">
        <f t="shared" si="226"/>
        <v>150</v>
      </c>
      <c r="BQ190" s="216"/>
      <c r="BR190" s="214"/>
      <c r="BS190" s="215">
        <f t="shared" si="234"/>
        <v>202</v>
      </c>
      <c r="BT190" s="215">
        <f t="shared" si="235"/>
        <v>0</v>
      </c>
      <c r="BU190" s="215" t="str">
        <f t="shared" si="236"/>
        <v>Frankenpower Nürnberg</v>
      </c>
      <c r="BV190" s="214">
        <f t="shared" si="237"/>
        <v>2</v>
      </c>
      <c r="BW190" s="215">
        <f t="shared" si="238"/>
        <v>1514</v>
      </c>
      <c r="BX190" s="215">
        <f>IF(COUNTIF(BH190:BP190,"&gt;0")&lt;Spielorte!$A$23,0,BE190/Spielorte!$A$23)</f>
        <v>168.22222222222223</v>
      </c>
      <c r="BY190" s="215">
        <f t="shared" si="239"/>
        <v>0</v>
      </c>
      <c r="BZ190" s="214">
        <f t="shared" si="227"/>
        <v>0</v>
      </c>
    </row>
    <row r="191" spans="1:78" ht="17.2" customHeight="1" x14ac:dyDescent="0.35">
      <c r="A191" s="368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49"/>
      <c r="F191" s="78" t="str">
        <f t="shared" si="209"/>
        <v/>
      </c>
      <c r="G191" s="349"/>
      <c r="H191" s="78" t="str">
        <f t="shared" si="210"/>
        <v/>
      </c>
      <c r="I191" s="349"/>
      <c r="J191" s="78" t="str">
        <f t="shared" si="211"/>
        <v/>
      </c>
      <c r="K191" s="349"/>
      <c r="L191" s="78" t="str">
        <f t="shared" si="212"/>
        <v/>
      </c>
      <c r="M191" s="349"/>
      <c r="N191" s="78" t="str">
        <f t="shared" si="229"/>
        <v/>
      </c>
      <c r="O191" s="349"/>
      <c r="P191" s="78" t="str">
        <f t="shared" si="213"/>
        <v/>
      </c>
      <c r="Q191" s="349"/>
      <c r="R191" s="78" t="str">
        <f t="shared" si="214"/>
        <v/>
      </c>
      <c r="S191" s="349"/>
      <c r="T191" s="78" t="str">
        <f t="shared" si="215"/>
        <v/>
      </c>
      <c r="U191" s="349"/>
      <c r="V191" s="78" t="str">
        <f t="shared" si="216"/>
        <v/>
      </c>
      <c r="W191" s="349"/>
      <c r="Z191" s="352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0</v>
      </c>
      <c r="BU191" s="215" t="str">
        <f t="shared" si="236"/>
        <v>Frankenpower Nürnberg</v>
      </c>
      <c r="BV191" s="214">
        <f t="shared" si="237"/>
        <v>2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0</v>
      </c>
      <c r="BZ191" s="214">
        <f t="shared" si="227"/>
        <v>0</v>
      </c>
    </row>
    <row r="192" spans="1:78" ht="17.2" customHeight="1" thickBot="1" x14ac:dyDescent="0.4">
      <c r="A192" s="369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50"/>
      <c r="F192" s="69" t="str">
        <f t="shared" si="209"/>
        <v/>
      </c>
      <c r="G192" s="350"/>
      <c r="H192" s="69" t="str">
        <f t="shared" si="210"/>
        <v/>
      </c>
      <c r="I192" s="350"/>
      <c r="J192" s="69" t="str">
        <f t="shared" si="211"/>
        <v/>
      </c>
      <c r="K192" s="350"/>
      <c r="L192" s="69" t="str">
        <f t="shared" si="212"/>
        <v/>
      </c>
      <c r="M192" s="350"/>
      <c r="N192" s="69" t="str">
        <f t="shared" si="229"/>
        <v/>
      </c>
      <c r="O192" s="350"/>
      <c r="P192" s="69" t="str">
        <f t="shared" si="213"/>
        <v/>
      </c>
      <c r="Q192" s="350"/>
      <c r="R192" s="69" t="str">
        <f t="shared" si="214"/>
        <v/>
      </c>
      <c r="S192" s="350"/>
      <c r="T192" s="69" t="str">
        <f t="shared" si="215"/>
        <v/>
      </c>
      <c r="U192" s="350"/>
      <c r="V192" s="69" t="str">
        <f t="shared" si="216"/>
        <v/>
      </c>
      <c r="W192" s="350"/>
      <c r="Z192" s="353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0</v>
      </c>
      <c r="BU192" s="215" t="str">
        <f t="shared" si="236"/>
        <v>Frankenpower Nürnberg</v>
      </c>
      <c r="BV192" s="214">
        <f t="shared" si="237"/>
        <v>2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0</v>
      </c>
      <c r="BZ192" s="214">
        <f t="shared" si="227"/>
        <v>0</v>
      </c>
    </row>
    <row r="193" spans="1:78" ht="17.2" customHeight="1" x14ac:dyDescent="0.35">
      <c r="A193" s="367" t="s">
        <v>3</v>
      </c>
      <c r="B193" s="73" t="str">
        <f t="shared" si="228"/>
        <v>Reng, Verena</v>
      </c>
      <c r="C193" s="74">
        <f t="shared" si="228"/>
        <v>38560</v>
      </c>
      <c r="D193" s="75">
        <f t="shared" si="228"/>
        <v>181</v>
      </c>
      <c r="E193" s="348">
        <f>IF(AD193="","",AD193)</f>
        <v>1</v>
      </c>
      <c r="F193" s="75">
        <f t="shared" si="209"/>
        <v>181</v>
      </c>
      <c r="G193" s="348">
        <f>IF(AF193="","",AF193)</f>
        <v>1</v>
      </c>
      <c r="H193" s="75">
        <f t="shared" si="210"/>
        <v>169</v>
      </c>
      <c r="I193" s="348">
        <f>IF(AH193="","",AH193)</f>
        <v>1</v>
      </c>
      <c r="J193" s="75">
        <f t="shared" si="211"/>
        <v>153</v>
      </c>
      <c r="K193" s="348">
        <f>IF(AJ193="","",AJ193)</f>
        <v>0</v>
      </c>
      <c r="L193" s="75">
        <f t="shared" si="212"/>
        <v>236</v>
      </c>
      <c r="M193" s="348">
        <f>IF(AL193="","",AL193)</f>
        <v>1</v>
      </c>
      <c r="N193" s="75">
        <f t="shared" si="229"/>
        <v>146</v>
      </c>
      <c r="O193" s="348">
        <f>IF(AN193="","",AN193)</f>
        <v>0</v>
      </c>
      <c r="P193" s="75">
        <f t="shared" si="213"/>
        <v>150</v>
      </c>
      <c r="Q193" s="348">
        <f>IF(AP193="","",AP193)</f>
        <v>0</v>
      </c>
      <c r="R193" s="75">
        <f t="shared" si="214"/>
        <v>142</v>
      </c>
      <c r="S193" s="348">
        <f>IF(AR193="","",AR193)</f>
        <v>0</v>
      </c>
      <c r="T193" s="75">
        <f t="shared" si="215"/>
        <v>213</v>
      </c>
      <c r="U193" s="348">
        <f>IF(AT193="","",AT193)</f>
        <v>1</v>
      </c>
      <c r="V193" s="75">
        <f t="shared" si="216"/>
        <v>1571</v>
      </c>
      <c r="W193" s="348">
        <f>IF(AV193="","",AV193)</f>
        <v>5</v>
      </c>
      <c r="Z193" s="351" t="s">
        <v>3</v>
      </c>
      <c r="AA193" s="108" t="str">
        <f>IF(AB193=0,"",VLOOKUP(AB193,Starter!$A$1:$D$199,2,FALSE))</f>
        <v>Reng, Verena</v>
      </c>
      <c r="AB193" s="99">
        <v>38560</v>
      </c>
      <c r="AC193" s="188">
        <v>181</v>
      </c>
      <c r="AD193" s="109">
        <f>IF(SUM(AC193:AC195)+AC207=0,0,IF(SUM(AC193:AC195)=AC207,0.5,IF(SUM(AC193:AC195)&gt;AC207,1,0)))</f>
        <v>1</v>
      </c>
      <c r="AE193" s="188">
        <v>181</v>
      </c>
      <c r="AF193" s="109">
        <f>IF(SUM(AE193:AE195)+AE207=0,0,IF(SUM(AE193:AE195)=AE207,0.5,IF(SUM(AE193:AE195)&gt;AE207,1,0)))</f>
        <v>1</v>
      </c>
      <c r="AG193" s="188">
        <v>169</v>
      </c>
      <c r="AH193" s="109">
        <f>IF(SUM(AG193:AG195)+AG207=0,0,IF(SUM(AG193:AG195)=AG207,0.5,IF(SUM(AG193:AG195)&gt;AG207,1,0)))</f>
        <v>1</v>
      </c>
      <c r="AI193" s="188">
        <v>153</v>
      </c>
      <c r="AJ193" s="109">
        <f>IF(SUM(AI193:AI195)+AI207=0,0,IF(SUM(AI193:AI195)=AI207,0.5,IF(SUM(AI193:AI195)&gt;AI207,1,0)))</f>
        <v>0</v>
      </c>
      <c r="AK193" s="188">
        <v>236</v>
      </c>
      <c r="AL193" s="109">
        <f>IF(SUM(AK193:AK195)+AK207=0,0,IF(SUM(AK193:AK195)=AK207,0.5,IF(SUM(AK193:AK195)&gt;AK207,1,0)))</f>
        <v>1</v>
      </c>
      <c r="AM193" s="188">
        <v>146</v>
      </c>
      <c r="AN193" s="109">
        <f>IF(SUM(AM193:AM195)+AM207=0,0,IF(SUM(AM193:AM195)=AM207,0.5,IF(SUM(AM193:AM195)&gt;AM207,1,0)))</f>
        <v>0</v>
      </c>
      <c r="AO193" s="188">
        <v>150</v>
      </c>
      <c r="AP193" s="109">
        <f>IF(SUM(AO193:AO195)+AO207=0,0,IF(SUM(AO193:AO195)=AO207,0.5,IF(SUM(AO193:AO195)&gt;AO207,1,0)))</f>
        <v>0</v>
      </c>
      <c r="AQ193" s="188">
        <v>142</v>
      </c>
      <c r="AR193" s="109">
        <f>IF(SUM(AQ193:AQ195)+AQ207=0,0,IF(SUM(AQ193:AQ195)=AQ207,0.5,IF(SUM(AQ193:AQ195)&gt;AQ207,1,0)))</f>
        <v>0</v>
      </c>
      <c r="AS193" s="188">
        <v>213</v>
      </c>
      <c r="AT193" s="109">
        <f>IF(SUM(AS193:AS195)+AS207=0,0,IF(SUM(AS193:AS195)=AS207,0.5,IF(SUM(AS193:AS195)&gt;AS207,1,0)))</f>
        <v>1</v>
      </c>
      <c r="AU193" s="110">
        <f t="shared" si="217"/>
        <v>1571</v>
      </c>
      <c r="AV193" s="111">
        <f>SUM(AD193+AF193+AH193+AJ193+AL193+AN193+AP193+AR193+AT193)</f>
        <v>5</v>
      </c>
      <c r="AW193" s="101"/>
      <c r="AX193" s="102"/>
      <c r="AZ193" s="63"/>
      <c r="BA193" s="212"/>
      <c r="BB193" s="213"/>
      <c r="BC193" s="214"/>
      <c r="BD193" s="217">
        <f t="shared" si="230"/>
        <v>38560</v>
      </c>
      <c r="BE193" s="213">
        <f t="shared" si="231"/>
        <v>1571</v>
      </c>
      <c r="BF193" s="215">
        <f t="shared" si="232"/>
        <v>9</v>
      </c>
      <c r="BG193" s="215">
        <f t="shared" si="233"/>
        <v>9</v>
      </c>
      <c r="BH193" s="215">
        <f t="shared" si="218"/>
        <v>181</v>
      </c>
      <c r="BI193" s="215">
        <f t="shared" si="219"/>
        <v>181</v>
      </c>
      <c r="BJ193" s="215">
        <f t="shared" si="220"/>
        <v>169</v>
      </c>
      <c r="BK193" s="215">
        <f t="shared" si="221"/>
        <v>153</v>
      </c>
      <c r="BL193" s="215">
        <f t="shared" si="222"/>
        <v>236</v>
      </c>
      <c r="BM193" s="215">
        <f t="shared" si="223"/>
        <v>146</v>
      </c>
      <c r="BN193" s="215">
        <f t="shared" si="224"/>
        <v>150</v>
      </c>
      <c r="BO193" s="215">
        <f t="shared" si="225"/>
        <v>142</v>
      </c>
      <c r="BP193" s="215">
        <f t="shared" si="226"/>
        <v>213</v>
      </c>
      <c r="BQ193" s="216"/>
      <c r="BR193" s="214"/>
      <c r="BS193" s="215">
        <f t="shared" si="234"/>
        <v>236</v>
      </c>
      <c r="BT193" s="215">
        <f t="shared" si="235"/>
        <v>0</v>
      </c>
      <c r="BU193" s="215" t="str">
        <f t="shared" si="236"/>
        <v>Frankenpower Nürnberg</v>
      </c>
      <c r="BV193" s="214">
        <f t="shared" si="237"/>
        <v>2</v>
      </c>
      <c r="BW193" s="215">
        <f t="shared" si="238"/>
        <v>1571</v>
      </c>
      <c r="BX193" s="215">
        <f>IF(COUNTIF(BH193:BP193,"&gt;0")&lt;Spielorte!$A$23,0,BE193/Spielorte!$A$23)</f>
        <v>174.55555555555554</v>
      </c>
      <c r="BY193" s="215">
        <f t="shared" si="239"/>
        <v>0</v>
      </c>
      <c r="BZ193" s="214">
        <f t="shared" si="227"/>
        <v>0</v>
      </c>
    </row>
    <row r="194" spans="1:78" ht="17.2" customHeight="1" x14ac:dyDescent="0.35">
      <c r="A194" s="368"/>
      <c r="B194" s="76" t="str">
        <f t="shared" si="228"/>
        <v/>
      </c>
      <c r="C194" s="77" t="str">
        <f t="shared" si="228"/>
        <v/>
      </c>
      <c r="D194" s="78" t="str">
        <f t="shared" si="228"/>
        <v/>
      </c>
      <c r="E194" s="349"/>
      <c r="F194" s="78" t="str">
        <f t="shared" si="209"/>
        <v/>
      </c>
      <c r="G194" s="349"/>
      <c r="H194" s="78" t="str">
        <f t="shared" si="210"/>
        <v/>
      </c>
      <c r="I194" s="349"/>
      <c r="J194" s="78" t="str">
        <f t="shared" si="211"/>
        <v/>
      </c>
      <c r="K194" s="349"/>
      <c r="L194" s="78" t="str">
        <f t="shared" si="212"/>
        <v/>
      </c>
      <c r="M194" s="349"/>
      <c r="N194" s="78" t="str">
        <f t="shared" si="229"/>
        <v/>
      </c>
      <c r="O194" s="349"/>
      <c r="P194" s="78" t="str">
        <f t="shared" si="213"/>
        <v/>
      </c>
      <c r="Q194" s="349"/>
      <c r="R194" s="78" t="str">
        <f t="shared" si="214"/>
        <v/>
      </c>
      <c r="S194" s="349"/>
      <c r="T194" s="78" t="str">
        <f t="shared" si="215"/>
        <v/>
      </c>
      <c r="U194" s="349"/>
      <c r="V194" s="78" t="str">
        <f t="shared" si="216"/>
        <v/>
      </c>
      <c r="W194" s="349"/>
      <c r="Z194" s="352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7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0</v>
      </c>
      <c r="BE194" s="213">
        <f t="shared" si="231"/>
        <v>0</v>
      </c>
      <c r="BF194" s="215">
        <f t="shared" si="232"/>
        <v>0</v>
      </c>
      <c r="BG194" s="215">
        <f t="shared" si="233"/>
        <v>0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 t="str">
        <f t="shared" si="222"/>
        <v/>
      </c>
      <c r="BM194" s="215" t="str">
        <f t="shared" si="223"/>
        <v/>
      </c>
      <c r="BN194" s="215" t="str">
        <f t="shared" si="224"/>
        <v/>
      </c>
      <c r="BO194" s="215" t="str">
        <f t="shared" si="225"/>
        <v/>
      </c>
      <c r="BP194" s="215" t="str">
        <f t="shared" si="226"/>
        <v/>
      </c>
      <c r="BQ194" s="216"/>
      <c r="BR194" s="214"/>
      <c r="BS194" s="215">
        <f t="shared" si="234"/>
        <v>0</v>
      </c>
      <c r="BT194" s="215">
        <f t="shared" si="235"/>
        <v>0</v>
      </c>
      <c r="BU194" s="215" t="str">
        <f t="shared" si="236"/>
        <v>Frankenpower Nürnberg</v>
      </c>
      <c r="BV194" s="214">
        <f t="shared" si="237"/>
        <v>2</v>
      </c>
      <c r="BW194" s="215">
        <f t="shared" si="238"/>
        <v>0</v>
      </c>
      <c r="BX194" s="215">
        <f>IF(COUNTIF(BH194:BP194,"&gt;0")&lt;Spielorte!$A$23,0,BE194/Spielorte!$A$23)</f>
        <v>0</v>
      </c>
      <c r="BY194" s="215">
        <f t="shared" si="239"/>
        <v>0</v>
      </c>
      <c r="BZ194" s="214">
        <f t="shared" si="227"/>
        <v>0</v>
      </c>
    </row>
    <row r="195" spans="1:78" ht="17.2" customHeight="1" thickBot="1" x14ac:dyDescent="0.4">
      <c r="A195" s="369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50"/>
      <c r="F195" s="69" t="str">
        <f t="shared" si="209"/>
        <v/>
      </c>
      <c r="G195" s="350"/>
      <c r="H195" s="69" t="str">
        <f t="shared" si="210"/>
        <v/>
      </c>
      <c r="I195" s="350"/>
      <c r="J195" s="69" t="str">
        <f t="shared" si="211"/>
        <v/>
      </c>
      <c r="K195" s="350"/>
      <c r="L195" s="69" t="str">
        <f t="shared" si="212"/>
        <v/>
      </c>
      <c r="M195" s="350"/>
      <c r="N195" s="69" t="str">
        <f t="shared" si="229"/>
        <v/>
      </c>
      <c r="O195" s="350"/>
      <c r="P195" s="69" t="str">
        <f t="shared" si="213"/>
        <v/>
      </c>
      <c r="Q195" s="350"/>
      <c r="R195" s="69" t="str">
        <f t="shared" si="214"/>
        <v/>
      </c>
      <c r="S195" s="350"/>
      <c r="T195" s="69" t="str">
        <f t="shared" si="215"/>
        <v/>
      </c>
      <c r="U195" s="350"/>
      <c r="V195" s="69" t="str">
        <f t="shared" si="216"/>
        <v/>
      </c>
      <c r="W195" s="350"/>
      <c r="Z195" s="353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0</v>
      </c>
      <c r="BU195" s="215" t="str">
        <f t="shared" si="236"/>
        <v>Frankenpower Nürnberg</v>
      </c>
      <c r="BV195" s="214">
        <f t="shared" si="237"/>
        <v>2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0</v>
      </c>
      <c r="BZ195" s="214">
        <f t="shared" si="227"/>
        <v>0</v>
      </c>
    </row>
    <row r="196" spans="1:78" ht="17.2" customHeight="1" x14ac:dyDescent="0.35">
      <c r="A196" s="367" t="s">
        <v>11</v>
      </c>
      <c r="B196" s="73" t="str">
        <f>IF(AA196=0,"",AA196)</f>
        <v>Krämer, Gisela</v>
      </c>
      <c r="C196" s="74">
        <f t="shared" si="228"/>
        <v>7753</v>
      </c>
      <c r="D196" s="75">
        <f t="shared" si="228"/>
        <v>181</v>
      </c>
      <c r="E196" s="348">
        <f>IF(AD196="","",AD196)</f>
        <v>1</v>
      </c>
      <c r="F196" s="75">
        <f t="shared" si="209"/>
        <v>155</v>
      </c>
      <c r="G196" s="348">
        <f>IF(AF196="","",AF196)</f>
        <v>0</v>
      </c>
      <c r="H196" s="75">
        <f t="shared" si="210"/>
        <v>181</v>
      </c>
      <c r="I196" s="348">
        <f>IF(AH196="","",AH196)</f>
        <v>1</v>
      </c>
      <c r="J196" s="75">
        <f t="shared" si="211"/>
        <v>191</v>
      </c>
      <c r="K196" s="348">
        <f>IF(AJ196="","",AJ196)</f>
        <v>0</v>
      </c>
      <c r="L196" s="75">
        <f t="shared" si="212"/>
        <v>180</v>
      </c>
      <c r="M196" s="348">
        <f>IF(AL196="","",AL196)</f>
        <v>1</v>
      </c>
      <c r="N196" s="75">
        <f t="shared" si="229"/>
        <v>175</v>
      </c>
      <c r="O196" s="348">
        <f>IF(AN196="","",AN196)</f>
        <v>1</v>
      </c>
      <c r="P196" s="75">
        <f t="shared" si="213"/>
        <v>168</v>
      </c>
      <c r="Q196" s="348">
        <f>IF(AP196="","",AP196)</f>
        <v>1</v>
      </c>
      <c r="R196" s="75">
        <f t="shared" si="214"/>
        <v>167</v>
      </c>
      <c r="S196" s="348">
        <f>IF(AR196="","",AR196)</f>
        <v>0</v>
      </c>
      <c r="T196" s="75">
        <f t="shared" si="215"/>
        <v>168</v>
      </c>
      <c r="U196" s="348">
        <f>IF(AT196="","",AT196)</f>
        <v>1</v>
      </c>
      <c r="V196" s="75">
        <f t="shared" si="216"/>
        <v>1566</v>
      </c>
      <c r="W196" s="348">
        <f>IF(AV196="","",AV196)</f>
        <v>6</v>
      </c>
      <c r="Z196" s="351" t="s">
        <v>11</v>
      </c>
      <c r="AA196" s="108" t="str">
        <f>IF(AB196=0,"",VLOOKUP(AB196,Starter!$A$1:$D$199,2,FALSE))</f>
        <v>Krämer, Gisela</v>
      </c>
      <c r="AB196" s="99">
        <v>7753</v>
      </c>
      <c r="AC196" s="188">
        <v>181</v>
      </c>
      <c r="AD196" s="109">
        <f>IF(SUM(AC196:AC198)+AC208=0,0,IF(SUM(AC196:AC198)=AC208,0.5,IF(SUM(AC196:AC198)&gt;AC208,1,0)))</f>
        <v>1</v>
      </c>
      <c r="AE196" s="188">
        <v>155</v>
      </c>
      <c r="AF196" s="109">
        <f>IF(SUM(AE196:AE198)+AE208=0,0,IF(SUM(AE196:AE198)=AE208,0.5,IF(SUM(AE196:AE198)&gt;AE208,1,0)))</f>
        <v>0</v>
      </c>
      <c r="AG196" s="188">
        <v>181</v>
      </c>
      <c r="AH196" s="109">
        <f>IF(SUM(AG196:AG198)+AG208=0,0,IF(SUM(AG196:AG198)=AG208,0.5,IF(SUM(AG196:AG198)&gt;AG208,1,0)))</f>
        <v>1</v>
      </c>
      <c r="AI196" s="188">
        <v>191</v>
      </c>
      <c r="AJ196" s="109">
        <f>IF(SUM(AI196:AI198)+AI208=0,0,IF(SUM(AI196:AI198)=AI208,0.5,IF(SUM(AI196:AI198)&gt;AI208,1,0)))</f>
        <v>0</v>
      </c>
      <c r="AK196" s="188">
        <v>180</v>
      </c>
      <c r="AL196" s="109">
        <f>IF(SUM(AK196:AK198)+AK208=0,0,IF(SUM(AK196:AK198)=AK208,0.5,IF(SUM(AK196:AK198)&gt;AK208,1,0)))</f>
        <v>1</v>
      </c>
      <c r="AM196" s="188">
        <v>175</v>
      </c>
      <c r="AN196" s="109">
        <f>IF(SUM(AM196:AM198)+AM208=0,0,IF(SUM(AM196:AM198)=AM208,0.5,IF(SUM(AM196:AM198)&gt;AM208,1,0)))</f>
        <v>1</v>
      </c>
      <c r="AO196" s="188">
        <v>168</v>
      </c>
      <c r="AP196" s="109">
        <f>IF(SUM(AO196:AO198)+AO208=0,0,IF(SUM(AO196:AO198)=AO208,0.5,IF(SUM(AO196:AO198)&gt;AO208,1,0)))</f>
        <v>1</v>
      </c>
      <c r="AQ196" s="188">
        <v>167</v>
      </c>
      <c r="AR196" s="109">
        <f>IF(SUM(AQ196:AQ198)+AQ208=0,0,IF(SUM(AQ196:AQ198)=AQ208,0.5,IF(SUM(AQ196:AQ198)&gt;AQ208,1,0)))</f>
        <v>0</v>
      </c>
      <c r="AS196" s="188">
        <v>168</v>
      </c>
      <c r="AT196" s="109">
        <f>IF(SUM(AS196:AS198)+AS208=0,0,IF(SUM(AS196:AS198)=AS208,0.5,IF(SUM(AS196:AS198)&gt;AS208,1,0)))</f>
        <v>1</v>
      </c>
      <c r="AU196" s="110">
        <f t="shared" si="217"/>
        <v>1566</v>
      </c>
      <c r="AV196" s="111">
        <f>SUM(AD196+AF196+AH196+AJ196+AL196+AN196+AP196+AR196+AT196)</f>
        <v>6</v>
      </c>
      <c r="AW196" s="101"/>
      <c r="AX196" s="102"/>
      <c r="AZ196" s="63"/>
      <c r="BA196" s="212"/>
      <c r="BB196" s="213"/>
      <c r="BC196" s="214"/>
      <c r="BD196" s="217">
        <f t="shared" si="230"/>
        <v>7753</v>
      </c>
      <c r="BE196" s="213">
        <f t="shared" si="231"/>
        <v>1566</v>
      </c>
      <c r="BF196" s="215">
        <f t="shared" si="232"/>
        <v>9</v>
      </c>
      <c r="BG196" s="215">
        <f t="shared" si="233"/>
        <v>9</v>
      </c>
      <c r="BH196" s="215">
        <f t="shared" si="218"/>
        <v>181</v>
      </c>
      <c r="BI196" s="215">
        <f t="shared" si="219"/>
        <v>155</v>
      </c>
      <c r="BJ196" s="215">
        <f t="shared" si="220"/>
        <v>181</v>
      </c>
      <c r="BK196" s="215">
        <f t="shared" si="221"/>
        <v>191</v>
      </c>
      <c r="BL196" s="215">
        <f t="shared" si="222"/>
        <v>180</v>
      </c>
      <c r="BM196" s="215">
        <f t="shared" si="223"/>
        <v>175</v>
      </c>
      <c r="BN196" s="215">
        <f t="shared" si="224"/>
        <v>168</v>
      </c>
      <c r="BO196" s="215">
        <f t="shared" si="225"/>
        <v>167</v>
      </c>
      <c r="BP196" s="215">
        <f t="shared" si="226"/>
        <v>168</v>
      </c>
      <c r="BQ196" s="216"/>
      <c r="BR196" s="214"/>
      <c r="BS196" s="215">
        <f t="shared" si="234"/>
        <v>191</v>
      </c>
      <c r="BT196" s="215">
        <f t="shared" si="235"/>
        <v>0</v>
      </c>
      <c r="BU196" s="215" t="str">
        <f t="shared" si="236"/>
        <v>Frankenpower Nürnberg</v>
      </c>
      <c r="BV196" s="214">
        <f t="shared" si="237"/>
        <v>2</v>
      </c>
      <c r="BW196" s="215">
        <f t="shared" si="238"/>
        <v>1566</v>
      </c>
      <c r="BX196" s="215">
        <f>IF(COUNTIF(BH196:BP196,"&gt;0")&lt;Spielorte!$A$23,0,BE196/Spielorte!$A$23)</f>
        <v>174</v>
      </c>
      <c r="BY196" s="215">
        <f t="shared" si="239"/>
        <v>0</v>
      </c>
      <c r="BZ196" s="214">
        <f t="shared" si="227"/>
        <v>0</v>
      </c>
    </row>
    <row r="197" spans="1:78" ht="17.2" customHeight="1" x14ac:dyDescent="0.35">
      <c r="A197" s="368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49"/>
      <c r="F197" s="78" t="str">
        <f t="shared" si="209"/>
        <v/>
      </c>
      <c r="G197" s="349"/>
      <c r="H197" s="78" t="str">
        <f t="shared" si="210"/>
        <v/>
      </c>
      <c r="I197" s="349"/>
      <c r="J197" s="78" t="str">
        <f t="shared" si="211"/>
        <v/>
      </c>
      <c r="K197" s="349"/>
      <c r="L197" s="78" t="str">
        <f t="shared" si="212"/>
        <v/>
      </c>
      <c r="M197" s="349"/>
      <c r="N197" s="78" t="str">
        <f t="shared" si="229"/>
        <v/>
      </c>
      <c r="O197" s="349"/>
      <c r="P197" s="78" t="str">
        <f t="shared" si="213"/>
        <v/>
      </c>
      <c r="Q197" s="349"/>
      <c r="R197" s="78" t="str">
        <f t="shared" si="214"/>
        <v/>
      </c>
      <c r="S197" s="349"/>
      <c r="T197" s="78" t="str">
        <f t="shared" si="215"/>
        <v/>
      </c>
      <c r="U197" s="349"/>
      <c r="V197" s="78" t="str">
        <f t="shared" si="216"/>
        <v/>
      </c>
      <c r="W197" s="349"/>
      <c r="Z197" s="352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0</v>
      </c>
      <c r="BU197" s="215" t="str">
        <f t="shared" si="236"/>
        <v>Frankenpower Nürnberg</v>
      </c>
      <c r="BV197" s="214">
        <f t="shared" si="237"/>
        <v>2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0</v>
      </c>
      <c r="BZ197" s="214">
        <f t="shared" si="227"/>
        <v>0</v>
      </c>
    </row>
    <row r="198" spans="1:78" ht="17.2" customHeight="1" thickBot="1" x14ac:dyDescent="0.4">
      <c r="A198" s="369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50"/>
      <c r="F198" s="69" t="str">
        <f t="shared" si="209"/>
        <v/>
      </c>
      <c r="G198" s="350"/>
      <c r="H198" s="69" t="str">
        <f t="shared" si="210"/>
        <v/>
      </c>
      <c r="I198" s="350"/>
      <c r="J198" s="69" t="str">
        <f t="shared" si="211"/>
        <v/>
      </c>
      <c r="K198" s="350"/>
      <c r="L198" s="69" t="str">
        <f t="shared" si="212"/>
        <v/>
      </c>
      <c r="M198" s="350"/>
      <c r="N198" s="69" t="str">
        <f t="shared" si="229"/>
        <v/>
      </c>
      <c r="O198" s="350"/>
      <c r="P198" s="69" t="str">
        <f t="shared" si="213"/>
        <v/>
      </c>
      <c r="Q198" s="350"/>
      <c r="R198" s="69" t="str">
        <f t="shared" si="214"/>
        <v/>
      </c>
      <c r="S198" s="350"/>
      <c r="T198" s="69" t="str">
        <f t="shared" si="215"/>
        <v/>
      </c>
      <c r="U198" s="350"/>
      <c r="V198" s="69" t="str">
        <f t="shared" si="216"/>
        <v/>
      </c>
      <c r="W198" s="350"/>
      <c r="Z198" s="353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0</v>
      </c>
      <c r="BU198" s="215" t="str">
        <f t="shared" si="236"/>
        <v>Frankenpower Nürnberg</v>
      </c>
      <c r="BV198" s="214">
        <f t="shared" si="237"/>
        <v>2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0</v>
      </c>
      <c r="BZ198" s="214">
        <f t="shared" si="227"/>
        <v>0</v>
      </c>
    </row>
    <row r="199" spans="1:78" ht="27.75" customHeight="1" thickBot="1" x14ac:dyDescent="0.4">
      <c r="B199" s="81" t="str">
        <f>IF(AA199=0,"",AA199)</f>
        <v>Gesamt</v>
      </c>
      <c r="C199" s="82" t="str">
        <f t="shared" si="228"/>
        <v/>
      </c>
      <c r="D199" s="83">
        <f t="shared" si="228"/>
        <v>684</v>
      </c>
      <c r="E199" s="84">
        <f>IF(AD199="","",AD199)</f>
        <v>0</v>
      </c>
      <c r="F199" s="83">
        <f t="shared" si="209"/>
        <v>668</v>
      </c>
      <c r="G199" s="84">
        <f>IF(AF199="","",AF199)</f>
        <v>0</v>
      </c>
      <c r="H199" s="83">
        <f t="shared" si="210"/>
        <v>702</v>
      </c>
      <c r="I199" s="84">
        <f>IF(AH199="","",AH199)</f>
        <v>0</v>
      </c>
      <c r="J199" s="83">
        <f t="shared" si="211"/>
        <v>722</v>
      </c>
      <c r="K199" s="84">
        <f>IF(AJ199="","",AJ199)</f>
        <v>2</v>
      </c>
      <c r="L199" s="83">
        <f t="shared" si="212"/>
        <v>745</v>
      </c>
      <c r="M199" s="84">
        <f>IF(AL199="","",AL199)</f>
        <v>2</v>
      </c>
      <c r="N199" s="83">
        <f t="shared" si="229"/>
        <v>700</v>
      </c>
      <c r="O199" s="84">
        <f>IF(AN199="","",AN199)</f>
        <v>0</v>
      </c>
      <c r="P199" s="83">
        <f t="shared" si="213"/>
        <v>647</v>
      </c>
      <c r="Q199" s="84">
        <f>IF(AP199="","",AP199)</f>
        <v>0</v>
      </c>
      <c r="R199" s="83">
        <f t="shared" si="214"/>
        <v>661</v>
      </c>
      <c r="S199" s="84">
        <f>IF(AR199="","",AR199)</f>
        <v>0</v>
      </c>
      <c r="T199" s="83">
        <f t="shared" si="215"/>
        <v>706</v>
      </c>
      <c r="U199" s="84">
        <f>IF(AT199="","",AT199)</f>
        <v>2</v>
      </c>
      <c r="V199" s="83">
        <f t="shared" si="216"/>
        <v>6235</v>
      </c>
      <c r="W199" s="84">
        <f>IF(AV199="","",AV199)</f>
        <v>6</v>
      </c>
      <c r="AA199" s="81" t="s">
        <v>1799</v>
      </c>
      <c r="AB199" s="120"/>
      <c r="AC199" s="211">
        <f>ABS(SUM(AC187:AC189))+ABS(SUM(AC190:AC192))+ABS(SUM(AC193:AC195))+ABS(SUM(AC196:AC198))</f>
        <v>684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668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702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722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745</v>
      </c>
      <c r="AL199" s="121">
        <f>IF(AK199+AK209=0,0,IF(AK199=AK209,1,IF(AK199&gt;AK209,2,0)))</f>
        <v>2</v>
      </c>
      <c r="AM199" s="211">
        <f>ABS(SUM(AM187:AM189))+ABS(SUM(AM190:AM192))+ABS(SUM(AM193:AM195))+ABS(SUM(AM196:AM198))</f>
        <v>700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647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661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706</v>
      </c>
      <c r="AT199" s="121">
        <f>IF(AS199+AS209=0,0,IF(AS199=AS209,1,IF(AS199&gt;AS209,2,0)))</f>
        <v>2</v>
      </c>
      <c r="AU199" s="122">
        <f>SUM(AC199+AE199+AG199+AI199+AK199+AM199+AO199+AQ199+AS199)</f>
        <v>6235</v>
      </c>
      <c r="AV199" s="123">
        <f>SUM(AD199+AF199+AH199+AJ199+AL199+AN199+AP199+AR199+AT199)</f>
        <v>6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4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2</v>
      </c>
      <c r="F200" s="86" t="str">
        <f t="shared" si="209"/>
        <v/>
      </c>
      <c r="G200" s="87">
        <f>IF(AF200="","",AF200)</f>
        <v>1</v>
      </c>
      <c r="H200" s="86" t="str">
        <f t="shared" si="210"/>
        <v/>
      </c>
      <c r="I200" s="87">
        <f>IF(AH200="","",AH200)</f>
        <v>3</v>
      </c>
      <c r="J200" s="86" t="str">
        <f t="shared" si="211"/>
        <v/>
      </c>
      <c r="K200" s="87">
        <f>IF(AJ200="","",AJ200)</f>
        <v>4</v>
      </c>
      <c r="L200" s="86" t="str">
        <f t="shared" si="212"/>
        <v/>
      </c>
      <c r="M200" s="87">
        <f>IF(AL200="","",AL200)</f>
        <v>5</v>
      </c>
      <c r="N200" s="86" t="str">
        <f t="shared" si="229"/>
        <v/>
      </c>
      <c r="O200" s="87">
        <f>IF(AN200="","",AN200)</f>
        <v>2</v>
      </c>
      <c r="P200" s="86" t="str">
        <f t="shared" si="213"/>
        <v/>
      </c>
      <c r="Q200" s="87">
        <f>IF(AP200="","",AP200)</f>
        <v>1</v>
      </c>
      <c r="R200" s="86" t="str">
        <f t="shared" si="214"/>
        <v/>
      </c>
      <c r="S200" s="87">
        <f>IF(AR200="","",AR200)</f>
        <v>1</v>
      </c>
      <c r="T200" s="86" t="str">
        <f t="shared" si="215"/>
        <v/>
      </c>
      <c r="U200" s="87">
        <f>IF(AT200="","",AT200)</f>
        <v>6</v>
      </c>
      <c r="V200" s="86" t="str">
        <f t="shared" si="216"/>
        <v/>
      </c>
      <c r="W200" s="87">
        <f>IF(AV200="","",AV200)</f>
        <v>25</v>
      </c>
      <c r="AA200" s="85" t="s">
        <v>1814</v>
      </c>
      <c r="AB200" s="86"/>
      <c r="AC200" s="86"/>
      <c r="AD200" s="124">
        <f>SUM(AD187:AD199)</f>
        <v>2</v>
      </c>
      <c r="AE200" s="86"/>
      <c r="AF200" s="124">
        <f>SUM(AF187:AF199)</f>
        <v>1</v>
      </c>
      <c r="AG200" s="86"/>
      <c r="AH200" s="124">
        <f>SUM(AH187:AH199)</f>
        <v>3</v>
      </c>
      <c r="AI200" s="86"/>
      <c r="AJ200" s="124">
        <f>SUM(AJ187:AJ199)</f>
        <v>4</v>
      </c>
      <c r="AK200" s="86"/>
      <c r="AL200" s="124">
        <f>SUM(AL187:AL199)</f>
        <v>5</v>
      </c>
      <c r="AM200" s="86"/>
      <c r="AN200" s="124">
        <f>SUM(AN187:AN199)</f>
        <v>2</v>
      </c>
      <c r="AO200" s="86"/>
      <c r="AP200" s="124">
        <f>SUM(AP187:AP199)</f>
        <v>1</v>
      </c>
      <c r="AQ200" s="86"/>
      <c r="AR200" s="124">
        <f>SUM(AR187:AR199)</f>
        <v>1</v>
      </c>
      <c r="AS200" s="86"/>
      <c r="AT200" s="124">
        <f>SUM(AT187:AT199)</f>
        <v>6</v>
      </c>
      <c r="AU200" s="86"/>
      <c r="AV200" s="125">
        <f>SUM(AV187:AV199)</f>
        <v>25</v>
      </c>
      <c r="AW200" s="101"/>
      <c r="AX200" s="102"/>
      <c r="BA200" s="212">
        <f>+AV200</f>
        <v>25</v>
      </c>
      <c r="BB200" s="213">
        <f>+AU199</f>
        <v>6235</v>
      </c>
      <c r="BC200" s="214">
        <f>+AA182</f>
        <v>7</v>
      </c>
      <c r="BF200" s="215">
        <f>SUM(BF181:BF199)</f>
        <v>36</v>
      </c>
      <c r="BQ200" s="212">
        <f>+BB200/1000000+BA200</f>
        <v>25.006235</v>
      </c>
      <c r="BR200" s="214">
        <f>RANK(BQ200,BQ:BQ)</f>
        <v>8</v>
      </c>
      <c r="BV200" s="214"/>
      <c r="BZ200" s="214"/>
    </row>
    <row r="201" spans="1:78" ht="11.25" customHeight="1" x14ac:dyDescent="0.3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3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46">
        <f t="shared" si="240"/>
        <v>3</v>
      </c>
      <c r="E202" s="346" t="str">
        <f t="shared" si="240"/>
        <v/>
      </c>
      <c r="F202" s="346">
        <f t="shared" si="240"/>
        <v>8</v>
      </c>
      <c r="G202" s="346" t="str">
        <f t="shared" si="240"/>
        <v/>
      </c>
      <c r="H202" s="346">
        <f t="shared" si="240"/>
        <v>9</v>
      </c>
      <c r="I202" s="346" t="str">
        <f t="shared" si="240"/>
        <v/>
      </c>
      <c r="J202" s="346">
        <f t="shared" si="240"/>
        <v>1</v>
      </c>
      <c r="K202" s="346" t="str">
        <f t="shared" si="240"/>
        <v/>
      </c>
      <c r="L202" s="346">
        <f t="shared" si="240"/>
        <v>5</v>
      </c>
      <c r="M202" s="346" t="str">
        <f t="shared" si="240"/>
        <v/>
      </c>
      <c r="N202" s="346">
        <f t="shared" si="240"/>
        <v>2</v>
      </c>
      <c r="O202" s="346" t="str">
        <f t="shared" si="240"/>
        <v/>
      </c>
      <c r="P202" s="346">
        <f t="shared" si="240"/>
        <v>10</v>
      </c>
      <c r="Q202" s="346" t="str">
        <f t="shared" si="240"/>
        <v/>
      </c>
      <c r="R202" s="346">
        <f t="shared" ref="N202:U204" si="241">IF(AQ202=0,"",AQ202)</f>
        <v>6</v>
      </c>
      <c r="S202" s="346" t="str">
        <f t="shared" si="241"/>
        <v/>
      </c>
      <c r="T202" s="346">
        <f t="shared" si="241"/>
        <v>4</v>
      </c>
      <c r="U202" s="346" t="str">
        <f t="shared" si="241"/>
        <v/>
      </c>
      <c r="V202" s="347"/>
      <c r="W202" s="347"/>
      <c r="AA202" s="88" t="s">
        <v>1797</v>
      </c>
      <c r="AB202" s="89" t="s">
        <v>1798</v>
      </c>
      <c r="AC202" s="370">
        <f>VLOOKUP($AA182,Schlüssel!$A$5:$DG$14,23)</f>
        <v>3</v>
      </c>
      <c r="AD202" s="371"/>
      <c r="AE202" s="370">
        <f>VLOOKUP($AA182,Schlüssel!$A$5:$EK$14,24)</f>
        <v>8</v>
      </c>
      <c r="AF202" s="371"/>
      <c r="AG202" s="370">
        <f>VLOOKUP($AA182,Schlüssel!$A$5:$EK$14,25)</f>
        <v>9</v>
      </c>
      <c r="AH202" s="371"/>
      <c r="AI202" s="370">
        <f>VLOOKUP($AA182,Schlüssel!$A$5:$EK$14,26)</f>
        <v>1</v>
      </c>
      <c r="AJ202" s="371"/>
      <c r="AK202" s="370">
        <f>VLOOKUP($AA182,Schlüssel!$A$5:$EK$14,27)</f>
        <v>5</v>
      </c>
      <c r="AL202" s="371"/>
      <c r="AM202" s="370">
        <f>VLOOKUP($AA182,Schlüssel!$A$5:$EK$14,28)</f>
        <v>2</v>
      </c>
      <c r="AN202" s="371"/>
      <c r="AO202" s="370">
        <f>VLOOKUP($AA182,Schlüssel!$A$5:$EK$14,29)</f>
        <v>10</v>
      </c>
      <c r="AP202" s="371"/>
      <c r="AQ202" s="370">
        <f>VLOOKUP($AA182,Schlüssel!$A$5:$EK$14,30)</f>
        <v>6</v>
      </c>
      <c r="AR202" s="371"/>
      <c r="AS202" s="370">
        <f>VLOOKUP($AA182,Schlüssel!$A$5:$EK$14,31)</f>
        <v>4</v>
      </c>
      <c r="AT202" s="371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35">
      <c r="B203" s="90" t="str">
        <f t="shared" ref="B203:M204" si="242">IF(AA203=0,"",AA203)</f>
        <v/>
      </c>
      <c r="C203" s="86" t="str">
        <f t="shared" si="242"/>
        <v/>
      </c>
      <c r="D203" s="343" t="str">
        <f t="shared" si="242"/>
        <v>Highroller Rosenheim</v>
      </c>
      <c r="E203" s="344" t="str">
        <f t="shared" si="242"/>
        <v/>
      </c>
      <c r="F203" s="343" t="str">
        <f t="shared" si="242"/>
        <v>EPA München 1</v>
      </c>
      <c r="G203" s="344" t="str">
        <f t="shared" si="242"/>
        <v/>
      </c>
      <c r="H203" s="343" t="str">
        <f t="shared" si="242"/>
        <v>RW Lichtenhof 69 Stein 2</v>
      </c>
      <c r="I203" s="344" t="str">
        <f t="shared" si="242"/>
        <v/>
      </c>
      <c r="J203" s="343" t="str">
        <f t="shared" si="242"/>
        <v>Praetoria Regensburg</v>
      </c>
      <c r="K203" s="344" t="str">
        <f t="shared" si="242"/>
        <v/>
      </c>
      <c r="L203" s="343" t="str">
        <f t="shared" si="242"/>
        <v xml:space="preserve">Weiß Blau Unterföhring </v>
      </c>
      <c r="M203" s="344" t="str">
        <f t="shared" si="242"/>
        <v/>
      </c>
      <c r="N203" s="343" t="str">
        <f t="shared" si="241"/>
        <v>BK München 2</v>
      </c>
      <c r="O203" s="344" t="str">
        <f t="shared" si="241"/>
        <v/>
      </c>
      <c r="P203" s="343" t="str">
        <f t="shared" si="241"/>
        <v>BK München 4</v>
      </c>
      <c r="Q203" s="344" t="str">
        <f t="shared" si="241"/>
        <v/>
      </c>
      <c r="R203" s="343" t="str">
        <f t="shared" si="241"/>
        <v>Phönix 03 Lauf</v>
      </c>
      <c r="S203" s="344" t="str">
        <f t="shared" si="241"/>
        <v/>
      </c>
      <c r="T203" s="343" t="str">
        <f t="shared" si="241"/>
        <v>BK München 3</v>
      </c>
      <c r="U203" s="344" t="str">
        <f t="shared" si="241"/>
        <v/>
      </c>
      <c r="V203" s="345"/>
      <c r="W203" s="345"/>
      <c r="AA203" s="90"/>
      <c r="AB203" s="86"/>
      <c r="AC203" s="343" t="str">
        <f>VLOOKUP(AC202,Schlüssel!$A$5:$K$14,2)</f>
        <v>Highroller Rosenheim</v>
      </c>
      <c r="AD203" s="344"/>
      <c r="AE203" s="343" t="str">
        <f>VLOOKUP(AE202,Schlüssel!$A$5:$K$14,2)</f>
        <v>EPA München 1</v>
      </c>
      <c r="AF203" s="344"/>
      <c r="AG203" s="343" t="str">
        <f>VLOOKUP(AG202,Schlüssel!$A$5:$K$14,2)</f>
        <v>RW Lichtenhof 69 Stein 2</v>
      </c>
      <c r="AH203" s="344"/>
      <c r="AI203" s="343" t="str">
        <f>VLOOKUP(AI202,Schlüssel!$A$5:$K$14,2)</f>
        <v>Praetoria Regensburg</v>
      </c>
      <c r="AJ203" s="344"/>
      <c r="AK203" s="343" t="str">
        <f>VLOOKUP(AK202,Schlüssel!$A$5:$K$14,2)</f>
        <v xml:space="preserve">Weiß Blau Unterföhring </v>
      </c>
      <c r="AL203" s="344"/>
      <c r="AM203" s="343" t="str">
        <f>VLOOKUP(AM202,Schlüssel!$A$5:$K$14,2)</f>
        <v>BK München 2</v>
      </c>
      <c r="AN203" s="344"/>
      <c r="AO203" s="343" t="str">
        <f>VLOOKUP(AO202,Schlüssel!$A$5:$K$14,2)</f>
        <v>BK München 4</v>
      </c>
      <c r="AP203" s="344"/>
      <c r="AQ203" s="343" t="str">
        <f>VLOOKUP(AQ202,Schlüssel!$A$5:$K$14,2)</f>
        <v>Phönix 03 Lauf</v>
      </c>
      <c r="AR203" s="344"/>
      <c r="AS203" s="343" t="str">
        <f>VLOOKUP(AS202,Schlüssel!$A$5:$K$14,2)</f>
        <v>BK München 3</v>
      </c>
      <c r="AT203" s="344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35">
      <c r="B204" s="90" t="str">
        <f t="shared" si="242"/>
        <v/>
      </c>
      <c r="C204" s="86" t="str">
        <f t="shared" si="242"/>
        <v/>
      </c>
      <c r="D204" s="341" t="str">
        <f t="shared" si="242"/>
        <v/>
      </c>
      <c r="E204" s="341" t="str">
        <f t="shared" si="242"/>
        <v/>
      </c>
      <c r="F204" s="341" t="str">
        <f t="shared" si="242"/>
        <v/>
      </c>
      <c r="G204" s="341" t="str">
        <f t="shared" si="242"/>
        <v/>
      </c>
      <c r="H204" s="341" t="str">
        <f t="shared" si="242"/>
        <v/>
      </c>
      <c r="I204" s="341" t="str">
        <f t="shared" si="242"/>
        <v/>
      </c>
      <c r="J204" s="341" t="str">
        <f t="shared" si="242"/>
        <v/>
      </c>
      <c r="K204" s="341" t="str">
        <f t="shared" si="242"/>
        <v/>
      </c>
      <c r="L204" s="341" t="str">
        <f t="shared" si="242"/>
        <v/>
      </c>
      <c r="M204" s="341" t="str">
        <f t="shared" si="242"/>
        <v/>
      </c>
      <c r="N204" s="341" t="str">
        <f t="shared" si="241"/>
        <v/>
      </c>
      <c r="O204" s="341" t="str">
        <f t="shared" si="241"/>
        <v/>
      </c>
      <c r="P204" s="341" t="str">
        <f t="shared" si="241"/>
        <v/>
      </c>
      <c r="Q204" s="341" t="str">
        <f t="shared" si="241"/>
        <v/>
      </c>
      <c r="R204" s="341" t="str">
        <f t="shared" si="241"/>
        <v/>
      </c>
      <c r="S204" s="341" t="str">
        <f t="shared" si="241"/>
        <v/>
      </c>
      <c r="T204" s="341" t="str">
        <f t="shared" si="241"/>
        <v/>
      </c>
      <c r="U204" s="342" t="str">
        <f t="shared" si="241"/>
        <v/>
      </c>
      <c r="V204" s="301"/>
      <c r="W204" s="301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6.05" customHeight="1" x14ac:dyDescent="0.35">
      <c r="B205" s="365" t="str">
        <f t="shared" ref="B205:C209" si="243">IF(AA205=0,"",AA205)</f>
        <v>Spieler 1</v>
      </c>
      <c r="C205" s="366" t="str">
        <f t="shared" si="243"/>
        <v/>
      </c>
      <c r="D205" s="339">
        <f>IF(AC205=301,"",AC205)</f>
        <v>191</v>
      </c>
      <c r="E205" s="339" t="str">
        <f>IF(AD205=0,"",AD205)</f>
        <v/>
      </c>
      <c r="F205" s="339">
        <f>IF(AE205=301,"",AE205)</f>
        <v>170</v>
      </c>
      <c r="G205" s="339" t="str">
        <f>IF(AF205=0,"",AF205)</f>
        <v/>
      </c>
      <c r="H205" s="339">
        <f>IF(AG205=301,"",AG205)</f>
        <v>181</v>
      </c>
      <c r="I205" s="339" t="str">
        <f>IF(AH205=0,"",AH205)</f>
        <v/>
      </c>
      <c r="J205" s="339">
        <f>IF(AI205=301,"",AI205)</f>
        <v>137</v>
      </c>
      <c r="K205" s="339" t="str">
        <f>IF(AJ205=0,"",AJ205)</f>
        <v/>
      </c>
      <c r="L205" s="339">
        <f>IF(AK205=301,"",AK205)</f>
        <v>173</v>
      </c>
      <c r="M205" s="339" t="str">
        <f>IF(AL205=0,"",AL205)</f>
        <v/>
      </c>
      <c r="N205" s="339">
        <f>IF(AM205=301,"",AM205)</f>
        <v>172</v>
      </c>
      <c r="O205" s="339" t="str">
        <f>IF(AN205=0,"",AN205)</f>
        <v/>
      </c>
      <c r="P205" s="339">
        <f>IF(AO205=301,"",AO205)</f>
        <v>188</v>
      </c>
      <c r="Q205" s="339" t="str">
        <f>IF(AP205=0,"",AP205)</f>
        <v/>
      </c>
      <c r="R205" s="339">
        <f>IF(AQ205=301,"",AQ205)</f>
        <v>172</v>
      </c>
      <c r="S205" s="339" t="str">
        <f>IF(AR205=0,"",AR205)</f>
        <v/>
      </c>
      <c r="T205" s="339">
        <f>IF(AS205=301,"",AS205)</f>
        <v>0</v>
      </c>
      <c r="U205" s="339" t="str">
        <f>IF(AT205=0,"",AT205)</f>
        <v/>
      </c>
      <c r="V205" s="340"/>
      <c r="W205" s="340"/>
      <c r="AA205" s="91" t="s">
        <v>0</v>
      </c>
      <c r="AB205" s="92"/>
      <c r="AC205" s="372">
        <f>ABS(INDEX(AC:AC,MATCH(AC202,$AA:$AA,0)+5)+INDEX(AC:AC,MATCH(AC202,$AA:$AA,0)+6)+INDEX(AC:AC,MATCH(AC202,$AA:$AA,0)+7))</f>
        <v>191</v>
      </c>
      <c r="AD205" s="373"/>
      <c r="AE205" s="372">
        <f>ABS(INDEX(AE:AE,MATCH(AE202,$AA:$AA,0)+5)+INDEX(AE:AE,MATCH(AE202,$AA:$AA,0)+6)+INDEX(AE:AE,MATCH(AE202,$AA:$AA,0)+7))</f>
        <v>170</v>
      </c>
      <c r="AF205" s="373"/>
      <c r="AG205" s="372">
        <f>ABS(INDEX(AG:AG,MATCH(AG202,$AA:$AA,0)+5)+INDEX(AG:AG,MATCH(AG202,$AA:$AA,0)+6)+INDEX(AG:AG,MATCH(AG202,$AA:$AA,0)+7))</f>
        <v>181</v>
      </c>
      <c r="AH205" s="373"/>
      <c r="AI205" s="372">
        <f>ABS(INDEX(AI:AI,MATCH(AI202,$AA:$AA,0)+5)+INDEX(AI:AI,MATCH(AI202,$AA:$AA,0)+6)+INDEX(AI:AI,MATCH(AI202,$AA:$AA,0)+7))</f>
        <v>137</v>
      </c>
      <c r="AJ205" s="373"/>
      <c r="AK205" s="372">
        <f>ABS(INDEX(AK:AK,MATCH(AK202,$AA:$AA,0)+5)+INDEX(AK:AK,MATCH(AK202,$AA:$AA,0)+6)+INDEX(AK:AK,MATCH(AK202,$AA:$AA,0)+7))</f>
        <v>173</v>
      </c>
      <c r="AL205" s="373"/>
      <c r="AM205" s="372">
        <f>ABS(INDEX(AM:AM,MATCH(AM202,$AA:$AA,0)+5)+INDEX(AM:AM,MATCH(AM202,$AA:$AA,0)+6)+INDEX(AM:AM,MATCH(AM202,$AA:$AA,0)+7))</f>
        <v>172</v>
      </c>
      <c r="AN205" s="373"/>
      <c r="AO205" s="372">
        <f>ABS(INDEX(AO:AO,MATCH(AO202,$AA:$AA,0)+5)+INDEX(AO:AO,MATCH(AO202,$AA:$AA,0)+6)+INDEX(AO:AO,MATCH(AO202,$AA:$AA,0)+7))</f>
        <v>188</v>
      </c>
      <c r="AP205" s="373"/>
      <c r="AQ205" s="372">
        <f>ABS(INDEX(AQ:AQ,MATCH(AQ202,$AA:$AA,0)+5)+INDEX(AQ:AQ,MATCH(AQ202,$AA:$AA,0)+6)+INDEX(AQ:AQ,MATCH(AQ202,$AA:$AA,0)+7))</f>
        <v>172</v>
      </c>
      <c r="AR205" s="373"/>
      <c r="AS205" s="372">
        <f>ABS(INDEX(AS:AS,MATCH(AS202,$AA:$AA,0)+5)+INDEX(AS:AS,MATCH(AS202,$AA:$AA,0)+6)+INDEX(AS:AS,MATCH(AS202,$AA:$AA,0)+7))</f>
        <v>0</v>
      </c>
      <c r="AT205" s="373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6.05" customHeight="1" x14ac:dyDescent="0.35">
      <c r="B206" s="365" t="str">
        <f t="shared" si="243"/>
        <v>Spieler 2</v>
      </c>
      <c r="C206" s="366" t="str">
        <f t="shared" si="243"/>
        <v/>
      </c>
      <c r="D206" s="339">
        <f>IF(AC206=301,"",AC206)</f>
        <v>179</v>
      </c>
      <c r="E206" s="339" t="str">
        <f>IF(AD206=0,"",AD206)</f>
        <v/>
      </c>
      <c r="F206" s="339">
        <f>IF(AE206=301,"",AE206)</f>
        <v>172</v>
      </c>
      <c r="G206" s="339" t="str">
        <f>IF(AF206=0,"",AF206)</f>
        <v/>
      </c>
      <c r="H206" s="339">
        <f>IF(AG206=301,"",AG206)</f>
        <v>201</v>
      </c>
      <c r="I206" s="339" t="str">
        <f>IF(AH206=0,"",AH206)</f>
        <v/>
      </c>
      <c r="J206" s="339">
        <f>IF(AI206=301,"",AI206)</f>
        <v>194</v>
      </c>
      <c r="K206" s="339" t="str">
        <f>IF(AJ206=0,"",AJ206)</f>
        <v/>
      </c>
      <c r="L206" s="339">
        <f>IF(AK206=301,"",AK206)</f>
        <v>159</v>
      </c>
      <c r="M206" s="339" t="str">
        <f>IF(AL206=0,"",AL206)</f>
        <v/>
      </c>
      <c r="N206" s="339">
        <f>IF(AM206=301,"",AM206)</f>
        <v>184</v>
      </c>
      <c r="O206" s="339" t="str">
        <f>IF(AN206=0,"",AN206)</f>
        <v/>
      </c>
      <c r="P206" s="339">
        <f>IF(AO206=301,"",AO206)</f>
        <v>185</v>
      </c>
      <c r="Q206" s="339" t="str">
        <f>IF(AP206=0,"",AP206)</f>
        <v/>
      </c>
      <c r="R206" s="339">
        <f>IF(AQ206=301,"",AQ206)</f>
        <v>181</v>
      </c>
      <c r="S206" s="339" t="str">
        <f>IF(AR206=0,"",AR206)</f>
        <v/>
      </c>
      <c r="T206" s="339">
        <f>IF(AS206=301,"",AS206)</f>
        <v>0</v>
      </c>
      <c r="U206" s="339" t="str">
        <f>IF(AT206=0,"",AT206)</f>
        <v/>
      </c>
      <c r="V206" s="340"/>
      <c r="W206" s="340"/>
      <c r="AA206" s="91" t="s">
        <v>2</v>
      </c>
      <c r="AB206" s="92"/>
      <c r="AC206" s="374">
        <f>ABS(INDEX(AC:AC,MATCH(AC202,$AA:$AA,0)+8)+INDEX(AC:AC,MATCH(AC202,$AA:$AA,0)+9)+INDEX(AC:AC,MATCH(AC202,$AA:$AA,0)+10))</f>
        <v>179</v>
      </c>
      <c r="AD206" s="375"/>
      <c r="AE206" s="374">
        <f>ABS(INDEX(AE:AE,MATCH(AE202,$AA:$AA,0)+8)+INDEX(AE:AE,MATCH(AE202,$AA:$AA,0)+9)+INDEX(AE:AE,MATCH(AE202,$AA:$AA,0)+10))</f>
        <v>172</v>
      </c>
      <c r="AF206" s="375"/>
      <c r="AG206" s="374">
        <f>ABS(INDEX(AG:AG,MATCH(AG202,$AA:$AA,0)+8)+INDEX(AG:AG,MATCH(AG202,$AA:$AA,0)+9)+INDEX(AG:AG,MATCH(AG202,$AA:$AA,0)+10))</f>
        <v>201</v>
      </c>
      <c r="AH206" s="375"/>
      <c r="AI206" s="374">
        <f>ABS(INDEX(AI:AI,MATCH(AI202,$AA:$AA,0)+8)+INDEX(AI:AI,MATCH(AI202,$AA:$AA,0)+9)+INDEX(AI:AI,MATCH(AI202,$AA:$AA,0)+10))</f>
        <v>194</v>
      </c>
      <c r="AJ206" s="375"/>
      <c r="AK206" s="374">
        <f>ABS(INDEX(AK:AK,MATCH(AK202,$AA:$AA,0)+8)+INDEX(AK:AK,MATCH(AK202,$AA:$AA,0)+9)+INDEX(AK:AK,MATCH(AK202,$AA:$AA,0)+10))</f>
        <v>159</v>
      </c>
      <c r="AL206" s="375"/>
      <c r="AM206" s="374">
        <f>ABS(INDEX(AM:AM,MATCH(AM202,$AA:$AA,0)+8)+INDEX(AM:AM,MATCH(AM202,$AA:$AA,0)+9)+INDEX(AM:AM,MATCH(AM202,$AA:$AA,0)+10))</f>
        <v>184</v>
      </c>
      <c r="AN206" s="375"/>
      <c r="AO206" s="374">
        <f>ABS(INDEX(AO:AO,MATCH(AO202,$AA:$AA,0)+8)+INDEX(AO:AO,MATCH(AO202,$AA:$AA,0)+9)+INDEX(AO:AO,MATCH(AO202,$AA:$AA,0)+10))</f>
        <v>185</v>
      </c>
      <c r="AP206" s="375"/>
      <c r="AQ206" s="374">
        <f>ABS(INDEX(AQ:AQ,MATCH(AQ202,$AA:$AA,0)+8)+INDEX(AQ:AQ,MATCH(AQ202,$AA:$AA,0)+9)+INDEX(AQ:AQ,MATCH(AQ202,$AA:$AA,0)+10))</f>
        <v>181</v>
      </c>
      <c r="AR206" s="375"/>
      <c r="AS206" s="374">
        <f>ABS(INDEX(AS:AS,MATCH(AS202,$AA:$AA,0)+8)+INDEX(AS:AS,MATCH(AS202,$AA:$AA,0)+9)+INDEX(AS:AS,MATCH(AS202,$AA:$AA,0)+10))</f>
        <v>0</v>
      </c>
      <c r="AT206" s="37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6.05" customHeight="1" x14ac:dyDescent="0.35">
      <c r="B207" s="365" t="str">
        <f t="shared" si="243"/>
        <v>Spieler 3</v>
      </c>
      <c r="C207" s="366" t="str">
        <f t="shared" si="243"/>
        <v/>
      </c>
      <c r="D207" s="339">
        <f>IF(AC207=301,"",AC207)</f>
        <v>148</v>
      </c>
      <c r="E207" s="339" t="str">
        <f>IF(AD207=0,"",AD207)</f>
        <v/>
      </c>
      <c r="F207" s="339">
        <f>IF(AE207=301,"",AE207)</f>
        <v>169</v>
      </c>
      <c r="G207" s="339" t="str">
        <f>IF(AF207=0,"",AF207)</f>
        <v/>
      </c>
      <c r="H207" s="339">
        <f>IF(AG207=301,"",AG207)</f>
        <v>167</v>
      </c>
      <c r="I207" s="339" t="str">
        <f>IF(AH207=0,"",AH207)</f>
        <v/>
      </c>
      <c r="J207" s="339">
        <f>IF(AI207=301,"",AI207)</f>
        <v>158</v>
      </c>
      <c r="K207" s="339" t="str">
        <f>IF(AJ207=0,"",AJ207)</f>
        <v/>
      </c>
      <c r="L207" s="339">
        <f>IF(AK207=301,"",AK207)</f>
        <v>202</v>
      </c>
      <c r="M207" s="339" t="str">
        <f>IF(AL207=0,"",AL207)</f>
        <v/>
      </c>
      <c r="N207" s="339">
        <f>IF(AM207=301,"",AM207)</f>
        <v>184</v>
      </c>
      <c r="O207" s="339" t="str">
        <f>IF(AN207=0,"",AN207)</f>
        <v/>
      </c>
      <c r="P207" s="339">
        <f>IF(AO207=301,"",AO207)</f>
        <v>161</v>
      </c>
      <c r="Q207" s="339" t="str">
        <f>IF(AP207=0,"",AP207)</f>
        <v/>
      </c>
      <c r="R207" s="339">
        <f>IF(AQ207=301,"",AQ207)</f>
        <v>201</v>
      </c>
      <c r="S207" s="339" t="str">
        <f>IF(AR207=0,"",AR207)</f>
        <v/>
      </c>
      <c r="T207" s="339">
        <f>IF(AS207=301,"",AS207)</f>
        <v>0</v>
      </c>
      <c r="U207" s="339" t="str">
        <f>IF(AT207=0,"",AT207)</f>
        <v/>
      </c>
      <c r="V207" s="340"/>
      <c r="W207" s="340"/>
      <c r="AA207" s="91" t="s">
        <v>3</v>
      </c>
      <c r="AB207" s="92"/>
      <c r="AC207" s="374">
        <f>ABS(INDEX(AC:AC,MATCH(AC202,$AA:$AA,0)+11)+INDEX(AC:AC,MATCH(AC202,$AA:$AA,0)+12)+INDEX(AC:AC,MATCH(AC202,$AA:$AA,0)+13))</f>
        <v>148</v>
      </c>
      <c r="AD207" s="375"/>
      <c r="AE207" s="374">
        <f>ABS(INDEX(AE:AE,MATCH(AE202,$AA:$AA,0)+11)+INDEX(AE:AE,MATCH(AE202,$AA:$AA,0)+12)+INDEX(AE:AE,MATCH(AE202,$AA:$AA,0)+13))</f>
        <v>169</v>
      </c>
      <c r="AF207" s="375"/>
      <c r="AG207" s="374">
        <f>ABS(INDEX(AG:AG,MATCH(AG202,$AA:$AA,0)+11)+INDEX(AG:AG,MATCH(AG202,$AA:$AA,0)+12)+INDEX(AG:AG,MATCH(AG202,$AA:$AA,0)+13))</f>
        <v>167</v>
      </c>
      <c r="AH207" s="375"/>
      <c r="AI207" s="374">
        <f>ABS(INDEX(AI:AI,MATCH(AI202,$AA:$AA,0)+11)+INDEX(AI:AI,MATCH(AI202,$AA:$AA,0)+12)+INDEX(AI:AI,MATCH(AI202,$AA:$AA,0)+13))</f>
        <v>158</v>
      </c>
      <c r="AJ207" s="375"/>
      <c r="AK207" s="374">
        <f>ABS(INDEX(AK:AK,MATCH(AK202,$AA:$AA,0)+11)+INDEX(AK:AK,MATCH(AK202,$AA:$AA,0)+12)+INDEX(AK:AK,MATCH(AK202,$AA:$AA,0)+13))</f>
        <v>202</v>
      </c>
      <c r="AL207" s="375"/>
      <c r="AM207" s="374">
        <f>ABS(INDEX(AM:AM,MATCH(AM202,$AA:$AA,0)+11)+INDEX(AM:AM,MATCH(AM202,$AA:$AA,0)+12)+INDEX(AM:AM,MATCH(AM202,$AA:$AA,0)+13))</f>
        <v>184</v>
      </c>
      <c r="AN207" s="375"/>
      <c r="AO207" s="374">
        <f>ABS(INDEX(AO:AO,MATCH(AO202,$AA:$AA,0)+11)+INDEX(AO:AO,MATCH(AO202,$AA:$AA,0)+12)+INDEX(AO:AO,MATCH(AO202,$AA:$AA,0)+13))</f>
        <v>161</v>
      </c>
      <c r="AP207" s="375"/>
      <c r="AQ207" s="374">
        <f>ABS(INDEX(AQ:AQ,MATCH(AQ202,$AA:$AA,0)+11)+INDEX(AQ:AQ,MATCH(AQ202,$AA:$AA,0)+12)+INDEX(AQ:AQ,MATCH(AQ202,$AA:$AA,0)+13))</f>
        <v>201</v>
      </c>
      <c r="AR207" s="375"/>
      <c r="AS207" s="374">
        <f>ABS(INDEX(AS:AS,MATCH(AS202,$AA:$AA,0)+11)+INDEX(AS:AS,MATCH(AS202,$AA:$AA,0)+12)+INDEX(AS:AS,MATCH(AS202,$AA:$AA,0)+13))</f>
        <v>0</v>
      </c>
      <c r="AT207" s="37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6.05" customHeight="1" x14ac:dyDescent="0.35">
      <c r="B208" s="365" t="str">
        <f t="shared" si="243"/>
        <v>Spieler 4</v>
      </c>
      <c r="C208" s="366" t="str">
        <f t="shared" si="243"/>
        <v/>
      </c>
      <c r="D208" s="339">
        <f>IF(AC208=301,"",AC208)</f>
        <v>170</v>
      </c>
      <c r="E208" s="339" t="str">
        <f>IF(AD208=0,"",AD208)</f>
        <v/>
      </c>
      <c r="F208" s="339">
        <f>IF(AE208=301,"",AE208)</f>
        <v>174</v>
      </c>
      <c r="G208" s="339" t="str">
        <f>IF(AF208=0,"",AF208)</f>
        <v/>
      </c>
      <c r="H208" s="339">
        <f>IF(AG208=301,"",AG208)</f>
        <v>174</v>
      </c>
      <c r="I208" s="339" t="str">
        <f>IF(AH208=0,"",AH208)</f>
        <v/>
      </c>
      <c r="J208" s="339">
        <f>IF(AI208=301,"",AI208)</f>
        <v>213</v>
      </c>
      <c r="K208" s="339" t="str">
        <f>IF(AJ208=0,"",AJ208)</f>
        <v/>
      </c>
      <c r="L208" s="339">
        <f>IF(AK208=301,"",AK208)</f>
        <v>176</v>
      </c>
      <c r="M208" s="339" t="str">
        <f>IF(AL208=0,"",AL208)</f>
        <v/>
      </c>
      <c r="N208" s="339">
        <f>IF(AM208=301,"",AM208)</f>
        <v>172</v>
      </c>
      <c r="O208" s="339" t="str">
        <f>IF(AN208=0,"",AN208)</f>
        <v/>
      </c>
      <c r="P208" s="339">
        <f>IF(AO208=301,"",AO208)</f>
        <v>135</v>
      </c>
      <c r="Q208" s="339" t="str">
        <f>IF(AP208=0,"",AP208)</f>
        <v/>
      </c>
      <c r="R208" s="339">
        <f>IF(AQ208=301,"",AQ208)</f>
        <v>204</v>
      </c>
      <c r="S208" s="339" t="str">
        <f>IF(AR208=0,"",AR208)</f>
        <v/>
      </c>
      <c r="T208" s="339">
        <f>IF(AS208=301,"",AS208)</f>
        <v>0</v>
      </c>
      <c r="U208" s="339" t="str">
        <f>IF(AT208=0,"",AT208)</f>
        <v/>
      </c>
      <c r="V208" s="340"/>
      <c r="W208" s="340"/>
      <c r="AA208" s="91" t="s">
        <v>11</v>
      </c>
      <c r="AB208" s="92"/>
      <c r="AC208" s="374">
        <f>ABS(INDEX(AC:AC,MATCH(AC202,$AA:$AA,0)+14)+INDEX(AC:AC,MATCH(AC202,$AA:$AA,0)+15)+INDEX(AC:AC,MATCH(AC202,$AA:$AA,0)+16))</f>
        <v>170</v>
      </c>
      <c r="AD208" s="375"/>
      <c r="AE208" s="374">
        <f>ABS(INDEX(AE:AE,MATCH(AE202,$AA:$AA,0)+14)+INDEX(AE:AE,MATCH(AE202,$AA:$AA,0)+15)+INDEX(AE:AE,MATCH(AE202,$AA:$AA,0)+16))</f>
        <v>174</v>
      </c>
      <c r="AF208" s="375"/>
      <c r="AG208" s="374">
        <f>ABS(INDEX(AG:AG,MATCH(AG202,$AA:$AA,0)+14)+INDEX(AG:AG,MATCH(AG202,$AA:$AA,0)+15)+INDEX(AG:AG,MATCH(AG202,$AA:$AA,0)+16))</f>
        <v>174</v>
      </c>
      <c r="AH208" s="375"/>
      <c r="AI208" s="374">
        <f>ABS(INDEX(AI:AI,MATCH(AI202,$AA:$AA,0)+14)+INDEX(AI:AI,MATCH(AI202,$AA:$AA,0)+15)+INDEX(AI:AI,MATCH(AI202,$AA:$AA,0)+16))</f>
        <v>213</v>
      </c>
      <c r="AJ208" s="375"/>
      <c r="AK208" s="374">
        <f>ABS(INDEX(AK:AK,MATCH(AK202,$AA:$AA,0)+14)+INDEX(AK:AK,MATCH(AK202,$AA:$AA,0)+15)+INDEX(AK:AK,MATCH(AK202,$AA:$AA,0)+16))</f>
        <v>176</v>
      </c>
      <c r="AL208" s="375"/>
      <c r="AM208" s="374">
        <f>ABS(INDEX(AM:AM,MATCH(AM202,$AA:$AA,0)+14)+INDEX(AM:AM,MATCH(AM202,$AA:$AA,0)+15)+INDEX(AM:AM,MATCH(AM202,$AA:$AA,0)+16))</f>
        <v>172</v>
      </c>
      <c r="AN208" s="375"/>
      <c r="AO208" s="374">
        <f>ABS(INDEX(AO:AO,MATCH(AO202,$AA:$AA,0)+14)+INDEX(AO:AO,MATCH(AO202,$AA:$AA,0)+15)+INDEX(AO:AO,MATCH(AO202,$AA:$AA,0)+16))</f>
        <v>135</v>
      </c>
      <c r="AP208" s="375"/>
      <c r="AQ208" s="374">
        <f>ABS(INDEX(AQ:AQ,MATCH(AQ202,$AA:$AA,0)+14)+INDEX(AQ:AQ,MATCH(AQ202,$AA:$AA,0)+15)+INDEX(AQ:AQ,MATCH(AQ202,$AA:$AA,0)+16))</f>
        <v>204</v>
      </c>
      <c r="AR208" s="375"/>
      <c r="AS208" s="374">
        <f>ABS(INDEX(AS:AS,MATCH(AS202,$AA:$AA,0)+14)+INDEX(AS:AS,MATCH(AS202,$AA:$AA,0)+15)+INDEX(AS:AS,MATCH(AS202,$AA:$AA,0)+16))</f>
        <v>0</v>
      </c>
      <c r="AT208" s="37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6.05" customHeight="1" x14ac:dyDescent="0.35">
      <c r="B209" s="354" t="str">
        <f t="shared" si="243"/>
        <v>Gesamt</v>
      </c>
      <c r="C209" s="355" t="str">
        <f t="shared" si="243"/>
        <v/>
      </c>
      <c r="D209" s="338">
        <f>IF(AC209=1505,"",AC209)</f>
        <v>688</v>
      </c>
      <c r="E209" s="338" t="str">
        <f>IF(AD209=0,"",AD209)</f>
        <v/>
      </c>
      <c r="F209" s="338">
        <f>IF(AE209=1505,"",AE209)</f>
        <v>685</v>
      </c>
      <c r="G209" s="338" t="str">
        <f>IF(AF209=0,"",AF209)</f>
        <v/>
      </c>
      <c r="H209" s="338">
        <f>IF(AG209=1505,"",AG209)</f>
        <v>723</v>
      </c>
      <c r="I209" s="338" t="str">
        <f>IF(AH209=0,"",AH209)</f>
        <v/>
      </c>
      <c r="J209" s="338">
        <f>IF(AI209=1505,"",AI209)</f>
        <v>702</v>
      </c>
      <c r="K209" s="338" t="str">
        <f>IF(AJ209=0,"",AJ209)</f>
        <v/>
      </c>
      <c r="L209" s="338">
        <f>IF(AK209=1505,"",AK209)</f>
        <v>710</v>
      </c>
      <c r="M209" s="338" t="str">
        <f>IF(AL209=0,"",AL209)</f>
        <v/>
      </c>
      <c r="N209" s="338">
        <f>IF(AM209=1505,"",AM209)</f>
        <v>712</v>
      </c>
      <c r="O209" s="338" t="str">
        <f>IF(AN209=0,"",AN209)</f>
        <v/>
      </c>
      <c r="P209" s="338">
        <f>IF(AO209=1505,"",AO209)</f>
        <v>669</v>
      </c>
      <c r="Q209" s="338" t="str">
        <f>IF(AP209=0,"",AP209)</f>
        <v/>
      </c>
      <c r="R209" s="338">
        <f>IF(AQ209=1505,"",AQ209)</f>
        <v>758</v>
      </c>
      <c r="S209" s="338" t="str">
        <f>IF(AR209=0,"",AR209)</f>
        <v/>
      </c>
      <c r="T209" s="338">
        <f>IF(AS209=1505,"",AS209)</f>
        <v>0</v>
      </c>
      <c r="U209" s="338" t="str">
        <f>IF(AT209=0,"",AT209)</f>
        <v/>
      </c>
      <c r="V209" s="290"/>
      <c r="W209" s="290"/>
      <c r="AA209" s="93" t="s">
        <v>1799</v>
      </c>
      <c r="AB209" s="94"/>
      <c r="AC209" s="354">
        <f>SUM(AC205:AC208)</f>
        <v>688</v>
      </c>
      <c r="AD209" s="355"/>
      <c r="AE209" s="354">
        <f>SUM(AE205:AE208)</f>
        <v>685</v>
      </c>
      <c r="AF209" s="355"/>
      <c r="AG209" s="354">
        <f>SUM(AG205:AG208)</f>
        <v>723</v>
      </c>
      <c r="AH209" s="355"/>
      <c r="AI209" s="354">
        <f>SUM(AI205:AI208)</f>
        <v>702</v>
      </c>
      <c r="AJ209" s="355"/>
      <c r="AK209" s="354">
        <f>SUM(AK205:AK208)</f>
        <v>710</v>
      </c>
      <c r="AL209" s="355"/>
      <c r="AM209" s="354">
        <f>SUM(AM205:AM208)</f>
        <v>712</v>
      </c>
      <c r="AN209" s="355"/>
      <c r="AO209" s="354">
        <f>SUM(AO205:AO208)</f>
        <v>669</v>
      </c>
      <c r="AP209" s="355"/>
      <c r="AQ209" s="354">
        <f>SUM(AQ205:AQ208)</f>
        <v>758</v>
      </c>
      <c r="AR209" s="355"/>
      <c r="AS209" s="354">
        <f>SUM(AS205:AS208)</f>
        <v>0</v>
      </c>
      <c r="AT209" s="35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3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7">
      <c r="B211" s="44" t="str">
        <f>AA211</f>
        <v>Team-Nr.</v>
      </c>
      <c r="C211" s="45"/>
      <c r="D211" s="44" t="str">
        <f>AC211</f>
        <v>Liga:</v>
      </c>
      <c r="E211" s="47"/>
      <c r="F211" s="359" t="str">
        <f>AE211</f>
        <v>Bayernliga Frauen</v>
      </c>
      <c r="G211" s="359"/>
      <c r="H211" s="359"/>
      <c r="I211" s="359"/>
      <c r="J211" s="359"/>
      <c r="K211" s="359"/>
      <c r="L211" s="359"/>
      <c r="M211" s="359"/>
      <c r="N211" s="359"/>
      <c r="O211" s="359"/>
      <c r="P211" s="359"/>
      <c r="Q211" s="359"/>
      <c r="R211" s="48"/>
      <c r="S211" s="49" t="s">
        <v>1794</v>
      </c>
      <c r="T211" s="50"/>
      <c r="U211" s="360" t="str">
        <f>AT211</f>
        <v>02.11./03.11.</v>
      </c>
      <c r="V211" s="361"/>
      <c r="W211" s="362"/>
      <c r="X211" s="363"/>
      <c r="Y211" s="364"/>
      <c r="Z211" s="364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0" t="str">
        <f>VLOOKUP(AS212,Spielorte!$A$1:$C$6,2)</f>
        <v>02.11./03.11.</v>
      </c>
      <c r="AU211" s="361"/>
      <c r="AV211" s="362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65">
      <c r="B212" s="53">
        <f>AA212</f>
        <v>8</v>
      </c>
      <c r="D212" s="46" t="s">
        <v>1793</v>
      </c>
      <c r="E212" s="54"/>
      <c r="F212" s="358" t="str">
        <f>AE212</f>
        <v>Regensburg Super Bowl</v>
      </c>
      <c r="G212" s="358"/>
      <c r="H212" s="358"/>
      <c r="I212" s="358"/>
      <c r="J212" s="358"/>
      <c r="K212" s="358"/>
      <c r="L212" s="358"/>
      <c r="M212" s="358"/>
      <c r="N212" s="358"/>
      <c r="O212" s="358"/>
      <c r="P212" s="55"/>
      <c r="Q212" s="55"/>
      <c r="S212" s="49" t="s">
        <v>1791</v>
      </c>
      <c r="T212" s="56">
        <f>AS212</f>
        <v>2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Regensburg Super Bowl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2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4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5" thickBot="1" x14ac:dyDescent="0.45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VLOOKUP(AA212,Schlüssel!$A$5:$DZ$14,33)</f>
        <v>6</v>
      </c>
      <c r="AE214" s="65" t="s">
        <v>10</v>
      </c>
      <c r="AF214" s="44">
        <f>VLOOKUP(AA212,Schlüssel!$A$5:$DZ$14,34)</f>
        <v>8</v>
      </c>
      <c r="AG214" s="65" t="s">
        <v>10</v>
      </c>
      <c r="AH214" s="44">
        <f>VLOOKUP(AA212,Schlüssel!$A$5:$DZ$14,35)</f>
        <v>9</v>
      </c>
      <c r="AI214" s="65" t="s">
        <v>10</v>
      </c>
      <c r="AJ214" s="44">
        <f>VLOOKUP(AA212,Schlüssel!$A$5:$DZ$14,36)</f>
        <v>3</v>
      </c>
      <c r="AK214" s="65" t="s">
        <v>10</v>
      </c>
      <c r="AL214" s="44">
        <f>VLOOKUP(AA212,Schlüssel!$A$5:$DZ$14,37)</f>
        <v>7</v>
      </c>
      <c r="AM214" s="65" t="s">
        <v>10</v>
      </c>
      <c r="AN214" s="44">
        <f>VLOOKUP(AA212,Schlüssel!$A$5:$DZ$14,38)</f>
        <v>5</v>
      </c>
      <c r="AO214" s="65" t="s">
        <v>10</v>
      </c>
      <c r="AP214" s="44">
        <f>VLOOKUP(AA212,Schlüssel!$A$5:$DZ$14,39)</f>
        <v>4</v>
      </c>
      <c r="AQ214" s="65" t="s">
        <v>10</v>
      </c>
      <c r="AR214" s="44">
        <f>VLOOKUP(AA212,Schlüssel!$A$5:$DZ$14,40)</f>
        <v>11</v>
      </c>
      <c r="AS214" s="65" t="s">
        <v>10</v>
      </c>
      <c r="AT214" s="66">
        <f>VLOOKUP(AA212,Schlüssel!$A$5:$DZ$14,41)</f>
        <v>10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35">
      <c r="B215" s="67" t="s">
        <v>1</v>
      </c>
      <c r="C215" s="68"/>
      <c r="D215" s="354" t="s">
        <v>1800</v>
      </c>
      <c r="E215" s="355"/>
      <c r="F215" s="354" t="s">
        <v>1801</v>
      </c>
      <c r="G215" s="355"/>
      <c r="H215" s="354" t="s">
        <v>1802</v>
      </c>
      <c r="I215" s="355"/>
      <c r="J215" s="354" t="s">
        <v>1803</v>
      </c>
      <c r="K215" s="355"/>
      <c r="L215" s="354" t="s">
        <v>1804</v>
      </c>
      <c r="M215" s="355"/>
      <c r="N215" s="354" t="s">
        <v>1805</v>
      </c>
      <c r="O215" s="355"/>
      <c r="P215" s="354" t="s">
        <v>1806</v>
      </c>
      <c r="Q215" s="355"/>
      <c r="R215" s="354" t="s">
        <v>1807</v>
      </c>
      <c r="S215" s="355"/>
      <c r="T215" s="354" t="s">
        <v>1808</v>
      </c>
      <c r="U215" s="355"/>
      <c r="V215" s="356" t="s">
        <v>1799</v>
      </c>
      <c r="W215" s="357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4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2" customHeight="1" x14ac:dyDescent="0.35">
      <c r="A217" s="367" t="s">
        <v>0</v>
      </c>
      <c r="B217" s="73" t="str">
        <f>IF(AA217=0,"",AA217)</f>
        <v>Bess, Vanessa</v>
      </c>
      <c r="C217" s="74">
        <f>IF(AB217=0,"",AB217)</f>
        <v>25192</v>
      </c>
      <c r="D217" s="75">
        <f>IF(AC217=0,"",AC217)</f>
        <v>140</v>
      </c>
      <c r="E217" s="348">
        <f>IF(AD217="","",AD217)</f>
        <v>0</v>
      </c>
      <c r="F217" s="75">
        <f t="shared" ref="F217:F230" si="244">IF(AE217=0,"",AE217)</f>
        <v>170</v>
      </c>
      <c r="G217" s="348">
        <f>IF(AF217="","",AF217)</f>
        <v>1</v>
      </c>
      <c r="H217" s="75">
        <f t="shared" ref="H217:H230" si="245">IF(AG217=0,"",AG217)</f>
        <v>212</v>
      </c>
      <c r="I217" s="348">
        <f>IF(AH217="","",AH217)</f>
        <v>1</v>
      </c>
      <c r="J217" s="75">
        <f t="shared" ref="J217:J230" si="246">IF(AI217=0,"",AI217)</f>
        <v>212</v>
      </c>
      <c r="K217" s="348">
        <f>IF(AJ217="","",AJ217)</f>
        <v>1</v>
      </c>
      <c r="L217" s="75">
        <f t="shared" ref="L217:L230" si="247">IF(AK217=0,"",AK217)</f>
        <v>223</v>
      </c>
      <c r="M217" s="348">
        <f>IF(AL217="","",AL217)</f>
        <v>0</v>
      </c>
      <c r="N217" s="75">
        <f>IF(AM217=0,"",AM217)</f>
        <v>214</v>
      </c>
      <c r="O217" s="348">
        <f>IF(AN217="","",AN217)</f>
        <v>1</v>
      </c>
      <c r="P217" s="75">
        <f t="shared" ref="P217:P230" si="248">IF(AO217=0,"",AO217)</f>
        <v>213</v>
      </c>
      <c r="Q217" s="348">
        <f>IF(AP217="","",AP217)</f>
        <v>1</v>
      </c>
      <c r="R217" s="75">
        <f t="shared" ref="R217:R230" si="249">IF(AQ217=0,"",AQ217)</f>
        <v>179</v>
      </c>
      <c r="S217" s="348">
        <f>IF(AR217="","",AR217)</f>
        <v>1</v>
      </c>
      <c r="T217" s="75">
        <f t="shared" ref="T217:T230" si="250">IF(AS217=0,"",AS217)</f>
        <v>171</v>
      </c>
      <c r="U217" s="348">
        <f>IF(AT217="","",AT217)</f>
        <v>0</v>
      </c>
      <c r="V217" s="75">
        <f t="shared" ref="V217:V230" si="251">IF(AU217=0,"",AU217)</f>
        <v>1734</v>
      </c>
      <c r="W217" s="348">
        <f>IF(AV217="","",AV217)</f>
        <v>6</v>
      </c>
      <c r="Z217" s="351" t="s">
        <v>0</v>
      </c>
      <c r="AA217" s="108" t="str">
        <f>IF(AB217=0,"",VLOOKUP(AB217,Starter!$A$1:$D$199,2,FALSE))</f>
        <v>Bess, Vanessa</v>
      </c>
      <c r="AB217" s="99">
        <v>25192</v>
      </c>
      <c r="AC217" s="185">
        <v>140</v>
      </c>
      <c r="AD217" s="109">
        <f>IF(SUM(AC217:AC219)+AC235=0,0,IF(SUM(AC217:AC219)=AC235,0.5,IF(SUM(AC217:AC219)&gt;AC235,1,0)))</f>
        <v>0</v>
      </c>
      <c r="AE217" s="185">
        <v>170</v>
      </c>
      <c r="AF217" s="109">
        <f>IF(SUM(AE217:AE219)+AE235=0,0,IF(SUM(AE217:AE219)=AE235,0.5,IF(SUM(AE217:AE219)&gt;AE235,1,0)))</f>
        <v>1</v>
      </c>
      <c r="AG217" s="185">
        <v>212</v>
      </c>
      <c r="AH217" s="109">
        <f>IF(SUM(AG217:AG219)+AG235=0,0,IF(SUM(AG217:AG219)=AG235,0.5,IF(SUM(AG217:AG219)&gt;AG235,1,0)))</f>
        <v>1</v>
      </c>
      <c r="AI217" s="185">
        <v>212</v>
      </c>
      <c r="AJ217" s="109">
        <f>IF(SUM(AI217:AI219)+AI235=0,0,IF(SUM(AI217:AI219)=AI235,0.5,IF(SUM(AI217:AI219)&gt;AI235,1,0)))</f>
        <v>1</v>
      </c>
      <c r="AK217" s="185">
        <v>223</v>
      </c>
      <c r="AL217" s="109">
        <f>IF(SUM(AK217:AK219)+AK235=0,0,IF(SUM(AK217:AK219)=AK235,0.5,IF(SUM(AK217:AK219)&gt;AK235,1,0)))</f>
        <v>0</v>
      </c>
      <c r="AM217" s="185">
        <v>214</v>
      </c>
      <c r="AN217" s="109">
        <f>IF(SUM(AM217:AM219)+AM235=0,0,IF(SUM(AM217:AM219)=AM235,0.5,IF(SUM(AM217:AM219)&gt;AM235,1,0)))</f>
        <v>1</v>
      </c>
      <c r="AO217" s="185">
        <v>213</v>
      </c>
      <c r="AP217" s="109">
        <f>IF(SUM(AO217:AO219)+AO235=0,0,IF(SUM(AO217:AO219)=AO235,0.5,IF(SUM(AO217:AO219)&gt;AO235,1,0)))</f>
        <v>1</v>
      </c>
      <c r="AQ217" s="185">
        <v>179</v>
      </c>
      <c r="AR217" s="109">
        <f>IF(SUM(AQ217:AQ219)+AQ235=0,0,IF(SUM(AQ217:AQ219)=AQ235,0.5,IF(SUM(AQ217:AQ219)&gt;AQ235,1,0)))</f>
        <v>1</v>
      </c>
      <c r="AS217" s="185">
        <v>171</v>
      </c>
      <c r="AT217" s="109">
        <f>IF(SUM(AS217:AS219)+AS235=0,0,IF(SUM(AS217:AS219)=AS235,0.5,IF(SUM(AS217:AS219)&gt;AS235,1,0)))</f>
        <v>0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1734</v>
      </c>
      <c r="AV217" s="111">
        <f>SUM(AD217+AF217+AH217+AJ217+AL217+AN217+AP217+AR217+AT217)</f>
        <v>6</v>
      </c>
      <c r="AW217" s="101"/>
      <c r="AX217" s="102"/>
      <c r="AZ217" s="63"/>
      <c r="BA217" s="212"/>
      <c r="BB217" s="213"/>
      <c r="BC217" s="214"/>
      <c r="BD217" s="217">
        <f>+AB217</f>
        <v>25192</v>
      </c>
      <c r="BE217" s="213">
        <f>+AU217</f>
        <v>1734</v>
      </c>
      <c r="BF217" s="215">
        <f>COUNT(BH217:BP217)</f>
        <v>9</v>
      </c>
      <c r="BG217" s="215">
        <f>COUNTIF(BH217:BP217,"&gt;0")</f>
        <v>9</v>
      </c>
      <c r="BH217" s="215">
        <f t="shared" ref="BH217:BH228" si="253">IF(AC217=0,"",AC217)</f>
        <v>140</v>
      </c>
      <c r="BI217" s="215">
        <f t="shared" ref="BI217:BI228" si="254">IF(AE217=0,"",AE217)</f>
        <v>170</v>
      </c>
      <c r="BJ217" s="215">
        <f t="shared" ref="BJ217:BJ228" si="255">IF(AG217=0,"",AG217)</f>
        <v>212</v>
      </c>
      <c r="BK217" s="215">
        <f t="shared" ref="BK217:BK228" si="256">IF(AI217=0,"",AI217)</f>
        <v>212</v>
      </c>
      <c r="BL217" s="215">
        <f t="shared" ref="BL217:BL228" si="257">IF(AK217=0,"",AK217)</f>
        <v>223</v>
      </c>
      <c r="BM217" s="215">
        <f t="shared" ref="BM217:BM228" si="258">IF(AM217=0,"",AM217)</f>
        <v>214</v>
      </c>
      <c r="BN217" s="215">
        <f t="shared" ref="BN217:BN228" si="259">IF(AO217=0,"",AO217)</f>
        <v>213</v>
      </c>
      <c r="BO217" s="215">
        <f t="shared" ref="BO217:BO228" si="260">IF(AQ217=0,"",AQ217)</f>
        <v>179</v>
      </c>
      <c r="BP217" s="215">
        <f t="shared" ref="BP217:BP228" si="261">IF(AS217=0,"",AS217)</f>
        <v>171</v>
      </c>
      <c r="BQ217" s="216"/>
      <c r="BR217" s="214"/>
      <c r="BS217" s="215">
        <f>MAX(BH217:BP217)</f>
        <v>223</v>
      </c>
      <c r="BT217" s="215">
        <f>IF(BS217&lt;MAX(BS:BS),0,BS217+ROW()/1000000000)</f>
        <v>0</v>
      </c>
      <c r="BU217" s="215" t="str">
        <f>+AA213</f>
        <v>EPA München 1</v>
      </c>
      <c r="BV217" s="214">
        <f>RANK(BT217,BT:BT)</f>
        <v>2</v>
      </c>
      <c r="BW217" s="215">
        <f>SUMIF(BH217:BP217,"&gt;0")</f>
        <v>1734</v>
      </c>
      <c r="BX217" s="215">
        <f>IF(COUNTIF(BH217:BP217,"&gt;0")&lt;Spielorte!$A$23,0,BE217/Spielorte!$A$23)</f>
        <v>192.66666666666666</v>
      </c>
      <c r="BY217" s="215">
        <f>IF(BX217&lt;MAX(BX:BX),0,BX217+ROW()/1000000000)</f>
        <v>0</v>
      </c>
      <c r="BZ217" s="214">
        <f t="shared" ref="BZ217:BZ228" si="262">IF(BY217=0,0,RANK(BY217,BY:BY))</f>
        <v>0</v>
      </c>
    </row>
    <row r="218" spans="1:78" ht="17.2" customHeight="1" x14ac:dyDescent="0.35">
      <c r="A218" s="368"/>
      <c r="B218" s="76" t="str">
        <f t="shared" ref="B218:D230" si="263">IF(AA218=0,"",AA218)</f>
        <v/>
      </c>
      <c r="C218" s="77" t="str">
        <f t="shared" si="263"/>
        <v/>
      </c>
      <c r="D218" s="78" t="str">
        <f t="shared" si="263"/>
        <v/>
      </c>
      <c r="E218" s="349"/>
      <c r="F218" s="78" t="str">
        <f t="shared" si="244"/>
        <v/>
      </c>
      <c r="G218" s="349"/>
      <c r="H218" s="78" t="str">
        <f t="shared" si="245"/>
        <v/>
      </c>
      <c r="I218" s="349"/>
      <c r="J218" s="78" t="str">
        <f t="shared" si="246"/>
        <v/>
      </c>
      <c r="K218" s="349"/>
      <c r="L218" s="78" t="str">
        <f t="shared" si="247"/>
        <v/>
      </c>
      <c r="M218" s="349"/>
      <c r="N218" s="78" t="str">
        <f t="shared" ref="N218:N230" si="264">IF(AM218=0,"",AM218)</f>
        <v/>
      </c>
      <c r="O218" s="349"/>
      <c r="P218" s="78" t="str">
        <f t="shared" si="248"/>
        <v/>
      </c>
      <c r="Q218" s="349"/>
      <c r="R218" s="78" t="str">
        <f t="shared" si="249"/>
        <v/>
      </c>
      <c r="S218" s="349"/>
      <c r="T218" s="78" t="str">
        <f t="shared" si="250"/>
        <v/>
      </c>
      <c r="U218" s="349"/>
      <c r="V218" s="78" t="str">
        <f t="shared" si="251"/>
        <v/>
      </c>
      <c r="W218" s="349"/>
      <c r="Z218" s="352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52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0</v>
      </c>
      <c r="BE218" s="213">
        <f t="shared" ref="BE218:BE228" si="266">+AU218</f>
        <v>0</v>
      </c>
      <c r="BF218" s="215">
        <f t="shared" ref="BF218:BF228" si="267">COUNT(BH218:BP218)</f>
        <v>0</v>
      </c>
      <c r="BG218" s="215">
        <f t="shared" ref="BG218:BG228" si="268">COUNTIF(BH218:BP218,"&gt;0")</f>
        <v>0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 t="str">
        <f t="shared" si="261"/>
        <v/>
      </c>
      <c r="BQ218" s="216"/>
      <c r="BR218" s="214"/>
      <c r="BS218" s="215">
        <f t="shared" ref="BS218:BS228" si="269">MAX(BH218:BP218)</f>
        <v>0</v>
      </c>
      <c r="BT218" s="215">
        <f t="shared" ref="BT218:BT228" si="270">IF(BS218&lt;MAX(BS:BS),0,BS218+ROW()/1000000000)</f>
        <v>0</v>
      </c>
      <c r="BU218" s="215" t="str">
        <f t="shared" ref="BU218:BU228" si="271">+BU217</f>
        <v>EPA München 1</v>
      </c>
      <c r="BV218" s="214">
        <f t="shared" ref="BV218:BV228" si="272">RANK(BT218,BT:BT)</f>
        <v>2</v>
      </c>
      <c r="BW218" s="215">
        <f t="shared" ref="BW218:BW228" si="273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0</v>
      </c>
      <c r="BZ218" s="214">
        <f t="shared" si="262"/>
        <v>0</v>
      </c>
    </row>
    <row r="219" spans="1:78" ht="17.2" customHeight="1" thickBot="1" x14ac:dyDescent="0.4">
      <c r="A219" s="369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50"/>
      <c r="F219" s="69" t="str">
        <f t="shared" si="244"/>
        <v/>
      </c>
      <c r="G219" s="350"/>
      <c r="H219" s="69" t="str">
        <f t="shared" si="245"/>
        <v/>
      </c>
      <c r="I219" s="350"/>
      <c r="J219" s="69" t="str">
        <f t="shared" si="246"/>
        <v/>
      </c>
      <c r="K219" s="350"/>
      <c r="L219" s="69" t="str">
        <f t="shared" si="247"/>
        <v/>
      </c>
      <c r="M219" s="350"/>
      <c r="N219" s="69" t="str">
        <f t="shared" si="264"/>
        <v/>
      </c>
      <c r="O219" s="350"/>
      <c r="P219" s="69" t="str">
        <f t="shared" si="248"/>
        <v/>
      </c>
      <c r="Q219" s="350"/>
      <c r="R219" s="69" t="str">
        <f t="shared" si="249"/>
        <v/>
      </c>
      <c r="S219" s="350"/>
      <c r="T219" s="69" t="str">
        <f t="shared" si="250"/>
        <v/>
      </c>
      <c r="U219" s="350"/>
      <c r="V219" s="69" t="str">
        <f t="shared" si="251"/>
        <v/>
      </c>
      <c r="W219" s="350"/>
      <c r="Z219" s="353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0</v>
      </c>
      <c r="BU219" s="215" t="str">
        <f t="shared" si="271"/>
        <v>EPA München 1</v>
      </c>
      <c r="BV219" s="214">
        <f t="shared" si="272"/>
        <v>2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0</v>
      </c>
      <c r="BZ219" s="214">
        <f t="shared" si="262"/>
        <v>0</v>
      </c>
    </row>
    <row r="220" spans="1:78" ht="17.2" customHeight="1" x14ac:dyDescent="0.35">
      <c r="A220" s="367" t="s">
        <v>2</v>
      </c>
      <c r="B220" s="73" t="str">
        <f t="shared" si="263"/>
        <v>Schulz, Carolin</v>
      </c>
      <c r="C220" s="74">
        <f t="shared" si="263"/>
        <v>25714</v>
      </c>
      <c r="D220" s="75">
        <f t="shared" si="263"/>
        <v>147</v>
      </c>
      <c r="E220" s="348">
        <f>IF(AD220="","",AD220)</f>
        <v>0</v>
      </c>
      <c r="F220" s="75">
        <f t="shared" si="244"/>
        <v>172</v>
      </c>
      <c r="G220" s="348">
        <f>IF(AF220="","",AF220)</f>
        <v>1</v>
      </c>
      <c r="H220" s="75">
        <f t="shared" si="245"/>
        <v>186</v>
      </c>
      <c r="I220" s="348">
        <f>IF(AH220="","",AH220)</f>
        <v>0</v>
      </c>
      <c r="J220" s="75">
        <f t="shared" si="246"/>
        <v>181</v>
      </c>
      <c r="K220" s="348">
        <f>IF(AJ220="","",AJ220)</f>
        <v>1</v>
      </c>
      <c r="L220" s="75">
        <f t="shared" si="247"/>
        <v>159</v>
      </c>
      <c r="M220" s="348">
        <f>IF(AL220="","",AL220)</f>
        <v>1</v>
      </c>
      <c r="N220" s="75">
        <f t="shared" si="264"/>
        <v>146</v>
      </c>
      <c r="O220" s="348">
        <f>IF(AN220="","",AN220)</f>
        <v>0</v>
      </c>
      <c r="P220" s="75" t="str">
        <f t="shared" si="248"/>
        <v/>
      </c>
      <c r="Q220" s="348">
        <f>IF(AP220="","",AP220)</f>
        <v>1</v>
      </c>
      <c r="R220" s="75" t="str">
        <f t="shared" si="249"/>
        <v/>
      </c>
      <c r="S220" s="348">
        <f>IF(AR220="","",AR220)</f>
        <v>1</v>
      </c>
      <c r="T220" s="75" t="str">
        <f t="shared" si="250"/>
        <v/>
      </c>
      <c r="U220" s="348">
        <f>IF(AT220="","",AT220)</f>
        <v>0</v>
      </c>
      <c r="V220" s="75">
        <f t="shared" si="251"/>
        <v>991</v>
      </c>
      <c r="W220" s="348">
        <f>IF(AV220="","",AV220)</f>
        <v>5</v>
      </c>
      <c r="Z220" s="351" t="s">
        <v>2</v>
      </c>
      <c r="AA220" s="108" t="str">
        <f>IF(AB220=0,"",VLOOKUP(AB220,Starter!$A$1:$D$199,2,FALSE))</f>
        <v>Schulz, Carolin</v>
      </c>
      <c r="AB220" s="99">
        <v>25714</v>
      </c>
      <c r="AC220" s="188">
        <v>147</v>
      </c>
      <c r="AD220" s="109">
        <f>IF(SUM(AC220:AC222)+AC236=0,0,IF(SUM(AC220:AC222)=AC236,0.5,IF(SUM(AC220:AC222)&gt;AC236,1,0)))</f>
        <v>0</v>
      </c>
      <c r="AE220" s="188">
        <v>172</v>
      </c>
      <c r="AF220" s="109">
        <f>IF(SUM(AE220:AE222)+AE236=0,0,IF(SUM(AE220:AE222)=AE236,0.5,IF(SUM(AE220:AE222)&gt;AE236,1,0)))</f>
        <v>1</v>
      </c>
      <c r="AG220" s="188">
        <v>186</v>
      </c>
      <c r="AH220" s="109">
        <f>IF(SUM(AG220:AG222)+AG236=0,0,IF(SUM(AG220:AG222)=AG236,0.5,IF(SUM(AG220:AG222)&gt;AG236,1,0)))</f>
        <v>0</v>
      </c>
      <c r="AI220" s="188">
        <v>181</v>
      </c>
      <c r="AJ220" s="109">
        <f>IF(SUM(AI220:AI222)+AI236=0,0,IF(SUM(AI220:AI222)=AI236,0.5,IF(SUM(AI220:AI222)&gt;AI236,1,0)))</f>
        <v>1</v>
      </c>
      <c r="AK220" s="188">
        <v>159</v>
      </c>
      <c r="AL220" s="109">
        <f>IF(SUM(AK220:AK222)+AK236=0,0,IF(SUM(AK220:AK222)=AK236,0.5,IF(SUM(AK220:AK222)&gt;AK236,1,0)))</f>
        <v>1</v>
      </c>
      <c r="AM220" s="188">
        <v>146</v>
      </c>
      <c r="AN220" s="109">
        <f>IF(SUM(AM220:AM222)+AM236=0,0,IF(SUM(AM220:AM222)=AM236,0.5,IF(SUM(AM220:AM222)&gt;AM236,1,0)))</f>
        <v>0</v>
      </c>
      <c r="AO220" s="188"/>
      <c r="AP220" s="109">
        <f>IF(SUM(AO220:AO222)+AO236=0,0,IF(SUM(AO220:AO222)=AO236,0.5,IF(SUM(AO220:AO222)&gt;AO236,1,0)))</f>
        <v>1</v>
      </c>
      <c r="AQ220" s="188"/>
      <c r="AR220" s="109">
        <f>IF(SUM(AQ220:AQ222)+AQ236=0,0,IF(SUM(AQ220:AQ222)=AQ236,0.5,IF(SUM(AQ220:AQ222)&gt;AQ236,1,0)))</f>
        <v>1</v>
      </c>
      <c r="AS220" s="188"/>
      <c r="AT220" s="109">
        <f>IF(SUM(AS220:AS222)+AS236=0,0,IF(SUM(AS220:AS222)=AS236,0.5,IF(SUM(AS220:AS222)&gt;AS236,1,0)))</f>
        <v>0</v>
      </c>
      <c r="AU220" s="110">
        <f t="shared" si="252"/>
        <v>991</v>
      </c>
      <c r="AV220" s="111">
        <f>SUM(AD220+AF220+AH220+AJ220+AL220+AN220+AP220+AR220+AT220)</f>
        <v>5</v>
      </c>
      <c r="AW220" s="101"/>
      <c r="AX220" s="102"/>
      <c r="AZ220" s="63"/>
      <c r="BA220" s="212"/>
      <c r="BB220" s="213"/>
      <c r="BC220" s="214"/>
      <c r="BD220" s="217">
        <f t="shared" si="265"/>
        <v>25714</v>
      </c>
      <c r="BE220" s="213">
        <f t="shared" si="266"/>
        <v>991</v>
      </c>
      <c r="BF220" s="215">
        <f t="shared" si="267"/>
        <v>6</v>
      </c>
      <c r="BG220" s="215">
        <f t="shared" si="268"/>
        <v>6</v>
      </c>
      <c r="BH220" s="215">
        <f t="shared" si="253"/>
        <v>147</v>
      </c>
      <c r="BI220" s="215">
        <f t="shared" si="254"/>
        <v>172</v>
      </c>
      <c r="BJ220" s="215">
        <f t="shared" si="255"/>
        <v>186</v>
      </c>
      <c r="BK220" s="215">
        <f t="shared" si="256"/>
        <v>181</v>
      </c>
      <c r="BL220" s="215">
        <f t="shared" si="257"/>
        <v>159</v>
      </c>
      <c r="BM220" s="215">
        <f t="shared" si="258"/>
        <v>146</v>
      </c>
      <c r="BN220" s="215" t="str">
        <f t="shared" si="259"/>
        <v/>
      </c>
      <c r="BO220" s="215" t="str">
        <f t="shared" si="260"/>
        <v/>
      </c>
      <c r="BP220" s="215" t="str">
        <f t="shared" si="261"/>
        <v/>
      </c>
      <c r="BQ220" s="216"/>
      <c r="BR220" s="214"/>
      <c r="BS220" s="215">
        <f t="shared" si="269"/>
        <v>186</v>
      </c>
      <c r="BT220" s="215">
        <f t="shared" si="270"/>
        <v>0</v>
      </c>
      <c r="BU220" s="215" t="str">
        <f t="shared" si="271"/>
        <v>EPA München 1</v>
      </c>
      <c r="BV220" s="214">
        <f t="shared" si="272"/>
        <v>2</v>
      </c>
      <c r="BW220" s="215">
        <f t="shared" si="273"/>
        <v>991</v>
      </c>
      <c r="BX220" s="215">
        <f>IF(COUNTIF(BH220:BP220,"&gt;0")&lt;Spielorte!$A$23,0,BE220/Spielorte!$A$23)</f>
        <v>0</v>
      </c>
      <c r="BY220" s="215">
        <f t="shared" si="274"/>
        <v>0</v>
      </c>
      <c r="BZ220" s="214">
        <f t="shared" si="262"/>
        <v>0</v>
      </c>
    </row>
    <row r="221" spans="1:78" ht="17.2" customHeight="1" x14ac:dyDescent="0.35">
      <c r="A221" s="368"/>
      <c r="B221" s="76" t="str">
        <f t="shared" si="263"/>
        <v>Treffke, Helga</v>
      </c>
      <c r="C221" s="77">
        <f t="shared" si="263"/>
        <v>7752</v>
      </c>
      <c r="D221" s="78" t="str">
        <f t="shared" si="263"/>
        <v/>
      </c>
      <c r="E221" s="349"/>
      <c r="F221" s="78" t="str">
        <f t="shared" si="244"/>
        <v/>
      </c>
      <c r="G221" s="349"/>
      <c r="H221" s="78" t="str">
        <f t="shared" si="245"/>
        <v/>
      </c>
      <c r="I221" s="349"/>
      <c r="J221" s="78" t="str">
        <f t="shared" si="246"/>
        <v/>
      </c>
      <c r="K221" s="349"/>
      <c r="L221" s="78" t="str">
        <f t="shared" si="247"/>
        <v/>
      </c>
      <c r="M221" s="349"/>
      <c r="N221" s="78" t="str">
        <f t="shared" si="264"/>
        <v/>
      </c>
      <c r="O221" s="349"/>
      <c r="P221" s="78">
        <f t="shared" si="248"/>
        <v>202</v>
      </c>
      <c r="Q221" s="349"/>
      <c r="R221" s="78">
        <f t="shared" si="249"/>
        <v>181</v>
      </c>
      <c r="S221" s="349"/>
      <c r="T221" s="78">
        <f t="shared" si="250"/>
        <v>180</v>
      </c>
      <c r="U221" s="349"/>
      <c r="V221" s="78">
        <f t="shared" si="251"/>
        <v>563</v>
      </c>
      <c r="W221" s="349"/>
      <c r="Z221" s="352"/>
      <c r="AA221" s="108" t="str">
        <f>IF(AB221=0,"",VLOOKUP(AB221,Starter!$A$1:$D$199,2,FALSE))</f>
        <v>Treffke, Helga</v>
      </c>
      <c r="AB221" s="98">
        <v>7752</v>
      </c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>
        <v>202</v>
      </c>
      <c r="AP221" s="112"/>
      <c r="AQ221" s="190">
        <v>181</v>
      </c>
      <c r="AR221" s="112"/>
      <c r="AS221" s="190">
        <v>180</v>
      </c>
      <c r="AT221" s="112"/>
      <c r="AU221" s="113">
        <f t="shared" si="252"/>
        <v>563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7752</v>
      </c>
      <c r="BE221" s="213">
        <f t="shared" si="266"/>
        <v>563</v>
      </c>
      <c r="BF221" s="215">
        <f t="shared" si="267"/>
        <v>3</v>
      </c>
      <c r="BG221" s="215">
        <f t="shared" si="268"/>
        <v>3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 t="str">
        <f t="shared" si="258"/>
        <v/>
      </c>
      <c r="BN221" s="215">
        <f t="shared" si="259"/>
        <v>202</v>
      </c>
      <c r="BO221" s="215">
        <f t="shared" si="260"/>
        <v>181</v>
      </c>
      <c r="BP221" s="215">
        <f t="shared" si="261"/>
        <v>180</v>
      </c>
      <c r="BQ221" s="216"/>
      <c r="BR221" s="214"/>
      <c r="BS221" s="215">
        <f t="shared" si="269"/>
        <v>202</v>
      </c>
      <c r="BT221" s="215">
        <f t="shared" si="270"/>
        <v>0</v>
      </c>
      <c r="BU221" s="215" t="str">
        <f t="shared" si="271"/>
        <v>EPA München 1</v>
      </c>
      <c r="BV221" s="214">
        <f t="shared" si="272"/>
        <v>2</v>
      </c>
      <c r="BW221" s="215">
        <f t="shared" si="273"/>
        <v>563</v>
      </c>
      <c r="BX221" s="215">
        <f>IF(COUNTIF(BH221:BP221,"&gt;0")&lt;Spielorte!$A$23,0,BE221/Spielorte!$A$23)</f>
        <v>0</v>
      </c>
      <c r="BY221" s="215">
        <f t="shared" si="274"/>
        <v>0</v>
      </c>
      <c r="BZ221" s="214">
        <f t="shared" si="262"/>
        <v>0</v>
      </c>
    </row>
    <row r="222" spans="1:78" ht="17.2" customHeight="1" thickBot="1" x14ac:dyDescent="0.4">
      <c r="A222" s="369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50"/>
      <c r="F222" s="69" t="str">
        <f t="shared" si="244"/>
        <v/>
      </c>
      <c r="G222" s="350"/>
      <c r="H222" s="69" t="str">
        <f t="shared" si="245"/>
        <v/>
      </c>
      <c r="I222" s="350"/>
      <c r="J222" s="69" t="str">
        <f t="shared" si="246"/>
        <v/>
      </c>
      <c r="K222" s="350"/>
      <c r="L222" s="69" t="str">
        <f t="shared" si="247"/>
        <v/>
      </c>
      <c r="M222" s="350"/>
      <c r="N222" s="69" t="str">
        <f t="shared" si="264"/>
        <v/>
      </c>
      <c r="O222" s="350"/>
      <c r="P222" s="69" t="str">
        <f t="shared" si="248"/>
        <v/>
      </c>
      <c r="Q222" s="350"/>
      <c r="R222" s="69" t="str">
        <f t="shared" si="249"/>
        <v/>
      </c>
      <c r="S222" s="350"/>
      <c r="T222" s="69" t="str">
        <f t="shared" si="250"/>
        <v/>
      </c>
      <c r="U222" s="350"/>
      <c r="V222" s="69" t="str">
        <f t="shared" si="251"/>
        <v/>
      </c>
      <c r="W222" s="350"/>
      <c r="Z222" s="353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0</v>
      </c>
      <c r="BU222" s="215" t="str">
        <f t="shared" si="271"/>
        <v>EPA München 1</v>
      </c>
      <c r="BV222" s="214">
        <f t="shared" si="272"/>
        <v>2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0</v>
      </c>
      <c r="BZ222" s="214">
        <f t="shared" si="262"/>
        <v>0</v>
      </c>
    </row>
    <row r="223" spans="1:78" ht="17.2" customHeight="1" x14ac:dyDescent="0.35">
      <c r="A223" s="367" t="s">
        <v>3</v>
      </c>
      <c r="B223" s="73" t="str">
        <f t="shared" si="263"/>
        <v>Treffke, Helga</v>
      </c>
      <c r="C223" s="74">
        <f t="shared" si="263"/>
        <v>7752</v>
      </c>
      <c r="D223" s="75">
        <f t="shared" si="263"/>
        <v>166</v>
      </c>
      <c r="E223" s="348">
        <f>IF(AD223="","",AD223)</f>
        <v>0</v>
      </c>
      <c r="F223" s="75">
        <f t="shared" si="244"/>
        <v>169</v>
      </c>
      <c r="G223" s="348">
        <f>IF(AF223="","",AF223)</f>
        <v>0</v>
      </c>
      <c r="H223" s="75">
        <f t="shared" si="245"/>
        <v>197</v>
      </c>
      <c r="I223" s="348">
        <f>IF(AH223="","",AH223)</f>
        <v>1</v>
      </c>
      <c r="J223" s="75">
        <f t="shared" si="246"/>
        <v>193</v>
      </c>
      <c r="K223" s="348">
        <f>IF(AJ223="","",AJ223)</f>
        <v>1</v>
      </c>
      <c r="L223" s="75" t="str">
        <f t="shared" si="247"/>
        <v/>
      </c>
      <c r="M223" s="348">
        <f>IF(AL223="","",AL223)</f>
        <v>0</v>
      </c>
      <c r="N223" s="75" t="str">
        <f t="shared" si="264"/>
        <v/>
      </c>
      <c r="O223" s="348">
        <f>IF(AN223="","",AN223)</f>
        <v>1</v>
      </c>
      <c r="P223" s="75" t="str">
        <f t="shared" si="248"/>
        <v/>
      </c>
      <c r="Q223" s="348">
        <f>IF(AP223="","",AP223)</f>
        <v>0</v>
      </c>
      <c r="R223" s="75" t="str">
        <f t="shared" si="249"/>
        <v/>
      </c>
      <c r="S223" s="348">
        <f>IF(AR223="","",AR223)</f>
        <v>0</v>
      </c>
      <c r="T223" s="75" t="str">
        <f t="shared" si="250"/>
        <v/>
      </c>
      <c r="U223" s="348">
        <f>IF(AT223="","",AT223)</f>
        <v>1</v>
      </c>
      <c r="V223" s="75">
        <f t="shared" si="251"/>
        <v>725</v>
      </c>
      <c r="W223" s="348">
        <f>IF(AV223="","",AV223)</f>
        <v>4</v>
      </c>
      <c r="Z223" s="351" t="s">
        <v>3</v>
      </c>
      <c r="AA223" s="108" t="str">
        <f>IF(AB223=0,"",VLOOKUP(AB223,Starter!$A$1:$D$199,2,FALSE))</f>
        <v>Treffke, Helga</v>
      </c>
      <c r="AB223" s="99">
        <v>7752</v>
      </c>
      <c r="AC223" s="188">
        <v>166</v>
      </c>
      <c r="AD223" s="109">
        <f>IF(SUM(AC223:AC225)+AC237=0,0,IF(SUM(AC223:AC225)=AC237,0.5,IF(SUM(AC223:AC225)&gt;AC237,1,0)))</f>
        <v>0</v>
      </c>
      <c r="AE223" s="188">
        <v>169</v>
      </c>
      <c r="AF223" s="109">
        <f>IF(SUM(AE223:AE225)+AE237=0,0,IF(SUM(AE223:AE225)=AE237,0.5,IF(SUM(AE223:AE225)&gt;AE237,1,0)))</f>
        <v>0</v>
      </c>
      <c r="AG223" s="188">
        <v>197</v>
      </c>
      <c r="AH223" s="109">
        <f>IF(SUM(AG223:AG225)+AG237=0,0,IF(SUM(AG223:AG225)=AG237,0.5,IF(SUM(AG223:AG225)&gt;AG237,1,0)))</f>
        <v>1</v>
      </c>
      <c r="AI223" s="188">
        <v>193</v>
      </c>
      <c r="AJ223" s="109">
        <f>IF(SUM(AI223:AI225)+AI237=0,0,IF(SUM(AI223:AI225)=AI237,0.5,IF(SUM(AI223:AI225)&gt;AI237,1,0)))</f>
        <v>1</v>
      </c>
      <c r="AK223" s="188"/>
      <c r="AL223" s="109">
        <f>IF(SUM(AK223:AK225)+AK237=0,0,IF(SUM(AK223:AK225)=AK237,0.5,IF(SUM(AK223:AK225)&gt;AK237,1,0)))</f>
        <v>0</v>
      </c>
      <c r="AM223" s="188"/>
      <c r="AN223" s="109">
        <f>IF(SUM(AM223:AM225)+AM237=0,0,IF(SUM(AM223:AM225)=AM237,0.5,IF(SUM(AM223:AM225)&gt;AM237,1,0)))</f>
        <v>1</v>
      </c>
      <c r="AO223" s="188"/>
      <c r="AP223" s="109">
        <f>IF(SUM(AO223:AO225)+AO237=0,0,IF(SUM(AO223:AO225)=AO237,0.5,IF(SUM(AO223:AO225)&gt;AO237,1,0)))</f>
        <v>0</v>
      </c>
      <c r="AQ223" s="188"/>
      <c r="AR223" s="109">
        <f>IF(SUM(AQ223:AQ225)+AQ237=0,0,IF(SUM(AQ223:AQ225)=AQ237,0.5,IF(SUM(AQ223:AQ225)&gt;AQ237,1,0)))</f>
        <v>0</v>
      </c>
      <c r="AS223" s="188"/>
      <c r="AT223" s="109">
        <f>IF(SUM(AS223:AS225)+AS237=0,0,IF(SUM(AS223:AS225)=AS237,0.5,IF(SUM(AS223:AS225)&gt;AS237,1,0)))</f>
        <v>1</v>
      </c>
      <c r="AU223" s="110">
        <f t="shared" si="252"/>
        <v>725</v>
      </c>
      <c r="AV223" s="111">
        <f>SUM(AD223+AF223+AH223+AJ223+AL223+AN223+AP223+AR223+AT223)</f>
        <v>4</v>
      </c>
      <c r="AW223" s="101"/>
      <c r="AX223" s="102"/>
      <c r="AZ223" s="63"/>
      <c r="BA223" s="212"/>
      <c r="BB223" s="213"/>
      <c r="BC223" s="214"/>
      <c r="BD223" s="217">
        <f t="shared" si="265"/>
        <v>7752</v>
      </c>
      <c r="BE223" s="213">
        <f t="shared" si="266"/>
        <v>725</v>
      </c>
      <c r="BF223" s="215">
        <f t="shared" si="267"/>
        <v>4</v>
      </c>
      <c r="BG223" s="215">
        <f t="shared" si="268"/>
        <v>4</v>
      </c>
      <c r="BH223" s="215">
        <f t="shared" si="253"/>
        <v>166</v>
      </c>
      <c r="BI223" s="215">
        <f t="shared" si="254"/>
        <v>169</v>
      </c>
      <c r="BJ223" s="215">
        <f t="shared" si="255"/>
        <v>197</v>
      </c>
      <c r="BK223" s="215">
        <f t="shared" si="256"/>
        <v>193</v>
      </c>
      <c r="BL223" s="215" t="str">
        <f t="shared" si="257"/>
        <v/>
      </c>
      <c r="BM223" s="215" t="str">
        <f t="shared" si="258"/>
        <v/>
      </c>
      <c r="BN223" s="215" t="str">
        <f t="shared" si="259"/>
        <v/>
      </c>
      <c r="BO223" s="215" t="str">
        <f t="shared" si="260"/>
        <v/>
      </c>
      <c r="BP223" s="215" t="str">
        <f t="shared" si="261"/>
        <v/>
      </c>
      <c r="BQ223" s="216"/>
      <c r="BR223" s="214"/>
      <c r="BS223" s="215">
        <f t="shared" si="269"/>
        <v>197</v>
      </c>
      <c r="BT223" s="215">
        <f t="shared" si="270"/>
        <v>0</v>
      </c>
      <c r="BU223" s="215" t="str">
        <f t="shared" si="271"/>
        <v>EPA München 1</v>
      </c>
      <c r="BV223" s="214">
        <f t="shared" si="272"/>
        <v>2</v>
      </c>
      <c r="BW223" s="215">
        <f t="shared" si="273"/>
        <v>725</v>
      </c>
      <c r="BX223" s="215">
        <f>IF(COUNTIF(BH223:BP223,"&gt;0")&lt;Spielorte!$A$23,0,BE223/Spielorte!$A$23)</f>
        <v>0</v>
      </c>
      <c r="BY223" s="215">
        <f t="shared" si="274"/>
        <v>0</v>
      </c>
      <c r="BZ223" s="214">
        <f t="shared" si="262"/>
        <v>0</v>
      </c>
    </row>
    <row r="224" spans="1:78" ht="17.2" customHeight="1" x14ac:dyDescent="0.35">
      <c r="A224" s="368"/>
      <c r="B224" s="76" t="str">
        <f t="shared" si="263"/>
        <v>Weninger, Diana</v>
      </c>
      <c r="C224" s="77">
        <f t="shared" si="263"/>
        <v>25397</v>
      </c>
      <c r="D224" s="78" t="str">
        <f t="shared" si="263"/>
        <v/>
      </c>
      <c r="E224" s="349"/>
      <c r="F224" s="78" t="str">
        <f t="shared" si="244"/>
        <v/>
      </c>
      <c r="G224" s="349"/>
      <c r="H224" s="78" t="str">
        <f t="shared" si="245"/>
        <v/>
      </c>
      <c r="I224" s="349"/>
      <c r="J224" s="78" t="str">
        <f t="shared" si="246"/>
        <v/>
      </c>
      <c r="K224" s="349"/>
      <c r="L224" s="78">
        <f t="shared" si="247"/>
        <v>137</v>
      </c>
      <c r="M224" s="349"/>
      <c r="N224" s="78">
        <f t="shared" si="264"/>
        <v>175</v>
      </c>
      <c r="O224" s="349"/>
      <c r="P224" s="78">
        <f t="shared" si="248"/>
        <v>131</v>
      </c>
      <c r="Q224" s="349"/>
      <c r="R224" s="78">
        <f t="shared" si="249"/>
        <v>-157</v>
      </c>
      <c r="S224" s="349"/>
      <c r="T224" s="78" t="str">
        <f t="shared" si="250"/>
        <v/>
      </c>
      <c r="U224" s="349"/>
      <c r="V224" s="78">
        <f t="shared" si="251"/>
        <v>600</v>
      </c>
      <c r="W224" s="349"/>
      <c r="Z224" s="352"/>
      <c r="AA224" s="108" t="str">
        <f>IF(AB224=0,"",VLOOKUP(AB224,Starter!$A$1:$D$199,2,FALSE))</f>
        <v>Weninger, Diana</v>
      </c>
      <c r="AB224" s="98">
        <v>25397</v>
      </c>
      <c r="AC224" s="186"/>
      <c r="AD224" s="112"/>
      <c r="AE224" s="186"/>
      <c r="AF224" s="112"/>
      <c r="AG224" s="186"/>
      <c r="AH224" s="112"/>
      <c r="AI224" s="186"/>
      <c r="AJ224" s="112"/>
      <c r="AK224" s="186">
        <v>137</v>
      </c>
      <c r="AL224" s="112"/>
      <c r="AM224" s="186">
        <v>175</v>
      </c>
      <c r="AN224" s="112"/>
      <c r="AO224" s="186">
        <v>131</v>
      </c>
      <c r="AP224" s="112"/>
      <c r="AQ224" s="186">
        <v>-157</v>
      </c>
      <c r="AR224" s="112"/>
      <c r="AS224" s="186"/>
      <c r="AT224" s="112"/>
      <c r="AU224" s="113">
        <f t="shared" si="252"/>
        <v>600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25397</v>
      </c>
      <c r="BE224" s="213">
        <f t="shared" si="266"/>
        <v>600</v>
      </c>
      <c r="BF224" s="215">
        <f t="shared" si="267"/>
        <v>4</v>
      </c>
      <c r="BG224" s="215">
        <f t="shared" si="268"/>
        <v>3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>
        <f t="shared" si="257"/>
        <v>137</v>
      </c>
      <c r="BM224" s="215">
        <f t="shared" si="258"/>
        <v>175</v>
      </c>
      <c r="BN224" s="215">
        <f t="shared" si="259"/>
        <v>131</v>
      </c>
      <c r="BO224" s="215">
        <f t="shared" si="260"/>
        <v>-157</v>
      </c>
      <c r="BP224" s="215" t="str">
        <f t="shared" si="261"/>
        <v/>
      </c>
      <c r="BQ224" s="216"/>
      <c r="BR224" s="214"/>
      <c r="BS224" s="215">
        <f t="shared" si="269"/>
        <v>175</v>
      </c>
      <c r="BT224" s="215">
        <f t="shared" si="270"/>
        <v>0</v>
      </c>
      <c r="BU224" s="215" t="str">
        <f t="shared" si="271"/>
        <v>EPA München 1</v>
      </c>
      <c r="BV224" s="214">
        <f t="shared" si="272"/>
        <v>2</v>
      </c>
      <c r="BW224" s="215">
        <f t="shared" si="273"/>
        <v>443</v>
      </c>
      <c r="BX224" s="215">
        <f>IF(COUNTIF(BH224:BP224,"&gt;0")&lt;Spielorte!$A$23,0,BE224/Spielorte!$A$23)</f>
        <v>0</v>
      </c>
      <c r="BY224" s="215">
        <f t="shared" si="274"/>
        <v>0</v>
      </c>
      <c r="BZ224" s="214">
        <f t="shared" si="262"/>
        <v>0</v>
      </c>
    </row>
    <row r="225" spans="1:78" ht="17.2" customHeight="1" thickBot="1" x14ac:dyDescent="0.4">
      <c r="A225" s="369"/>
      <c r="B225" s="79" t="str">
        <f t="shared" si="263"/>
        <v>Schulz, Carolin</v>
      </c>
      <c r="C225" s="80">
        <f t="shared" si="263"/>
        <v>25714</v>
      </c>
      <c r="D225" s="69" t="str">
        <f t="shared" si="263"/>
        <v/>
      </c>
      <c r="E225" s="350"/>
      <c r="F225" s="69" t="str">
        <f t="shared" si="244"/>
        <v/>
      </c>
      <c r="G225" s="350"/>
      <c r="H225" s="69" t="str">
        <f t="shared" si="245"/>
        <v/>
      </c>
      <c r="I225" s="350"/>
      <c r="J225" s="69" t="str">
        <f t="shared" si="246"/>
        <v/>
      </c>
      <c r="K225" s="350"/>
      <c r="L225" s="69" t="str">
        <f t="shared" si="247"/>
        <v/>
      </c>
      <c r="M225" s="350"/>
      <c r="N225" s="69" t="str">
        <f t="shared" si="264"/>
        <v/>
      </c>
      <c r="O225" s="350"/>
      <c r="P225" s="69" t="str">
        <f t="shared" si="248"/>
        <v/>
      </c>
      <c r="Q225" s="350"/>
      <c r="R225" s="69" t="str">
        <f t="shared" si="249"/>
        <v/>
      </c>
      <c r="S225" s="350"/>
      <c r="T225" s="69">
        <f t="shared" si="250"/>
        <v>185</v>
      </c>
      <c r="U225" s="350"/>
      <c r="V225" s="69">
        <f t="shared" si="251"/>
        <v>185</v>
      </c>
      <c r="W225" s="350"/>
      <c r="Z225" s="353"/>
      <c r="AA225" s="118" t="str">
        <f>IF(AB225=0,"",VLOOKUP(AB225,Starter!$A$1:$D$199,2,FALSE))</f>
        <v>Schulz, Carolin</v>
      </c>
      <c r="AB225" s="100">
        <v>25714</v>
      </c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>
        <v>185</v>
      </c>
      <c r="AT225" s="119"/>
      <c r="AU225" s="116">
        <f t="shared" si="252"/>
        <v>185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25714</v>
      </c>
      <c r="BE225" s="213">
        <f t="shared" si="266"/>
        <v>185</v>
      </c>
      <c r="BF225" s="215">
        <f t="shared" si="267"/>
        <v>1</v>
      </c>
      <c r="BG225" s="215">
        <f t="shared" si="268"/>
        <v>1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>
        <f t="shared" si="261"/>
        <v>185</v>
      </c>
      <c r="BQ225" s="216"/>
      <c r="BR225" s="214"/>
      <c r="BS225" s="215">
        <f t="shared" si="269"/>
        <v>185</v>
      </c>
      <c r="BT225" s="215">
        <f t="shared" si="270"/>
        <v>0</v>
      </c>
      <c r="BU225" s="215" t="str">
        <f t="shared" si="271"/>
        <v>EPA München 1</v>
      </c>
      <c r="BV225" s="214">
        <f t="shared" si="272"/>
        <v>2</v>
      </c>
      <c r="BW225" s="215">
        <f t="shared" si="273"/>
        <v>185</v>
      </c>
      <c r="BX225" s="215">
        <f>IF(COUNTIF(BH225:BP225,"&gt;0")&lt;Spielorte!$A$23,0,BE225/Spielorte!$A$23)</f>
        <v>0</v>
      </c>
      <c r="BY225" s="215">
        <f t="shared" si="274"/>
        <v>0</v>
      </c>
      <c r="BZ225" s="214">
        <f t="shared" si="262"/>
        <v>0</v>
      </c>
    </row>
    <row r="226" spans="1:78" ht="17.2" customHeight="1" x14ac:dyDescent="0.35">
      <c r="A226" s="367" t="s">
        <v>11</v>
      </c>
      <c r="B226" s="73" t="str">
        <f>IF(AA226=0,"",AA226)</f>
        <v>Lieb, Anja</v>
      </c>
      <c r="C226" s="74">
        <f t="shared" si="263"/>
        <v>7534</v>
      </c>
      <c r="D226" s="75">
        <f t="shared" si="263"/>
        <v>159</v>
      </c>
      <c r="E226" s="348">
        <f>IF(AD226="","",AD226)</f>
        <v>0</v>
      </c>
      <c r="F226" s="75">
        <f t="shared" si="244"/>
        <v>174</v>
      </c>
      <c r="G226" s="348">
        <f>IF(AF226="","",AF226)</f>
        <v>1</v>
      </c>
      <c r="H226" s="75">
        <f t="shared" si="245"/>
        <v>172</v>
      </c>
      <c r="I226" s="348">
        <f>IF(AH226="","",AH226)</f>
        <v>1</v>
      </c>
      <c r="J226" s="75">
        <f t="shared" si="246"/>
        <v>209</v>
      </c>
      <c r="K226" s="348">
        <f>IF(AJ226="","",AJ226)</f>
        <v>1</v>
      </c>
      <c r="L226" s="75">
        <f t="shared" si="247"/>
        <v>164</v>
      </c>
      <c r="M226" s="348">
        <f>IF(AL226="","",AL226)</f>
        <v>0</v>
      </c>
      <c r="N226" s="75">
        <f t="shared" si="264"/>
        <v>148</v>
      </c>
      <c r="O226" s="348">
        <f>IF(AN226="","",AN226)</f>
        <v>0</v>
      </c>
      <c r="P226" s="75">
        <f t="shared" si="248"/>
        <v>263</v>
      </c>
      <c r="Q226" s="348">
        <f>IF(AP226="","",AP226)</f>
        <v>1</v>
      </c>
      <c r="R226" s="75">
        <f t="shared" si="249"/>
        <v>183</v>
      </c>
      <c r="S226" s="348">
        <f>IF(AR226="","",AR226)</f>
        <v>1</v>
      </c>
      <c r="T226" s="75">
        <f t="shared" si="250"/>
        <v>160</v>
      </c>
      <c r="U226" s="348">
        <f>IF(AT226="","",AT226)</f>
        <v>0</v>
      </c>
      <c r="V226" s="75">
        <f t="shared" si="251"/>
        <v>1632</v>
      </c>
      <c r="W226" s="348">
        <f>IF(AV226="","",AV226)</f>
        <v>5</v>
      </c>
      <c r="Z226" s="351" t="s">
        <v>11</v>
      </c>
      <c r="AA226" s="108" t="str">
        <f>IF(AB226=0,"",VLOOKUP(AB226,Starter!$A$1:$D$199,2,FALSE))</f>
        <v>Lieb, Anja</v>
      </c>
      <c r="AB226" s="99">
        <v>7534</v>
      </c>
      <c r="AC226" s="188">
        <v>159</v>
      </c>
      <c r="AD226" s="109">
        <f>IF(SUM(AC226:AC228)+AC238=0,0,IF(SUM(AC226:AC228)=AC238,0.5,IF(SUM(AC226:AC228)&gt;AC238,1,0)))</f>
        <v>0</v>
      </c>
      <c r="AE226" s="188">
        <v>174</v>
      </c>
      <c r="AF226" s="109">
        <f>IF(SUM(AE226:AE228)+AE238=0,0,IF(SUM(AE226:AE228)=AE238,0.5,IF(SUM(AE226:AE228)&gt;AE238,1,0)))</f>
        <v>1</v>
      </c>
      <c r="AG226" s="188">
        <v>172</v>
      </c>
      <c r="AH226" s="109">
        <f>IF(SUM(AG226:AG228)+AG238=0,0,IF(SUM(AG226:AG228)=AG238,0.5,IF(SUM(AG226:AG228)&gt;AG238,1,0)))</f>
        <v>1</v>
      </c>
      <c r="AI226" s="188">
        <v>209</v>
      </c>
      <c r="AJ226" s="109">
        <f>IF(SUM(AI226:AI228)+AI238=0,0,IF(SUM(AI226:AI228)=AI238,0.5,IF(SUM(AI226:AI228)&gt;AI238,1,0)))</f>
        <v>1</v>
      </c>
      <c r="AK226" s="188">
        <v>164</v>
      </c>
      <c r="AL226" s="109">
        <f>IF(SUM(AK226:AK228)+AK238=0,0,IF(SUM(AK226:AK228)=AK238,0.5,IF(SUM(AK226:AK228)&gt;AK238,1,0)))</f>
        <v>0</v>
      </c>
      <c r="AM226" s="188">
        <v>148</v>
      </c>
      <c r="AN226" s="109">
        <f>IF(SUM(AM226:AM228)+AM238=0,0,IF(SUM(AM226:AM228)=AM238,0.5,IF(SUM(AM226:AM228)&gt;AM238,1,0)))</f>
        <v>0</v>
      </c>
      <c r="AO226" s="188">
        <v>263</v>
      </c>
      <c r="AP226" s="109">
        <f>IF(SUM(AO226:AO228)+AO238=0,0,IF(SUM(AO226:AO228)=AO238,0.5,IF(SUM(AO226:AO228)&gt;AO238,1,0)))</f>
        <v>1</v>
      </c>
      <c r="AQ226" s="188">
        <v>183</v>
      </c>
      <c r="AR226" s="109">
        <f>IF(SUM(AQ226:AQ228)+AQ238=0,0,IF(SUM(AQ226:AQ228)=AQ238,0.5,IF(SUM(AQ226:AQ228)&gt;AQ238,1,0)))</f>
        <v>1</v>
      </c>
      <c r="AS226" s="188">
        <v>160</v>
      </c>
      <c r="AT226" s="109">
        <f>IF(SUM(AS226:AS228)+AS238=0,0,IF(SUM(AS226:AS228)=AS238,0.5,IF(SUM(AS226:AS228)&gt;AS238,1,0)))</f>
        <v>0</v>
      </c>
      <c r="AU226" s="110">
        <f t="shared" si="252"/>
        <v>1632</v>
      </c>
      <c r="AV226" s="111">
        <f>SUM(AD226+AF226+AH226+AJ226+AL226+AN226+AP226+AR226+AT226)</f>
        <v>5</v>
      </c>
      <c r="AW226" s="101"/>
      <c r="AX226" s="102"/>
      <c r="AZ226" s="63"/>
      <c r="BA226" s="212"/>
      <c r="BB226" s="213"/>
      <c r="BC226" s="214"/>
      <c r="BD226" s="217">
        <f t="shared" si="265"/>
        <v>7534</v>
      </c>
      <c r="BE226" s="213">
        <f t="shared" si="266"/>
        <v>1632</v>
      </c>
      <c r="BF226" s="215">
        <f t="shared" si="267"/>
        <v>9</v>
      </c>
      <c r="BG226" s="215">
        <f t="shared" si="268"/>
        <v>9</v>
      </c>
      <c r="BH226" s="215">
        <f t="shared" si="253"/>
        <v>159</v>
      </c>
      <c r="BI226" s="215">
        <f t="shared" si="254"/>
        <v>174</v>
      </c>
      <c r="BJ226" s="215">
        <f t="shared" si="255"/>
        <v>172</v>
      </c>
      <c r="BK226" s="215">
        <f t="shared" si="256"/>
        <v>209</v>
      </c>
      <c r="BL226" s="215">
        <f t="shared" si="257"/>
        <v>164</v>
      </c>
      <c r="BM226" s="215">
        <f t="shared" si="258"/>
        <v>148</v>
      </c>
      <c r="BN226" s="215">
        <f t="shared" si="259"/>
        <v>263</v>
      </c>
      <c r="BO226" s="215">
        <f t="shared" si="260"/>
        <v>183</v>
      </c>
      <c r="BP226" s="215">
        <f t="shared" si="261"/>
        <v>160</v>
      </c>
      <c r="BQ226" s="216"/>
      <c r="BR226" s="214"/>
      <c r="BS226" s="215">
        <f t="shared" si="269"/>
        <v>263</v>
      </c>
      <c r="BT226" s="215">
        <f t="shared" si="270"/>
        <v>263.000000226</v>
      </c>
      <c r="BU226" s="215" t="str">
        <f t="shared" si="271"/>
        <v>EPA München 1</v>
      </c>
      <c r="BV226" s="214">
        <f t="shared" si="272"/>
        <v>1</v>
      </c>
      <c r="BW226" s="215">
        <f t="shared" si="273"/>
        <v>1632</v>
      </c>
      <c r="BX226" s="215">
        <f>IF(COUNTIF(BH226:BP226,"&gt;0")&lt;Spielorte!$A$23,0,BE226/Spielorte!$A$23)</f>
        <v>181.33333333333334</v>
      </c>
      <c r="BY226" s="215">
        <f t="shared" si="274"/>
        <v>0</v>
      </c>
      <c r="BZ226" s="214">
        <f t="shared" si="262"/>
        <v>0</v>
      </c>
    </row>
    <row r="227" spans="1:78" ht="17.2" customHeight="1" x14ac:dyDescent="0.35">
      <c r="A227" s="368"/>
      <c r="B227" s="76" t="str">
        <f>IF(AA227=0,"",AA227)</f>
        <v/>
      </c>
      <c r="C227" s="77" t="str">
        <f t="shared" si="263"/>
        <v/>
      </c>
      <c r="D227" s="78" t="str">
        <f t="shared" si="263"/>
        <v/>
      </c>
      <c r="E227" s="349"/>
      <c r="F227" s="78" t="str">
        <f t="shared" si="244"/>
        <v/>
      </c>
      <c r="G227" s="349"/>
      <c r="H227" s="78" t="str">
        <f t="shared" si="245"/>
        <v/>
      </c>
      <c r="I227" s="349"/>
      <c r="J227" s="78" t="str">
        <f t="shared" si="246"/>
        <v/>
      </c>
      <c r="K227" s="349"/>
      <c r="L227" s="78" t="str">
        <f t="shared" si="247"/>
        <v/>
      </c>
      <c r="M227" s="349"/>
      <c r="N227" s="78" t="str">
        <f t="shared" si="264"/>
        <v/>
      </c>
      <c r="O227" s="349"/>
      <c r="P227" s="78" t="str">
        <f t="shared" si="248"/>
        <v/>
      </c>
      <c r="Q227" s="349"/>
      <c r="R227" s="78" t="str">
        <f t="shared" si="249"/>
        <v/>
      </c>
      <c r="S227" s="349"/>
      <c r="T227" s="78" t="str">
        <f t="shared" si="250"/>
        <v/>
      </c>
      <c r="U227" s="349"/>
      <c r="V227" s="78" t="str">
        <f t="shared" si="251"/>
        <v/>
      </c>
      <c r="W227" s="349"/>
      <c r="Z227" s="352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0</v>
      </c>
      <c r="BE227" s="213">
        <f t="shared" si="266"/>
        <v>0</v>
      </c>
      <c r="BF227" s="215">
        <f t="shared" si="267"/>
        <v>0</v>
      </c>
      <c r="BG227" s="215">
        <f t="shared" si="268"/>
        <v>0</v>
      </c>
      <c r="BH227" s="215" t="str">
        <f t="shared" si="253"/>
        <v/>
      </c>
      <c r="BI227" s="215" t="str">
        <f t="shared" si="254"/>
        <v/>
      </c>
      <c r="BJ227" s="215" t="str">
        <f t="shared" si="255"/>
        <v/>
      </c>
      <c r="BK227" s="215" t="str">
        <f t="shared" si="256"/>
        <v/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0</v>
      </c>
      <c r="BT227" s="215">
        <f t="shared" si="270"/>
        <v>0</v>
      </c>
      <c r="BU227" s="215" t="str">
        <f t="shared" si="271"/>
        <v>EPA München 1</v>
      </c>
      <c r="BV227" s="214">
        <f t="shared" si="272"/>
        <v>2</v>
      </c>
      <c r="BW227" s="215">
        <f t="shared" si="273"/>
        <v>0</v>
      </c>
      <c r="BX227" s="215">
        <f>IF(COUNTIF(BH227:BP227,"&gt;0")&lt;Spielorte!$A$23,0,BE227/Spielorte!$A$23)</f>
        <v>0</v>
      </c>
      <c r="BY227" s="215">
        <f t="shared" si="274"/>
        <v>0</v>
      </c>
      <c r="BZ227" s="214">
        <f t="shared" si="262"/>
        <v>0</v>
      </c>
    </row>
    <row r="228" spans="1:78" ht="17.2" customHeight="1" thickBot="1" x14ac:dyDescent="0.4">
      <c r="A228" s="369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50"/>
      <c r="F228" s="69" t="str">
        <f t="shared" si="244"/>
        <v/>
      </c>
      <c r="G228" s="350"/>
      <c r="H228" s="69" t="str">
        <f t="shared" si="245"/>
        <v/>
      </c>
      <c r="I228" s="350"/>
      <c r="J228" s="69" t="str">
        <f t="shared" si="246"/>
        <v/>
      </c>
      <c r="K228" s="350"/>
      <c r="L228" s="69" t="str">
        <f t="shared" si="247"/>
        <v/>
      </c>
      <c r="M228" s="350"/>
      <c r="N228" s="69" t="str">
        <f t="shared" si="264"/>
        <v/>
      </c>
      <c r="O228" s="350"/>
      <c r="P228" s="69" t="str">
        <f t="shared" si="248"/>
        <v/>
      </c>
      <c r="Q228" s="350"/>
      <c r="R228" s="69" t="str">
        <f t="shared" si="249"/>
        <v/>
      </c>
      <c r="S228" s="350"/>
      <c r="T228" s="69" t="str">
        <f t="shared" si="250"/>
        <v/>
      </c>
      <c r="U228" s="350"/>
      <c r="V228" s="69" t="str">
        <f t="shared" si="251"/>
        <v/>
      </c>
      <c r="W228" s="350"/>
      <c r="Z228" s="353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0</v>
      </c>
      <c r="BU228" s="215" t="str">
        <f t="shared" si="271"/>
        <v>EPA München 1</v>
      </c>
      <c r="BV228" s="214">
        <f t="shared" si="272"/>
        <v>2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0</v>
      </c>
      <c r="BZ228" s="214">
        <f t="shared" si="262"/>
        <v>0</v>
      </c>
    </row>
    <row r="229" spans="1:78" ht="27.75" customHeight="1" thickBot="1" x14ac:dyDescent="0.4">
      <c r="B229" s="81" t="str">
        <f>IF(AA229=0,"",AA229)</f>
        <v>Gesamt</v>
      </c>
      <c r="C229" s="82" t="str">
        <f t="shared" si="263"/>
        <v/>
      </c>
      <c r="D229" s="83">
        <f t="shared" si="263"/>
        <v>612</v>
      </c>
      <c r="E229" s="84">
        <f>IF(AD229="","",AD229)</f>
        <v>0</v>
      </c>
      <c r="F229" s="83">
        <f t="shared" si="244"/>
        <v>685</v>
      </c>
      <c r="G229" s="84">
        <f>IF(AF229="","",AF229)</f>
        <v>2</v>
      </c>
      <c r="H229" s="83">
        <f t="shared" si="245"/>
        <v>767</v>
      </c>
      <c r="I229" s="84">
        <f>IF(AH229="","",AH229)</f>
        <v>2</v>
      </c>
      <c r="J229" s="83">
        <f t="shared" si="246"/>
        <v>795</v>
      </c>
      <c r="K229" s="84">
        <f>IF(AJ229="","",AJ229)</f>
        <v>2</v>
      </c>
      <c r="L229" s="83">
        <f t="shared" si="247"/>
        <v>683</v>
      </c>
      <c r="M229" s="84">
        <f>IF(AL229="","",AL229)</f>
        <v>0</v>
      </c>
      <c r="N229" s="83">
        <f t="shared" si="264"/>
        <v>683</v>
      </c>
      <c r="O229" s="84">
        <f>IF(AN229="","",AN229)</f>
        <v>2</v>
      </c>
      <c r="P229" s="83">
        <f t="shared" si="248"/>
        <v>809</v>
      </c>
      <c r="Q229" s="84">
        <f>IF(AP229="","",AP229)</f>
        <v>2</v>
      </c>
      <c r="R229" s="83">
        <f t="shared" si="249"/>
        <v>700</v>
      </c>
      <c r="S229" s="84">
        <f>IF(AR229="","",AR229)</f>
        <v>2</v>
      </c>
      <c r="T229" s="83">
        <f t="shared" si="250"/>
        <v>696</v>
      </c>
      <c r="U229" s="84">
        <f>IF(AT229="","",AT229)</f>
        <v>0</v>
      </c>
      <c r="V229" s="83">
        <f t="shared" si="251"/>
        <v>6430</v>
      </c>
      <c r="W229" s="84">
        <f>IF(AV229="","",AV229)</f>
        <v>12</v>
      </c>
      <c r="AA229" s="81" t="s">
        <v>1799</v>
      </c>
      <c r="AB229" s="120"/>
      <c r="AC229" s="211">
        <f>ABS(SUM(AC217:AC219))+ABS(SUM(AC220:AC222))+ABS(SUM(AC223:AC225))+ABS(SUM(AC226:AC228))</f>
        <v>612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685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767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795</v>
      </c>
      <c r="AJ229" s="121">
        <f>IF(AI229+AI239=0,0,IF(AI229=AI239,1,IF(AI229&gt;AI239,2,0)))</f>
        <v>2</v>
      </c>
      <c r="AK229" s="211">
        <f>ABS(SUM(AK217:AK219))+ABS(SUM(AK220:AK222))+ABS(SUM(AK223:AK225))+ABS(SUM(AK226:AK228))</f>
        <v>683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683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809</v>
      </c>
      <c r="AP229" s="121">
        <f>IF(AO229+AO239=0,0,IF(AO229=AO239,1,IF(AO229&gt;AO239,2,0)))</f>
        <v>2</v>
      </c>
      <c r="AQ229" s="211">
        <f>ABS(SUM(AQ217:AQ219))+ABS(SUM(AQ220:AQ222))+ABS(SUM(AQ223:AQ225))+ABS(SUM(AQ226:AQ228))</f>
        <v>700</v>
      </c>
      <c r="AR229" s="121">
        <f>IF(AQ229+AQ239=0,0,IF(AQ229=AQ239,1,IF(AQ229&gt;AQ239,2,0)))</f>
        <v>2</v>
      </c>
      <c r="AS229" s="211">
        <f>ABS(SUM(AS217:AS219))+ABS(SUM(AS220:AS222))+ABS(SUM(AS223:AS225))+ABS(SUM(AS226:AS228))</f>
        <v>696</v>
      </c>
      <c r="AT229" s="121">
        <f>IF(AS229+AS239=0,0,IF(AS229=AS239,1,IF(AS229&gt;AS239,2,0)))</f>
        <v>0</v>
      </c>
      <c r="AU229" s="122">
        <f>SUM(AC229+AE229+AG229+AI229+AK229+AM229+AO229+AQ229+AS229)</f>
        <v>6430</v>
      </c>
      <c r="AV229" s="123">
        <f>SUM(AD229+AF229+AH229+AJ229+AL229+AN229+AP229+AR229+AT229)</f>
        <v>12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4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0</v>
      </c>
      <c r="F230" s="86" t="str">
        <f t="shared" si="244"/>
        <v/>
      </c>
      <c r="G230" s="87">
        <f>IF(AF230="","",AF230)</f>
        <v>5</v>
      </c>
      <c r="H230" s="86" t="str">
        <f t="shared" si="245"/>
        <v/>
      </c>
      <c r="I230" s="87">
        <f>IF(AH230="","",AH230)</f>
        <v>5</v>
      </c>
      <c r="J230" s="86" t="str">
        <f t="shared" si="246"/>
        <v/>
      </c>
      <c r="K230" s="87">
        <f>IF(AJ230="","",AJ230)</f>
        <v>6</v>
      </c>
      <c r="L230" s="86" t="str">
        <f t="shared" si="247"/>
        <v/>
      </c>
      <c r="M230" s="87">
        <f>IF(AL230="","",AL230)</f>
        <v>1</v>
      </c>
      <c r="N230" s="86" t="str">
        <f t="shared" si="264"/>
        <v/>
      </c>
      <c r="O230" s="87">
        <f>IF(AN230="","",AN230)</f>
        <v>4</v>
      </c>
      <c r="P230" s="86" t="str">
        <f t="shared" si="248"/>
        <v/>
      </c>
      <c r="Q230" s="87">
        <f>IF(AP230="","",AP230)</f>
        <v>5</v>
      </c>
      <c r="R230" s="86" t="str">
        <f t="shared" si="249"/>
        <v/>
      </c>
      <c r="S230" s="87">
        <f>IF(AR230="","",AR230)</f>
        <v>5</v>
      </c>
      <c r="T230" s="86" t="str">
        <f t="shared" si="250"/>
        <v/>
      </c>
      <c r="U230" s="87">
        <f>IF(AT230="","",AT230)</f>
        <v>1</v>
      </c>
      <c r="V230" s="86" t="str">
        <f t="shared" si="251"/>
        <v/>
      </c>
      <c r="W230" s="87">
        <f>IF(AV230="","",AV230)</f>
        <v>32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5</v>
      </c>
      <c r="AG230" s="86"/>
      <c r="AH230" s="124">
        <f>SUM(AH217:AH229)</f>
        <v>5</v>
      </c>
      <c r="AI230" s="86"/>
      <c r="AJ230" s="124">
        <f>SUM(AJ217:AJ229)</f>
        <v>6</v>
      </c>
      <c r="AK230" s="86"/>
      <c r="AL230" s="124">
        <f>SUM(AL217:AL229)</f>
        <v>1</v>
      </c>
      <c r="AM230" s="86"/>
      <c r="AN230" s="124">
        <f>SUM(AN217:AN229)</f>
        <v>4</v>
      </c>
      <c r="AO230" s="86"/>
      <c r="AP230" s="124">
        <f>SUM(AP217:AP229)</f>
        <v>5</v>
      </c>
      <c r="AQ230" s="86"/>
      <c r="AR230" s="124">
        <f>SUM(AR217:AR229)</f>
        <v>5</v>
      </c>
      <c r="AS230" s="86"/>
      <c r="AT230" s="124">
        <f>SUM(AT217:AT229)</f>
        <v>1</v>
      </c>
      <c r="AU230" s="86"/>
      <c r="AV230" s="125">
        <f>SUM(AV217:AV229)</f>
        <v>32</v>
      </c>
      <c r="AW230" s="101"/>
      <c r="AX230" s="102"/>
      <c r="BA230" s="212">
        <f>+AV230</f>
        <v>32</v>
      </c>
      <c r="BB230" s="213">
        <f>+AU229</f>
        <v>6430</v>
      </c>
      <c r="BC230" s="214">
        <f>+AA212</f>
        <v>8</v>
      </c>
      <c r="BF230" s="215">
        <f>SUM(BF211:BF229)</f>
        <v>36</v>
      </c>
      <c r="BQ230" s="212">
        <f>+BB230/1000000+BA230</f>
        <v>32.006430000000002</v>
      </c>
      <c r="BR230" s="214">
        <f>RANK(BQ230,BQ:BQ)</f>
        <v>3</v>
      </c>
      <c r="BV230" s="214"/>
      <c r="BZ230" s="214"/>
    </row>
    <row r="231" spans="1:78" ht="11.25" customHeight="1" x14ac:dyDescent="0.3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3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46">
        <f t="shared" si="275"/>
        <v>1</v>
      </c>
      <c r="E232" s="346" t="str">
        <f t="shared" si="275"/>
        <v/>
      </c>
      <c r="F232" s="346">
        <f t="shared" si="275"/>
        <v>7</v>
      </c>
      <c r="G232" s="346" t="str">
        <f t="shared" si="275"/>
        <v/>
      </c>
      <c r="H232" s="346">
        <f t="shared" si="275"/>
        <v>3</v>
      </c>
      <c r="I232" s="346" t="str">
        <f t="shared" si="275"/>
        <v/>
      </c>
      <c r="J232" s="346">
        <f t="shared" si="275"/>
        <v>4</v>
      </c>
      <c r="K232" s="346" t="str">
        <f t="shared" si="275"/>
        <v/>
      </c>
      <c r="L232" s="346">
        <f t="shared" si="275"/>
        <v>9</v>
      </c>
      <c r="M232" s="346" t="str">
        <f t="shared" si="275"/>
        <v/>
      </c>
      <c r="N232" s="346">
        <f t="shared" si="275"/>
        <v>6</v>
      </c>
      <c r="O232" s="346" t="str">
        <f t="shared" si="275"/>
        <v/>
      </c>
      <c r="P232" s="346">
        <f t="shared" si="275"/>
        <v>2</v>
      </c>
      <c r="Q232" s="346" t="str">
        <f t="shared" si="275"/>
        <v/>
      </c>
      <c r="R232" s="346">
        <f t="shared" ref="N232:U234" si="276">IF(AQ232=0,"",AQ232)</f>
        <v>5</v>
      </c>
      <c r="S232" s="346" t="str">
        <f t="shared" si="276"/>
        <v/>
      </c>
      <c r="T232" s="346">
        <f t="shared" si="276"/>
        <v>10</v>
      </c>
      <c r="U232" s="346" t="str">
        <f t="shared" si="276"/>
        <v/>
      </c>
      <c r="V232" s="347"/>
      <c r="W232" s="347"/>
      <c r="AA232" s="88" t="s">
        <v>1797</v>
      </c>
      <c r="AB232" s="89" t="s">
        <v>1798</v>
      </c>
      <c r="AC232" s="370">
        <f>VLOOKUP($AA212,Schlüssel!$A$5:$DG$14,23)</f>
        <v>1</v>
      </c>
      <c r="AD232" s="371"/>
      <c r="AE232" s="370">
        <f>VLOOKUP($AA212,Schlüssel!$A$5:$EK$14,24)</f>
        <v>7</v>
      </c>
      <c r="AF232" s="371"/>
      <c r="AG232" s="370">
        <f>VLOOKUP($AA212,Schlüssel!$A$5:$EK$14,25)</f>
        <v>3</v>
      </c>
      <c r="AH232" s="371"/>
      <c r="AI232" s="370">
        <f>VLOOKUP($AA212,Schlüssel!$A$5:$EK$14,26)</f>
        <v>4</v>
      </c>
      <c r="AJ232" s="371"/>
      <c r="AK232" s="370">
        <f>VLOOKUP($AA212,Schlüssel!$A$5:$EK$14,27)</f>
        <v>9</v>
      </c>
      <c r="AL232" s="371"/>
      <c r="AM232" s="370">
        <f>VLOOKUP($AA212,Schlüssel!$A$5:$EK$14,28)</f>
        <v>6</v>
      </c>
      <c r="AN232" s="371"/>
      <c r="AO232" s="370">
        <f>VLOOKUP($AA212,Schlüssel!$A$5:$EK$14,29)</f>
        <v>2</v>
      </c>
      <c r="AP232" s="371"/>
      <c r="AQ232" s="370">
        <f>VLOOKUP($AA212,Schlüssel!$A$5:$EK$14,30)</f>
        <v>5</v>
      </c>
      <c r="AR232" s="371"/>
      <c r="AS232" s="370">
        <f>VLOOKUP($AA212,Schlüssel!$A$5:$EK$14,31)</f>
        <v>10</v>
      </c>
      <c r="AT232" s="371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35">
      <c r="B233" s="90" t="str">
        <f t="shared" ref="B233:M234" si="277">IF(AA233=0,"",AA233)</f>
        <v/>
      </c>
      <c r="C233" s="86" t="str">
        <f t="shared" si="277"/>
        <v/>
      </c>
      <c r="D233" s="343" t="str">
        <f t="shared" si="277"/>
        <v>Praetoria Regensburg</v>
      </c>
      <c r="E233" s="344" t="str">
        <f t="shared" si="277"/>
        <v/>
      </c>
      <c r="F233" s="343" t="str">
        <f t="shared" si="277"/>
        <v>Frankenpower Nürnberg</v>
      </c>
      <c r="G233" s="344" t="str">
        <f t="shared" si="277"/>
        <v/>
      </c>
      <c r="H233" s="343" t="str">
        <f t="shared" si="277"/>
        <v>Highroller Rosenheim</v>
      </c>
      <c r="I233" s="344" t="str">
        <f t="shared" si="277"/>
        <v/>
      </c>
      <c r="J233" s="343" t="str">
        <f t="shared" si="277"/>
        <v>BK München 3</v>
      </c>
      <c r="K233" s="344" t="str">
        <f t="shared" si="277"/>
        <v/>
      </c>
      <c r="L233" s="343" t="str">
        <f t="shared" si="277"/>
        <v>RW Lichtenhof 69 Stein 2</v>
      </c>
      <c r="M233" s="344" t="str">
        <f t="shared" si="277"/>
        <v/>
      </c>
      <c r="N233" s="343" t="str">
        <f t="shared" si="276"/>
        <v>Phönix 03 Lauf</v>
      </c>
      <c r="O233" s="344" t="str">
        <f t="shared" si="276"/>
        <v/>
      </c>
      <c r="P233" s="343" t="str">
        <f t="shared" si="276"/>
        <v>BK München 2</v>
      </c>
      <c r="Q233" s="344" t="str">
        <f t="shared" si="276"/>
        <v/>
      </c>
      <c r="R233" s="343" t="str">
        <f t="shared" si="276"/>
        <v xml:space="preserve">Weiß Blau Unterföhring </v>
      </c>
      <c r="S233" s="344" t="str">
        <f t="shared" si="276"/>
        <v/>
      </c>
      <c r="T233" s="343" t="str">
        <f t="shared" si="276"/>
        <v>BK München 4</v>
      </c>
      <c r="U233" s="344" t="str">
        <f t="shared" si="276"/>
        <v/>
      </c>
      <c r="V233" s="345"/>
      <c r="W233" s="345"/>
      <c r="AA233" s="90"/>
      <c r="AB233" s="86"/>
      <c r="AC233" s="343" t="str">
        <f>VLOOKUP(AC232,Schlüssel!$A$5:$K$14,2)</f>
        <v>Praetoria Regensburg</v>
      </c>
      <c r="AD233" s="344"/>
      <c r="AE233" s="343" t="str">
        <f>VLOOKUP(AE232,Schlüssel!$A$5:$K$14,2)</f>
        <v>Frankenpower Nürnberg</v>
      </c>
      <c r="AF233" s="344"/>
      <c r="AG233" s="343" t="str">
        <f>VLOOKUP(AG232,Schlüssel!$A$5:$K$14,2)</f>
        <v>Highroller Rosenheim</v>
      </c>
      <c r="AH233" s="344"/>
      <c r="AI233" s="343" t="str">
        <f>VLOOKUP(AI232,Schlüssel!$A$5:$K$14,2)</f>
        <v>BK München 3</v>
      </c>
      <c r="AJ233" s="344"/>
      <c r="AK233" s="343" t="str">
        <f>VLOOKUP(AK232,Schlüssel!$A$5:$K$14,2)</f>
        <v>RW Lichtenhof 69 Stein 2</v>
      </c>
      <c r="AL233" s="344"/>
      <c r="AM233" s="343" t="str">
        <f>VLOOKUP(AM232,Schlüssel!$A$5:$K$14,2)</f>
        <v>Phönix 03 Lauf</v>
      </c>
      <c r="AN233" s="344"/>
      <c r="AO233" s="343" t="str">
        <f>VLOOKUP(AO232,Schlüssel!$A$5:$K$14,2)</f>
        <v>BK München 2</v>
      </c>
      <c r="AP233" s="344"/>
      <c r="AQ233" s="343" t="str">
        <f>VLOOKUP(AQ232,Schlüssel!$A$5:$K$14,2)</f>
        <v xml:space="preserve">Weiß Blau Unterföhring </v>
      </c>
      <c r="AR233" s="344"/>
      <c r="AS233" s="343" t="str">
        <f>VLOOKUP(AS232,Schlüssel!$A$5:$K$14,2)</f>
        <v>BK München 4</v>
      </c>
      <c r="AT233" s="344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35">
      <c r="B234" s="90" t="str">
        <f t="shared" si="277"/>
        <v/>
      </c>
      <c r="C234" s="86" t="str">
        <f t="shared" si="277"/>
        <v/>
      </c>
      <c r="D234" s="341" t="str">
        <f t="shared" si="277"/>
        <v/>
      </c>
      <c r="E234" s="341" t="str">
        <f t="shared" si="277"/>
        <v/>
      </c>
      <c r="F234" s="341" t="str">
        <f t="shared" si="277"/>
        <v/>
      </c>
      <c r="G234" s="341" t="str">
        <f t="shared" si="277"/>
        <v/>
      </c>
      <c r="H234" s="341" t="str">
        <f t="shared" si="277"/>
        <v/>
      </c>
      <c r="I234" s="341" t="str">
        <f t="shared" si="277"/>
        <v/>
      </c>
      <c r="J234" s="341" t="str">
        <f t="shared" si="277"/>
        <v/>
      </c>
      <c r="K234" s="341" t="str">
        <f t="shared" si="277"/>
        <v/>
      </c>
      <c r="L234" s="341" t="str">
        <f t="shared" si="277"/>
        <v/>
      </c>
      <c r="M234" s="341" t="str">
        <f t="shared" si="277"/>
        <v/>
      </c>
      <c r="N234" s="341" t="str">
        <f t="shared" si="276"/>
        <v/>
      </c>
      <c r="O234" s="341" t="str">
        <f t="shared" si="276"/>
        <v/>
      </c>
      <c r="P234" s="341" t="str">
        <f t="shared" si="276"/>
        <v/>
      </c>
      <c r="Q234" s="341" t="str">
        <f t="shared" si="276"/>
        <v/>
      </c>
      <c r="R234" s="341" t="str">
        <f t="shared" si="276"/>
        <v/>
      </c>
      <c r="S234" s="341" t="str">
        <f t="shared" si="276"/>
        <v/>
      </c>
      <c r="T234" s="341" t="str">
        <f t="shared" si="276"/>
        <v/>
      </c>
      <c r="U234" s="342" t="str">
        <f t="shared" si="276"/>
        <v/>
      </c>
      <c r="V234" s="301"/>
      <c r="W234" s="301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6.05" customHeight="1" x14ac:dyDescent="0.35">
      <c r="B235" s="365" t="str">
        <f t="shared" ref="B235:C239" si="278">IF(AA235=0,"",AA235)</f>
        <v>Spieler 1</v>
      </c>
      <c r="C235" s="366" t="str">
        <f t="shared" si="278"/>
        <v/>
      </c>
      <c r="D235" s="339">
        <f>IF(AC235=301,"",AC235)</f>
        <v>169</v>
      </c>
      <c r="E235" s="339" t="str">
        <f>IF(AD235=0,"",AD235)</f>
        <v/>
      </c>
      <c r="F235" s="339">
        <f>IF(AE235=301,"",AE235)</f>
        <v>169</v>
      </c>
      <c r="G235" s="339" t="str">
        <f>IF(AF235=0,"",AF235)</f>
        <v/>
      </c>
      <c r="H235" s="339">
        <f>IF(AG235=301,"",AG235)</f>
        <v>190</v>
      </c>
      <c r="I235" s="339" t="str">
        <f>IF(AH235=0,"",AH235)</f>
        <v/>
      </c>
      <c r="J235" s="339">
        <f>IF(AI235=301,"",AI235)</f>
        <v>0</v>
      </c>
      <c r="K235" s="339" t="str">
        <f>IF(AJ235=0,"",AJ235)</f>
        <v/>
      </c>
      <c r="L235" s="339">
        <f>IF(AK235=301,"",AK235)</f>
        <v>224</v>
      </c>
      <c r="M235" s="339" t="str">
        <f>IF(AL235=0,"",AL235)</f>
        <v/>
      </c>
      <c r="N235" s="339">
        <f>IF(AM235=301,"",AM235)</f>
        <v>162</v>
      </c>
      <c r="O235" s="339" t="str">
        <f>IF(AN235=0,"",AN235)</f>
        <v/>
      </c>
      <c r="P235" s="339">
        <f>IF(AO235=301,"",AO235)</f>
        <v>159</v>
      </c>
      <c r="Q235" s="339" t="str">
        <f>IF(AP235=0,"",AP235)</f>
        <v/>
      </c>
      <c r="R235" s="339">
        <f>IF(AQ235=301,"",AQ235)</f>
        <v>126</v>
      </c>
      <c r="S235" s="339" t="str">
        <f>IF(AR235=0,"",AR235)</f>
        <v/>
      </c>
      <c r="T235" s="339">
        <f>IF(AS235=301,"",AS235)</f>
        <v>172</v>
      </c>
      <c r="U235" s="339" t="str">
        <f>IF(AT235=0,"",AT235)</f>
        <v/>
      </c>
      <c r="V235" s="340"/>
      <c r="W235" s="340"/>
      <c r="AA235" s="91" t="s">
        <v>0</v>
      </c>
      <c r="AB235" s="92"/>
      <c r="AC235" s="372">
        <f>ABS(INDEX(AC:AC,MATCH(AC232,$AA:$AA,0)+5)+INDEX(AC:AC,MATCH(AC232,$AA:$AA,0)+6)+INDEX(AC:AC,MATCH(AC232,$AA:$AA,0)+7))</f>
        <v>169</v>
      </c>
      <c r="AD235" s="373"/>
      <c r="AE235" s="372">
        <f>ABS(INDEX(AE:AE,MATCH(AE232,$AA:$AA,0)+5)+INDEX(AE:AE,MATCH(AE232,$AA:$AA,0)+6)+INDEX(AE:AE,MATCH(AE232,$AA:$AA,0)+7))</f>
        <v>169</v>
      </c>
      <c r="AF235" s="373"/>
      <c r="AG235" s="372">
        <f>ABS(INDEX(AG:AG,MATCH(AG232,$AA:$AA,0)+5)+INDEX(AG:AG,MATCH(AG232,$AA:$AA,0)+6)+INDEX(AG:AG,MATCH(AG232,$AA:$AA,0)+7))</f>
        <v>190</v>
      </c>
      <c r="AH235" s="373"/>
      <c r="AI235" s="372">
        <f>ABS(INDEX(AI:AI,MATCH(AI232,$AA:$AA,0)+5)+INDEX(AI:AI,MATCH(AI232,$AA:$AA,0)+6)+INDEX(AI:AI,MATCH(AI232,$AA:$AA,0)+7))</f>
        <v>0</v>
      </c>
      <c r="AJ235" s="373"/>
      <c r="AK235" s="372">
        <f>ABS(INDEX(AK:AK,MATCH(AK232,$AA:$AA,0)+5)+INDEX(AK:AK,MATCH(AK232,$AA:$AA,0)+6)+INDEX(AK:AK,MATCH(AK232,$AA:$AA,0)+7))</f>
        <v>224</v>
      </c>
      <c r="AL235" s="373"/>
      <c r="AM235" s="372">
        <f>ABS(INDEX(AM:AM,MATCH(AM232,$AA:$AA,0)+5)+INDEX(AM:AM,MATCH(AM232,$AA:$AA,0)+6)+INDEX(AM:AM,MATCH(AM232,$AA:$AA,0)+7))</f>
        <v>162</v>
      </c>
      <c r="AN235" s="373"/>
      <c r="AO235" s="372">
        <f>ABS(INDEX(AO:AO,MATCH(AO232,$AA:$AA,0)+5)+INDEX(AO:AO,MATCH(AO232,$AA:$AA,0)+6)+INDEX(AO:AO,MATCH(AO232,$AA:$AA,0)+7))</f>
        <v>159</v>
      </c>
      <c r="AP235" s="373"/>
      <c r="AQ235" s="372">
        <f>ABS(INDEX(AQ:AQ,MATCH(AQ232,$AA:$AA,0)+5)+INDEX(AQ:AQ,MATCH(AQ232,$AA:$AA,0)+6)+INDEX(AQ:AQ,MATCH(AQ232,$AA:$AA,0)+7))</f>
        <v>126</v>
      </c>
      <c r="AR235" s="373"/>
      <c r="AS235" s="372">
        <f>ABS(INDEX(AS:AS,MATCH(AS232,$AA:$AA,0)+5)+INDEX(AS:AS,MATCH(AS232,$AA:$AA,0)+6)+INDEX(AS:AS,MATCH(AS232,$AA:$AA,0)+7))</f>
        <v>172</v>
      </c>
      <c r="AT235" s="373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6.05" customHeight="1" x14ac:dyDescent="0.35">
      <c r="B236" s="365" t="str">
        <f t="shared" si="278"/>
        <v>Spieler 2</v>
      </c>
      <c r="C236" s="366" t="str">
        <f t="shared" si="278"/>
        <v/>
      </c>
      <c r="D236" s="339">
        <f>IF(AC236=301,"",AC236)</f>
        <v>164</v>
      </c>
      <c r="E236" s="339" t="str">
        <f>IF(AD236=0,"",AD236)</f>
        <v/>
      </c>
      <c r="F236" s="339">
        <f>IF(AE236=301,"",AE236)</f>
        <v>163</v>
      </c>
      <c r="G236" s="339" t="str">
        <f>IF(AF236=0,"",AF236)</f>
        <v/>
      </c>
      <c r="H236" s="339">
        <f>IF(AG236=301,"",AG236)</f>
        <v>189</v>
      </c>
      <c r="I236" s="339" t="str">
        <f>IF(AH236=0,"",AH236)</f>
        <v/>
      </c>
      <c r="J236" s="339">
        <f>IF(AI236=301,"",AI236)</f>
        <v>0</v>
      </c>
      <c r="K236" s="339" t="str">
        <f>IF(AJ236=0,"",AJ236)</f>
        <v/>
      </c>
      <c r="L236" s="339">
        <f>IF(AK236=301,"",AK236)</f>
        <v>150</v>
      </c>
      <c r="M236" s="339" t="str">
        <f>IF(AL236=0,"",AL236)</f>
        <v/>
      </c>
      <c r="N236" s="339">
        <f>IF(AM236=301,"",AM236)</f>
        <v>151</v>
      </c>
      <c r="O236" s="339" t="str">
        <f>IF(AN236=0,"",AN236)</f>
        <v/>
      </c>
      <c r="P236" s="339">
        <f>IF(AO236=301,"",AO236)</f>
        <v>187</v>
      </c>
      <c r="Q236" s="339" t="str">
        <f>IF(AP236=0,"",AP236)</f>
        <v/>
      </c>
      <c r="R236" s="339">
        <f>IF(AQ236=301,"",AQ236)</f>
        <v>166</v>
      </c>
      <c r="S236" s="339" t="str">
        <f>IF(AR236=0,"",AR236)</f>
        <v/>
      </c>
      <c r="T236" s="339">
        <f>IF(AS236=301,"",AS236)</f>
        <v>204</v>
      </c>
      <c r="U236" s="339" t="str">
        <f>IF(AT236=0,"",AT236)</f>
        <v/>
      </c>
      <c r="V236" s="340"/>
      <c r="W236" s="340"/>
      <c r="AA236" s="91" t="s">
        <v>2</v>
      </c>
      <c r="AB236" s="92"/>
      <c r="AC236" s="374">
        <f>ABS(INDEX(AC:AC,MATCH(AC232,$AA:$AA,0)+8)+INDEX(AC:AC,MATCH(AC232,$AA:$AA,0)+9)+INDEX(AC:AC,MATCH(AC232,$AA:$AA,0)+10))</f>
        <v>164</v>
      </c>
      <c r="AD236" s="375"/>
      <c r="AE236" s="374">
        <f>ABS(INDEX(AE:AE,MATCH(AE232,$AA:$AA,0)+8)+INDEX(AE:AE,MATCH(AE232,$AA:$AA,0)+9)+INDEX(AE:AE,MATCH(AE232,$AA:$AA,0)+10))</f>
        <v>163</v>
      </c>
      <c r="AF236" s="375"/>
      <c r="AG236" s="374">
        <f>ABS(INDEX(AG:AG,MATCH(AG232,$AA:$AA,0)+8)+INDEX(AG:AG,MATCH(AG232,$AA:$AA,0)+9)+INDEX(AG:AG,MATCH(AG232,$AA:$AA,0)+10))</f>
        <v>189</v>
      </c>
      <c r="AH236" s="375"/>
      <c r="AI236" s="374">
        <f>ABS(INDEX(AI:AI,MATCH(AI232,$AA:$AA,0)+8)+INDEX(AI:AI,MATCH(AI232,$AA:$AA,0)+9)+INDEX(AI:AI,MATCH(AI232,$AA:$AA,0)+10))</f>
        <v>0</v>
      </c>
      <c r="AJ236" s="375"/>
      <c r="AK236" s="374">
        <f>ABS(INDEX(AK:AK,MATCH(AK232,$AA:$AA,0)+8)+INDEX(AK:AK,MATCH(AK232,$AA:$AA,0)+9)+INDEX(AK:AK,MATCH(AK232,$AA:$AA,0)+10))</f>
        <v>150</v>
      </c>
      <c r="AL236" s="375"/>
      <c r="AM236" s="374">
        <f>ABS(INDEX(AM:AM,MATCH(AM232,$AA:$AA,0)+8)+INDEX(AM:AM,MATCH(AM232,$AA:$AA,0)+9)+INDEX(AM:AM,MATCH(AM232,$AA:$AA,0)+10))</f>
        <v>151</v>
      </c>
      <c r="AN236" s="375"/>
      <c r="AO236" s="374">
        <f>ABS(INDEX(AO:AO,MATCH(AO232,$AA:$AA,0)+8)+INDEX(AO:AO,MATCH(AO232,$AA:$AA,0)+9)+INDEX(AO:AO,MATCH(AO232,$AA:$AA,0)+10))</f>
        <v>187</v>
      </c>
      <c r="AP236" s="375"/>
      <c r="AQ236" s="374">
        <f>ABS(INDEX(AQ:AQ,MATCH(AQ232,$AA:$AA,0)+8)+INDEX(AQ:AQ,MATCH(AQ232,$AA:$AA,0)+9)+INDEX(AQ:AQ,MATCH(AQ232,$AA:$AA,0)+10))</f>
        <v>166</v>
      </c>
      <c r="AR236" s="375"/>
      <c r="AS236" s="374">
        <f>ABS(INDEX(AS:AS,MATCH(AS232,$AA:$AA,0)+8)+INDEX(AS:AS,MATCH(AS232,$AA:$AA,0)+9)+INDEX(AS:AS,MATCH(AS232,$AA:$AA,0)+10))</f>
        <v>204</v>
      </c>
      <c r="AT236" s="37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6.05" customHeight="1" x14ac:dyDescent="0.35">
      <c r="B237" s="365" t="str">
        <f t="shared" si="278"/>
        <v>Spieler 3</v>
      </c>
      <c r="C237" s="366" t="str">
        <f t="shared" si="278"/>
        <v/>
      </c>
      <c r="D237" s="339">
        <f>IF(AC237=301,"",AC237)</f>
        <v>176</v>
      </c>
      <c r="E237" s="339" t="str">
        <f>IF(AD237=0,"",AD237)</f>
        <v/>
      </c>
      <c r="F237" s="339">
        <f>IF(AE237=301,"",AE237)</f>
        <v>181</v>
      </c>
      <c r="G237" s="339" t="str">
        <f>IF(AF237=0,"",AF237)</f>
        <v/>
      </c>
      <c r="H237" s="339">
        <f>IF(AG237=301,"",AG237)</f>
        <v>169</v>
      </c>
      <c r="I237" s="339" t="str">
        <f>IF(AH237=0,"",AH237)</f>
        <v/>
      </c>
      <c r="J237" s="339">
        <f>IF(AI237=301,"",AI237)</f>
        <v>0</v>
      </c>
      <c r="K237" s="339" t="str">
        <f>IF(AJ237=0,"",AJ237)</f>
        <v/>
      </c>
      <c r="L237" s="339">
        <f>IF(AK237=301,"",AK237)</f>
        <v>165</v>
      </c>
      <c r="M237" s="339" t="str">
        <f>IF(AL237=0,"",AL237)</f>
        <v/>
      </c>
      <c r="N237" s="339">
        <f>IF(AM237=301,"",AM237)</f>
        <v>141</v>
      </c>
      <c r="O237" s="339" t="str">
        <f>IF(AN237=0,"",AN237)</f>
        <v/>
      </c>
      <c r="P237" s="339">
        <f>IF(AO237=301,"",AO237)</f>
        <v>157</v>
      </c>
      <c r="Q237" s="339" t="str">
        <f>IF(AP237=0,"",AP237)</f>
        <v/>
      </c>
      <c r="R237" s="339">
        <f>IF(AQ237=301,"",AQ237)</f>
        <v>169</v>
      </c>
      <c r="S237" s="339" t="str">
        <f>IF(AR237=0,"",AR237)</f>
        <v/>
      </c>
      <c r="T237" s="339">
        <f>IF(AS237=301,"",AS237)</f>
        <v>160</v>
      </c>
      <c r="U237" s="339" t="str">
        <f>IF(AT237=0,"",AT237)</f>
        <v/>
      </c>
      <c r="V237" s="340"/>
      <c r="W237" s="340"/>
      <c r="AA237" s="91" t="s">
        <v>3</v>
      </c>
      <c r="AB237" s="92"/>
      <c r="AC237" s="374">
        <f>ABS(INDEX(AC:AC,MATCH(AC232,$AA:$AA,0)+11)+INDEX(AC:AC,MATCH(AC232,$AA:$AA,0)+12)+INDEX(AC:AC,MATCH(AC232,$AA:$AA,0)+13))</f>
        <v>176</v>
      </c>
      <c r="AD237" s="375"/>
      <c r="AE237" s="374">
        <f>ABS(INDEX(AE:AE,MATCH(AE232,$AA:$AA,0)+11)+INDEX(AE:AE,MATCH(AE232,$AA:$AA,0)+12)+INDEX(AE:AE,MATCH(AE232,$AA:$AA,0)+13))</f>
        <v>181</v>
      </c>
      <c r="AF237" s="375"/>
      <c r="AG237" s="374">
        <f>ABS(INDEX(AG:AG,MATCH(AG232,$AA:$AA,0)+11)+INDEX(AG:AG,MATCH(AG232,$AA:$AA,0)+12)+INDEX(AG:AG,MATCH(AG232,$AA:$AA,0)+13))</f>
        <v>169</v>
      </c>
      <c r="AH237" s="375"/>
      <c r="AI237" s="374">
        <f>ABS(INDEX(AI:AI,MATCH(AI232,$AA:$AA,0)+11)+INDEX(AI:AI,MATCH(AI232,$AA:$AA,0)+12)+INDEX(AI:AI,MATCH(AI232,$AA:$AA,0)+13))</f>
        <v>0</v>
      </c>
      <c r="AJ237" s="375"/>
      <c r="AK237" s="374">
        <f>ABS(INDEX(AK:AK,MATCH(AK232,$AA:$AA,0)+11)+INDEX(AK:AK,MATCH(AK232,$AA:$AA,0)+12)+INDEX(AK:AK,MATCH(AK232,$AA:$AA,0)+13))</f>
        <v>165</v>
      </c>
      <c r="AL237" s="375"/>
      <c r="AM237" s="374">
        <f>ABS(INDEX(AM:AM,MATCH(AM232,$AA:$AA,0)+11)+INDEX(AM:AM,MATCH(AM232,$AA:$AA,0)+12)+INDEX(AM:AM,MATCH(AM232,$AA:$AA,0)+13))</f>
        <v>141</v>
      </c>
      <c r="AN237" s="375"/>
      <c r="AO237" s="374">
        <f>ABS(INDEX(AO:AO,MATCH(AO232,$AA:$AA,0)+11)+INDEX(AO:AO,MATCH(AO232,$AA:$AA,0)+12)+INDEX(AO:AO,MATCH(AO232,$AA:$AA,0)+13))</f>
        <v>157</v>
      </c>
      <c r="AP237" s="375"/>
      <c r="AQ237" s="374">
        <f>ABS(INDEX(AQ:AQ,MATCH(AQ232,$AA:$AA,0)+11)+INDEX(AQ:AQ,MATCH(AQ232,$AA:$AA,0)+12)+INDEX(AQ:AQ,MATCH(AQ232,$AA:$AA,0)+13))</f>
        <v>169</v>
      </c>
      <c r="AR237" s="375"/>
      <c r="AS237" s="374">
        <f>ABS(INDEX(AS:AS,MATCH(AS232,$AA:$AA,0)+11)+INDEX(AS:AS,MATCH(AS232,$AA:$AA,0)+12)+INDEX(AS:AS,MATCH(AS232,$AA:$AA,0)+13))</f>
        <v>160</v>
      </c>
      <c r="AT237" s="37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6.05" customHeight="1" x14ac:dyDescent="0.35">
      <c r="B238" s="365" t="str">
        <f t="shared" si="278"/>
        <v>Spieler 4</v>
      </c>
      <c r="C238" s="366" t="str">
        <f t="shared" si="278"/>
        <v/>
      </c>
      <c r="D238" s="339">
        <f>IF(AC238=301,"",AC238)</f>
        <v>179</v>
      </c>
      <c r="E238" s="339" t="str">
        <f>IF(AD238=0,"",AD238)</f>
        <v/>
      </c>
      <c r="F238" s="339">
        <f>IF(AE238=301,"",AE238)</f>
        <v>155</v>
      </c>
      <c r="G238" s="339" t="str">
        <f>IF(AF238=0,"",AF238)</f>
        <v/>
      </c>
      <c r="H238" s="339">
        <f>IF(AG238=301,"",AG238)</f>
        <v>141</v>
      </c>
      <c r="I238" s="339" t="str">
        <f>IF(AH238=0,"",AH238)</f>
        <v/>
      </c>
      <c r="J238" s="339">
        <f>IF(AI238=301,"",AI238)</f>
        <v>0</v>
      </c>
      <c r="K238" s="339" t="str">
        <f>IF(AJ238=0,"",AJ238)</f>
        <v/>
      </c>
      <c r="L238" s="339">
        <f>IF(AK238=301,"",AK238)</f>
        <v>183</v>
      </c>
      <c r="M238" s="339" t="str">
        <f>IF(AL238=0,"",AL238)</f>
        <v/>
      </c>
      <c r="N238" s="339">
        <f>IF(AM238=301,"",AM238)</f>
        <v>194</v>
      </c>
      <c r="O238" s="339" t="str">
        <f>IF(AN238=0,"",AN238)</f>
        <v/>
      </c>
      <c r="P238" s="339">
        <f>IF(AO238=301,"",AO238)</f>
        <v>192</v>
      </c>
      <c r="Q238" s="339" t="str">
        <f>IF(AP238=0,"",AP238)</f>
        <v/>
      </c>
      <c r="R238" s="339">
        <f>IF(AQ238=301,"",AQ238)</f>
        <v>180</v>
      </c>
      <c r="S238" s="339" t="str">
        <f>IF(AR238=0,"",AR238)</f>
        <v/>
      </c>
      <c r="T238" s="339">
        <f>IF(AS238=301,"",AS238)</f>
        <v>205</v>
      </c>
      <c r="U238" s="339" t="str">
        <f>IF(AT238=0,"",AT238)</f>
        <v/>
      </c>
      <c r="V238" s="340"/>
      <c r="W238" s="340"/>
      <c r="AA238" s="91" t="s">
        <v>11</v>
      </c>
      <c r="AB238" s="92"/>
      <c r="AC238" s="374">
        <f>ABS(INDEX(AC:AC,MATCH(AC232,$AA:$AA,0)+14)+INDEX(AC:AC,MATCH(AC232,$AA:$AA,0)+15)+INDEX(AC:AC,MATCH(AC232,$AA:$AA,0)+16))</f>
        <v>179</v>
      </c>
      <c r="AD238" s="375"/>
      <c r="AE238" s="374">
        <f>ABS(INDEX(AE:AE,MATCH(AE232,$AA:$AA,0)+14)+INDEX(AE:AE,MATCH(AE232,$AA:$AA,0)+15)+INDEX(AE:AE,MATCH(AE232,$AA:$AA,0)+16))</f>
        <v>155</v>
      </c>
      <c r="AF238" s="375"/>
      <c r="AG238" s="374">
        <f>ABS(INDEX(AG:AG,MATCH(AG232,$AA:$AA,0)+14)+INDEX(AG:AG,MATCH(AG232,$AA:$AA,0)+15)+INDEX(AG:AG,MATCH(AG232,$AA:$AA,0)+16))</f>
        <v>141</v>
      </c>
      <c r="AH238" s="375"/>
      <c r="AI238" s="374">
        <f>ABS(INDEX(AI:AI,MATCH(AI232,$AA:$AA,0)+14)+INDEX(AI:AI,MATCH(AI232,$AA:$AA,0)+15)+INDEX(AI:AI,MATCH(AI232,$AA:$AA,0)+16))</f>
        <v>0</v>
      </c>
      <c r="AJ238" s="375"/>
      <c r="AK238" s="374">
        <f>ABS(INDEX(AK:AK,MATCH(AK232,$AA:$AA,0)+14)+INDEX(AK:AK,MATCH(AK232,$AA:$AA,0)+15)+INDEX(AK:AK,MATCH(AK232,$AA:$AA,0)+16))</f>
        <v>183</v>
      </c>
      <c r="AL238" s="375"/>
      <c r="AM238" s="374">
        <f>ABS(INDEX(AM:AM,MATCH(AM232,$AA:$AA,0)+14)+INDEX(AM:AM,MATCH(AM232,$AA:$AA,0)+15)+INDEX(AM:AM,MATCH(AM232,$AA:$AA,0)+16))</f>
        <v>194</v>
      </c>
      <c r="AN238" s="375"/>
      <c r="AO238" s="374">
        <f>ABS(INDEX(AO:AO,MATCH(AO232,$AA:$AA,0)+14)+INDEX(AO:AO,MATCH(AO232,$AA:$AA,0)+15)+INDEX(AO:AO,MATCH(AO232,$AA:$AA,0)+16))</f>
        <v>192</v>
      </c>
      <c r="AP238" s="375"/>
      <c r="AQ238" s="374">
        <f>ABS(INDEX(AQ:AQ,MATCH(AQ232,$AA:$AA,0)+14)+INDEX(AQ:AQ,MATCH(AQ232,$AA:$AA,0)+15)+INDEX(AQ:AQ,MATCH(AQ232,$AA:$AA,0)+16))</f>
        <v>180</v>
      </c>
      <c r="AR238" s="375"/>
      <c r="AS238" s="374">
        <f>ABS(INDEX(AS:AS,MATCH(AS232,$AA:$AA,0)+14)+INDEX(AS:AS,MATCH(AS232,$AA:$AA,0)+15)+INDEX(AS:AS,MATCH(AS232,$AA:$AA,0)+16))</f>
        <v>205</v>
      </c>
      <c r="AT238" s="37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6.05" customHeight="1" x14ac:dyDescent="0.35">
      <c r="B239" s="354" t="str">
        <f t="shared" si="278"/>
        <v>Gesamt</v>
      </c>
      <c r="C239" s="355" t="str">
        <f t="shared" si="278"/>
        <v/>
      </c>
      <c r="D239" s="338">
        <f>IF(AC239=1505,"",AC239)</f>
        <v>688</v>
      </c>
      <c r="E239" s="338" t="str">
        <f>IF(AD239=0,"",AD239)</f>
        <v/>
      </c>
      <c r="F239" s="338">
        <f>IF(AE239=1505,"",AE239)</f>
        <v>668</v>
      </c>
      <c r="G239" s="338" t="str">
        <f>IF(AF239=0,"",AF239)</f>
        <v/>
      </c>
      <c r="H239" s="338">
        <f>IF(AG239=1505,"",AG239)</f>
        <v>689</v>
      </c>
      <c r="I239" s="338" t="str">
        <f>IF(AH239=0,"",AH239)</f>
        <v/>
      </c>
      <c r="J239" s="338">
        <f>IF(AI239=1505,"",AI239)</f>
        <v>0</v>
      </c>
      <c r="K239" s="338" t="str">
        <f>IF(AJ239=0,"",AJ239)</f>
        <v/>
      </c>
      <c r="L239" s="338">
        <f>IF(AK239=1505,"",AK239)</f>
        <v>722</v>
      </c>
      <c r="M239" s="338" t="str">
        <f>IF(AL239=0,"",AL239)</f>
        <v/>
      </c>
      <c r="N239" s="338">
        <f>IF(AM239=1505,"",AM239)</f>
        <v>648</v>
      </c>
      <c r="O239" s="338" t="str">
        <f>IF(AN239=0,"",AN239)</f>
        <v/>
      </c>
      <c r="P239" s="338">
        <f>IF(AO239=1505,"",AO239)</f>
        <v>695</v>
      </c>
      <c r="Q239" s="338" t="str">
        <f>IF(AP239=0,"",AP239)</f>
        <v/>
      </c>
      <c r="R239" s="338">
        <f>IF(AQ239=1505,"",AQ239)</f>
        <v>641</v>
      </c>
      <c r="S239" s="338" t="str">
        <f>IF(AR239=0,"",AR239)</f>
        <v/>
      </c>
      <c r="T239" s="338">
        <f>IF(AS239=1505,"",AS239)</f>
        <v>741</v>
      </c>
      <c r="U239" s="338" t="str">
        <f>IF(AT239=0,"",AT239)</f>
        <v/>
      </c>
      <c r="V239" s="290"/>
      <c r="W239" s="290"/>
      <c r="AA239" s="93" t="s">
        <v>1799</v>
      </c>
      <c r="AB239" s="94"/>
      <c r="AC239" s="354">
        <f>SUM(AC235:AC238)</f>
        <v>688</v>
      </c>
      <c r="AD239" s="355"/>
      <c r="AE239" s="354">
        <f>SUM(AE235:AE238)</f>
        <v>668</v>
      </c>
      <c r="AF239" s="355"/>
      <c r="AG239" s="354">
        <f>SUM(AG235:AG238)</f>
        <v>689</v>
      </c>
      <c r="AH239" s="355"/>
      <c r="AI239" s="354">
        <f>SUM(AI235:AI238)</f>
        <v>0</v>
      </c>
      <c r="AJ239" s="355"/>
      <c r="AK239" s="354">
        <f>SUM(AK235:AK238)</f>
        <v>722</v>
      </c>
      <c r="AL239" s="355"/>
      <c r="AM239" s="354">
        <f>SUM(AM235:AM238)</f>
        <v>648</v>
      </c>
      <c r="AN239" s="355"/>
      <c r="AO239" s="354">
        <f>SUM(AO235:AO238)</f>
        <v>695</v>
      </c>
      <c r="AP239" s="355"/>
      <c r="AQ239" s="354">
        <f>SUM(AQ235:AQ238)</f>
        <v>641</v>
      </c>
      <c r="AR239" s="355"/>
      <c r="AS239" s="354">
        <f>SUM(AS235:AS238)</f>
        <v>741</v>
      </c>
      <c r="AT239" s="35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3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7">
      <c r="B241" s="44" t="str">
        <f>AA241</f>
        <v>Team-Nr.</v>
      </c>
      <c r="C241" s="45"/>
      <c r="D241" s="44" t="str">
        <f>AC241</f>
        <v>Liga:</v>
      </c>
      <c r="E241" s="47"/>
      <c r="F241" s="359" t="str">
        <f>AE241</f>
        <v>Bayernliga Frauen</v>
      </c>
      <c r="G241" s="359"/>
      <c r="H241" s="359"/>
      <c r="I241" s="359"/>
      <c r="J241" s="359"/>
      <c r="K241" s="359"/>
      <c r="L241" s="359"/>
      <c r="M241" s="359"/>
      <c r="N241" s="359"/>
      <c r="O241" s="359"/>
      <c r="P241" s="359"/>
      <c r="Q241" s="359"/>
      <c r="R241" s="48"/>
      <c r="S241" s="49" t="s">
        <v>1794</v>
      </c>
      <c r="T241" s="50"/>
      <c r="U241" s="360" t="str">
        <f>AT241</f>
        <v>02.11./03.11.</v>
      </c>
      <c r="V241" s="361"/>
      <c r="W241" s="362"/>
      <c r="X241" s="363"/>
      <c r="Y241" s="364"/>
      <c r="Z241" s="364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0" t="str">
        <f>VLOOKUP(AS242,Spielorte!$A$1:$C$6,2)</f>
        <v>02.11./03.11.</v>
      </c>
      <c r="AU241" s="361"/>
      <c r="AV241" s="362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65">
      <c r="B242" s="53">
        <f>AA242</f>
        <v>9</v>
      </c>
      <c r="D242" s="46" t="s">
        <v>1793</v>
      </c>
      <c r="E242" s="54"/>
      <c r="F242" s="358" t="str">
        <f>AE242</f>
        <v>Regensburg Super Bowl</v>
      </c>
      <c r="G242" s="358"/>
      <c r="H242" s="358"/>
      <c r="I242" s="358"/>
      <c r="J242" s="358"/>
      <c r="K242" s="358"/>
      <c r="L242" s="358"/>
      <c r="M242" s="358"/>
      <c r="N242" s="358"/>
      <c r="O242" s="358"/>
      <c r="P242" s="55"/>
      <c r="Q242" s="55"/>
      <c r="S242" s="49" t="s">
        <v>1791</v>
      </c>
      <c r="T242" s="56">
        <f>AS242</f>
        <v>2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Regensburg Super Bowl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2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4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5" thickBot="1" x14ac:dyDescent="0.45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VLOOKUP(AA242,Schlüssel!$A$5:$DZ$14,33)</f>
        <v>9</v>
      </c>
      <c r="AE244" s="65" t="s">
        <v>10</v>
      </c>
      <c r="AF244" s="44">
        <f>VLOOKUP(AA242,Schlüssel!$A$5:$DZ$14,34)</f>
        <v>4</v>
      </c>
      <c r="AG244" s="65" t="s">
        <v>10</v>
      </c>
      <c r="AH244" s="44">
        <f>VLOOKUP(AA242,Schlüssel!$A$5:$DZ$14,35)</f>
        <v>6</v>
      </c>
      <c r="AI244" s="65" t="s">
        <v>10</v>
      </c>
      <c r="AJ244" s="44">
        <f>VLOOKUP(AA242,Schlüssel!$A$5:$DZ$14,36)</f>
        <v>12</v>
      </c>
      <c r="AK244" s="65" t="s">
        <v>10</v>
      </c>
      <c r="AL244" s="44">
        <f>VLOOKUP(AA242,Schlüssel!$A$5:$DZ$14,37)</f>
        <v>8</v>
      </c>
      <c r="AM244" s="65" t="s">
        <v>10</v>
      </c>
      <c r="AN244" s="44">
        <f>VLOOKUP(AA242,Schlüssel!$A$5:$DZ$14,38)</f>
        <v>3</v>
      </c>
      <c r="AO244" s="65" t="s">
        <v>10</v>
      </c>
      <c r="AP244" s="44">
        <f>VLOOKUP(AA242,Schlüssel!$A$5:$DZ$14,39)</f>
        <v>5</v>
      </c>
      <c r="AQ244" s="65" t="s">
        <v>10</v>
      </c>
      <c r="AR244" s="44">
        <f>VLOOKUP(AA242,Schlüssel!$A$5:$DZ$14,40)</f>
        <v>10</v>
      </c>
      <c r="AS244" s="65" t="s">
        <v>10</v>
      </c>
      <c r="AT244" s="66">
        <f>VLOOKUP(AA242,Schlüssel!$A$5:$DZ$14,41)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35">
      <c r="B245" s="67" t="s">
        <v>1</v>
      </c>
      <c r="C245" s="68"/>
      <c r="D245" s="354" t="s">
        <v>1800</v>
      </c>
      <c r="E245" s="355"/>
      <c r="F245" s="354" t="s">
        <v>1801</v>
      </c>
      <c r="G245" s="355"/>
      <c r="H245" s="354" t="s">
        <v>1802</v>
      </c>
      <c r="I245" s="355"/>
      <c r="J245" s="354" t="s">
        <v>1803</v>
      </c>
      <c r="K245" s="355"/>
      <c r="L245" s="354" t="s">
        <v>1804</v>
      </c>
      <c r="M245" s="355"/>
      <c r="N245" s="354" t="s">
        <v>1805</v>
      </c>
      <c r="O245" s="355"/>
      <c r="P245" s="354" t="s">
        <v>1806</v>
      </c>
      <c r="Q245" s="355"/>
      <c r="R245" s="354" t="s">
        <v>1807</v>
      </c>
      <c r="S245" s="355"/>
      <c r="T245" s="354" t="s">
        <v>1808</v>
      </c>
      <c r="U245" s="355"/>
      <c r="V245" s="356" t="s">
        <v>1799</v>
      </c>
      <c r="W245" s="357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4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2" customHeight="1" x14ac:dyDescent="0.35">
      <c r="A247" s="367" t="s">
        <v>0</v>
      </c>
      <c r="B247" s="73" t="str">
        <f>IF(AA247=0,"",AA247)</f>
        <v>Martisko, Petra</v>
      </c>
      <c r="C247" s="74">
        <f>IF(AB247=0,"",AB247)</f>
        <v>7976</v>
      </c>
      <c r="D247" s="75">
        <f>IF(AC247=0,"",AC247)</f>
        <v>203</v>
      </c>
      <c r="E247" s="348">
        <f>IF(AD247="","",AD247)</f>
        <v>1</v>
      </c>
      <c r="F247" s="75">
        <f t="shared" ref="F247:F260" si="279">IF(AE247=0,"",AE247)</f>
        <v>155</v>
      </c>
      <c r="G247" s="348">
        <f>IF(AF247="","",AF247)</f>
        <v>1</v>
      </c>
      <c r="H247" s="75">
        <f t="shared" ref="H247:H260" si="280">IF(AG247=0,"",AG247)</f>
        <v>181</v>
      </c>
      <c r="I247" s="348">
        <f>IF(AH247="","",AH247)</f>
        <v>0</v>
      </c>
      <c r="J247" s="75">
        <f t="shared" ref="J247:J260" si="281">IF(AI247=0,"",AI247)</f>
        <v>123</v>
      </c>
      <c r="K247" s="348">
        <f>IF(AJ247="","",AJ247)</f>
        <v>0</v>
      </c>
      <c r="L247" s="75">
        <f t="shared" ref="L247:L260" si="282">IF(AK247=0,"",AK247)</f>
        <v>224</v>
      </c>
      <c r="M247" s="348">
        <f>IF(AL247="","",AL247)</f>
        <v>1</v>
      </c>
      <c r="N247" s="75">
        <f>IF(AM247=0,"",AM247)</f>
        <v>179</v>
      </c>
      <c r="O247" s="348">
        <f>IF(AN247="","",AN247)</f>
        <v>1</v>
      </c>
      <c r="P247" s="75">
        <f t="shared" ref="P247:P260" si="283">IF(AO247=0,"",AO247)</f>
        <v>185</v>
      </c>
      <c r="Q247" s="348">
        <f>IF(AP247="","",AP247)</f>
        <v>1</v>
      </c>
      <c r="R247" s="75">
        <f t="shared" ref="R247:R260" si="284">IF(AQ247=0,"",AQ247)</f>
        <v>161</v>
      </c>
      <c r="S247" s="348">
        <f>IF(AR247="","",AR247)</f>
        <v>0</v>
      </c>
      <c r="T247" s="75">
        <f t="shared" ref="T247:T260" si="285">IF(AS247=0,"",AS247)</f>
        <v>158</v>
      </c>
      <c r="U247" s="348">
        <f>IF(AT247="","",AT247)</f>
        <v>0</v>
      </c>
      <c r="V247" s="75">
        <f t="shared" ref="V247:V260" si="286">IF(AU247=0,"",AU247)</f>
        <v>1569</v>
      </c>
      <c r="W247" s="348">
        <f>IF(AV247="","",AV247)</f>
        <v>5</v>
      </c>
      <c r="Z247" s="351" t="s">
        <v>0</v>
      </c>
      <c r="AA247" s="108" t="str">
        <f>IF(AB247=0,"",VLOOKUP(AB247,Starter!$A$1:$D$199,2,FALSE))</f>
        <v>Martisko, Petra</v>
      </c>
      <c r="AB247" s="99">
        <v>7976</v>
      </c>
      <c r="AC247" s="185">
        <v>203</v>
      </c>
      <c r="AD247" s="109">
        <f>IF(SUM(AC247:AC249)+AC265=0,0,IF(SUM(AC247:AC249)=AC265,0.5,IF(SUM(AC247:AC249)&gt;AC265,1,0)))</f>
        <v>1</v>
      </c>
      <c r="AE247" s="185">
        <v>155</v>
      </c>
      <c r="AF247" s="109">
        <f>IF(SUM(AE247:AE249)+AE265=0,0,IF(SUM(AE247:AE249)=AE265,0.5,IF(SUM(AE247:AE249)&gt;AE265,1,0)))</f>
        <v>1</v>
      </c>
      <c r="AG247" s="185">
        <v>181</v>
      </c>
      <c r="AH247" s="109">
        <f>IF(SUM(AG247:AG249)+AG265=0,0,IF(SUM(AG247:AG249)=AG265,0.5,IF(SUM(AG247:AG249)&gt;AG265,1,0)))</f>
        <v>0</v>
      </c>
      <c r="AI247" s="185">
        <v>123</v>
      </c>
      <c r="AJ247" s="109">
        <f>IF(SUM(AI247:AI249)+AI265=0,0,IF(SUM(AI247:AI249)=AI265,0.5,IF(SUM(AI247:AI249)&gt;AI265,1,0)))</f>
        <v>0</v>
      </c>
      <c r="AK247" s="185">
        <v>224</v>
      </c>
      <c r="AL247" s="109">
        <f>IF(SUM(AK247:AK249)+AK265=0,0,IF(SUM(AK247:AK249)=AK265,0.5,IF(SUM(AK247:AK249)&gt;AK265,1,0)))</f>
        <v>1</v>
      </c>
      <c r="AM247" s="185">
        <v>179</v>
      </c>
      <c r="AN247" s="109">
        <f>IF(SUM(AM247:AM249)+AM265=0,0,IF(SUM(AM247:AM249)=AM265,0.5,IF(SUM(AM247:AM249)&gt;AM265,1,0)))</f>
        <v>1</v>
      </c>
      <c r="AO247" s="185">
        <v>185</v>
      </c>
      <c r="AP247" s="109">
        <f>IF(SUM(AO247:AO249)+AO265=0,0,IF(SUM(AO247:AO249)=AO265,0.5,IF(SUM(AO247:AO249)&gt;AO265,1,0)))</f>
        <v>1</v>
      </c>
      <c r="AQ247" s="185">
        <v>161</v>
      </c>
      <c r="AR247" s="109">
        <f>IF(SUM(AQ247:AQ249)+AQ265=0,0,IF(SUM(AQ247:AQ249)=AQ265,0.5,IF(SUM(AQ247:AQ249)&gt;AQ265,1,0)))</f>
        <v>0</v>
      </c>
      <c r="AS247" s="185">
        <v>158</v>
      </c>
      <c r="AT247" s="109">
        <f>IF(SUM(AS247:AS249)+AS265=0,0,IF(SUM(AS247:AS249)=AS265,0.5,IF(SUM(AS247:AS249)&gt;AS265,1,0)))</f>
        <v>0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1569</v>
      </c>
      <c r="AV247" s="111">
        <f>SUM(AD247+AF247+AH247+AJ247+AL247+AN247+AP247+AR247+AT247)</f>
        <v>5</v>
      </c>
      <c r="AW247" s="101"/>
      <c r="AX247" s="102"/>
      <c r="AZ247" s="63"/>
      <c r="BA247" s="212"/>
      <c r="BB247" s="213"/>
      <c r="BC247" s="214"/>
      <c r="BD247" s="217">
        <f>+AB247</f>
        <v>7976</v>
      </c>
      <c r="BE247" s="213">
        <f>+AU247</f>
        <v>1569</v>
      </c>
      <c r="BF247" s="215">
        <f>COUNT(BH247:BP247)</f>
        <v>9</v>
      </c>
      <c r="BG247" s="215">
        <f>COUNTIF(BH247:BP247,"&gt;0")</f>
        <v>9</v>
      </c>
      <c r="BH247" s="215">
        <f t="shared" ref="BH247:BH258" si="288">IF(AC247=0,"",AC247)</f>
        <v>203</v>
      </c>
      <c r="BI247" s="215">
        <f t="shared" ref="BI247:BI258" si="289">IF(AE247=0,"",AE247)</f>
        <v>155</v>
      </c>
      <c r="BJ247" s="215">
        <f t="shared" ref="BJ247:BJ258" si="290">IF(AG247=0,"",AG247)</f>
        <v>181</v>
      </c>
      <c r="BK247" s="215">
        <f t="shared" ref="BK247:BK258" si="291">IF(AI247=0,"",AI247)</f>
        <v>123</v>
      </c>
      <c r="BL247" s="215">
        <f t="shared" ref="BL247:BL258" si="292">IF(AK247=0,"",AK247)</f>
        <v>224</v>
      </c>
      <c r="BM247" s="215">
        <f t="shared" ref="BM247:BM258" si="293">IF(AM247=0,"",AM247)</f>
        <v>179</v>
      </c>
      <c r="BN247" s="215">
        <f t="shared" ref="BN247:BN258" si="294">IF(AO247=0,"",AO247)</f>
        <v>185</v>
      </c>
      <c r="BO247" s="215">
        <f t="shared" ref="BO247:BO258" si="295">IF(AQ247=0,"",AQ247)</f>
        <v>161</v>
      </c>
      <c r="BP247" s="215">
        <f t="shared" ref="BP247:BP258" si="296">IF(AS247=0,"",AS247)</f>
        <v>158</v>
      </c>
      <c r="BQ247" s="216"/>
      <c r="BR247" s="214"/>
      <c r="BS247" s="215">
        <f>MAX(BH247:BP247)</f>
        <v>224</v>
      </c>
      <c r="BT247" s="215">
        <f>IF(BS247&lt;MAX(BS:BS),0,BS247+ROW()/1000000000)</f>
        <v>0</v>
      </c>
      <c r="BU247" s="215" t="str">
        <f>+AA243</f>
        <v>RW Lichtenhof 69 Stein 2</v>
      </c>
      <c r="BV247" s="214">
        <f>RANK(BT247,BT:BT)</f>
        <v>2</v>
      </c>
      <c r="BW247" s="215">
        <f>SUMIF(BH247:BP247,"&gt;0")</f>
        <v>1569</v>
      </c>
      <c r="BX247" s="215">
        <f>IF(COUNTIF(BH247:BP247,"&gt;0")&lt;Spielorte!$A$23,0,BE247/Spielorte!$A$23)</f>
        <v>174.33333333333334</v>
      </c>
      <c r="BY247" s="215">
        <f>IF(BX247&lt;MAX(BX:BX),0,BX247+ROW()/1000000000)</f>
        <v>0</v>
      </c>
      <c r="BZ247" s="214">
        <f t="shared" ref="BZ247:BZ258" si="297">IF(BY247=0,0,RANK(BY247,BY:BY))</f>
        <v>0</v>
      </c>
    </row>
    <row r="248" spans="1:78" ht="17.2" customHeight="1" x14ac:dyDescent="0.35">
      <c r="A248" s="368"/>
      <c r="B248" s="76" t="str">
        <f t="shared" ref="B248:D260" si="298">IF(AA248=0,"",AA248)</f>
        <v/>
      </c>
      <c r="C248" s="77" t="str">
        <f t="shared" si="298"/>
        <v/>
      </c>
      <c r="D248" s="78" t="str">
        <f t="shared" si="298"/>
        <v/>
      </c>
      <c r="E248" s="349"/>
      <c r="F248" s="78" t="str">
        <f t="shared" si="279"/>
        <v/>
      </c>
      <c r="G248" s="349"/>
      <c r="H248" s="78" t="str">
        <f t="shared" si="280"/>
        <v/>
      </c>
      <c r="I248" s="349"/>
      <c r="J248" s="78" t="str">
        <f t="shared" si="281"/>
        <v/>
      </c>
      <c r="K248" s="349"/>
      <c r="L248" s="78" t="str">
        <f t="shared" si="282"/>
        <v/>
      </c>
      <c r="M248" s="349"/>
      <c r="N248" s="78" t="str">
        <f t="shared" ref="N248:N260" si="299">IF(AM248=0,"",AM248)</f>
        <v/>
      </c>
      <c r="O248" s="349"/>
      <c r="P248" s="78" t="str">
        <f t="shared" si="283"/>
        <v/>
      </c>
      <c r="Q248" s="349"/>
      <c r="R248" s="78" t="str">
        <f t="shared" si="284"/>
        <v/>
      </c>
      <c r="S248" s="349"/>
      <c r="T248" s="78" t="str">
        <f t="shared" si="285"/>
        <v/>
      </c>
      <c r="U248" s="349"/>
      <c r="V248" s="78" t="str">
        <f t="shared" si="286"/>
        <v/>
      </c>
      <c r="W248" s="349"/>
      <c r="Z248" s="352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0</v>
      </c>
      <c r="BE248" s="213">
        <f t="shared" ref="BE248:BE258" si="301">+AU248</f>
        <v>0</v>
      </c>
      <c r="BF248" s="215">
        <f t="shared" ref="BF248:BF258" si="302">COUNT(BH248:BP248)</f>
        <v>0</v>
      </c>
      <c r="BG248" s="215">
        <f t="shared" ref="BG248:BG258" si="303">COUNTIF(BH248:BP248,"&gt;0")</f>
        <v>0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 t="str">
        <f t="shared" si="291"/>
        <v/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0</v>
      </c>
      <c r="BT248" s="215">
        <f t="shared" ref="BT248:BT258" si="305">IF(BS248&lt;MAX(BS:BS),0,BS248+ROW()/1000000000)</f>
        <v>0</v>
      </c>
      <c r="BU248" s="215" t="str">
        <f t="shared" ref="BU248:BU258" si="306">+BU247</f>
        <v>RW Lichtenhof 69 Stein 2</v>
      </c>
      <c r="BV248" s="214">
        <f t="shared" ref="BV248:BV258" si="307">RANK(BT248,BT:BT)</f>
        <v>2</v>
      </c>
      <c r="BW248" s="215">
        <f t="shared" ref="BW248:BW258" si="308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0</v>
      </c>
      <c r="BZ248" s="214">
        <f t="shared" si="297"/>
        <v>0</v>
      </c>
    </row>
    <row r="249" spans="1:78" ht="17.2" customHeight="1" thickBot="1" x14ac:dyDescent="0.4">
      <c r="A249" s="369"/>
      <c r="B249" s="79" t="str">
        <f t="shared" si="298"/>
        <v/>
      </c>
      <c r="C249" s="80" t="str">
        <f t="shared" si="298"/>
        <v/>
      </c>
      <c r="D249" s="69" t="str">
        <f t="shared" si="298"/>
        <v/>
      </c>
      <c r="E249" s="350"/>
      <c r="F249" s="69" t="str">
        <f t="shared" si="279"/>
        <v/>
      </c>
      <c r="G249" s="350"/>
      <c r="H249" s="69" t="str">
        <f t="shared" si="280"/>
        <v/>
      </c>
      <c r="I249" s="350"/>
      <c r="J249" s="69" t="str">
        <f t="shared" si="281"/>
        <v/>
      </c>
      <c r="K249" s="350"/>
      <c r="L249" s="69" t="str">
        <f t="shared" si="282"/>
        <v/>
      </c>
      <c r="M249" s="350"/>
      <c r="N249" s="69" t="str">
        <f t="shared" si="299"/>
        <v/>
      </c>
      <c r="O249" s="350"/>
      <c r="P249" s="69" t="str">
        <f t="shared" si="283"/>
        <v/>
      </c>
      <c r="Q249" s="350"/>
      <c r="R249" s="69" t="str">
        <f t="shared" si="284"/>
        <v/>
      </c>
      <c r="S249" s="350"/>
      <c r="T249" s="69" t="str">
        <f t="shared" si="285"/>
        <v/>
      </c>
      <c r="U249" s="350"/>
      <c r="V249" s="69" t="str">
        <f t="shared" si="286"/>
        <v/>
      </c>
      <c r="W249" s="350"/>
      <c r="Z249" s="353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7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0</v>
      </c>
      <c r="BE249" s="213">
        <f t="shared" si="301"/>
        <v>0</v>
      </c>
      <c r="BF249" s="215">
        <f t="shared" si="302"/>
        <v>0</v>
      </c>
      <c r="BG249" s="215">
        <f t="shared" si="303"/>
        <v>0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 t="str">
        <f t="shared" si="294"/>
        <v/>
      </c>
      <c r="BO249" s="215" t="str">
        <f t="shared" si="295"/>
        <v/>
      </c>
      <c r="BP249" s="215" t="str">
        <f t="shared" si="296"/>
        <v/>
      </c>
      <c r="BQ249" s="216"/>
      <c r="BR249" s="214"/>
      <c r="BS249" s="215">
        <f t="shared" si="304"/>
        <v>0</v>
      </c>
      <c r="BT249" s="215">
        <f t="shared" si="305"/>
        <v>0</v>
      </c>
      <c r="BU249" s="215" t="str">
        <f t="shared" si="306"/>
        <v>RW Lichtenhof 69 Stein 2</v>
      </c>
      <c r="BV249" s="214">
        <f t="shared" si="307"/>
        <v>2</v>
      </c>
      <c r="BW249" s="215">
        <f t="shared" si="308"/>
        <v>0</v>
      </c>
      <c r="BX249" s="215">
        <f>IF(COUNTIF(BH249:BP249,"&gt;0")&lt;Spielorte!$A$23,0,BE249/Spielorte!$A$23)</f>
        <v>0</v>
      </c>
      <c r="BY249" s="215">
        <f t="shared" si="309"/>
        <v>0</v>
      </c>
      <c r="BZ249" s="214">
        <f t="shared" si="297"/>
        <v>0</v>
      </c>
    </row>
    <row r="250" spans="1:78" ht="17.2" customHeight="1" x14ac:dyDescent="0.35">
      <c r="A250" s="367" t="s">
        <v>2</v>
      </c>
      <c r="B250" s="73" t="str">
        <f t="shared" si="298"/>
        <v>Thöne, Melanie</v>
      </c>
      <c r="C250" s="74">
        <f t="shared" si="298"/>
        <v>38513</v>
      </c>
      <c r="D250" s="75">
        <f t="shared" si="298"/>
        <v>180</v>
      </c>
      <c r="E250" s="348">
        <f>IF(AD250="","",AD250)</f>
        <v>1</v>
      </c>
      <c r="F250" s="75">
        <f t="shared" si="279"/>
        <v>151</v>
      </c>
      <c r="G250" s="348">
        <f>IF(AF250="","",AF250)</f>
        <v>0</v>
      </c>
      <c r="H250" s="75">
        <f t="shared" si="280"/>
        <v>201</v>
      </c>
      <c r="I250" s="348">
        <f>IF(AH250="","",AH250)</f>
        <v>1</v>
      </c>
      <c r="J250" s="75">
        <f t="shared" si="281"/>
        <v>192</v>
      </c>
      <c r="K250" s="348">
        <f>IF(AJ250="","",AJ250)</f>
        <v>0</v>
      </c>
      <c r="L250" s="75">
        <f t="shared" si="282"/>
        <v>150</v>
      </c>
      <c r="M250" s="348">
        <f>IF(AL250="","",AL250)</f>
        <v>0</v>
      </c>
      <c r="N250" s="75">
        <f t="shared" si="299"/>
        <v>151</v>
      </c>
      <c r="O250" s="348">
        <f>IF(AN250="","",AN250)</f>
        <v>0</v>
      </c>
      <c r="P250" s="75">
        <f t="shared" si="283"/>
        <v>196</v>
      </c>
      <c r="Q250" s="348">
        <f>IF(AP250="","",AP250)</f>
        <v>1</v>
      </c>
      <c r="R250" s="75">
        <f t="shared" si="284"/>
        <v>166</v>
      </c>
      <c r="S250" s="348">
        <f>IF(AR250="","",AR250)</f>
        <v>0</v>
      </c>
      <c r="T250" s="75">
        <f t="shared" si="285"/>
        <v>211</v>
      </c>
      <c r="U250" s="348">
        <f>IF(AT250="","",AT250)</f>
        <v>1</v>
      </c>
      <c r="V250" s="75">
        <f t="shared" si="286"/>
        <v>1598</v>
      </c>
      <c r="W250" s="348">
        <f>IF(AV250="","",AV250)</f>
        <v>4</v>
      </c>
      <c r="Z250" s="351" t="s">
        <v>2</v>
      </c>
      <c r="AA250" s="108" t="str">
        <f>IF(AB250=0,"",VLOOKUP(AB250,Starter!$A$1:$D$199,2,FALSE))</f>
        <v>Thöne, Melanie</v>
      </c>
      <c r="AB250" s="99">
        <v>38513</v>
      </c>
      <c r="AC250" s="188">
        <v>180</v>
      </c>
      <c r="AD250" s="109">
        <f>IF(SUM(AC250:AC252)+AC266=0,0,IF(SUM(AC250:AC252)=AC266,0.5,IF(SUM(AC250:AC252)&gt;AC266,1,0)))</f>
        <v>1</v>
      </c>
      <c r="AE250" s="188">
        <v>151</v>
      </c>
      <c r="AF250" s="109">
        <f>IF(SUM(AE250:AE252)+AE266=0,0,IF(SUM(AE250:AE252)=AE266,0.5,IF(SUM(AE250:AE252)&gt;AE266,1,0)))</f>
        <v>0</v>
      </c>
      <c r="AG250" s="188">
        <v>201</v>
      </c>
      <c r="AH250" s="109">
        <f>IF(SUM(AG250:AG252)+AG266=0,0,IF(SUM(AG250:AG252)=AG266,0.5,IF(SUM(AG250:AG252)&gt;AG266,1,0)))</f>
        <v>1</v>
      </c>
      <c r="AI250" s="188">
        <v>192</v>
      </c>
      <c r="AJ250" s="109">
        <f>IF(SUM(AI250:AI252)+AI266=0,0,IF(SUM(AI250:AI252)=AI266,0.5,IF(SUM(AI250:AI252)&gt;AI266,1,0)))</f>
        <v>0</v>
      </c>
      <c r="AK250" s="188">
        <v>150</v>
      </c>
      <c r="AL250" s="109">
        <f>IF(SUM(AK250:AK252)+AK266=0,0,IF(SUM(AK250:AK252)=AK266,0.5,IF(SUM(AK250:AK252)&gt;AK266,1,0)))</f>
        <v>0</v>
      </c>
      <c r="AM250" s="188">
        <v>151</v>
      </c>
      <c r="AN250" s="109">
        <f>IF(SUM(AM250:AM252)+AM266=0,0,IF(SUM(AM250:AM252)=AM266,0.5,IF(SUM(AM250:AM252)&gt;AM266,1,0)))</f>
        <v>0</v>
      </c>
      <c r="AO250" s="188">
        <v>196</v>
      </c>
      <c r="AP250" s="109">
        <f>IF(SUM(AO250:AO252)+AO266=0,0,IF(SUM(AO250:AO252)=AO266,0.5,IF(SUM(AO250:AO252)&gt;AO266,1,0)))</f>
        <v>1</v>
      </c>
      <c r="AQ250" s="188">
        <v>166</v>
      </c>
      <c r="AR250" s="109">
        <f>IF(SUM(AQ250:AQ252)+AQ266=0,0,IF(SUM(AQ250:AQ252)=AQ266,0.5,IF(SUM(AQ250:AQ252)&gt;AQ266,1,0)))</f>
        <v>0</v>
      </c>
      <c r="AS250" s="188">
        <v>211</v>
      </c>
      <c r="AT250" s="109">
        <f>IF(SUM(AS250:AS252)+AS266=0,0,IF(SUM(AS250:AS252)=AS266,0.5,IF(SUM(AS250:AS252)&gt;AS266,1,0)))</f>
        <v>1</v>
      </c>
      <c r="AU250" s="110">
        <f t="shared" si="287"/>
        <v>1598</v>
      </c>
      <c r="AV250" s="111">
        <f>SUM(AD250+AF250+AH250+AJ250+AL250+AN250+AP250+AR250+AT250)</f>
        <v>4</v>
      </c>
      <c r="AW250" s="101"/>
      <c r="AX250" s="102"/>
      <c r="AZ250" s="63"/>
      <c r="BA250" s="212"/>
      <c r="BB250" s="213"/>
      <c r="BC250" s="214"/>
      <c r="BD250" s="217">
        <f t="shared" si="300"/>
        <v>38513</v>
      </c>
      <c r="BE250" s="213">
        <f t="shared" si="301"/>
        <v>1598</v>
      </c>
      <c r="BF250" s="215">
        <f t="shared" si="302"/>
        <v>9</v>
      </c>
      <c r="BG250" s="215">
        <f t="shared" si="303"/>
        <v>9</v>
      </c>
      <c r="BH250" s="215">
        <f t="shared" si="288"/>
        <v>180</v>
      </c>
      <c r="BI250" s="215">
        <f t="shared" si="289"/>
        <v>151</v>
      </c>
      <c r="BJ250" s="215">
        <f t="shared" si="290"/>
        <v>201</v>
      </c>
      <c r="BK250" s="215">
        <f t="shared" si="291"/>
        <v>192</v>
      </c>
      <c r="BL250" s="215">
        <f t="shared" si="292"/>
        <v>150</v>
      </c>
      <c r="BM250" s="215">
        <f t="shared" si="293"/>
        <v>151</v>
      </c>
      <c r="BN250" s="215">
        <f t="shared" si="294"/>
        <v>196</v>
      </c>
      <c r="BO250" s="215">
        <f t="shared" si="295"/>
        <v>166</v>
      </c>
      <c r="BP250" s="215">
        <f t="shared" si="296"/>
        <v>211</v>
      </c>
      <c r="BQ250" s="216"/>
      <c r="BR250" s="214"/>
      <c r="BS250" s="215">
        <f t="shared" si="304"/>
        <v>211</v>
      </c>
      <c r="BT250" s="215">
        <f t="shared" si="305"/>
        <v>0</v>
      </c>
      <c r="BU250" s="215" t="str">
        <f t="shared" si="306"/>
        <v>RW Lichtenhof 69 Stein 2</v>
      </c>
      <c r="BV250" s="214">
        <f t="shared" si="307"/>
        <v>2</v>
      </c>
      <c r="BW250" s="215">
        <f t="shared" si="308"/>
        <v>1598</v>
      </c>
      <c r="BX250" s="215">
        <f>IF(COUNTIF(BH250:BP250,"&gt;0")&lt;Spielorte!$A$23,0,BE250/Spielorte!$A$23)</f>
        <v>177.55555555555554</v>
      </c>
      <c r="BY250" s="215">
        <f t="shared" si="309"/>
        <v>0</v>
      </c>
      <c r="BZ250" s="214">
        <f t="shared" si="297"/>
        <v>0</v>
      </c>
    </row>
    <row r="251" spans="1:78" ht="17.2" customHeight="1" x14ac:dyDescent="0.35">
      <c r="A251" s="368"/>
      <c r="B251" s="76" t="str">
        <f t="shared" si="298"/>
        <v/>
      </c>
      <c r="C251" s="77" t="str">
        <f t="shared" si="298"/>
        <v/>
      </c>
      <c r="D251" s="78" t="str">
        <f t="shared" si="298"/>
        <v/>
      </c>
      <c r="E251" s="349"/>
      <c r="F251" s="78" t="str">
        <f t="shared" si="279"/>
        <v/>
      </c>
      <c r="G251" s="349"/>
      <c r="H251" s="78" t="str">
        <f t="shared" si="280"/>
        <v/>
      </c>
      <c r="I251" s="349"/>
      <c r="J251" s="78" t="str">
        <f t="shared" si="281"/>
        <v/>
      </c>
      <c r="K251" s="349"/>
      <c r="L251" s="78" t="str">
        <f t="shared" si="282"/>
        <v/>
      </c>
      <c r="M251" s="349"/>
      <c r="N251" s="78" t="str">
        <f t="shared" si="299"/>
        <v/>
      </c>
      <c r="O251" s="349"/>
      <c r="P251" s="78" t="str">
        <f t="shared" si="283"/>
        <v/>
      </c>
      <c r="Q251" s="349"/>
      <c r="R251" s="78" t="str">
        <f t="shared" si="284"/>
        <v/>
      </c>
      <c r="S251" s="349"/>
      <c r="T251" s="78" t="str">
        <f t="shared" si="285"/>
        <v/>
      </c>
      <c r="U251" s="349"/>
      <c r="V251" s="78" t="str">
        <f t="shared" si="286"/>
        <v/>
      </c>
      <c r="W251" s="349"/>
      <c r="Z251" s="352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0</v>
      </c>
      <c r="BE251" s="213">
        <f t="shared" si="301"/>
        <v>0</v>
      </c>
      <c r="BF251" s="215">
        <f t="shared" si="302"/>
        <v>0</v>
      </c>
      <c r="BG251" s="215">
        <f t="shared" si="303"/>
        <v>0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0</v>
      </c>
      <c r="BT251" s="215">
        <f t="shared" si="305"/>
        <v>0</v>
      </c>
      <c r="BU251" s="215" t="str">
        <f t="shared" si="306"/>
        <v>RW Lichtenhof 69 Stein 2</v>
      </c>
      <c r="BV251" s="214">
        <f t="shared" si="307"/>
        <v>2</v>
      </c>
      <c r="BW251" s="215">
        <f t="shared" si="308"/>
        <v>0</v>
      </c>
      <c r="BX251" s="215">
        <f>IF(COUNTIF(BH251:BP251,"&gt;0")&lt;Spielorte!$A$23,0,BE251/Spielorte!$A$23)</f>
        <v>0</v>
      </c>
      <c r="BY251" s="215">
        <f t="shared" si="309"/>
        <v>0</v>
      </c>
      <c r="BZ251" s="214">
        <f t="shared" si="297"/>
        <v>0</v>
      </c>
    </row>
    <row r="252" spans="1:78" ht="17.2" customHeight="1" thickBot="1" x14ac:dyDescent="0.4">
      <c r="A252" s="369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50"/>
      <c r="F252" s="69" t="str">
        <f t="shared" si="279"/>
        <v/>
      </c>
      <c r="G252" s="350"/>
      <c r="H252" s="69" t="str">
        <f t="shared" si="280"/>
        <v/>
      </c>
      <c r="I252" s="350"/>
      <c r="J252" s="69" t="str">
        <f t="shared" si="281"/>
        <v/>
      </c>
      <c r="K252" s="350"/>
      <c r="L252" s="69" t="str">
        <f t="shared" si="282"/>
        <v/>
      </c>
      <c r="M252" s="350"/>
      <c r="N252" s="69" t="str">
        <f t="shared" si="299"/>
        <v/>
      </c>
      <c r="O252" s="350"/>
      <c r="P252" s="69" t="str">
        <f t="shared" si="283"/>
        <v/>
      </c>
      <c r="Q252" s="350"/>
      <c r="R252" s="69" t="str">
        <f t="shared" si="284"/>
        <v/>
      </c>
      <c r="S252" s="350"/>
      <c r="T252" s="69" t="str">
        <f t="shared" si="285"/>
        <v/>
      </c>
      <c r="U252" s="350"/>
      <c r="V252" s="69" t="str">
        <f t="shared" si="286"/>
        <v/>
      </c>
      <c r="W252" s="350"/>
      <c r="Z252" s="353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0</v>
      </c>
      <c r="BU252" s="215" t="str">
        <f t="shared" si="306"/>
        <v>RW Lichtenhof 69 Stein 2</v>
      </c>
      <c r="BV252" s="214">
        <f t="shared" si="307"/>
        <v>2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0</v>
      </c>
      <c r="BZ252" s="214">
        <f t="shared" si="297"/>
        <v>0</v>
      </c>
    </row>
    <row r="253" spans="1:78" ht="17.2" customHeight="1" x14ac:dyDescent="0.35">
      <c r="A253" s="367" t="s">
        <v>3</v>
      </c>
      <c r="B253" s="73" t="str">
        <f t="shared" si="298"/>
        <v>Wahl, Alexandra</v>
      </c>
      <c r="C253" s="74">
        <f t="shared" si="298"/>
        <v>25551</v>
      </c>
      <c r="D253" s="75">
        <f t="shared" si="298"/>
        <v>198</v>
      </c>
      <c r="E253" s="348">
        <f>IF(AD253="","",AD253)</f>
        <v>1</v>
      </c>
      <c r="F253" s="75">
        <f t="shared" si="279"/>
        <v>135</v>
      </c>
      <c r="G253" s="348">
        <f>IF(AF253="","",AF253)</f>
        <v>0</v>
      </c>
      <c r="H253" s="75">
        <f t="shared" si="280"/>
        <v>167</v>
      </c>
      <c r="I253" s="348">
        <f>IF(AH253="","",AH253)</f>
        <v>0</v>
      </c>
      <c r="J253" s="75">
        <f t="shared" si="281"/>
        <v>170</v>
      </c>
      <c r="K253" s="348">
        <f>IF(AJ253="","",AJ253)</f>
        <v>1</v>
      </c>
      <c r="L253" s="75">
        <f t="shared" si="282"/>
        <v>165</v>
      </c>
      <c r="M253" s="348">
        <f>IF(AL253="","",AL253)</f>
        <v>1</v>
      </c>
      <c r="N253" s="75">
        <f t="shared" si="299"/>
        <v>170</v>
      </c>
      <c r="O253" s="348">
        <f>IF(AN253="","",AN253)</f>
        <v>0</v>
      </c>
      <c r="P253" s="75">
        <f t="shared" si="283"/>
        <v>179</v>
      </c>
      <c r="Q253" s="348">
        <f>IF(AP253="","",AP253)</f>
        <v>1</v>
      </c>
      <c r="R253" s="75">
        <f t="shared" si="284"/>
        <v>167</v>
      </c>
      <c r="S253" s="348">
        <f>IF(AR253="","",AR253)</f>
        <v>0</v>
      </c>
      <c r="T253" s="75">
        <f t="shared" si="285"/>
        <v>146</v>
      </c>
      <c r="U253" s="348">
        <f>IF(AT253="","",AT253)</f>
        <v>0</v>
      </c>
      <c r="V253" s="75">
        <f t="shared" si="286"/>
        <v>1497</v>
      </c>
      <c r="W253" s="348">
        <f>IF(AV253="","",AV253)</f>
        <v>4</v>
      </c>
      <c r="Z253" s="351" t="s">
        <v>3</v>
      </c>
      <c r="AA253" s="108" t="str">
        <f>IF(AB253=0,"",VLOOKUP(AB253,Starter!$A$1:$D$199,2,FALSE))</f>
        <v>Wahl, Alexandra</v>
      </c>
      <c r="AB253" s="99">
        <v>25551</v>
      </c>
      <c r="AC253" s="188">
        <v>198</v>
      </c>
      <c r="AD253" s="109">
        <f>IF(SUM(AC253:AC255)+AC267=0,0,IF(SUM(AC253:AC255)=AC267,0.5,IF(SUM(AC253:AC255)&gt;AC267,1,0)))</f>
        <v>1</v>
      </c>
      <c r="AE253" s="188">
        <v>135</v>
      </c>
      <c r="AF253" s="109">
        <f>IF(SUM(AE253:AE255)+AE267=0,0,IF(SUM(AE253:AE255)=AE267,0.5,IF(SUM(AE253:AE255)&gt;AE267,1,0)))</f>
        <v>0</v>
      </c>
      <c r="AG253" s="188">
        <v>167</v>
      </c>
      <c r="AH253" s="109">
        <f>IF(SUM(AG253:AG255)+AG267=0,0,IF(SUM(AG253:AG255)=AG267,0.5,IF(SUM(AG253:AG255)&gt;AG267,1,0)))</f>
        <v>0</v>
      </c>
      <c r="AI253" s="188">
        <v>170</v>
      </c>
      <c r="AJ253" s="109">
        <f>IF(SUM(AI253:AI255)+AI267=0,0,IF(SUM(AI253:AI255)=AI267,0.5,IF(SUM(AI253:AI255)&gt;AI267,1,0)))</f>
        <v>1</v>
      </c>
      <c r="AK253" s="188">
        <v>165</v>
      </c>
      <c r="AL253" s="109">
        <f>IF(SUM(AK253:AK255)+AK267=0,0,IF(SUM(AK253:AK255)=AK267,0.5,IF(SUM(AK253:AK255)&gt;AK267,1,0)))</f>
        <v>1</v>
      </c>
      <c r="AM253" s="188">
        <v>170</v>
      </c>
      <c r="AN253" s="109">
        <f>IF(SUM(AM253:AM255)+AM267=0,0,IF(SUM(AM253:AM255)=AM267,0.5,IF(SUM(AM253:AM255)&gt;AM267,1,0)))</f>
        <v>0</v>
      </c>
      <c r="AO253" s="188">
        <v>179</v>
      </c>
      <c r="AP253" s="109">
        <f>IF(SUM(AO253:AO255)+AO267=0,0,IF(SUM(AO253:AO255)=AO267,0.5,IF(SUM(AO253:AO255)&gt;AO267,1,0)))</f>
        <v>1</v>
      </c>
      <c r="AQ253" s="188">
        <v>167</v>
      </c>
      <c r="AR253" s="109">
        <f>IF(SUM(AQ253:AQ255)+AQ267=0,0,IF(SUM(AQ253:AQ255)=AQ267,0.5,IF(SUM(AQ253:AQ255)&gt;AQ267,1,0)))</f>
        <v>0</v>
      </c>
      <c r="AS253" s="188">
        <v>146</v>
      </c>
      <c r="AT253" s="109">
        <f>IF(SUM(AS253:AS255)+AS267=0,0,IF(SUM(AS253:AS255)=AS267,0.5,IF(SUM(AS253:AS255)&gt;AS267,1,0)))</f>
        <v>0</v>
      </c>
      <c r="AU253" s="110">
        <f t="shared" si="287"/>
        <v>1497</v>
      </c>
      <c r="AV253" s="111">
        <f>SUM(AD253+AF253+AH253+AJ253+AL253+AN253+AP253+AR253+AT253)</f>
        <v>4</v>
      </c>
      <c r="AW253" s="101"/>
      <c r="AX253" s="102"/>
      <c r="AZ253" s="63"/>
      <c r="BA253" s="212"/>
      <c r="BB253" s="213"/>
      <c r="BC253" s="214"/>
      <c r="BD253" s="217">
        <f t="shared" si="300"/>
        <v>25551</v>
      </c>
      <c r="BE253" s="213">
        <f t="shared" si="301"/>
        <v>1497</v>
      </c>
      <c r="BF253" s="215">
        <f t="shared" si="302"/>
        <v>9</v>
      </c>
      <c r="BG253" s="215">
        <f t="shared" si="303"/>
        <v>9</v>
      </c>
      <c r="BH253" s="215">
        <f t="shared" si="288"/>
        <v>198</v>
      </c>
      <c r="BI253" s="215">
        <f t="shared" si="289"/>
        <v>135</v>
      </c>
      <c r="BJ253" s="215">
        <f t="shared" si="290"/>
        <v>167</v>
      </c>
      <c r="BK253" s="215">
        <f t="shared" si="291"/>
        <v>170</v>
      </c>
      <c r="BL253" s="215">
        <f t="shared" si="292"/>
        <v>165</v>
      </c>
      <c r="BM253" s="215">
        <f t="shared" si="293"/>
        <v>170</v>
      </c>
      <c r="BN253" s="215">
        <f t="shared" si="294"/>
        <v>179</v>
      </c>
      <c r="BO253" s="215">
        <f t="shared" si="295"/>
        <v>167</v>
      </c>
      <c r="BP253" s="215">
        <f t="shared" si="296"/>
        <v>146</v>
      </c>
      <c r="BQ253" s="216"/>
      <c r="BR253" s="214"/>
      <c r="BS253" s="215">
        <f t="shared" si="304"/>
        <v>198</v>
      </c>
      <c r="BT253" s="215">
        <f t="shared" si="305"/>
        <v>0</v>
      </c>
      <c r="BU253" s="215" t="str">
        <f t="shared" si="306"/>
        <v>RW Lichtenhof 69 Stein 2</v>
      </c>
      <c r="BV253" s="214">
        <f t="shared" si="307"/>
        <v>2</v>
      </c>
      <c r="BW253" s="215">
        <f t="shared" si="308"/>
        <v>1497</v>
      </c>
      <c r="BX253" s="215">
        <f>IF(COUNTIF(BH253:BP253,"&gt;0")&lt;Spielorte!$A$23,0,BE253/Spielorte!$A$23)</f>
        <v>166.33333333333334</v>
      </c>
      <c r="BY253" s="215">
        <f t="shared" si="309"/>
        <v>0</v>
      </c>
      <c r="BZ253" s="214">
        <f t="shared" si="297"/>
        <v>0</v>
      </c>
    </row>
    <row r="254" spans="1:78" ht="17.2" customHeight="1" x14ac:dyDescent="0.35">
      <c r="A254" s="368"/>
      <c r="B254" s="76" t="str">
        <f t="shared" si="298"/>
        <v/>
      </c>
      <c r="C254" s="77" t="str">
        <f t="shared" si="298"/>
        <v/>
      </c>
      <c r="D254" s="78" t="str">
        <f t="shared" si="298"/>
        <v/>
      </c>
      <c r="E254" s="349"/>
      <c r="F254" s="78" t="str">
        <f t="shared" si="279"/>
        <v/>
      </c>
      <c r="G254" s="349"/>
      <c r="H254" s="78" t="str">
        <f t="shared" si="280"/>
        <v/>
      </c>
      <c r="I254" s="349"/>
      <c r="J254" s="78" t="str">
        <f t="shared" si="281"/>
        <v/>
      </c>
      <c r="K254" s="349"/>
      <c r="L254" s="78" t="str">
        <f t="shared" si="282"/>
        <v/>
      </c>
      <c r="M254" s="349"/>
      <c r="N254" s="78" t="str">
        <f t="shared" si="299"/>
        <v/>
      </c>
      <c r="O254" s="349"/>
      <c r="P254" s="78" t="str">
        <f t="shared" si="283"/>
        <v/>
      </c>
      <c r="Q254" s="349"/>
      <c r="R254" s="78" t="str">
        <f t="shared" si="284"/>
        <v/>
      </c>
      <c r="S254" s="349"/>
      <c r="T254" s="78" t="str">
        <f t="shared" si="285"/>
        <v/>
      </c>
      <c r="U254" s="349"/>
      <c r="V254" s="78" t="str">
        <f t="shared" si="286"/>
        <v/>
      </c>
      <c r="W254" s="349"/>
      <c r="Z254" s="352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7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0</v>
      </c>
      <c r="BE254" s="213">
        <f t="shared" si="301"/>
        <v>0</v>
      </c>
      <c r="BF254" s="215">
        <f t="shared" si="302"/>
        <v>0</v>
      </c>
      <c r="BG254" s="215">
        <f t="shared" si="303"/>
        <v>0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 t="str">
        <f t="shared" si="295"/>
        <v/>
      </c>
      <c r="BP254" s="215" t="str">
        <f t="shared" si="296"/>
        <v/>
      </c>
      <c r="BQ254" s="216"/>
      <c r="BR254" s="214"/>
      <c r="BS254" s="215">
        <f t="shared" si="304"/>
        <v>0</v>
      </c>
      <c r="BT254" s="215">
        <f t="shared" si="305"/>
        <v>0</v>
      </c>
      <c r="BU254" s="215" t="str">
        <f t="shared" si="306"/>
        <v>RW Lichtenhof 69 Stein 2</v>
      </c>
      <c r="BV254" s="214">
        <f t="shared" si="307"/>
        <v>2</v>
      </c>
      <c r="BW254" s="215">
        <f t="shared" si="308"/>
        <v>0</v>
      </c>
      <c r="BX254" s="215">
        <f>IF(COUNTIF(BH254:BP254,"&gt;0")&lt;Spielorte!$A$23,0,BE254/Spielorte!$A$23)</f>
        <v>0</v>
      </c>
      <c r="BY254" s="215">
        <f t="shared" si="309"/>
        <v>0</v>
      </c>
      <c r="BZ254" s="214">
        <f t="shared" si="297"/>
        <v>0</v>
      </c>
    </row>
    <row r="255" spans="1:78" ht="17.2" customHeight="1" thickBot="1" x14ac:dyDescent="0.4">
      <c r="A255" s="369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50"/>
      <c r="F255" s="69" t="str">
        <f t="shared" si="279"/>
        <v/>
      </c>
      <c r="G255" s="350"/>
      <c r="H255" s="69" t="str">
        <f t="shared" si="280"/>
        <v/>
      </c>
      <c r="I255" s="350"/>
      <c r="J255" s="69" t="str">
        <f t="shared" si="281"/>
        <v/>
      </c>
      <c r="K255" s="350"/>
      <c r="L255" s="69" t="str">
        <f t="shared" si="282"/>
        <v/>
      </c>
      <c r="M255" s="350"/>
      <c r="N255" s="69" t="str">
        <f t="shared" si="299"/>
        <v/>
      </c>
      <c r="O255" s="350"/>
      <c r="P255" s="69" t="str">
        <f t="shared" si="283"/>
        <v/>
      </c>
      <c r="Q255" s="350"/>
      <c r="R255" s="69" t="str">
        <f t="shared" si="284"/>
        <v/>
      </c>
      <c r="S255" s="350"/>
      <c r="T255" s="69" t="str">
        <f t="shared" si="285"/>
        <v/>
      </c>
      <c r="U255" s="350"/>
      <c r="V255" s="69" t="str">
        <f t="shared" si="286"/>
        <v/>
      </c>
      <c r="W255" s="350"/>
      <c r="Z255" s="353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0</v>
      </c>
      <c r="BU255" s="215" t="str">
        <f t="shared" si="306"/>
        <v>RW Lichtenhof 69 Stein 2</v>
      </c>
      <c r="BV255" s="214">
        <f t="shared" si="307"/>
        <v>2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0</v>
      </c>
      <c r="BZ255" s="214">
        <f t="shared" si="297"/>
        <v>0</v>
      </c>
    </row>
    <row r="256" spans="1:78" ht="17.2" customHeight="1" x14ac:dyDescent="0.35">
      <c r="A256" s="367" t="s">
        <v>11</v>
      </c>
      <c r="B256" s="73" t="str">
        <f>IF(AA256=0,"",AA256)</f>
        <v>Hödl, Renate</v>
      </c>
      <c r="C256" s="74">
        <f t="shared" si="298"/>
        <v>7972</v>
      </c>
      <c r="D256" s="75">
        <f t="shared" si="298"/>
        <v>157</v>
      </c>
      <c r="E256" s="348">
        <f>IF(AD256="","",AD256)</f>
        <v>0</v>
      </c>
      <c r="F256" s="75">
        <f t="shared" si="279"/>
        <v>177</v>
      </c>
      <c r="G256" s="348">
        <f>IF(AF256="","",AF256)</f>
        <v>0</v>
      </c>
      <c r="H256" s="75">
        <f t="shared" si="280"/>
        <v>174</v>
      </c>
      <c r="I256" s="348">
        <f>IF(AH256="","",AH256)</f>
        <v>0</v>
      </c>
      <c r="J256" s="75">
        <f t="shared" si="281"/>
        <v>205</v>
      </c>
      <c r="K256" s="348">
        <f>IF(AJ256="","",AJ256)</f>
        <v>1</v>
      </c>
      <c r="L256" s="75">
        <f t="shared" si="282"/>
        <v>183</v>
      </c>
      <c r="M256" s="348">
        <f>IF(AL256="","",AL256)</f>
        <v>1</v>
      </c>
      <c r="N256" s="75">
        <f t="shared" si="299"/>
        <v>180</v>
      </c>
      <c r="O256" s="348">
        <f>IF(AN256="","",AN256)</f>
        <v>1</v>
      </c>
      <c r="P256" s="75">
        <f t="shared" si="283"/>
        <v>167</v>
      </c>
      <c r="Q256" s="348">
        <f>IF(AP256="","",AP256)</f>
        <v>1</v>
      </c>
      <c r="R256" s="75">
        <f t="shared" si="284"/>
        <v>165</v>
      </c>
      <c r="S256" s="348">
        <f>IF(AR256="","",AR256)</f>
        <v>1</v>
      </c>
      <c r="T256" s="75">
        <f t="shared" si="285"/>
        <v>136</v>
      </c>
      <c r="U256" s="348">
        <f>IF(AT256="","",AT256)</f>
        <v>0</v>
      </c>
      <c r="V256" s="75">
        <f t="shared" si="286"/>
        <v>1544</v>
      </c>
      <c r="W256" s="348">
        <f>IF(AV256="","",AV256)</f>
        <v>5</v>
      </c>
      <c r="Z256" s="351" t="s">
        <v>11</v>
      </c>
      <c r="AA256" s="108" t="str">
        <f>IF(AB256=0,"",VLOOKUP(AB256,Starter!$A$1:$D$199,2,FALSE))</f>
        <v>Hödl, Renate</v>
      </c>
      <c r="AB256" s="99">
        <v>7972</v>
      </c>
      <c r="AC256" s="188">
        <v>157</v>
      </c>
      <c r="AD256" s="109">
        <f>IF(SUM(AC256:AC258)+AC268=0,0,IF(SUM(AC256:AC258)=AC268,0.5,IF(SUM(AC256:AC258)&gt;AC268,1,0)))</f>
        <v>0</v>
      </c>
      <c r="AE256" s="188">
        <v>177</v>
      </c>
      <c r="AF256" s="109">
        <f>IF(SUM(AE256:AE258)+AE268=0,0,IF(SUM(AE256:AE258)=AE268,0.5,IF(SUM(AE256:AE258)&gt;AE268,1,0)))</f>
        <v>0</v>
      </c>
      <c r="AG256" s="188">
        <v>174</v>
      </c>
      <c r="AH256" s="109">
        <f>IF(SUM(AG256:AG258)+AG268=0,0,IF(SUM(AG256:AG258)=AG268,0.5,IF(SUM(AG256:AG258)&gt;AG268,1,0)))</f>
        <v>0</v>
      </c>
      <c r="AI256" s="188">
        <v>205</v>
      </c>
      <c r="AJ256" s="109">
        <f>IF(SUM(AI256:AI258)+AI268=0,0,IF(SUM(AI256:AI258)=AI268,0.5,IF(SUM(AI256:AI258)&gt;AI268,1,0)))</f>
        <v>1</v>
      </c>
      <c r="AK256" s="188">
        <v>183</v>
      </c>
      <c r="AL256" s="109">
        <f>IF(SUM(AK256:AK258)+AK268=0,0,IF(SUM(AK256:AK258)=AK268,0.5,IF(SUM(AK256:AK258)&gt;AK268,1,0)))</f>
        <v>1</v>
      </c>
      <c r="AM256" s="188">
        <v>180</v>
      </c>
      <c r="AN256" s="109">
        <f>IF(SUM(AM256:AM258)+AM268=0,0,IF(SUM(AM256:AM258)=AM268,0.5,IF(SUM(AM256:AM258)&gt;AM268,1,0)))</f>
        <v>1</v>
      </c>
      <c r="AO256" s="188">
        <v>167</v>
      </c>
      <c r="AP256" s="109">
        <f>IF(SUM(AO256:AO258)+AO268=0,0,IF(SUM(AO256:AO258)=AO268,0.5,IF(SUM(AO256:AO258)&gt;AO268,1,0)))</f>
        <v>1</v>
      </c>
      <c r="AQ256" s="188">
        <v>165</v>
      </c>
      <c r="AR256" s="109">
        <f>IF(SUM(AQ256:AQ258)+AQ268=0,0,IF(SUM(AQ256:AQ258)=AQ268,0.5,IF(SUM(AQ256:AQ258)&gt;AQ268,1,0)))</f>
        <v>1</v>
      </c>
      <c r="AS256" s="188">
        <v>136</v>
      </c>
      <c r="AT256" s="109">
        <f>IF(SUM(AS256:AS258)+AS268=0,0,IF(SUM(AS256:AS258)=AS268,0.5,IF(SUM(AS256:AS258)&gt;AS268,1,0)))</f>
        <v>0</v>
      </c>
      <c r="AU256" s="110">
        <f t="shared" si="287"/>
        <v>1544</v>
      </c>
      <c r="AV256" s="111">
        <f>SUM(AD256+AF256+AH256+AJ256+AL256+AN256+AP256+AR256+AT256)</f>
        <v>5</v>
      </c>
      <c r="AW256" s="101"/>
      <c r="AX256" s="102"/>
      <c r="AZ256" s="63"/>
      <c r="BA256" s="212"/>
      <c r="BB256" s="213"/>
      <c r="BC256" s="214"/>
      <c r="BD256" s="217">
        <f t="shared" si="300"/>
        <v>7972</v>
      </c>
      <c r="BE256" s="213">
        <f t="shared" si="301"/>
        <v>1544</v>
      </c>
      <c r="BF256" s="215">
        <f t="shared" si="302"/>
        <v>9</v>
      </c>
      <c r="BG256" s="215">
        <f t="shared" si="303"/>
        <v>9</v>
      </c>
      <c r="BH256" s="215">
        <f t="shared" si="288"/>
        <v>157</v>
      </c>
      <c r="BI256" s="215">
        <f t="shared" si="289"/>
        <v>177</v>
      </c>
      <c r="BJ256" s="215">
        <f t="shared" si="290"/>
        <v>174</v>
      </c>
      <c r="BK256" s="215">
        <f t="shared" si="291"/>
        <v>205</v>
      </c>
      <c r="BL256" s="215">
        <f t="shared" si="292"/>
        <v>183</v>
      </c>
      <c r="BM256" s="215">
        <f t="shared" si="293"/>
        <v>180</v>
      </c>
      <c r="BN256" s="215">
        <f t="shared" si="294"/>
        <v>167</v>
      </c>
      <c r="BO256" s="215">
        <f t="shared" si="295"/>
        <v>165</v>
      </c>
      <c r="BP256" s="215">
        <f t="shared" si="296"/>
        <v>136</v>
      </c>
      <c r="BQ256" s="216"/>
      <c r="BR256" s="214"/>
      <c r="BS256" s="215">
        <f t="shared" si="304"/>
        <v>205</v>
      </c>
      <c r="BT256" s="215">
        <f t="shared" si="305"/>
        <v>0</v>
      </c>
      <c r="BU256" s="215" t="str">
        <f t="shared" si="306"/>
        <v>RW Lichtenhof 69 Stein 2</v>
      </c>
      <c r="BV256" s="214">
        <f t="shared" si="307"/>
        <v>2</v>
      </c>
      <c r="BW256" s="215">
        <f t="shared" si="308"/>
        <v>1544</v>
      </c>
      <c r="BX256" s="215">
        <f>IF(COUNTIF(BH256:BP256,"&gt;0")&lt;Spielorte!$A$23,0,BE256/Spielorte!$A$23)</f>
        <v>171.55555555555554</v>
      </c>
      <c r="BY256" s="215">
        <f t="shared" si="309"/>
        <v>0</v>
      </c>
      <c r="BZ256" s="214">
        <f t="shared" si="297"/>
        <v>0</v>
      </c>
    </row>
    <row r="257" spans="1:78" ht="17.2" customHeight="1" x14ac:dyDescent="0.35">
      <c r="A257" s="368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49"/>
      <c r="F257" s="78" t="str">
        <f t="shared" si="279"/>
        <v/>
      </c>
      <c r="G257" s="349"/>
      <c r="H257" s="78" t="str">
        <f t="shared" si="280"/>
        <v/>
      </c>
      <c r="I257" s="349"/>
      <c r="J257" s="78" t="str">
        <f t="shared" si="281"/>
        <v/>
      </c>
      <c r="K257" s="349"/>
      <c r="L257" s="78" t="str">
        <f t="shared" si="282"/>
        <v/>
      </c>
      <c r="M257" s="349"/>
      <c r="N257" s="78" t="str">
        <f t="shared" si="299"/>
        <v/>
      </c>
      <c r="O257" s="349"/>
      <c r="P257" s="78" t="str">
        <f t="shared" si="283"/>
        <v/>
      </c>
      <c r="Q257" s="349"/>
      <c r="R257" s="78" t="str">
        <f t="shared" si="284"/>
        <v/>
      </c>
      <c r="S257" s="349"/>
      <c r="T257" s="78" t="str">
        <f t="shared" si="285"/>
        <v/>
      </c>
      <c r="U257" s="349"/>
      <c r="V257" s="78" t="str">
        <f t="shared" si="286"/>
        <v/>
      </c>
      <c r="W257" s="349"/>
      <c r="Z257" s="352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0</v>
      </c>
      <c r="BU257" s="215" t="str">
        <f t="shared" si="306"/>
        <v>RW Lichtenhof 69 Stein 2</v>
      </c>
      <c r="BV257" s="214">
        <f t="shared" si="307"/>
        <v>2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0</v>
      </c>
      <c r="BZ257" s="214">
        <f t="shared" si="297"/>
        <v>0</v>
      </c>
    </row>
    <row r="258" spans="1:78" ht="17.2" customHeight="1" thickBot="1" x14ac:dyDescent="0.4">
      <c r="A258" s="369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50"/>
      <c r="F258" s="69" t="str">
        <f t="shared" si="279"/>
        <v/>
      </c>
      <c r="G258" s="350"/>
      <c r="H258" s="69" t="str">
        <f t="shared" si="280"/>
        <v/>
      </c>
      <c r="I258" s="350"/>
      <c r="J258" s="69" t="str">
        <f t="shared" si="281"/>
        <v/>
      </c>
      <c r="K258" s="350"/>
      <c r="L258" s="69" t="str">
        <f t="shared" si="282"/>
        <v/>
      </c>
      <c r="M258" s="350"/>
      <c r="N258" s="69" t="str">
        <f t="shared" si="299"/>
        <v/>
      </c>
      <c r="O258" s="350"/>
      <c r="P258" s="69" t="str">
        <f t="shared" si="283"/>
        <v/>
      </c>
      <c r="Q258" s="350"/>
      <c r="R258" s="69" t="str">
        <f t="shared" si="284"/>
        <v/>
      </c>
      <c r="S258" s="350"/>
      <c r="T258" s="69" t="str">
        <f t="shared" si="285"/>
        <v/>
      </c>
      <c r="U258" s="350"/>
      <c r="V258" s="69" t="str">
        <f t="shared" si="286"/>
        <v/>
      </c>
      <c r="W258" s="350"/>
      <c r="Z258" s="353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0</v>
      </c>
      <c r="BU258" s="215" t="str">
        <f t="shared" si="306"/>
        <v>RW Lichtenhof 69 Stein 2</v>
      </c>
      <c r="BV258" s="214">
        <f t="shared" si="307"/>
        <v>2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0</v>
      </c>
      <c r="BZ258" s="214">
        <f t="shared" si="297"/>
        <v>0</v>
      </c>
    </row>
    <row r="259" spans="1:78" ht="27.75" customHeight="1" thickBot="1" x14ac:dyDescent="0.4">
      <c r="B259" s="81" t="str">
        <f>IF(AA259=0,"",AA259)</f>
        <v>Gesamt</v>
      </c>
      <c r="C259" s="82" t="str">
        <f t="shared" si="298"/>
        <v/>
      </c>
      <c r="D259" s="83">
        <f t="shared" si="298"/>
        <v>738</v>
      </c>
      <c r="E259" s="84">
        <f>IF(AD259="","",AD259)</f>
        <v>2</v>
      </c>
      <c r="F259" s="83">
        <f t="shared" si="279"/>
        <v>618</v>
      </c>
      <c r="G259" s="84">
        <f>IF(AF259="","",AF259)</f>
        <v>0</v>
      </c>
      <c r="H259" s="83">
        <f t="shared" si="280"/>
        <v>723</v>
      </c>
      <c r="I259" s="84">
        <f>IF(AH259="","",AH259)</f>
        <v>2</v>
      </c>
      <c r="J259" s="83">
        <f t="shared" si="281"/>
        <v>690</v>
      </c>
      <c r="K259" s="84">
        <f>IF(AJ259="","",AJ259)</f>
        <v>0</v>
      </c>
      <c r="L259" s="83">
        <f t="shared" si="282"/>
        <v>722</v>
      </c>
      <c r="M259" s="84">
        <f>IF(AL259="","",AL259)</f>
        <v>2</v>
      </c>
      <c r="N259" s="83">
        <f t="shared" si="299"/>
        <v>680</v>
      </c>
      <c r="O259" s="84">
        <f>IF(AN259="","",AN259)</f>
        <v>2</v>
      </c>
      <c r="P259" s="83">
        <f t="shared" si="283"/>
        <v>727</v>
      </c>
      <c r="Q259" s="84">
        <f>IF(AP259="","",AP259)</f>
        <v>2</v>
      </c>
      <c r="R259" s="83">
        <f t="shared" si="284"/>
        <v>659</v>
      </c>
      <c r="S259" s="84">
        <f>IF(AR259="","",AR259)</f>
        <v>0</v>
      </c>
      <c r="T259" s="83">
        <f t="shared" si="285"/>
        <v>651</v>
      </c>
      <c r="U259" s="84">
        <f>IF(AT259="","",AT259)</f>
        <v>0</v>
      </c>
      <c r="V259" s="83">
        <f t="shared" si="286"/>
        <v>6208</v>
      </c>
      <c r="W259" s="84">
        <f>IF(AV259="","",AV259)</f>
        <v>10</v>
      </c>
      <c r="AA259" s="81" t="s">
        <v>1799</v>
      </c>
      <c r="AB259" s="120"/>
      <c r="AC259" s="211">
        <f>ABS(SUM(AC247:AC249))+ABS(SUM(AC250:AC252))+ABS(SUM(AC253:AC255))+ABS(SUM(AC256:AC258))</f>
        <v>738</v>
      </c>
      <c r="AD259" s="121">
        <f>IF(AC259+AC269=0,0,IF(AC259=AC269,1,IF(AC259&gt;AC269,2,0)))</f>
        <v>2</v>
      </c>
      <c r="AE259" s="211">
        <f>ABS(SUM(AE247:AE249))+ABS(SUM(AE250:AE252))+ABS(SUM(AE253:AE255))+ABS(SUM(AE256:AE258))</f>
        <v>618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723</v>
      </c>
      <c r="AH259" s="121">
        <f>IF(AG259+AG269=0,0,IF(AG259=AG269,1,IF(AG259&gt;AG269,2,0)))</f>
        <v>2</v>
      </c>
      <c r="AI259" s="211">
        <f>ABS(SUM(AI247:AI249))+ABS(SUM(AI250:AI252))+ABS(SUM(AI253:AI255))+ABS(SUM(AI256:AI258))</f>
        <v>690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722</v>
      </c>
      <c r="AL259" s="121">
        <f>IF(AK259+AK269=0,0,IF(AK259=AK269,1,IF(AK259&gt;AK269,2,0)))</f>
        <v>2</v>
      </c>
      <c r="AM259" s="211">
        <f>ABS(SUM(AM247:AM249))+ABS(SUM(AM250:AM252))+ABS(SUM(AM253:AM255))+ABS(SUM(AM256:AM258))</f>
        <v>680</v>
      </c>
      <c r="AN259" s="121">
        <f>IF(AM259+AM269=0,0,IF(AM259=AM269,1,IF(AM259&gt;AM269,2,0)))</f>
        <v>2</v>
      </c>
      <c r="AO259" s="211">
        <f>ABS(SUM(AO247:AO249))+ABS(SUM(AO250:AO252))+ABS(SUM(AO253:AO255))+ABS(SUM(AO256:AO258))</f>
        <v>727</v>
      </c>
      <c r="AP259" s="121">
        <f>IF(AO259+AO269=0,0,IF(AO259=AO269,1,IF(AO259&gt;AO269,2,0)))</f>
        <v>2</v>
      </c>
      <c r="AQ259" s="211">
        <f>ABS(SUM(AQ247:AQ249))+ABS(SUM(AQ250:AQ252))+ABS(SUM(AQ253:AQ255))+ABS(SUM(AQ256:AQ258))</f>
        <v>659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651</v>
      </c>
      <c r="AT259" s="121">
        <f>IF(AS259+AS269=0,0,IF(AS259=AS269,1,IF(AS259&gt;AS269,2,0)))</f>
        <v>0</v>
      </c>
      <c r="AU259" s="122">
        <f>SUM(AC259+AE259+AG259+AI259+AK259+AM259+AO259+AQ259+AS259)</f>
        <v>6208</v>
      </c>
      <c r="AV259" s="123">
        <f>SUM(AD259+AF259+AH259+AJ259+AL259+AN259+AP259+AR259+AT259)</f>
        <v>10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4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5</v>
      </c>
      <c r="F260" s="86" t="str">
        <f t="shared" si="279"/>
        <v/>
      </c>
      <c r="G260" s="87">
        <f>IF(AF260="","",AF260)</f>
        <v>1</v>
      </c>
      <c r="H260" s="86" t="str">
        <f t="shared" si="280"/>
        <v/>
      </c>
      <c r="I260" s="87">
        <f>IF(AH260="","",AH260)</f>
        <v>3</v>
      </c>
      <c r="J260" s="86" t="str">
        <f t="shared" si="281"/>
        <v/>
      </c>
      <c r="K260" s="87">
        <f>IF(AJ260="","",AJ260)</f>
        <v>2</v>
      </c>
      <c r="L260" s="86" t="str">
        <f t="shared" si="282"/>
        <v/>
      </c>
      <c r="M260" s="87">
        <f>IF(AL260="","",AL260)</f>
        <v>5</v>
      </c>
      <c r="N260" s="86" t="str">
        <f t="shared" si="299"/>
        <v/>
      </c>
      <c r="O260" s="87">
        <f>IF(AN260="","",AN260)</f>
        <v>4</v>
      </c>
      <c r="P260" s="86" t="str">
        <f t="shared" si="283"/>
        <v/>
      </c>
      <c r="Q260" s="87">
        <f>IF(AP260="","",AP260)</f>
        <v>6</v>
      </c>
      <c r="R260" s="86" t="str">
        <f t="shared" si="284"/>
        <v/>
      </c>
      <c r="S260" s="87">
        <f>IF(AR260="","",AR260)</f>
        <v>1</v>
      </c>
      <c r="T260" s="86" t="str">
        <f t="shared" si="285"/>
        <v/>
      </c>
      <c r="U260" s="87">
        <f>IF(AT260="","",AT260)</f>
        <v>1</v>
      </c>
      <c r="V260" s="86" t="str">
        <f t="shared" si="286"/>
        <v/>
      </c>
      <c r="W260" s="87">
        <f>IF(AV260="","",AV260)</f>
        <v>28</v>
      </c>
      <c r="AA260" s="85" t="s">
        <v>1814</v>
      </c>
      <c r="AB260" s="86"/>
      <c r="AC260" s="86"/>
      <c r="AD260" s="124">
        <f>SUM(AD247:AD259)</f>
        <v>5</v>
      </c>
      <c r="AE260" s="86"/>
      <c r="AF260" s="124">
        <f>SUM(AF247:AF259)</f>
        <v>1</v>
      </c>
      <c r="AG260" s="86"/>
      <c r="AH260" s="124">
        <f>SUM(AH247:AH259)</f>
        <v>3</v>
      </c>
      <c r="AI260" s="86"/>
      <c r="AJ260" s="124">
        <f>SUM(AJ247:AJ259)</f>
        <v>2</v>
      </c>
      <c r="AK260" s="86"/>
      <c r="AL260" s="124">
        <f>SUM(AL247:AL259)</f>
        <v>5</v>
      </c>
      <c r="AM260" s="86"/>
      <c r="AN260" s="124">
        <f>SUM(AN247:AN259)</f>
        <v>4</v>
      </c>
      <c r="AO260" s="86"/>
      <c r="AP260" s="124">
        <f>SUM(AP247:AP259)</f>
        <v>6</v>
      </c>
      <c r="AQ260" s="86"/>
      <c r="AR260" s="124">
        <f>SUM(AR247:AR259)</f>
        <v>1</v>
      </c>
      <c r="AS260" s="86"/>
      <c r="AT260" s="124">
        <f>SUM(AT247:AT259)</f>
        <v>1</v>
      </c>
      <c r="AU260" s="86"/>
      <c r="AV260" s="125">
        <f>SUM(AV247:AV259)</f>
        <v>28</v>
      </c>
      <c r="AW260" s="101"/>
      <c r="AX260" s="102"/>
      <c r="BA260" s="212">
        <f>+AV260</f>
        <v>28</v>
      </c>
      <c r="BB260" s="213">
        <f>+AU259</f>
        <v>6208</v>
      </c>
      <c r="BC260" s="214">
        <f>+AA242</f>
        <v>9</v>
      </c>
      <c r="BF260" s="215">
        <f>SUM(BF241:BF259)</f>
        <v>36</v>
      </c>
      <c r="BQ260" s="212">
        <f>+BB260/1000000+BA260</f>
        <v>28.006208000000001</v>
      </c>
      <c r="BR260" s="214">
        <f>RANK(BQ260,BQ:BQ)</f>
        <v>6</v>
      </c>
      <c r="BV260" s="214"/>
      <c r="BZ260" s="214"/>
    </row>
    <row r="261" spans="1:78" ht="11.25" customHeight="1" x14ac:dyDescent="0.3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3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46">
        <f t="shared" si="310"/>
        <v>2</v>
      </c>
      <c r="E262" s="346" t="str">
        <f t="shared" si="310"/>
        <v/>
      </c>
      <c r="F262" s="346">
        <f t="shared" si="310"/>
        <v>6</v>
      </c>
      <c r="G262" s="346" t="str">
        <f t="shared" si="310"/>
        <v/>
      </c>
      <c r="H262" s="346">
        <f t="shared" si="310"/>
        <v>7</v>
      </c>
      <c r="I262" s="346" t="str">
        <f t="shared" si="310"/>
        <v/>
      </c>
      <c r="J262" s="346">
        <f t="shared" si="310"/>
        <v>10</v>
      </c>
      <c r="K262" s="346" t="str">
        <f t="shared" si="310"/>
        <v/>
      </c>
      <c r="L262" s="346">
        <f t="shared" si="310"/>
        <v>8</v>
      </c>
      <c r="M262" s="346" t="str">
        <f t="shared" si="310"/>
        <v/>
      </c>
      <c r="N262" s="346">
        <f t="shared" si="310"/>
        <v>3</v>
      </c>
      <c r="O262" s="346" t="str">
        <f t="shared" si="310"/>
        <v/>
      </c>
      <c r="P262" s="346">
        <f t="shared" si="310"/>
        <v>4</v>
      </c>
      <c r="Q262" s="346" t="str">
        <f t="shared" si="310"/>
        <v/>
      </c>
      <c r="R262" s="346">
        <f t="shared" ref="N262:U264" si="311">IF(AQ262=0,"",AQ262)</f>
        <v>1</v>
      </c>
      <c r="S262" s="346" t="str">
        <f t="shared" si="311"/>
        <v/>
      </c>
      <c r="T262" s="346">
        <f t="shared" si="311"/>
        <v>5</v>
      </c>
      <c r="U262" s="346" t="str">
        <f t="shared" si="311"/>
        <v/>
      </c>
      <c r="V262" s="347"/>
      <c r="W262" s="347"/>
      <c r="AA262" s="88" t="s">
        <v>1797</v>
      </c>
      <c r="AB262" s="89" t="s">
        <v>1798</v>
      </c>
      <c r="AC262" s="370">
        <f>VLOOKUP($AA242,Schlüssel!$A$5:$DG$14,23)</f>
        <v>2</v>
      </c>
      <c r="AD262" s="371"/>
      <c r="AE262" s="370">
        <f>VLOOKUP($AA242,Schlüssel!$A$5:$EK$14,24)</f>
        <v>6</v>
      </c>
      <c r="AF262" s="371"/>
      <c r="AG262" s="370">
        <f>VLOOKUP($AA242,Schlüssel!$A$5:$EK$14,25)</f>
        <v>7</v>
      </c>
      <c r="AH262" s="371"/>
      <c r="AI262" s="370">
        <f>VLOOKUP($AA242,Schlüssel!$A$5:$EK$14,26)</f>
        <v>10</v>
      </c>
      <c r="AJ262" s="371"/>
      <c r="AK262" s="370">
        <f>VLOOKUP($AA242,Schlüssel!$A$5:$EK$14,27)</f>
        <v>8</v>
      </c>
      <c r="AL262" s="371"/>
      <c r="AM262" s="370">
        <f>VLOOKUP($AA242,Schlüssel!$A$5:$EK$14,28)</f>
        <v>3</v>
      </c>
      <c r="AN262" s="371"/>
      <c r="AO262" s="370">
        <f>VLOOKUP($AA242,Schlüssel!$A$5:$EK$14,29)</f>
        <v>4</v>
      </c>
      <c r="AP262" s="371"/>
      <c r="AQ262" s="370">
        <f>VLOOKUP($AA242,Schlüssel!$A$5:$EK$14,30)</f>
        <v>1</v>
      </c>
      <c r="AR262" s="371"/>
      <c r="AS262" s="370">
        <f>VLOOKUP($AA242,Schlüssel!$A$5:$EK$14,31)</f>
        <v>5</v>
      </c>
      <c r="AT262" s="371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35">
      <c r="B263" s="90" t="str">
        <f t="shared" ref="B263:M264" si="312">IF(AA263=0,"",AA263)</f>
        <v/>
      </c>
      <c r="C263" s="86" t="str">
        <f t="shared" si="312"/>
        <v/>
      </c>
      <c r="D263" s="343" t="str">
        <f t="shared" si="312"/>
        <v>BK München 2</v>
      </c>
      <c r="E263" s="344" t="str">
        <f t="shared" si="312"/>
        <v/>
      </c>
      <c r="F263" s="343" t="str">
        <f t="shared" si="312"/>
        <v>Phönix 03 Lauf</v>
      </c>
      <c r="G263" s="344" t="str">
        <f t="shared" si="312"/>
        <v/>
      </c>
      <c r="H263" s="343" t="str">
        <f t="shared" si="312"/>
        <v>Frankenpower Nürnberg</v>
      </c>
      <c r="I263" s="344" t="str">
        <f t="shared" si="312"/>
        <v/>
      </c>
      <c r="J263" s="343" t="str">
        <f t="shared" si="312"/>
        <v>BK München 4</v>
      </c>
      <c r="K263" s="344" t="str">
        <f t="shared" si="312"/>
        <v/>
      </c>
      <c r="L263" s="343" t="str">
        <f t="shared" si="312"/>
        <v>EPA München 1</v>
      </c>
      <c r="M263" s="344" t="str">
        <f t="shared" si="312"/>
        <v/>
      </c>
      <c r="N263" s="343" t="str">
        <f t="shared" si="311"/>
        <v>Highroller Rosenheim</v>
      </c>
      <c r="O263" s="344" t="str">
        <f t="shared" si="311"/>
        <v/>
      </c>
      <c r="P263" s="343" t="str">
        <f t="shared" si="311"/>
        <v>BK München 3</v>
      </c>
      <c r="Q263" s="344" t="str">
        <f t="shared" si="311"/>
        <v/>
      </c>
      <c r="R263" s="343" t="str">
        <f t="shared" si="311"/>
        <v>Praetoria Regensburg</v>
      </c>
      <c r="S263" s="344" t="str">
        <f t="shared" si="311"/>
        <v/>
      </c>
      <c r="T263" s="343" t="str">
        <f t="shared" si="311"/>
        <v xml:space="preserve">Weiß Blau Unterföhring </v>
      </c>
      <c r="U263" s="344" t="str">
        <f t="shared" si="311"/>
        <v/>
      </c>
      <c r="V263" s="345"/>
      <c r="W263" s="345"/>
      <c r="AA263" s="90"/>
      <c r="AB263" s="86"/>
      <c r="AC263" s="343" t="str">
        <f>VLOOKUP(AC262,Schlüssel!$A$5:$K$14,2)</f>
        <v>BK München 2</v>
      </c>
      <c r="AD263" s="344"/>
      <c r="AE263" s="343" t="str">
        <f>VLOOKUP(AE262,Schlüssel!$A$5:$K$14,2)</f>
        <v>Phönix 03 Lauf</v>
      </c>
      <c r="AF263" s="344"/>
      <c r="AG263" s="343" t="str">
        <f>VLOOKUP(AG262,Schlüssel!$A$5:$K$14,2)</f>
        <v>Frankenpower Nürnberg</v>
      </c>
      <c r="AH263" s="344"/>
      <c r="AI263" s="343" t="str">
        <f>VLOOKUP(AI262,Schlüssel!$A$5:$K$14,2)</f>
        <v>BK München 4</v>
      </c>
      <c r="AJ263" s="344"/>
      <c r="AK263" s="343" t="str">
        <f>VLOOKUP(AK262,Schlüssel!$A$5:$K$14,2)</f>
        <v>EPA München 1</v>
      </c>
      <c r="AL263" s="344"/>
      <c r="AM263" s="343" t="str">
        <f>VLOOKUP(AM262,Schlüssel!$A$5:$K$14,2)</f>
        <v>Highroller Rosenheim</v>
      </c>
      <c r="AN263" s="344"/>
      <c r="AO263" s="343" t="str">
        <f>VLOOKUP(AO262,Schlüssel!$A$5:$K$14,2)</f>
        <v>BK München 3</v>
      </c>
      <c r="AP263" s="344"/>
      <c r="AQ263" s="343" t="str">
        <f>VLOOKUP(AQ262,Schlüssel!$A$5:$K$14,2)</f>
        <v>Praetoria Regensburg</v>
      </c>
      <c r="AR263" s="344"/>
      <c r="AS263" s="343" t="str">
        <f>VLOOKUP(AS262,Schlüssel!$A$5:$K$14,2)</f>
        <v xml:space="preserve">Weiß Blau Unterföhring </v>
      </c>
      <c r="AT263" s="344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35">
      <c r="B264" s="90" t="str">
        <f t="shared" si="312"/>
        <v/>
      </c>
      <c r="C264" s="86" t="str">
        <f t="shared" si="312"/>
        <v/>
      </c>
      <c r="D264" s="341" t="str">
        <f t="shared" si="312"/>
        <v/>
      </c>
      <c r="E264" s="341" t="str">
        <f t="shared" si="312"/>
        <v/>
      </c>
      <c r="F264" s="341" t="str">
        <f t="shared" si="312"/>
        <v/>
      </c>
      <c r="G264" s="341" t="str">
        <f t="shared" si="312"/>
        <v/>
      </c>
      <c r="H264" s="341" t="str">
        <f t="shared" si="312"/>
        <v/>
      </c>
      <c r="I264" s="341" t="str">
        <f t="shared" si="312"/>
        <v/>
      </c>
      <c r="J264" s="341" t="str">
        <f t="shared" si="312"/>
        <v/>
      </c>
      <c r="K264" s="341" t="str">
        <f t="shared" si="312"/>
        <v/>
      </c>
      <c r="L264" s="341" t="str">
        <f t="shared" si="312"/>
        <v/>
      </c>
      <c r="M264" s="341" t="str">
        <f t="shared" si="312"/>
        <v/>
      </c>
      <c r="N264" s="341" t="str">
        <f t="shared" si="311"/>
        <v/>
      </c>
      <c r="O264" s="341" t="str">
        <f t="shared" si="311"/>
        <v/>
      </c>
      <c r="P264" s="341" t="str">
        <f t="shared" si="311"/>
        <v/>
      </c>
      <c r="Q264" s="341" t="str">
        <f t="shared" si="311"/>
        <v/>
      </c>
      <c r="R264" s="341" t="str">
        <f t="shared" si="311"/>
        <v/>
      </c>
      <c r="S264" s="341" t="str">
        <f t="shared" si="311"/>
        <v/>
      </c>
      <c r="T264" s="341" t="str">
        <f t="shared" si="311"/>
        <v/>
      </c>
      <c r="U264" s="342" t="str">
        <f t="shared" si="311"/>
        <v/>
      </c>
      <c r="V264" s="301"/>
      <c r="W264" s="301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6.05" customHeight="1" x14ac:dyDescent="0.35">
      <c r="B265" s="365" t="str">
        <f t="shared" ref="B265:C269" si="313">IF(AA265=0,"",AA265)</f>
        <v>Spieler 1</v>
      </c>
      <c r="C265" s="366" t="str">
        <f t="shared" si="313"/>
        <v/>
      </c>
      <c r="D265" s="339">
        <f>IF(AC265=301,"",AC265)</f>
        <v>198</v>
      </c>
      <c r="E265" s="339" t="str">
        <f>IF(AD265=0,"",AD265)</f>
        <v/>
      </c>
      <c r="F265" s="339">
        <f>IF(AE265=301,"",AE265)</f>
        <v>143</v>
      </c>
      <c r="G265" s="339" t="str">
        <f>IF(AF265=0,"",AF265)</f>
        <v/>
      </c>
      <c r="H265" s="339">
        <f>IF(AG265=301,"",AG265)</f>
        <v>182</v>
      </c>
      <c r="I265" s="339" t="str">
        <f>IF(AH265=0,"",AH265)</f>
        <v/>
      </c>
      <c r="J265" s="339">
        <f>IF(AI265=301,"",AI265)</f>
        <v>189</v>
      </c>
      <c r="K265" s="339" t="str">
        <f>IF(AJ265=0,"",AJ265)</f>
        <v/>
      </c>
      <c r="L265" s="339">
        <f>IF(AK265=301,"",AK265)</f>
        <v>223</v>
      </c>
      <c r="M265" s="339" t="str">
        <f>IF(AL265=0,"",AL265)</f>
        <v/>
      </c>
      <c r="N265" s="339">
        <f>IF(AM265=301,"",AM265)</f>
        <v>178</v>
      </c>
      <c r="O265" s="339" t="str">
        <f>IF(AN265=0,"",AN265)</f>
        <v/>
      </c>
      <c r="P265" s="339">
        <f>IF(AO265=301,"",AO265)</f>
        <v>0</v>
      </c>
      <c r="Q265" s="339" t="str">
        <f>IF(AP265=0,"",AP265)</f>
        <v/>
      </c>
      <c r="R265" s="339">
        <f>IF(AQ265=301,"",AQ265)</f>
        <v>194</v>
      </c>
      <c r="S265" s="339" t="str">
        <f>IF(AR265=0,"",AR265)</f>
        <v/>
      </c>
      <c r="T265" s="339">
        <f>IF(AS265=301,"",AS265)</f>
        <v>172</v>
      </c>
      <c r="U265" s="339" t="str">
        <f>IF(AT265=0,"",AT265)</f>
        <v/>
      </c>
      <c r="V265" s="340"/>
      <c r="W265" s="340"/>
      <c r="AA265" s="91" t="s">
        <v>0</v>
      </c>
      <c r="AB265" s="92"/>
      <c r="AC265" s="372">
        <f>ABS(INDEX(AC:AC,MATCH(AC262,$AA:$AA,0)+5)+INDEX(AC:AC,MATCH(AC262,$AA:$AA,0)+6)+INDEX(AC:AC,MATCH(AC262,$AA:$AA,0)+7))</f>
        <v>198</v>
      </c>
      <c r="AD265" s="373"/>
      <c r="AE265" s="372">
        <f>ABS(INDEX(AE:AE,MATCH(AE262,$AA:$AA,0)+5)+INDEX(AE:AE,MATCH(AE262,$AA:$AA,0)+6)+INDEX(AE:AE,MATCH(AE262,$AA:$AA,0)+7))</f>
        <v>143</v>
      </c>
      <c r="AF265" s="373"/>
      <c r="AG265" s="372">
        <f>ABS(INDEX(AG:AG,MATCH(AG262,$AA:$AA,0)+5)+INDEX(AG:AG,MATCH(AG262,$AA:$AA,0)+6)+INDEX(AG:AG,MATCH(AG262,$AA:$AA,0)+7))</f>
        <v>182</v>
      </c>
      <c r="AH265" s="373"/>
      <c r="AI265" s="372">
        <f>ABS(INDEX(AI:AI,MATCH(AI262,$AA:$AA,0)+5)+INDEX(AI:AI,MATCH(AI262,$AA:$AA,0)+6)+INDEX(AI:AI,MATCH(AI262,$AA:$AA,0)+7))</f>
        <v>189</v>
      </c>
      <c r="AJ265" s="373"/>
      <c r="AK265" s="372">
        <f>ABS(INDEX(AK:AK,MATCH(AK262,$AA:$AA,0)+5)+INDEX(AK:AK,MATCH(AK262,$AA:$AA,0)+6)+INDEX(AK:AK,MATCH(AK262,$AA:$AA,0)+7))</f>
        <v>223</v>
      </c>
      <c r="AL265" s="373"/>
      <c r="AM265" s="372">
        <f>ABS(INDEX(AM:AM,MATCH(AM262,$AA:$AA,0)+5)+INDEX(AM:AM,MATCH(AM262,$AA:$AA,0)+6)+INDEX(AM:AM,MATCH(AM262,$AA:$AA,0)+7))</f>
        <v>178</v>
      </c>
      <c r="AN265" s="373"/>
      <c r="AO265" s="372">
        <f>ABS(INDEX(AO:AO,MATCH(AO262,$AA:$AA,0)+5)+INDEX(AO:AO,MATCH(AO262,$AA:$AA,0)+6)+INDEX(AO:AO,MATCH(AO262,$AA:$AA,0)+7))</f>
        <v>0</v>
      </c>
      <c r="AP265" s="373"/>
      <c r="AQ265" s="372">
        <f>ABS(INDEX(AQ:AQ,MATCH(AQ262,$AA:$AA,0)+5)+INDEX(AQ:AQ,MATCH(AQ262,$AA:$AA,0)+6)+INDEX(AQ:AQ,MATCH(AQ262,$AA:$AA,0)+7))</f>
        <v>194</v>
      </c>
      <c r="AR265" s="373"/>
      <c r="AS265" s="372">
        <f>ABS(INDEX(AS:AS,MATCH(AS262,$AA:$AA,0)+5)+INDEX(AS:AS,MATCH(AS262,$AA:$AA,0)+6)+INDEX(AS:AS,MATCH(AS262,$AA:$AA,0)+7))</f>
        <v>172</v>
      </c>
      <c r="AT265" s="373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6.05" customHeight="1" x14ac:dyDescent="0.35">
      <c r="B266" s="365" t="str">
        <f t="shared" si="313"/>
        <v>Spieler 2</v>
      </c>
      <c r="C266" s="366" t="str">
        <f t="shared" si="313"/>
        <v/>
      </c>
      <c r="D266" s="339">
        <f>IF(AC266=301,"",AC266)</f>
        <v>171</v>
      </c>
      <c r="E266" s="339" t="str">
        <f>IF(AD266=0,"",AD266)</f>
        <v/>
      </c>
      <c r="F266" s="339">
        <f>IF(AE266=301,"",AE266)</f>
        <v>163</v>
      </c>
      <c r="G266" s="339" t="str">
        <f>IF(AF266=0,"",AF266)</f>
        <v/>
      </c>
      <c r="H266" s="339">
        <f>IF(AG266=301,"",AG266)</f>
        <v>170</v>
      </c>
      <c r="I266" s="339" t="str">
        <f>IF(AH266=0,"",AH266)</f>
        <v/>
      </c>
      <c r="J266" s="339">
        <f>IF(AI266=301,"",AI266)</f>
        <v>246</v>
      </c>
      <c r="K266" s="339" t="str">
        <f>IF(AJ266=0,"",AJ266)</f>
        <v/>
      </c>
      <c r="L266" s="339">
        <f>IF(AK266=301,"",AK266)</f>
        <v>159</v>
      </c>
      <c r="M266" s="339" t="str">
        <f>IF(AL266=0,"",AL266)</f>
        <v/>
      </c>
      <c r="N266" s="339">
        <f>IF(AM266=301,"",AM266)</f>
        <v>158</v>
      </c>
      <c r="O266" s="339" t="str">
        <f>IF(AN266=0,"",AN266)</f>
        <v/>
      </c>
      <c r="P266" s="339">
        <f>IF(AO266=301,"",AO266)</f>
        <v>0</v>
      </c>
      <c r="Q266" s="339" t="str">
        <f>IF(AP266=0,"",AP266)</f>
        <v/>
      </c>
      <c r="R266" s="339">
        <f>IF(AQ266=301,"",AQ266)</f>
        <v>180</v>
      </c>
      <c r="S266" s="339" t="str">
        <f>IF(AR266=0,"",AR266)</f>
        <v/>
      </c>
      <c r="T266" s="339">
        <f>IF(AS266=301,"",AS266)</f>
        <v>155</v>
      </c>
      <c r="U266" s="339" t="str">
        <f>IF(AT266=0,"",AT266)</f>
        <v/>
      </c>
      <c r="V266" s="340"/>
      <c r="W266" s="340"/>
      <c r="AA266" s="91" t="s">
        <v>2</v>
      </c>
      <c r="AB266" s="92"/>
      <c r="AC266" s="374">
        <f>ABS(INDEX(AC:AC,MATCH(AC262,$AA:$AA,0)+8)+INDEX(AC:AC,MATCH(AC262,$AA:$AA,0)+9)+INDEX(AC:AC,MATCH(AC262,$AA:$AA,0)+10))</f>
        <v>171</v>
      </c>
      <c r="AD266" s="375"/>
      <c r="AE266" s="374">
        <f>ABS(INDEX(AE:AE,MATCH(AE262,$AA:$AA,0)+8)+INDEX(AE:AE,MATCH(AE262,$AA:$AA,0)+9)+INDEX(AE:AE,MATCH(AE262,$AA:$AA,0)+10))</f>
        <v>163</v>
      </c>
      <c r="AF266" s="375"/>
      <c r="AG266" s="374">
        <f>ABS(INDEX(AG:AG,MATCH(AG262,$AA:$AA,0)+8)+INDEX(AG:AG,MATCH(AG262,$AA:$AA,0)+9)+INDEX(AG:AG,MATCH(AG262,$AA:$AA,0)+10))</f>
        <v>170</v>
      </c>
      <c r="AH266" s="375"/>
      <c r="AI266" s="374">
        <f>ABS(INDEX(AI:AI,MATCH(AI262,$AA:$AA,0)+8)+INDEX(AI:AI,MATCH(AI262,$AA:$AA,0)+9)+INDEX(AI:AI,MATCH(AI262,$AA:$AA,0)+10))</f>
        <v>246</v>
      </c>
      <c r="AJ266" s="375"/>
      <c r="AK266" s="374">
        <f>ABS(INDEX(AK:AK,MATCH(AK262,$AA:$AA,0)+8)+INDEX(AK:AK,MATCH(AK262,$AA:$AA,0)+9)+INDEX(AK:AK,MATCH(AK262,$AA:$AA,0)+10))</f>
        <v>159</v>
      </c>
      <c r="AL266" s="375"/>
      <c r="AM266" s="374">
        <f>ABS(INDEX(AM:AM,MATCH(AM262,$AA:$AA,0)+8)+INDEX(AM:AM,MATCH(AM262,$AA:$AA,0)+9)+INDEX(AM:AM,MATCH(AM262,$AA:$AA,0)+10))</f>
        <v>158</v>
      </c>
      <c r="AN266" s="375"/>
      <c r="AO266" s="374">
        <f>ABS(INDEX(AO:AO,MATCH(AO262,$AA:$AA,0)+8)+INDEX(AO:AO,MATCH(AO262,$AA:$AA,0)+9)+INDEX(AO:AO,MATCH(AO262,$AA:$AA,0)+10))</f>
        <v>0</v>
      </c>
      <c r="AP266" s="375"/>
      <c r="AQ266" s="374">
        <f>ABS(INDEX(AQ:AQ,MATCH(AQ262,$AA:$AA,0)+8)+INDEX(AQ:AQ,MATCH(AQ262,$AA:$AA,0)+9)+INDEX(AQ:AQ,MATCH(AQ262,$AA:$AA,0)+10))</f>
        <v>180</v>
      </c>
      <c r="AR266" s="375"/>
      <c r="AS266" s="374">
        <f>ABS(INDEX(AS:AS,MATCH(AS262,$AA:$AA,0)+8)+INDEX(AS:AS,MATCH(AS262,$AA:$AA,0)+9)+INDEX(AS:AS,MATCH(AS262,$AA:$AA,0)+10))</f>
        <v>155</v>
      </c>
      <c r="AT266" s="37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6.05" customHeight="1" x14ac:dyDescent="0.35">
      <c r="B267" s="365" t="str">
        <f t="shared" si="313"/>
        <v>Spieler 3</v>
      </c>
      <c r="C267" s="366" t="str">
        <f t="shared" si="313"/>
        <v/>
      </c>
      <c r="D267" s="339">
        <f>IF(AC267=301,"",AC267)</f>
        <v>161</v>
      </c>
      <c r="E267" s="339" t="str">
        <f>IF(AD267=0,"",AD267)</f>
        <v/>
      </c>
      <c r="F267" s="339">
        <f>IF(AE267=301,"",AE267)</f>
        <v>192</v>
      </c>
      <c r="G267" s="339" t="str">
        <f>IF(AF267=0,"",AF267)</f>
        <v/>
      </c>
      <c r="H267" s="339">
        <f>IF(AG267=301,"",AG267)</f>
        <v>169</v>
      </c>
      <c r="I267" s="339" t="str">
        <f>IF(AH267=0,"",AH267)</f>
        <v/>
      </c>
      <c r="J267" s="339">
        <f>IF(AI267=301,"",AI267)</f>
        <v>160</v>
      </c>
      <c r="K267" s="339" t="str">
        <f>IF(AJ267=0,"",AJ267)</f>
        <v/>
      </c>
      <c r="L267" s="339">
        <f>IF(AK267=301,"",AK267)</f>
        <v>137</v>
      </c>
      <c r="M267" s="339" t="str">
        <f>IF(AL267=0,"",AL267)</f>
        <v/>
      </c>
      <c r="N267" s="339">
        <f>IF(AM267=301,"",AM267)</f>
        <v>176</v>
      </c>
      <c r="O267" s="339" t="str">
        <f>IF(AN267=0,"",AN267)</f>
        <v/>
      </c>
      <c r="P267" s="339">
        <f>IF(AO267=301,"",AO267)</f>
        <v>0</v>
      </c>
      <c r="Q267" s="339" t="str">
        <f>IF(AP267=0,"",AP267)</f>
        <v/>
      </c>
      <c r="R267" s="339">
        <f>IF(AQ267=301,"",AQ267)</f>
        <v>207</v>
      </c>
      <c r="S267" s="339" t="str">
        <f>IF(AR267=0,"",AR267)</f>
        <v/>
      </c>
      <c r="T267" s="339">
        <f>IF(AS267=301,"",AS267)</f>
        <v>201</v>
      </c>
      <c r="U267" s="339" t="str">
        <f>IF(AT267=0,"",AT267)</f>
        <v/>
      </c>
      <c r="V267" s="340"/>
      <c r="W267" s="340"/>
      <c r="AA267" s="91" t="s">
        <v>3</v>
      </c>
      <c r="AB267" s="92"/>
      <c r="AC267" s="374">
        <f>ABS(INDEX(AC:AC,MATCH(AC262,$AA:$AA,0)+11)+INDEX(AC:AC,MATCH(AC262,$AA:$AA,0)+12)+INDEX(AC:AC,MATCH(AC262,$AA:$AA,0)+13))</f>
        <v>161</v>
      </c>
      <c r="AD267" s="375"/>
      <c r="AE267" s="374">
        <f>ABS(INDEX(AE:AE,MATCH(AE262,$AA:$AA,0)+11)+INDEX(AE:AE,MATCH(AE262,$AA:$AA,0)+12)+INDEX(AE:AE,MATCH(AE262,$AA:$AA,0)+13))</f>
        <v>192</v>
      </c>
      <c r="AF267" s="375"/>
      <c r="AG267" s="374">
        <f>ABS(INDEX(AG:AG,MATCH(AG262,$AA:$AA,0)+11)+INDEX(AG:AG,MATCH(AG262,$AA:$AA,0)+12)+INDEX(AG:AG,MATCH(AG262,$AA:$AA,0)+13))</f>
        <v>169</v>
      </c>
      <c r="AH267" s="375"/>
      <c r="AI267" s="374">
        <f>ABS(INDEX(AI:AI,MATCH(AI262,$AA:$AA,0)+11)+INDEX(AI:AI,MATCH(AI262,$AA:$AA,0)+12)+INDEX(AI:AI,MATCH(AI262,$AA:$AA,0)+13))</f>
        <v>160</v>
      </c>
      <c r="AJ267" s="375"/>
      <c r="AK267" s="374">
        <f>ABS(INDEX(AK:AK,MATCH(AK262,$AA:$AA,0)+11)+INDEX(AK:AK,MATCH(AK262,$AA:$AA,0)+12)+INDEX(AK:AK,MATCH(AK262,$AA:$AA,0)+13))</f>
        <v>137</v>
      </c>
      <c r="AL267" s="375"/>
      <c r="AM267" s="374">
        <f>ABS(INDEX(AM:AM,MATCH(AM262,$AA:$AA,0)+11)+INDEX(AM:AM,MATCH(AM262,$AA:$AA,0)+12)+INDEX(AM:AM,MATCH(AM262,$AA:$AA,0)+13))</f>
        <v>176</v>
      </c>
      <c r="AN267" s="375"/>
      <c r="AO267" s="374">
        <f>ABS(INDEX(AO:AO,MATCH(AO262,$AA:$AA,0)+11)+INDEX(AO:AO,MATCH(AO262,$AA:$AA,0)+12)+INDEX(AO:AO,MATCH(AO262,$AA:$AA,0)+13))</f>
        <v>0</v>
      </c>
      <c r="AP267" s="375"/>
      <c r="AQ267" s="374">
        <f>ABS(INDEX(AQ:AQ,MATCH(AQ262,$AA:$AA,0)+11)+INDEX(AQ:AQ,MATCH(AQ262,$AA:$AA,0)+12)+INDEX(AQ:AQ,MATCH(AQ262,$AA:$AA,0)+13))</f>
        <v>207</v>
      </c>
      <c r="AR267" s="375"/>
      <c r="AS267" s="374">
        <f>ABS(INDEX(AS:AS,MATCH(AS262,$AA:$AA,0)+11)+INDEX(AS:AS,MATCH(AS262,$AA:$AA,0)+12)+INDEX(AS:AS,MATCH(AS262,$AA:$AA,0)+13))</f>
        <v>201</v>
      </c>
      <c r="AT267" s="37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6.05" customHeight="1" x14ac:dyDescent="0.35">
      <c r="B268" s="365" t="str">
        <f t="shared" si="313"/>
        <v>Spieler 4</v>
      </c>
      <c r="C268" s="366" t="str">
        <f t="shared" si="313"/>
        <v/>
      </c>
      <c r="D268" s="339">
        <f>IF(AC268=301,"",AC268)</f>
        <v>190</v>
      </c>
      <c r="E268" s="339" t="str">
        <f>IF(AD268=0,"",AD268)</f>
        <v/>
      </c>
      <c r="F268" s="339">
        <f>IF(AE268=301,"",AE268)</f>
        <v>180</v>
      </c>
      <c r="G268" s="339" t="str">
        <f>IF(AF268=0,"",AF268)</f>
        <v/>
      </c>
      <c r="H268" s="339">
        <f>IF(AG268=301,"",AG268)</f>
        <v>181</v>
      </c>
      <c r="I268" s="339" t="str">
        <f>IF(AH268=0,"",AH268)</f>
        <v/>
      </c>
      <c r="J268" s="339">
        <f>IF(AI268=301,"",AI268)</f>
        <v>162</v>
      </c>
      <c r="K268" s="339" t="str">
        <f>IF(AJ268=0,"",AJ268)</f>
        <v/>
      </c>
      <c r="L268" s="339">
        <f>IF(AK268=301,"",AK268)</f>
        <v>164</v>
      </c>
      <c r="M268" s="339" t="str">
        <f>IF(AL268=0,"",AL268)</f>
        <v/>
      </c>
      <c r="N268" s="339">
        <f>IF(AM268=301,"",AM268)</f>
        <v>157</v>
      </c>
      <c r="O268" s="339" t="str">
        <f>IF(AN268=0,"",AN268)</f>
        <v/>
      </c>
      <c r="P268" s="339">
        <f>IF(AO268=301,"",AO268)</f>
        <v>0</v>
      </c>
      <c r="Q268" s="339" t="str">
        <f>IF(AP268=0,"",AP268)</f>
        <v/>
      </c>
      <c r="R268" s="339">
        <f>IF(AQ268=301,"",AQ268)</f>
        <v>135</v>
      </c>
      <c r="S268" s="339" t="str">
        <f>IF(AR268=0,"",AR268)</f>
        <v/>
      </c>
      <c r="T268" s="339">
        <f>IF(AS268=301,"",AS268)</f>
        <v>193</v>
      </c>
      <c r="U268" s="339" t="str">
        <f>IF(AT268=0,"",AT268)</f>
        <v/>
      </c>
      <c r="V268" s="340"/>
      <c r="W268" s="340"/>
      <c r="AA268" s="91" t="s">
        <v>11</v>
      </c>
      <c r="AB268" s="92"/>
      <c r="AC268" s="374">
        <f>ABS(INDEX(AC:AC,MATCH(AC262,$AA:$AA,0)+14)+INDEX(AC:AC,MATCH(AC262,$AA:$AA,0)+15)+INDEX(AC:AC,MATCH(AC262,$AA:$AA,0)+16))</f>
        <v>190</v>
      </c>
      <c r="AD268" s="375"/>
      <c r="AE268" s="374">
        <f>ABS(INDEX(AE:AE,MATCH(AE262,$AA:$AA,0)+14)+INDEX(AE:AE,MATCH(AE262,$AA:$AA,0)+15)+INDEX(AE:AE,MATCH(AE262,$AA:$AA,0)+16))</f>
        <v>180</v>
      </c>
      <c r="AF268" s="375"/>
      <c r="AG268" s="374">
        <f>ABS(INDEX(AG:AG,MATCH(AG262,$AA:$AA,0)+14)+INDEX(AG:AG,MATCH(AG262,$AA:$AA,0)+15)+INDEX(AG:AG,MATCH(AG262,$AA:$AA,0)+16))</f>
        <v>181</v>
      </c>
      <c r="AH268" s="375"/>
      <c r="AI268" s="374">
        <f>ABS(INDEX(AI:AI,MATCH(AI262,$AA:$AA,0)+14)+INDEX(AI:AI,MATCH(AI262,$AA:$AA,0)+15)+INDEX(AI:AI,MATCH(AI262,$AA:$AA,0)+16))</f>
        <v>162</v>
      </c>
      <c r="AJ268" s="375"/>
      <c r="AK268" s="374">
        <f>ABS(INDEX(AK:AK,MATCH(AK262,$AA:$AA,0)+14)+INDEX(AK:AK,MATCH(AK262,$AA:$AA,0)+15)+INDEX(AK:AK,MATCH(AK262,$AA:$AA,0)+16))</f>
        <v>164</v>
      </c>
      <c r="AL268" s="375"/>
      <c r="AM268" s="374">
        <f>ABS(INDEX(AM:AM,MATCH(AM262,$AA:$AA,0)+14)+INDEX(AM:AM,MATCH(AM262,$AA:$AA,0)+15)+INDEX(AM:AM,MATCH(AM262,$AA:$AA,0)+16))</f>
        <v>157</v>
      </c>
      <c r="AN268" s="375"/>
      <c r="AO268" s="374">
        <f>ABS(INDEX(AO:AO,MATCH(AO262,$AA:$AA,0)+14)+INDEX(AO:AO,MATCH(AO262,$AA:$AA,0)+15)+INDEX(AO:AO,MATCH(AO262,$AA:$AA,0)+16))</f>
        <v>0</v>
      </c>
      <c r="AP268" s="375"/>
      <c r="AQ268" s="374">
        <f>ABS(INDEX(AQ:AQ,MATCH(AQ262,$AA:$AA,0)+14)+INDEX(AQ:AQ,MATCH(AQ262,$AA:$AA,0)+15)+INDEX(AQ:AQ,MATCH(AQ262,$AA:$AA,0)+16))</f>
        <v>135</v>
      </c>
      <c r="AR268" s="375"/>
      <c r="AS268" s="374">
        <f>ABS(INDEX(AS:AS,MATCH(AS262,$AA:$AA,0)+14)+INDEX(AS:AS,MATCH(AS262,$AA:$AA,0)+15)+INDEX(AS:AS,MATCH(AS262,$AA:$AA,0)+16))</f>
        <v>193</v>
      </c>
      <c r="AT268" s="37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6.05" customHeight="1" x14ac:dyDescent="0.35">
      <c r="B269" s="354" t="str">
        <f t="shared" si="313"/>
        <v>Gesamt</v>
      </c>
      <c r="C269" s="355" t="str">
        <f t="shared" si="313"/>
        <v/>
      </c>
      <c r="D269" s="338">
        <f>IF(AC269=1505,"",AC269)</f>
        <v>720</v>
      </c>
      <c r="E269" s="338" t="str">
        <f>IF(AD269=0,"",AD269)</f>
        <v/>
      </c>
      <c r="F269" s="338">
        <f>IF(AE269=1505,"",AE269)</f>
        <v>678</v>
      </c>
      <c r="G269" s="338" t="str">
        <f>IF(AF269=0,"",AF269)</f>
        <v/>
      </c>
      <c r="H269" s="338">
        <f>IF(AG269=1505,"",AG269)</f>
        <v>702</v>
      </c>
      <c r="I269" s="338" t="str">
        <f>IF(AH269=0,"",AH269)</f>
        <v/>
      </c>
      <c r="J269" s="338">
        <f>IF(AI269=1505,"",AI269)</f>
        <v>757</v>
      </c>
      <c r="K269" s="338" t="str">
        <f>IF(AJ269=0,"",AJ269)</f>
        <v/>
      </c>
      <c r="L269" s="338">
        <f>IF(AK269=1505,"",AK269)</f>
        <v>683</v>
      </c>
      <c r="M269" s="338" t="str">
        <f>IF(AL269=0,"",AL269)</f>
        <v/>
      </c>
      <c r="N269" s="338">
        <f>IF(AM269=1505,"",AM269)</f>
        <v>669</v>
      </c>
      <c r="O269" s="338" t="str">
        <f>IF(AN269=0,"",AN269)</f>
        <v/>
      </c>
      <c r="P269" s="338">
        <f>IF(AO269=1505,"",AO269)</f>
        <v>0</v>
      </c>
      <c r="Q269" s="338" t="str">
        <f>IF(AP269=0,"",AP269)</f>
        <v/>
      </c>
      <c r="R269" s="338">
        <f>IF(AQ269=1505,"",AQ269)</f>
        <v>716</v>
      </c>
      <c r="S269" s="338" t="str">
        <f>IF(AR269=0,"",AR269)</f>
        <v/>
      </c>
      <c r="T269" s="338">
        <f>IF(AS269=1505,"",AS269)</f>
        <v>721</v>
      </c>
      <c r="U269" s="338" t="str">
        <f>IF(AT269=0,"",AT269)</f>
        <v/>
      </c>
      <c r="V269" s="290"/>
      <c r="W269" s="290"/>
      <c r="AA269" s="93" t="s">
        <v>1799</v>
      </c>
      <c r="AB269" s="94"/>
      <c r="AC269" s="354">
        <f>SUM(AC265:AC268)</f>
        <v>720</v>
      </c>
      <c r="AD269" s="355"/>
      <c r="AE269" s="354">
        <f>SUM(AE265:AE268)</f>
        <v>678</v>
      </c>
      <c r="AF269" s="355"/>
      <c r="AG269" s="354">
        <f>SUM(AG265:AG268)</f>
        <v>702</v>
      </c>
      <c r="AH269" s="355"/>
      <c r="AI269" s="354">
        <f>SUM(AI265:AI268)</f>
        <v>757</v>
      </c>
      <c r="AJ269" s="355"/>
      <c r="AK269" s="354">
        <f>SUM(AK265:AK268)</f>
        <v>683</v>
      </c>
      <c r="AL269" s="355"/>
      <c r="AM269" s="354">
        <f>SUM(AM265:AM268)</f>
        <v>669</v>
      </c>
      <c r="AN269" s="355"/>
      <c r="AO269" s="354">
        <f>SUM(AO265:AO268)</f>
        <v>0</v>
      </c>
      <c r="AP269" s="355"/>
      <c r="AQ269" s="354">
        <f>SUM(AQ265:AQ268)</f>
        <v>716</v>
      </c>
      <c r="AR269" s="355"/>
      <c r="AS269" s="354">
        <f>SUM(AS265:AS268)</f>
        <v>721</v>
      </c>
      <c r="AT269" s="35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3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7">
      <c r="B271" s="44" t="str">
        <f>AA271</f>
        <v>Team-Nr.</v>
      </c>
      <c r="C271" s="45"/>
      <c r="D271" s="44" t="str">
        <f>AC271</f>
        <v>Liga:</v>
      </c>
      <c r="E271" s="47"/>
      <c r="F271" s="359" t="str">
        <f>AE271</f>
        <v>Bayernliga Frauen</v>
      </c>
      <c r="G271" s="359"/>
      <c r="H271" s="359"/>
      <c r="I271" s="359"/>
      <c r="J271" s="359"/>
      <c r="K271" s="359"/>
      <c r="L271" s="359"/>
      <c r="M271" s="359"/>
      <c r="N271" s="359"/>
      <c r="O271" s="359"/>
      <c r="P271" s="359"/>
      <c r="Q271" s="359"/>
      <c r="R271" s="48"/>
      <c r="S271" s="49" t="s">
        <v>1794</v>
      </c>
      <c r="T271" s="50"/>
      <c r="U271" s="360" t="str">
        <f>AT271</f>
        <v>02.11./03.11.</v>
      </c>
      <c r="V271" s="361"/>
      <c r="W271" s="362"/>
      <c r="X271" s="363"/>
      <c r="Y271" s="364"/>
      <c r="Z271" s="364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0" t="str">
        <f>VLOOKUP(AS272,Spielorte!$A$1:$C$6,2)</f>
        <v>02.11./03.11.</v>
      </c>
      <c r="AU271" s="361"/>
      <c r="AV271" s="362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65">
      <c r="B272" s="53">
        <f>AA272</f>
        <v>10</v>
      </c>
      <c r="D272" s="46" t="s">
        <v>1793</v>
      </c>
      <c r="E272" s="54"/>
      <c r="F272" s="358" t="str">
        <f>AE272</f>
        <v>Regensburg Super Bowl</v>
      </c>
      <c r="G272" s="358"/>
      <c r="H272" s="358"/>
      <c r="I272" s="358"/>
      <c r="J272" s="358"/>
      <c r="K272" s="358"/>
      <c r="L272" s="358"/>
      <c r="M272" s="358"/>
      <c r="N272" s="358"/>
      <c r="O272" s="358"/>
      <c r="P272" s="55"/>
      <c r="Q272" s="55"/>
      <c r="S272" s="49" t="s">
        <v>1791</v>
      </c>
      <c r="T272" s="56">
        <f>AS272</f>
        <v>2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Regensburg Super Bowl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2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4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5" thickBot="1" x14ac:dyDescent="0.45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VLOOKUP(AA272,Schlüssel!$A$5:$DZ$14,33)</f>
        <v>8</v>
      </c>
      <c r="AE274" s="65" t="s">
        <v>10</v>
      </c>
      <c r="AF274" s="44">
        <f>VLOOKUP(AA272,Schlüssel!$A$5:$DZ$14,34)</f>
        <v>10</v>
      </c>
      <c r="AG274" s="65" t="s">
        <v>10</v>
      </c>
      <c r="AH274" s="44">
        <f>VLOOKUP(AA272,Schlüssel!$A$5:$DZ$14,35)</f>
        <v>3</v>
      </c>
      <c r="AI274" s="65" t="s">
        <v>10</v>
      </c>
      <c r="AJ274" s="44">
        <f>VLOOKUP(AA272,Schlüssel!$A$5:$DZ$14,36)</f>
        <v>11</v>
      </c>
      <c r="AK274" s="65" t="s">
        <v>10</v>
      </c>
      <c r="AL274" s="44">
        <f>VLOOKUP(AA272,Schlüssel!$A$5:$DZ$14,37)</f>
        <v>5</v>
      </c>
      <c r="AM274" s="65" t="s">
        <v>10</v>
      </c>
      <c r="AN274" s="44">
        <f>VLOOKUP(AA272,Schlüssel!$A$5:$DZ$14,38)</f>
        <v>12</v>
      </c>
      <c r="AO274" s="65" t="s">
        <v>10</v>
      </c>
      <c r="AP274" s="44">
        <f>VLOOKUP(AA272,Schlüssel!$A$5:$DZ$14,39)</f>
        <v>7</v>
      </c>
      <c r="AQ274" s="65" t="s">
        <v>10</v>
      </c>
      <c r="AR274" s="44">
        <f>VLOOKUP(AA272,Schlüssel!$A$5:$DZ$14,40)</f>
        <v>6</v>
      </c>
      <c r="AS274" s="65" t="s">
        <v>10</v>
      </c>
      <c r="AT274" s="66">
        <f>VLOOKUP(AA272,Schlüssel!$A$5:$DZ$14,41)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35">
      <c r="B275" s="67" t="s">
        <v>1</v>
      </c>
      <c r="C275" s="68"/>
      <c r="D275" s="354" t="s">
        <v>1800</v>
      </c>
      <c r="E275" s="355"/>
      <c r="F275" s="354" t="s">
        <v>1801</v>
      </c>
      <c r="G275" s="355"/>
      <c r="H275" s="354" t="s">
        <v>1802</v>
      </c>
      <c r="I275" s="355"/>
      <c r="J275" s="354" t="s">
        <v>1803</v>
      </c>
      <c r="K275" s="355"/>
      <c r="L275" s="354" t="s">
        <v>1804</v>
      </c>
      <c r="M275" s="355"/>
      <c r="N275" s="354" t="s">
        <v>1805</v>
      </c>
      <c r="O275" s="355"/>
      <c r="P275" s="354" t="s">
        <v>1806</v>
      </c>
      <c r="Q275" s="355"/>
      <c r="R275" s="354" t="s">
        <v>1807</v>
      </c>
      <c r="S275" s="355"/>
      <c r="T275" s="354" t="s">
        <v>1808</v>
      </c>
      <c r="U275" s="355"/>
      <c r="V275" s="356" t="s">
        <v>1799</v>
      </c>
      <c r="W275" s="357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4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2" customHeight="1" x14ac:dyDescent="0.35">
      <c r="A277" s="367" t="s">
        <v>0</v>
      </c>
      <c r="B277" s="73" t="str">
        <f>IF(AA277=0,"",AA277)</f>
        <v>Clemenz, Brigitte</v>
      </c>
      <c r="C277" s="74">
        <f>IF(AB277=0,"",AB277)</f>
        <v>7574</v>
      </c>
      <c r="D277" s="75">
        <f>IF(AC277=0,"",AC277)</f>
        <v>237</v>
      </c>
      <c r="E277" s="348">
        <f>IF(AD277="","",AD277)</f>
        <v>1</v>
      </c>
      <c r="F277" s="75">
        <f t="shared" ref="F277:F290" si="314">IF(AE277=0,"",AE277)</f>
        <v>238</v>
      </c>
      <c r="G277" s="348">
        <f>IF(AF277="","",AF277)</f>
        <v>1</v>
      </c>
      <c r="H277" s="75">
        <f t="shared" ref="H277:H290" si="315">IF(AG277=0,"",AG277)</f>
        <v>163</v>
      </c>
      <c r="I277" s="348">
        <f>IF(AH277="","",AH277)</f>
        <v>0</v>
      </c>
      <c r="J277" s="75">
        <f t="shared" ref="J277:J290" si="316">IF(AI277=0,"",AI277)</f>
        <v>189</v>
      </c>
      <c r="K277" s="348">
        <f>IF(AJ277="","",AJ277)</f>
        <v>1</v>
      </c>
      <c r="L277" s="75">
        <f t="shared" ref="L277:L290" si="317">IF(AK277=0,"",AK277)</f>
        <v>157</v>
      </c>
      <c r="M277" s="348">
        <f>IF(AL277="","",AL277)</f>
        <v>0.5</v>
      </c>
      <c r="N277" s="75">
        <f>IF(AM277=0,"",AM277)</f>
        <v>168</v>
      </c>
      <c r="O277" s="348">
        <f>IF(AN277="","",AN277)</f>
        <v>1</v>
      </c>
      <c r="P277" s="75">
        <f t="shared" ref="P277:P290" si="318">IF(AO277=0,"",AO277)</f>
        <v>188</v>
      </c>
      <c r="Q277" s="348">
        <f>IF(AP277="","",AP277)</f>
        <v>1</v>
      </c>
      <c r="R277" s="75">
        <f t="shared" ref="R277:R290" si="319">IF(AQ277=0,"",AQ277)</f>
        <v>158</v>
      </c>
      <c r="S277" s="348">
        <f>IF(AR277="","",AR277)</f>
        <v>0</v>
      </c>
      <c r="T277" s="75">
        <f t="shared" ref="T277:T290" si="320">IF(AS277=0,"",AS277)</f>
        <v>172</v>
      </c>
      <c r="U277" s="348">
        <f>IF(AT277="","",AT277)</f>
        <v>1</v>
      </c>
      <c r="V277" s="75">
        <f t="shared" ref="V277:V290" si="321">IF(AU277=0,"",AU277)</f>
        <v>1670</v>
      </c>
      <c r="W277" s="348">
        <f>IF(AV277="","",AV277)</f>
        <v>6.5</v>
      </c>
      <c r="Z277" s="351" t="s">
        <v>0</v>
      </c>
      <c r="AA277" s="108" t="str">
        <f>IF(AB277=0,"",VLOOKUP(AB277,Starter!$A$1:$D$199,2,FALSE))</f>
        <v>Clemenz, Brigitte</v>
      </c>
      <c r="AB277" s="99">
        <v>7574</v>
      </c>
      <c r="AC277" s="185">
        <v>237</v>
      </c>
      <c r="AD277" s="109">
        <f>IF(SUM(AC277:AC279)+AC295=0,0,IF(SUM(AC277:AC279)=AC295,0.5,IF(SUM(AC277:AC279)&gt;AC295,1,0)))</f>
        <v>1</v>
      </c>
      <c r="AE277" s="185">
        <v>238</v>
      </c>
      <c r="AF277" s="109">
        <f>IF(SUM(AE277:AE279)+AE295=0,0,IF(SUM(AE277:AE279)=AE295,0.5,IF(SUM(AE277:AE279)&gt;AE295,1,0)))</f>
        <v>1</v>
      </c>
      <c r="AG277" s="185">
        <v>163</v>
      </c>
      <c r="AH277" s="109">
        <f>IF(SUM(AG277:AG279)+AG295=0,0,IF(SUM(AG277:AG279)=AG295,0.5,IF(SUM(AG277:AG279)&gt;AG295,1,0)))</f>
        <v>0</v>
      </c>
      <c r="AI277" s="185">
        <v>189</v>
      </c>
      <c r="AJ277" s="109">
        <f>IF(SUM(AI277:AI279)+AI295=0,0,IF(SUM(AI277:AI279)=AI295,0.5,IF(SUM(AI277:AI279)&gt;AI295,1,0)))</f>
        <v>1</v>
      </c>
      <c r="AK277" s="185">
        <v>157</v>
      </c>
      <c r="AL277" s="109">
        <f>IF(SUM(AK277:AK279)+AK295=0,0,IF(SUM(AK277:AK279)=AK295,0.5,IF(SUM(AK277:AK279)&gt;AK295,1,0)))</f>
        <v>0.5</v>
      </c>
      <c r="AM277" s="185">
        <v>168</v>
      </c>
      <c r="AN277" s="109">
        <f>IF(SUM(AM277:AM279)+AM295=0,0,IF(SUM(AM277:AM279)=AM295,0.5,IF(SUM(AM277:AM279)&gt;AM295,1,0)))</f>
        <v>1</v>
      </c>
      <c r="AO277" s="185">
        <v>188</v>
      </c>
      <c r="AP277" s="109">
        <f>IF(SUM(AO277:AO279)+AO295=0,0,IF(SUM(AO277:AO279)=AO295,0.5,IF(SUM(AO277:AO279)&gt;AO295,1,0)))</f>
        <v>1</v>
      </c>
      <c r="AQ277" s="185">
        <v>158</v>
      </c>
      <c r="AR277" s="109">
        <f>IF(SUM(AQ277:AQ279)+AQ295=0,0,IF(SUM(AQ277:AQ279)=AQ295,0.5,IF(SUM(AQ277:AQ279)&gt;AQ295,1,0)))</f>
        <v>0</v>
      </c>
      <c r="AS277" s="185">
        <v>172</v>
      </c>
      <c r="AT277" s="109">
        <f>IF(SUM(AS277:AS279)+AS295=0,0,IF(SUM(AS277:AS279)=AS295,0.5,IF(SUM(AS277:AS279)&gt;AS295,1,0)))</f>
        <v>1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1670</v>
      </c>
      <c r="AV277" s="111">
        <f>SUM(AD277+AF277+AH277+AJ277+AL277+AN277+AP277+AR277+AT277)</f>
        <v>6.5</v>
      </c>
      <c r="AW277" s="101"/>
      <c r="AX277" s="102"/>
      <c r="AZ277" s="63"/>
      <c r="BA277" s="212"/>
      <c r="BB277" s="213"/>
      <c r="BC277" s="214"/>
      <c r="BD277" s="217">
        <f>+AB277</f>
        <v>7574</v>
      </c>
      <c r="BE277" s="213">
        <f>+AU277</f>
        <v>1670</v>
      </c>
      <c r="BF277" s="215">
        <f>COUNT(BH277:BP277)</f>
        <v>9</v>
      </c>
      <c r="BG277" s="215">
        <f>COUNTIF(BH277:BP277,"&gt;0")</f>
        <v>9</v>
      </c>
      <c r="BH277" s="215">
        <f t="shared" ref="BH277:BH288" si="323">IF(AC277=0,"",AC277)</f>
        <v>237</v>
      </c>
      <c r="BI277" s="215">
        <f t="shared" ref="BI277:BI288" si="324">IF(AE277=0,"",AE277)</f>
        <v>238</v>
      </c>
      <c r="BJ277" s="215">
        <f t="shared" ref="BJ277:BJ288" si="325">IF(AG277=0,"",AG277)</f>
        <v>163</v>
      </c>
      <c r="BK277" s="215">
        <f t="shared" ref="BK277:BK288" si="326">IF(AI277=0,"",AI277)</f>
        <v>189</v>
      </c>
      <c r="BL277" s="215">
        <f t="shared" ref="BL277:BL288" si="327">IF(AK277=0,"",AK277)</f>
        <v>157</v>
      </c>
      <c r="BM277" s="215">
        <f t="shared" ref="BM277:BM288" si="328">IF(AM277=0,"",AM277)</f>
        <v>168</v>
      </c>
      <c r="BN277" s="215">
        <f t="shared" ref="BN277:BN288" si="329">IF(AO277=0,"",AO277)</f>
        <v>188</v>
      </c>
      <c r="BO277" s="215">
        <f t="shared" ref="BO277:BO288" si="330">IF(AQ277=0,"",AQ277)</f>
        <v>158</v>
      </c>
      <c r="BP277" s="215">
        <f t="shared" ref="BP277:BP288" si="331">IF(AS277=0,"",AS277)</f>
        <v>172</v>
      </c>
      <c r="BQ277" s="216"/>
      <c r="BR277" s="214"/>
      <c r="BS277" s="215">
        <f>MAX(BH277:BP277)</f>
        <v>238</v>
      </c>
      <c r="BT277" s="215">
        <f>IF(BS277&lt;MAX(BS:BS),0,BS277+ROW()/1000000000)</f>
        <v>0</v>
      </c>
      <c r="BU277" s="215" t="str">
        <f>+AA273</f>
        <v>BK München 4</v>
      </c>
      <c r="BV277" s="214">
        <f>RANK(BT277,BT:BT)</f>
        <v>2</v>
      </c>
      <c r="BW277" s="215">
        <f>SUMIF(BH277:BP277,"&gt;0")</f>
        <v>1670</v>
      </c>
      <c r="BX277" s="215">
        <f>IF(COUNTIF(BH277:BP277,"&gt;0")&lt;Spielorte!$A$23,0,BE277/Spielorte!$A$23)</f>
        <v>185.55555555555554</v>
      </c>
      <c r="BY277" s="215">
        <f>IF(BX277&lt;MAX(BX:BX),0,BX277+ROW()/1000000000)</f>
        <v>0</v>
      </c>
      <c r="BZ277" s="214">
        <f t="shared" ref="BZ277:BZ288" si="332">IF(BY277=0,0,RANK(BY277,BY:BY))</f>
        <v>0</v>
      </c>
    </row>
    <row r="278" spans="1:78" ht="17.2" customHeight="1" x14ac:dyDescent="0.35">
      <c r="A278" s="368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49"/>
      <c r="F278" s="78" t="str">
        <f t="shared" si="314"/>
        <v/>
      </c>
      <c r="G278" s="349"/>
      <c r="H278" s="78" t="str">
        <f t="shared" si="315"/>
        <v/>
      </c>
      <c r="I278" s="349"/>
      <c r="J278" s="78" t="str">
        <f t="shared" si="316"/>
        <v/>
      </c>
      <c r="K278" s="349"/>
      <c r="L278" s="78" t="str">
        <f t="shared" si="317"/>
        <v/>
      </c>
      <c r="M278" s="349"/>
      <c r="N278" s="78" t="str">
        <f t="shared" ref="N278:N290" si="334">IF(AM278=0,"",AM278)</f>
        <v/>
      </c>
      <c r="O278" s="349"/>
      <c r="P278" s="78" t="str">
        <f t="shared" si="318"/>
        <v/>
      </c>
      <c r="Q278" s="349"/>
      <c r="R278" s="78" t="str">
        <f t="shared" si="319"/>
        <v/>
      </c>
      <c r="S278" s="349"/>
      <c r="T278" s="78" t="str">
        <f t="shared" si="320"/>
        <v/>
      </c>
      <c r="U278" s="349"/>
      <c r="V278" s="78" t="str">
        <f t="shared" si="321"/>
        <v/>
      </c>
      <c r="W278" s="349"/>
      <c r="Z278" s="352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0</v>
      </c>
      <c r="BU278" s="215" t="str">
        <f t="shared" ref="BU278:BU288" si="341">+BU277</f>
        <v>BK München 4</v>
      </c>
      <c r="BV278" s="214">
        <f t="shared" ref="BV278:BV288" si="342">RANK(BT278,BT:BT)</f>
        <v>2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0</v>
      </c>
      <c r="BZ278" s="214">
        <f t="shared" si="332"/>
        <v>0</v>
      </c>
    </row>
    <row r="279" spans="1:78" ht="17.2" customHeight="1" thickBot="1" x14ac:dyDescent="0.4">
      <c r="A279" s="369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50"/>
      <c r="F279" s="69" t="str">
        <f t="shared" si="314"/>
        <v/>
      </c>
      <c r="G279" s="350"/>
      <c r="H279" s="69" t="str">
        <f t="shared" si="315"/>
        <v/>
      </c>
      <c r="I279" s="350"/>
      <c r="J279" s="69" t="str">
        <f t="shared" si="316"/>
        <v/>
      </c>
      <c r="K279" s="350"/>
      <c r="L279" s="69" t="str">
        <f t="shared" si="317"/>
        <v/>
      </c>
      <c r="M279" s="350"/>
      <c r="N279" s="69" t="str">
        <f t="shared" si="334"/>
        <v/>
      </c>
      <c r="O279" s="350"/>
      <c r="P279" s="69" t="str">
        <f t="shared" si="318"/>
        <v/>
      </c>
      <c r="Q279" s="350"/>
      <c r="R279" s="69" t="str">
        <f t="shared" si="319"/>
        <v/>
      </c>
      <c r="S279" s="350"/>
      <c r="T279" s="69" t="str">
        <f t="shared" si="320"/>
        <v/>
      </c>
      <c r="U279" s="350"/>
      <c r="V279" s="69" t="str">
        <f t="shared" si="321"/>
        <v/>
      </c>
      <c r="W279" s="350"/>
      <c r="Z279" s="353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0</v>
      </c>
      <c r="BU279" s="215" t="str">
        <f t="shared" si="341"/>
        <v>BK München 4</v>
      </c>
      <c r="BV279" s="214">
        <f t="shared" si="342"/>
        <v>2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0</v>
      </c>
      <c r="BZ279" s="214">
        <f t="shared" si="332"/>
        <v>0</v>
      </c>
    </row>
    <row r="280" spans="1:78" ht="17.2" customHeight="1" x14ac:dyDescent="0.35">
      <c r="A280" s="367" t="s">
        <v>2</v>
      </c>
      <c r="B280" s="73" t="str">
        <f t="shared" si="333"/>
        <v>Hinterwimmer, Sabine</v>
      </c>
      <c r="C280" s="74">
        <f t="shared" si="333"/>
        <v>7578</v>
      </c>
      <c r="D280" s="75">
        <f t="shared" si="333"/>
        <v>208</v>
      </c>
      <c r="E280" s="348">
        <f>IF(AD280="","",AD280)</f>
        <v>1</v>
      </c>
      <c r="F280" s="75">
        <f t="shared" si="314"/>
        <v>191</v>
      </c>
      <c r="G280" s="348">
        <f>IF(AF280="","",AF280)</f>
        <v>1</v>
      </c>
      <c r="H280" s="75">
        <f t="shared" si="315"/>
        <v>223</v>
      </c>
      <c r="I280" s="348">
        <f>IF(AH280="","",AH280)</f>
        <v>1</v>
      </c>
      <c r="J280" s="75">
        <f t="shared" si="316"/>
        <v>246</v>
      </c>
      <c r="K280" s="348">
        <f>IF(AJ280="","",AJ280)</f>
        <v>1</v>
      </c>
      <c r="L280" s="75">
        <f t="shared" si="317"/>
        <v>225</v>
      </c>
      <c r="M280" s="348">
        <f>IF(AL280="","",AL280)</f>
        <v>1</v>
      </c>
      <c r="N280" s="75">
        <f t="shared" si="334"/>
        <v>148</v>
      </c>
      <c r="O280" s="348">
        <f>IF(AN280="","",AN280)</f>
        <v>1</v>
      </c>
      <c r="P280" s="75">
        <f t="shared" si="318"/>
        <v>185</v>
      </c>
      <c r="Q280" s="348">
        <f>IF(AP280="","",AP280)</f>
        <v>1</v>
      </c>
      <c r="R280" s="75">
        <f t="shared" si="319"/>
        <v>185</v>
      </c>
      <c r="S280" s="348">
        <f>IF(AR280="","",AR280)</f>
        <v>1</v>
      </c>
      <c r="T280" s="75">
        <f t="shared" si="320"/>
        <v>204</v>
      </c>
      <c r="U280" s="348">
        <f>IF(AT280="","",AT280)</f>
        <v>1</v>
      </c>
      <c r="V280" s="75">
        <f t="shared" si="321"/>
        <v>1815</v>
      </c>
      <c r="W280" s="348">
        <f>IF(AV280="","",AV280)</f>
        <v>9</v>
      </c>
      <c r="Z280" s="351" t="s">
        <v>2</v>
      </c>
      <c r="AA280" s="108" t="str">
        <f>IF(AB280=0,"",VLOOKUP(AB280,Starter!$A$1:$D$199,2,FALSE))</f>
        <v>Hinterwimmer, Sabine</v>
      </c>
      <c r="AB280" s="99">
        <v>7578</v>
      </c>
      <c r="AC280" s="188">
        <v>208</v>
      </c>
      <c r="AD280" s="109">
        <f>IF(SUM(AC280:AC282)+AC296=0,0,IF(SUM(AC280:AC282)=AC296,0.5,IF(SUM(AC280:AC282)&gt;AC296,1,0)))</f>
        <v>1</v>
      </c>
      <c r="AE280" s="188">
        <v>191</v>
      </c>
      <c r="AF280" s="109">
        <f>IF(SUM(AE280:AE282)+AE296=0,0,IF(SUM(AE280:AE282)=AE296,0.5,IF(SUM(AE280:AE282)&gt;AE296,1,0)))</f>
        <v>1</v>
      </c>
      <c r="AG280" s="188">
        <v>223</v>
      </c>
      <c r="AH280" s="109">
        <f>IF(SUM(AG280:AG282)+AG296=0,0,IF(SUM(AG280:AG282)=AG296,0.5,IF(SUM(AG280:AG282)&gt;AG296,1,0)))</f>
        <v>1</v>
      </c>
      <c r="AI280" s="188">
        <v>246</v>
      </c>
      <c r="AJ280" s="109">
        <f>IF(SUM(AI280:AI282)+AI296=0,0,IF(SUM(AI280:AI282)=AI296,0.5,IF(SUM(AI280:AI282)&gt;AI296,1,0)))</f>
        <v>1</v>
      </c>
      <c r="AK280" s="188">
        <v>225</v>
      </c>
      <c r="AL280" s="109">
        <f>IF(SUM(AK280:AK282)+AK296=0,0,IF(SUM(AK280:AK282)=AK296,0.5,IF(SUM(AK280:AK282)&gt;AK296,1,0)))</f>
        <v>1</v>
      </c>
      <c r="AM280" s="188">
        <v>148</v>
      </c>
      <c r="AN280" s="109">
        <f>IF(SUM(AM280:AM282)+AM296=0,0,IF(SUM(AM280:AM282)=AM296,0.5,IF(SUM(AM280:AM282)&gt;AM296,1,0)))</f>
        <v>1</v>
      </c>
      <c r="AO280" s="188">
        <v>185</v>
      </c>
      <c r="AP280" s="109">
        <f>IF(SUM(AO280:AO282)+AO296=0,0,IF(SUM(AO280:AO282)=AO296,0.5,IF(SUM(AO280:AO282)&gt;AO296,1,0)))</f>
        <v>1</v>
      </c>
      <c r="AQ280" s="188">
        <v>185</v>
      </c>
      <c r="AR280" s="109">
        <f>IF(SUM(AQ280:AQ282)+AQ296=0,0,IF(SUM(AQ280:AQ282)=AQ296,0.5,IF(SUM(AQ280:AQ282)&gt;AQ296,1,0)))</f>
        <v>1</v>
      </c>
      <c r="AS280" s="188">
        <v>204</v>
      </c>
      <c r="AT280" s="109">
        <f>IF(SUM(AS280:AS282)+AS296=0,0,IF(SUM(AS280:AS282)=AS296,0.5,IF(SUM(AS280:AS282)&gt;AS296,1,0)))</f>
        <v>1</v>
      </c>
      <c r="AU280" s="110">
        <f t="shared" si="322"/>
        <v>1815</v>
      </c>
      <c r="AV280" s="111">
        <f>SUM(AD280+AF280+AH280+AJ280+AL280+AN280+AP280+AR280+AT280)</f>
        <v>9</v>
      </c>
      <c r="AW280" s="101"/>
      <c r="AX280" s="102"/>
      <c r="AZ280" s="63"/>
      <c r="BA280" s="212"/>
      <c r="BB280" s="213"/>
      <c r="BC280" s="214"/>
      <c r="BD280" s="217">
        <f t="shared" si="335"/>
        <v>7578</v>
      </c>
      <c r="BE280" s="213">
        <f t="shared" si="336"/>
        <v>1815</v>
      </c>
      <c r="BF280" s="215">
        <f t="shared" si="337"/>
        <v>9</v>
      </c>
      <c r="BG280" s="215">
        <f t="shared" si="338"/>
        <v>9</v>
      </c>
      <c r="BH280" s="215">
        <f t="shared" si="323"/>
        <v>208</v>
      </c>
      <c r="BI280" s="215">
        <f t="shared" si="324"/>
        <v>191</v>
      </c>
      <c r="BJ280" s="215">
        <f t="shared" si="325"/>
        <v>223</v>
      </c>
      <c r="BK280" s="215">
        <f t="shared" si="326"/>
        <v>246</v>
      </c>
      <c r="BL280" s="215">
        <f t="shared" si="327"/>
        <v>225</v>
      </c>
      <c r="BM280" s="215">
        <f t="shared" si="328"/>
        <v>148</v>
      </c>
      <c r="BN280" s="215">
        <f t="shared" si="329"/>
        <v>185</v>
      </c>
      <c r="BO280" s="215">
        <f t="shared" si="330"/>
        <v>185</v>
      </c>
      <c r="BP280" s="215">
        <f t="shared" si="331"/>
        <v>204</v>
      </c>
      <c r="BQ280" s="216"/>
      <c r="BR280" s="214"/>
      <c r="BS280" s="215">
        <f t="shared" si="339"/>
        <v>246</v>
      </c>
      <c r="BT280" s="215">
        <f t="shared" si="340"/>
        <v>0</v>
      </c>
      <c r="BU280" s="215" t="str">
        <f t="shared" si="341"/>
        <v>BK München 4</v>
      </c>
      <c r="BV280" s="214">
        <f t="shared" si="342"/>
        <v>2</v>
      </c>
      <c r="BW280" s="215">
        <f t="shared" si="343"/>
        <v>1815</v>
      </c>
      <c r="BX280" s="215">
        <f>IF(COUNTIF(BH280:BP280,"&gt;0")&lt;Spielorte!$A$23,0,BE280/Spielorte!$A$23)</f>
        <v>201.66666666666666</v>
      </c>
      <c r="BY280" s="215">
        <f t="shared" si="344"/>
        <v>201.66666694666665</v>
      </c>
      <c r="BZ280" s="214">
        <f t="shared" si="332"/>
        <v>1</v>
      </c>
    </row>
    <row r="281" spans="1:78" ht="17.2" customHeight="1" x14ac:dyDescent="0.35">
      <c r="A281" s="368"/>
      <c r="B281" s="76" t="str">
        <f t="shared" si="333"/>
        <v/>
      </c>
      <c r="C281" s="77" t="str">
        <f t="shared" si="333"/>
        <v/>
      </c>
      <c r="D281" s="78" t="str">
        <f t="shared" si="333"/>
        <v/>
      </c>
      <c r="E281" s="349"/>
      <c r="F281" s="78" t="str">
        <f t="shared" si="314"/>
        <v/>
      </c>
      <c r="G281" s="349"/>
      <c r="H281" s="78" t="str">
        <f t="shared" si="315"/>
        <v/>
      </c>
      <c r="I281" s="349"/>
      <c r="J281" s="78" t="str">
        <f t="shared" si="316"/>
        <v/>
      </c>
      <c r="K281" s="349"/>
      <c r="L281" s="78" t="str">
        <f t="shared" si="317"/>
        <v/>
      </c>
      <c r="M281" s="349"/>
      <c r="N281" s="78" t="str">
        <f t="shared" si="334"/>
        <v/>
      </c>
      <c r="O281" s="349"/>
      <c r="P281" s="78" t="str">
        <f t="shared" si="318"/>
        <v/>
      </c>
      <c r="Q281" s="349"/>
      <c r="R281" s="78" t="str">
        <f t="shared" si="319"/>
        <v/>
      </c>
      <c r="S281" s="349"/>
      <c r="T281" s="78" t="str">
        <f t="shared" si="320"/>
        <v/>
      </c>
      <c r="U281" s="349"/>
      <c r="V281" s="78" t="str">
        <f t="shared" si="321"/>
        <v/>
      </c>
      <c r="W281" s="349"/>
      <c r="Z281" s="352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22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0</v>
      </c>
      <c r="BE281" s="213">
        <f t="shared" si="336"/>
        <v>0</v>
      </c>
      <c r="BF281" s="215">
        <f t="shared" si="337"/>
        <v>0</v>
      </c>
      <c r="BG281" s="215">
        <f t="shared" si="338"/>
        <v>0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 t="str">
        <f t="shared" si="328"/>
        <v/>
      </c>
      <c r="BN281" s="215" t="str">
        <f t="shared" si="329"/>
        <v/>
      </c>
      <c r="BO281" s="215" t="str">
        <f t="shared" si="330"/>
        <v/>
      </c>
      <c r="BP281" s="215" t="str">
        <f t="shared" si="331"/>
        <v/>
      </c>
      <c r="BQ281" s="216"/>
      <c r="BR281" s="214"/>
      <c r="BS281" s="215">
        <f t="shared" si="339"/>
        <v>0</v>
      </c>
      <c r="BT281" s="215">
        <f t="shared" si="340"/>
        <v>0</v>
      </c>
      <c r="BU281" s="215" t="str">
        <f t="shared" si="341"/>
        <v>BK München 4</v>
      </c>
      <c r="BV281" s="214">
        <f t="shared" si="342"/>
        <v>2</v>
      </c>
      <c r="BW281" s="215">
        <f t="shared" si="343"/>
        <v>0</v>
      </c>
      <c r="BX281" s="215">
        <f>IF(COUNTIF(BH281:BP281,"&gt;0")&lt;Spielorte!$A$23,0,BE281/Spielorte!$A$23)</f>
        <v>0</v>
      </c>
      <c r="BY281" s="215">
        <f t="shared" si="344"/>
        <v>0</v>
      </c>
      <c r="BZ281" s="214">
        <f t="shared" si="332"/>
        <v>0</v>
      </c>
    </row>
    <row r="282" spans="1:78" ht="17.2" customHeight="1" thickBot="1" x14ac:dyDescent="0.4">
      <c r="A282" s="369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50"/>
      <c r="F282" s="69" t="str">
        <f t="shared" si="314"/>
        <v/>
      </c>
      <c r="G282" s="350"/>
      <c r="H282" s="69" t="str">
        <f t="shared" si="315"/>
        <v/>
      </c>
      <c r="I282" s="350"/>
      <c r="J282" s="69" t="str">
        <f t="shared" si="316"/>
        <v/>
      </c>
      <c r="K282" s="350"/>
      <c r="L282" s="69" t="str">
        <f t="shared" si="317"/>
        <v/>
      </c>
      <c r="M282" s="350"/>
      <c r="N282" s="69" t="str">
        <f t="shared" si="334"/>
        <v/>
      </c>
      <c r="O282" s="350"/>
      <c r="P282" s="69" t="str">
        <f t="shared" si="318"/>
        <v/>
      </c>
      <c r="Q282" s="350"/>
      <c r="R282" s="69" t="str">
        <f t="shared" si="319"/>
        <v/>
      </c>
      <c r="S282" s="350"/>
      <c r="T282" s="69" t="str">
        <f t="shared" si="320"/>
        <v/>
      </c>
      <c r="U282" s="350"/>
      <c r="V282" s="69" t="str">
        <f t="shared" si="321"/>
        <v/>
      </c>
      <c r="W282" s="350"/>
      <c r="Z282" s="353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0</v>
      </c>
      <c r="BU282" s="215" t="str">
        <f t="shared" si="341"/>
        <v>BK München 4</v>
      </c>
      <c r="BV282" s="214">
        <f t="shared" si="342"/>
        <v>2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0</v>
      </c>
      <c r="BZ282" s="214">
        <f t="shared" si="332"/>
        <v>0</v>
      </c>
    </row>
    <row r="283" spans="1:78" ht="17.2" customHeight="1" x14ac:dyDescent="0.35">
      <c r="A283" s="367" t="s">
        <v>3</v>
      </c>
      <c r="B283" s="73" t="str">
        <f t="shared" si="333"/>
        <v>Müller, Angelika</v>
      </c>
      <c r="C283" s="74">
        <f t="shared" si="333"/>
        <v>12850</v>
      </c>
      <c r="D283" s="75">
        <f t="shared" si="333"/>
        <v>157</v>
      </c>
      <c r="E283" s="348">
        <f>IF(AD283="","",AD283)</f>
        <v>0</v>
      </c>
      <c r="F283" s="75">
        <f t="shared" si="314"/>
        <v>155</v>
      </c>
      <c r="G283" s="348">
        <f>IF(AF283="","",AF283)</f>
        <v>0</v>
      </c>
      <c r="H283" s="75" t="str">
        <f t="shared" si="315"/>
        <v/>
      </c>
      <c r="I283" s="348">
        <f>IF(AH283="","",AH283)</f>
        <v>0</v>
      </c>
      <c r="J283" s="75" t="str">
        <f t="shared" si="316"/>
        <v/>
      </c>
      <c r="K283" s="348">
        <f>IF(AJ283="","",AJ283)</f>
        <v>0</v>
      </c>
      <c r="L283" s="75">
        <f t="shared" si="317"/>
        <v>157</v>
      </c>
      <c r="M283" s="348">
        <f>IF(AL283="","",AL283)</f>
        <v>0</v>
      </c>
      <c r="N283" s="75">
        <f t="shared" si="334"/>
        <v>158</v>
      </c>
      <c r="O283" s="348">
        <f>IF(AN283="","",AN283)</f>
        <v>1</v>
      </c>
      <c r="P283" s="75">
        <f t="shared" si="318"/>
        <v>161</v>
      </c>
      <c r="Q283" s="348">
        <f>IF(AP283="","",AP283)</f>
        <v>1</v>
      </c>
      <c r="R283" s="75" t="str">
        <f t="shared" si="319"/>
        <v/>
      </c>
      <c r="S283" s="348">
        <f>IF(AR283="","",AR283)</f>
        <v>0</v>
      </c>
      <c r="T283" s="75" t="str">
        <f t="shared" si="320"/>
        <v/>
      </c>
      <c r="U283" s="348">
        <f>IF(AT283="","",AT283)</f>
        <v>0</v>
      </c>
      <c r="V283" s="75">
        <f t="shared" si="321"/>
        <v>788</v>
      </c>
      <c r="W283" s="348">
        <f>IF(AV283="","",AV283)</f>
        <v>2</v>
      </c>
      <c r="Z283" s="351" t="s">
        <v>3</v>
      </c>
      <c r="AA283" s="108" t="str">
        <f>IF(AB283=0,"",VLOOKUP(AB283,Starter!$A$1:$D$199,2,FALSE))</f>
        <v>Müller, Angelika</v>
      </c>
      <c r="AB283" s="99">
        <v>12850</v>
      </c>
      <c r="AC283" s="188">
        <v>157</v>
      </c>
      <c r="AD283" s="109">
        <f>IF(SUM(AC283:AC285)+AC297=0,0,IF(SUM(AC283:AC285)=AC297,0.5,IF(SUM(AC283:AC285)&gt;AC297,1,0)))</f>
        <v>0</v>
      </c>
      <c r="AE283" s="188">
        <v>155</v>
      </c>
      <c r="AF283" s="109">
        <f>IF(SUM(AE283:AE285)+AE297=0,0,IF(SUM(AE283:AE285)=AE297,0.5,IF(SUM(AE283:AE285)&gt;AE297,1,0)))</f>
        <v>0</v>
      </c>
      <c r="AG283" s="188"/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0</v>
      </c>
      <c r="AK283" s="188">
        <v>157</v>
      </c>
      <c r="AL283" s="109">
        <f>IF(SUM(AK283:AK285)+AK297=0,0,IF(SUM(AK283:AK285)=AK297,0.5,IF(SUM(AK283:AK285)&gt;AK297,1,0)))</f>
        <v>0</v>
      </c>
      <c r="AM283" s="188">
        <v>158</v>
      </c>
      <c r="AN283" s="109">
        <f>IF(SUM(AM283:AM285)+AM297=0,0,IF(SUM(AM283:AM285)=AM297,0.5,IF(SUM(AM283:AM285)&gt;AM297,1,0)))</f>
        <v>1</v>
      </c>
      <c r="AO283" s="188">
        <v>161</v>
      </c>
      <c r="AP283" s="109">
        <f>IF(SUM(AO283:AO285)+AO297=0,0,IF(SUM(AO283:AO285)=AO297,0.5,IF(SUM(AO283:AO285)&gt;AO297,1,0)))</f>
        <v>1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0</v>
      </c>
      <c r="AU283" s="110">
        <f t="shared" si="322"/>
        <v>788</v>
      </c>
      <c r="AV283" s="111">
        <f>SUM(AD283+AF283+AH283+AJ283+AL283+AN283+AP283+AR283+AT283)</f>
        <v>2</v>
      </c>
      <c r="AW283" s="101"/>
      <c r="AX283" s="102"/>
      <c r="AZ283" s="63"/>
      <c r="BA283" s="212"/>
      <c r="BB283" s="213"/>
      <c r="BC283" s="214"/>
      <c r="BD283" s="217">
        <f t="shared" si="335"/>
        <v>12850</v>
      </c>
      <c r="BE283" s="213">
        <f t="shared" si="336"/>
        <v>788</v>
      </c>
      <c r="BF283" s="215">
        <f t="shared" si="337"/>
        <v>5</v>
      </c>
      <c r="BG283" s="215">
        <f t="shared" si="338"/>
        <v>5</v>
      </c>
      <c r="BH283" s="215">
        <f t="shared" si="323"/>
        <v>157</v>
      </c>
      <c r="BI283" s="215">
        <f t="shared" si="324"/>
        <v>155</v>
      </c>
      <c r="BJ283" s="215" t="str">
        <f t="shared" si="325"/>
        <v/>
      </c>
      <c r="BK283" s="215" t="str">
        <f t="shared" si="326"/>
        <v/>
      </c>
      <c r="BL283" s="215">
        <f t="shared" si="327"/>
        <v>157</v>
      </c>
      <c r="BM283" s="215">
        <f t="shared" si="328"/>
        <v>158</v>
      </c>
      <c r="BN283" s="215">
        <f t="shared" si="329"/>
        <v>161</v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161</v>
      </c>
      <c r="BT283" s="215">
        <f t="shared" si="340"/>
        <v>0</v>
      </c>
      <c r="BU283" s="215" t="str">
        <f t="shared" si="341"/>
        <v>BK München 4</v>
      </c>
      <c r="BV283" s="214">
        <f t="shared" si="342"/>
        <v>2</v>
      </c>
      <c r="BW283" s="215">
        <f t="shared" si="343"/>
        <v>788</v>
      </c>
      <c r="BX283" s="215">
        <f>IF(COUNTIF(BH283:BP283,"&gt;0")&lt;Spielorte!$A$23,0,BE283/Spielorte!$A$23)</f>
        <v>0</v>
      </c>
      <c r="BY283" s="215">
        <f t="shared" si="344"/>
        <v>0</v>
      </c>
      <c r="BZ283" s="214">
        <f t="shared" si="332"/>
        <v>0</v>
      </c>
    </row>
    <row r="284" spans="1:78" ht="17.2" customHeight="1" x14ac:dyDescent="0.35">
      <c r="A284" s="368"/>
      <c r="B284" s="76" t="str">
        <f t="shared" si="333"/>
        <v>Laub, Angela</v>
      </c>
      <c r="C284" s="77">
        <f t="shared" si="333"/>
        <v>7576</v>
      </c>
      <c r="D284" s="78" t="str">
        <f t="shared" si="333"/>
        <v/>
      </c>
      <c r="E284" s="349"/>
      <c r="F284" s="78" t="str">
        <f t="shared" si="314"/>
        <v/>
      </c>
      <c r="G284" s="349"/>
      <c r="H284" s="78">
        <f t="shared" si="315"/>
        <v>150</v>
      </c>
      <c r="I284" s="349"/>
      <c r="J284" s="78">
        <f t="shared" si="316"/>
        <v>160</v>
      </c>
      <c r="K284" s="349"/>
      <c r="L284" s="78" t="str">
        <f t="shared" si="317"/>
        <v/>
      </c>
      <c r="M284" s="349"/>
      <c r="N284" s="78" t="str">
        <f t="shared" si="334"/>
        <v/>
      </c>
      <c r="O284" s="349"/>
      <c r="P284" s="78" t="str">
        <f t="shared" si="318"/>
        <v/>
      </c>
      <c r="Q284" s="349"/>
      <c r="R284" s="78">
        <f t="shared" si="319"/>
        <v>158</v>
      </c>
      <c r="S284" s="349"/>
      <c r="T284" s="78">
        <f t="shared" si="320"/>
        <v>160</v>
      </c>
      <c r="U284" s="349"/>
      <c r="V284" s="78">
        <f t="shared" si="321"/>
        <v>628</v>
      </c>
      <c r="W284" s="349"/>
      <c r="Z284" s="352"/>
      <c r="AA284" s="108" t="str">
        <f>IF(AB284=0,"",VLOOKUP(AB284,Starter!$A$1:$D$199,2,FALSE))</f>
        <v>Laub, Angela</v>
      </c>
      <c r="AB284" s="98">
        <v>7576</v>
      </c>
      <c r="AC284" s="186"/>
      <c r="AD284" s="112"/>
      <c r="AE284" s="186"/>
      <c r="AF284" s="112"/>
      <c r="AG284" s="186">
        <v>150</v>
      </c>
      <c r="AH284" s="112"/>
      <c r="AI284" s="186">
        <v>160</v>
      </c>
      <c r="AJ284" s="112"/>
      <c r="AK284" s="186"/>
      <c r="AL284" s="112"/>
      <c r="AM284" s="186"/>
      <c r="AN284" s="112"/>
      <c r="AO284" s="186"/>
      <c r="AP284" s="112"/>
      <c r="AQ284" s="186">
        <v>158</v>
      </c>
      <c r="AR284" s="112"/>
      <c r="AS284" s="186">
        <v>160</v>
      </c>
      <c r="AT284" s="112"/>
      <c r="AU284" s="113">
        <f t="shared" si="322"/>
        <v>628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7576</v>
      </c>
      <c r="BE284" s="213">
        <f t="shared" si="336"/>
        <v>628</v>
      </c>
      <c r="BF284" s="215">
        <f t="shared" si="337"/>
        <v>4</v>
      </c>
      <c r="BG284" s="215">
        <f t="shared" si="338"/>
        <v>4</v>
      </c>
      <c r="BH284" s="215" t="str">
        <f t="shared" si="323"/>
        <v/>
      </c>
      <c r="BI284" s="215" t="str">
        <f t="shared" si="324"/>
        <v/>
      </c>
      <c r="BJ284" s="215">
        <f t="shared" si="325"/>
        <v>150</v>
      </c>
      <c r="BK284" s="215">
        <f t="shared" si="326"/>
        <v>160</v>
      </c>
      <c r="BL284" s="215" t="str">
        <f t="shared" si="327"/>
        <v/>
      </c>
      <c r="BM284" s="215" t="str">
        <f t="shared" si="328"/>
        <v/>
      </c>
      <c r="BN284" s="215" t="str">
        <f t="shared" si="329"/>
        <v/>
      </c>
      <c r="BO284" s="215">
        <f t="shared" si="330"/>
        <v>158</v>
      </c>
      <c r="BP284" s="215">
        <f t="shared" si="331"/>
        <v>160</v>
      </c>
      <c r="BQ284" s="216"/>
      <c r="BR284" s="214"/>
      <c r="BS284" s="215">
        <f t="shared" si="339"/>
        <v>160</v>
      </c>
      <c r="BT284" s="215">
        <f t="shared" si="340"/>
        <v>0</v>
      </c>
      <c r="BU284" s="215" t="str">
        <f t="shared" si="341"/>
        <v>BK München 4</v>
      </c>
      <c r="BV284" s="214">
        <f t="shared" si="342"/>
        <v>2</v>
      </c>
      <c r="BW284" s="215">
        <f t="shared" si="343"/>
        <v>628</v>
      </c>
      <c r="BX284" s="215">
        <f>IF(COUNTIF(BH284:BP284,"&gt;0")&lt;Spielorte!$A$23,0,BE284/Spielorte!$A$23)</f>
        <v>0</v>
      </c>
      <c r="BY284" s="215">
        <f t="shared" si="344"/>
        <v>0</v>
      </c>
      <c r="BZ284" s="214">
        <f t="shared" si="332"/>
        <v>0</v>
      </c>
    </row>
    <row r="285" spans="1:78" ht="17.2" customHeight="1" thickBot="1" x14ac:dyDescent="0.4">
      <c r="A285" s="369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50"/>
      <c r="F285" s="69" t="str">
        <f t="shared" si="314"/>
        <v/>
      </c>
      <c r="G285" s="350"/>
      <c r="H285" s="69" t="str">
        <f t="shared" si="315"/>
        <v/>
      </c>
      <c r="I285" s="350"/>
      <c r="J285" s="69" t="str">
        <f t="shared" si="316"/>
        <v/>
      </c>
      <c r="K285" s="350"/>
      <c r="L285" s="69" t="str">
        <f t="shared" si="317"/>
        <v/>
      </c>
      <c r="M285" s="350"/>
      <c r="N285" s="69" t="str">
        <f t="shared" si="334"/>
        <v/>
      </c>
      <c r="O285" s="350"/>
      <c r="P285" s="69" t="str">
        <f t="shared" si="318"/>
        <v/>
      </c>
      <c r="Q285" s="350"/>
      <c r="R285" s="69" t="str">
        <f t="shared" si="319"/>
        <v/>
      </c>
      <c r="S285" s="350"/>
      <c r="T285" s="69" t="str">
        <f t="shared" si="320"/>
        <v/>
      </c>
      <c r="U285" s="350"/>
      <c r="V285" s="69" t="str">
        <f t="shared" si="321"/>
        <v/>
      </c>
      <c r="W285" s="350"/>
      <c r="Z285" s="353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0</v>
      </c>
      <c r="BU285" s="215" t="str">
        <f t="shared" si="341"/>
        <v>BK München 4</v>
      </c>
      <c r="BV285" s="214">
        <f t="shared" si="342"/>
        <v>2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0</v>
      </c>
      <c r="BZ285" s="214">
        <f t="shared" si="332"/>
        <v>0</v>
      </c>
    </row>
    <row r="286" spans="1:78" ht="17.2" customHeight="1" x14ac:dyDescent="0.35">
      <c r="A286" s="367" t="s">
        <v>11</v>
      </c>
      <c r="B286" s="73" t="str">
        <f>IF(AA286=0,"",AA286)</f>
        <v>Dozauer, Jessica</v>
      </c>
      <c r="C286" s="74">
        <f t="shared" si="333"/>
        <v>7575</v>
      </c>
      <c r="D286" s="75">
        <f t="shared" si="333"/>
        <v>186</v>
      </c>
      <c r="E286" s="348">
        <f>IF(AD286="","",AD286)</f>
        <v>0</v>
      </c>
      <c r="F286" s="75">
        <f t="shared" si="314"/>
        <v>221</v>
      </c>
      <c r="G286" s="348">
        <f>IF(AF286="","",AF286)</f>
        <v>1</v>
      </c>
      <c r="H286" s="75">
        <f t="shared" si="315"/>
        <v>195</v>
      </c>
      <c r="I286" s="348">
        <f>IF(AH286="","",AH286)</f>
        <v>1</v>
      </c>
      <c r="J286" s="75">
        <f t="shared" si="316"/>
        <v>162</v>
      </c>
      <c r="K286" s="348">
        <f>IF(AJ286="","",AJ286)</f>
        <v>0</v>
      </c>
      <c r="L286" s="75">
        <f t="shared" si="317"/>
        <v>154</v>
      </c>
      <c r="M286" s="348">
        <f>IF(AL286="","",AL286)</f>
        <v>1</v>
      </c>
      <c r="N286" s="75">
        <f t="shared" si="334"/>
        <v>200</v>
      </c>
      <c r="O286" s="348">
        <f>IF(AN286="","",AN286)</f>
        <v>1</v>
      </c>
      <c r="P286" s="75">
        <f t="shared" si="318"/>
        <v>135</v>
      </c>
      <c r="Q286" s="348">
        <f>IF(AP286="","",AP286)</f>
        <v>0</v>
      </c>
      <c r="R286" s="75">
        <f t="shared" si="319"/>
        <v>183</v>
      </c>
      <c r="S286" s="348">
        <f>IF(AR286="","",AR286)</f>
        <v>1</v>
      </c>
      <c r="T286" s="75">
        <f t="shared" si="320"/>
        <v>205</v>
      </c>
      <c r="U286" s="348">
        <f>IF(AT286="","",AT286)</f>
        <v>1</v>
      </c>
      <c r="V286" s="75">
        <f t="shared" si="321"/>
        <v>1641</v>
      </c>
      <c r="W286" s="348">
        <f>IF(AV286="","",AV286)</f>
        <v>6</v>
      </c>
      <c r="Z286" s="351" t="s">
        <v>11</v>
      </c>
      <c r="AA286" s="108" t="str">
        <f>IF(AB286=0,"",VLOOKUP(AB286,Starter!$A$1:$D$199,2,FALSE))</f>
        <v>Dozauer, Jessica</v>
      </c>
      <c r="AB286" s="99">
        <v>7575</v>
      </c>
      <c r="AC286" s="188">
        <v>186</v>
      </c>
      <c r="AD286" s="109">
        <f>IF(SUM(AC286:AC288)+AC298=0,0,IF(SUM(AC286:AC288)=AC298,0.5,IF(SUM(AC286:AC288)&gt;AC298,1,0)))</f>
        <v>0</v>
      </c>
      <c r="AE286" s="188">
        <v>221</v>
      </c>
      <c r="AF286" s="109">
        <f>IF(SUM(AE286:AE288)+AE298=0,0,IF(SUM(AE286:AE288)=AE298,0.5,IF(SUM(AE286:AE288)&gt;AE298,1,0)))</f>
        <v>1</v>
      </c>
      <c r="AG286" s="188">
        <v>195</v>
      </c>
      <c r="AH286" s="109">
        <f>IF(SUM(AG286:AG288)+AG298=0,0,IF(SUM(AG286:AG288)=AG298,0.5,IF(SUM(AG286:AG288)&gt;AG298,1,0)))</f>
        <v>1</v>
      </c>
      <c r="AI286" s="188">
        <v>162</v>
      </c>
      <c r="AJ286" s="109">
        <f>IF(SUM(AI286:AI288)+AI298=0,0,IF(SUM(AI286:AI288)=AI298,0.5,IF(SUM(AI286:AI288)&gt;AI298,1,0)))</f>
        <v>0</v>
      </c>
      <c r="AK286" s="188">
        <v>154</v>
      </c>
      <c r="AL286" s="109">
        <f>IF(SUM(AK286:AK288)+AK298=0,0,IF(SUM(AK286:AK288)=AK298,0.5,IF(SUM(AK286:AK288)&gt;AK298,1,0)))</f>
        <v>1</v>
      </c>
      <c r="AM286" s="188">
        <v>200</v>
      </c>
      <c r="AN286" s="109">
        <f>IF(SUM(AM286:AM288)+AM298=0,0,IF(SUM(AM286:AM288)=AM298,0.5,IF(SUM(AM286:AM288)&gt;AM298,1,0)))</f>
        <v>1</v>
      </c>
      <c r="AO286" s="188">
        <v>135</v>
      </c>
      <c r="AP286" s="109">
        <f>IF(SUM(AO286:AO288)+AO298=0,0,IF(SUM(AO286:AO288)=AO298,0.5,IF(SUM(AO286:AO288)&gt;AO298,1,0)))</f>
        <v>0</v>
      </c>
      <c r="AQ286" s="188">
        <v>183</v>
      </c>
      <c r="AR286" s="109">
        <f>IF(SUM(AQ286:AQ288)+AQ298=0,0,IF(SUM(AQ286:AQ288)=AQ298,0.5,IF(SUM(AQ286:AQ288)&gt;AQ298,1,0)))</f>
        <v>1</v>
      </c>
      <c r="AS286" s="188">
        <v>205</v>
      </c>
      <c r="AT286" s="109">
        <f>IF(SUM(AS286:AS288)+AS298=0,0,IF(SUM(AS286:AS288)=AS298,0.5,IF(SUM(AS286:AS288)&gt;AS298,1,0)))</f>
        <v>1</v>
      </c>
      <c r="AU286" s="110">
        <f t="shared" si="322"/>
        <v>1641</v>
      </c>
      <c r="AV286" s="111">
        <f>SUM(AD286+AF286+AH286+AJ286+AL286+AN286+AP286+AR286+AT286)</f>
        <v>6</v>
      </c>
      <c r="AW286" s="101"/>
      <c r="AX286" s="102"/>
      <c r="AZ286" s="63"/>
      <c r="BA286" s="212"/>
      <c r="BB286" s="213"/>
      <c r="BC286" s="214"/>
      <c r="BD286" s="217">
        <f t="shared" si="335"/>
        <v>7575</v>
      </c>
      <c r="BE286" s="213">
        <f t="shared" si="336"/>
        <v>1641</v>
      </c>
      <c r="BF286" s="215">
        <f t="shared" si="337"/>
        <v>9</v>
      </c>
      <c r="BG286" s="215">
        <f t="shared" si="338"/>
        <v>9</v>
      </c>
      <c r="BH286" s="215">
        <f t="shared" si="323"/>
        <v>186</v>
      </c>
      <c r="BI286" s="215">
        <f t="shared" si="324"/>
        <v>221</v>
      </c>
      <c r="BJ286" s="215">
        <f t="shared" si="325"/>
        <v>195</v>
      </c>
      <c r="BK286" s="215">
        <f t="shared" si="326"/>
        <v>162</v>
      </c>
      <c r="BL286" s="215">
        <f t="shared" si="327"/>
        <v>154</v>
      </c>
      <c r="BM286" s="215">
        <f t="shared" si="328"/>
        <v>200</v>
      </c>
      <c r="BN286" s="215">
        <f t="shared" si="329"/>
        <v>135</v>
      </c>
      <c r="BO286" s="215">
        <f t="shared" si="330"/>
        <v>183</v>
      </c>
      <c r="BP286" s="215">
        <f t="shared" si="331"/>
        <v>205</v>
      </c>
      <c r="BQ286" s="216"/>
      <c r="BR286" s="214"/>
      <c r="BS286" s="215">
        <f t="shared" si="339"/>
        <v>221</v>
      </c>
      <c r="BT286" s="215">
        <f t="shared" si="340"/>
        <v>0</v>
      </c>
      <c r="BU286" s="215" t="str">
        <f t="shared" si="341"/>
        <v>BK München 4</v>
      </c>
      <c r="BV286" s="214">
        <f t="shared" si="342"/>
        <v>2</v>
      </c>
      <c r="BW286" s="215">
        <f t="shared" si="343"/>
        <v>1641</v>
      </c>
      <c r="BX286" s="215">
        <f>IF(COUNTIF(BH286:BP286,"&gt;0")&lt;Spielorte!$A$23,0,BE286/Spielorte!$A$23)</f>
        <v>182.33333333333334</v>
      </c>
      <c r="BY286" s="215">
        <f t="shared" si="344"/>
        <v>0</v>
      </c>
      <c r="BZ286" s="214">
        <f t="shared" si="332"/>
        <v>0</v>
      </c>
    </row>
    <row r="287" spans="1:78" ht="17.2" customHeight="1" x14ac:dyDescent="0.35">
      <c r="A287" s="368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49"/>
      <c r="F287" s="78" t="str">
        <f t="shared" si="314"/>
        <v/>
      </c>
      <c r="G287" s="349"/>
      <c r="H287" s="78" t="str">
        <f t="shared" si="315"/>
        <v/>
      </c>
      <c r="I287" s="349"/>
      <c r="J287" s="78" t="str">
        <f t="shared" si="316"/>
        <v/>
      </c>
      <c r="K287" s="349"/>
      <c r="L287" s="78" t="str">
        <f t="shared" si="317"/>
        <v/>
      </c>
      <c r="M287" s="349"/>
      <c r="N287" s="78" t="str">
        <f t="shared" si="334"/>
        <v/>
      </c>
      <c r="O287" s="349"/>
      <c r="P287" s="78" t="str">
        <f t="shared" si="318"/>
        <v/>
      </c>
      <c r="Q287" s="349"/>
      <c r="R287" s="78" t="str">
        <f t="shared" si="319"/>
        <v/>
      </c>
      <c r="S287" s="349"/>
      <c r="T287" s="78" t="str">
        <f t="shared" si="320"/>
        <v/>
      </c>
      <c r="U287" s="349"/>
      <c r="V287" s="78" t="str">
        <f t="shared" si="321"/>
        <v/>
      </c>
      <c r="W287" s="349"/>
      <c r="Z287" s="352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0</v>
      </c>
      <c r="BU287" s="215" t="str">
        <f t="shared" si="341"/>
        <v>BK München 4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0</v>
      </c>
      <c r="BZ287" s="214">
        <f t="shared" si="332"/>
        <v>0</v>
      </c>
    </row>
    <row r="288" spans="1:78" ht="17.2" customHeight="1" thickBot="1" x14ac:dyDescent="0.4">
      <c r="A288" s="369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50"/>
      <c r="F288" s="69" t="str">
        <f t="shared" si="314"/>
        <v/>
      </c>
      <c r="G288" s="350"/>
      <c r="H288" s="69" t="str">
        <f t="shared" si="315"/>
        <v/>
      </c>
      <c r="I288" s="350"/>
      <c r="J288" s="69" t="str">
        <f t="shared" si="316"/>
        <v/>
      </c>
      <c r="K288" s="350"/>
      <c r="L288" s="69" t="str">
        <f t="shared" si="317"/>
        <v/>
      </c>
      <c r="M288" s="350"/>
      <c r="N288" s="69" t="str">
        <f t="shared" si="334"/>
        <v/>
      </c>
      <c r="O288" s="350"/>
      <c r="P288" s="69" t="str">
        <f t="shared" si="318"/>
        <v/>
      </c>
      <c r="Q288" s="350"/>
      <c r="R288" s="69" t="str">
        <f t="shared" si="319"/>
        <v/>
      </c>
      <c r="S288" s="350"/>
      <c r="T288" s="69" t="str">
        <f t="shared" si="320"/>
        <v/>
      </c>
      <c r="U288" s="350"/>
      <c r="V288" s="69" t="str">
        <f t="shared" si="321"/>
        <v/>
      </c>
      <c r="W288" s="350"/>
      <c r="Z288" s="353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0</v>
      </c>
      <c r="BU288" s="215" t="str">
        <f t="shared" si="341"/>
        <v>BK München 4</v>
      </c>
      <c r="BV288" s="214">
        <f t="shared" si="342"/>
        <v>2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0</v>
      </c>
      <c r="BZ288" s="214">
        <f t="shared" si="332"/>
        <v>0</v>
      </c>
    </row>
    <row r="289" spans="2:78" ht="27.75" customHeight="1" thickBot="1" x14ac:dyDescent="0.4">
      <c r="B289" s="81" t="str">
        <f>IF(AA289=0,"",AA289)</f>
        <v>Gesamt</v>
      </c>
      <c r="C289" s="82" t="str">
        <f t="shared" si="333"/>
        <v/>
      </c>
      <c r="D289" s="83">
        <f t="shared" si="333"/>
        <v>788</v>
      </c>
      <c r="E289" s="84">
        <f>IF(AD289="","",AD289)</f>
        <v>2</v>
      </c>
      <c r="F289" s="83">
        <f t="shared" si="314"/>
        <v>805</v>
      </c>
      <c r="G289" s="84">
        <f>IF(AF289="","",AF289)</f>
        <v>2</v>
      </c>
      <c r="H289" s="83">
        <f t="shared" si="315"/>
        <v>731</v>
      </c>
      <c r="I289" s="84">
        <f>IF(AH289="","",AH289)</f>
        <v>2</v>
      </c>
      <c r="J289" s="83">
        <f t="shared" si="316"/>
        <v>757</v>
      </c>
      <c r="K289" s="84">
        <f>IF(AJ289="","",AJ289)</f>
        <v>2</v>
      </c>
      <c r="L289" s="83">
        <f t="shared" si="317"/>
        <v>693</v>
      </c>
      <c r="M289" s="84">
        <f>IF(AL289="","",AL289)</f>
        <v>2</v>
      </c>
      <c r="N289" s="83">
        <f t="shared" si="334"/>
        <v>674</v>
      </c>
      <c r="O289" s="84">
        <f>IF(AN289="","",AN289)</f>
        <v>2</v>
      </c>
      <c r="P289" s="83">
        <f t="shared" si="318"/>
        <v>669</v>
      </c>
      <c r="Q289" s="84">
        <f>IF(AP289="","",AP289)</f>
        <v>2</v>
      </c>
      <c r="R289" s="83">
        <f t="shared" si="319"/>
        <v>684</v>
      </c>
      <c r="S289" s="84">
        <f>IF(AR289="","",AR289)</f>
        <v>2</v>
      </c>
      <c r="T289" s="83">
        <f t="shared" si="320"/>
        <v>741</v>
      </c>
      <c r="U289" s="84">
        <f>IF(AT289="","",AT289)</f>
        <v>2</v>
      </c>
      <c r="V289" s="83">
        <f t="shared" si="321"/>
        <v>6542</v>
      </c>
      <c r="W289" s="84">
        <f>IF(AV289="","",AV289)</f>
        <v>18</v>
      </c>
      <c r="AA289" s="81" t="s">
        <v>1799</v>
      </c>
      <c r="AB289" s="120"/>
      <c r="AC289" s="211">
        <f>ABS(SUM(AC277:AC279))+ABS(SUM(AC280:AC282))+ABS(SUM(AC283:AC285))+ABS(SUM(AC286:AC288))</f>
        <v>788</v>
      </c>
      <c r="AD289" s="121">
        <f>IF(AC289+AC299=0,0,IF(AC289=AC299,1,IF(AC289&gt;AC299,2,0)))</f>
        <v>2</v>
      </c>
      <c r="AE289" s="211">
        <f>ABS(SUM(AE277:AE279))+ABS(SUM(AE280:AE282))+ABS(SUM(AE283:AE285))+ABS(SUM(AE286:AE288))</f>
        <v>805</v>
      </c>
      <c r="AF289" s="121">
        <f>IF(AE289+AE299=0,0,IF(AE289=AE299,1,IF(AE289&gt;AE299,2,0)))</f>
        <v>2</v>
      </c>
      <c r="AG289" s="211">
        <f>ABS(SUM(AG277:AG279))+ABS(SUM(AG280:AG282))+ABS(SUM(AG283:AG285))+ABS(SUM(AG286:AG288))</f>
        <v>731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757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693</v>
      </c>
      <c r="AL289" s="121">
        <f>IF(AK289+AK299=0,0,IF(AK289=AK299,1,IF(AK289&gt;AK299,2,0)))</f>
        <v>2</v>
      </c>
      <c r="AM289" s="211">
        <f>ABS(SUM(AM277:AM279))+ABS(SUM(AM280:AM282))+ABS(SUM(AM283:AM285))+ABS(SUM(AM286:AM288))</f>
        <v>674</v>
      </c>
      <c r="AN289" s="121">
        <f>IF(AM289+AM299=0,0,IF(AM289=AM299,1,IF(AM289&gt;AM299,2,0)))</f>
        <v>2</v>
      </c>
      <c r="AO289" s="211">
        <f>ABS(SUM(AO277:AO279))+ABS(SUM(AO280:AO282))+ABS(SUM(AO283:AO285))+ABS(SUM(AO286:AO288))</f>
        <v>669</v>
      </c>
      <c r="AP289" s="121">
        <f>IF(AO289+AO299=0,0,IF(AO289=AO299,1,IF(AO289&gt;AO299,2,0)))</f>
        <v>2</v>
      </c>
      <c r="AQ289" s="211">
        <f>ABS(SUM(AQ277:AQ279))+ABS(SUM(AQ280:AQ282))+ABS(SUM(AQ283:AQ285))+ABS(SUM(AQ286:AQ288))</f>
        <v>684</v>
      </c>
      <c r="AR289" s="121">
        <f>IF(AQ289+AQ299=0,0,IF(AQ289=AQ299,1,IF(AQ289&gt;AQ299,2,0)))</f>
        <v>2</v>
      </c>
      <c r="AS289" s="211">
        <f>ABS(SUM(AS277:AS279))+ABS(SUM(AS280:AS282))+ABS(SUM(AS283:AS285))+ABS(SUM(AS286:AS288))</f>
        <v>741</v>
      </c>
      <c r="AT289" s="121">
        <f>IF(AS289+AS299=0,0,IF(AS289=AS299,1,IF(AS289&gt;AS299,2,0)))</f>
        <v>2</v>
      </c>
      <c r="AU289" s="122">
        <f>SUM(AC289+AE289+AG289+AI289+AK289+AM289+AO289+AQ289+AS289)</f>
        <v>6542</v>
      </c>
      <c r="AV289" s="123">
        <f>SUM(AD289+AF289+AH289+AJ289+AL289+AN289+AP289+AR289+AT289)</f>
        <v>18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4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4</v>
      </c>
      <c r="F290" s="86" t="str">
        <f t="shared" si="314"/>
        <v/>
      </c>
      <c r="G290" s="87">
        <f>IF(AF290="","",AF290)</f>
        <v>5</v>
      </c>
      <c r="H290" s="86" t="str">
        <f t="shared" si="315"/>
        <v/>
      </c>
      <c r="I290" s="87">
        <f>IF(AH290="","",AH290)</f>
        <v>4</v>
      </c>
      <c r="J290" s="86" t="str">
        <f t="shared" si="316"/>
        <v/>
      </c>
      <c r="K290" s="87">
        <f>IF(AJ290="","",AJ290)</f>
        <v>4</v>
      </c>
      <c r="L290" s="86" t="str">
        <f t="shared" si="317"/>
        <v/>
      </c>
      <c r="M290" s="87">
        <f>IF(AL290="","",AL290)</f>
        <v>4.5</v>
      </c>
      <c r="N290" s="86" t="str">
        <f t="shared" si="334"/>
        <v/>
      </c>
      <c r="O290" s="87">
        <f>IF(AN290="","",AN290)</f>
        <v>6</v>
      </c>
      <c r="P290" s="86" t="str">
        <f t="shared" si="318"/>
        <v/>
      </c>
      <c r="Q290" s="87">
        <f>IF(AP290="","",AP290)</f>
        <v>5</v>
      </c>
      <c r="R290" s="86" t="str">
        <f t="shared" si="319"/>
        <v/>
      </c>
      <c r="S290" s="87">
        <f>IF(AR290="","",AR290)</f>
        <v>4</v>
      </c>
      <c r="T290" s="86" t="str">
        <f t="shared" si="320"/>
        <v/>
      </c>
      <c r="U290" s="87">
        <f>IF(AT290="","",AT290)</f>
        <v>5</v>
      </c>
      <c r="V290" s="86" t="str">
        <f t="shared" si="321"/>
        <v/>
      </c>
      <c r="W290" s="87">
        <f>IF(AV290="","",AV290)</f>
        <v>41.5</v>
      </c>
      <c r="AA290" s="85" t="s">
        <v>1814</v>
      </c>
      <c r="AB290" s="86"/>
      <c r="AC290" s="86"/>
      <c r="AD290" s="124">
        <f>SUM(AD277:AD289)</f>
        <v>4</v>
      </c>
      <c r="AE290" s="86"/>
      <c r="AF290" s="124">
        <f>SUM(AF277:AF289)</f>
        <v>5</v>
      </c>
      <c r="AG290" s="86"/>
      <c r="AH290" s="124">
        <f>SUM(AH277:AH289)</f>
        <v>4</v>
      </c>
      <c r="AI290" s="86"/>
      <c r="AJ290" s="124">
        <f>SUM(AJ277:AJ289)</f>
        <v>4</v>
      </c>
      <c r="AK290" s="86"/>
      <c r="AL290" s="124">
        <f>SUM(AL277:AL289)</f>
        <v>4.5</v>
      </c>
      <c r="AM290" s="86"/>
      <c r="AN290" s="124">
        <f>SUM(AN277:AN289)</f>
        <v>6</v>
      </c>
      <c r="AO290" s="86"/>
      <c r="AP290" s="124">
        <f>SUM(AP277:AP289)</f>
        <v>5</v>
      </c>
      <c r="AQ290" s="86"/>
      <c r="AR290" s="124">
        <f>SUM(AR277:AR289)</f>
        <v>4</v>
      </c>
      <c r="AS290" s="86"/>
      <c r="AT290" s="124">
        <f>SUM(AT277:AT289)</f>
        <v>5</v>
      </c>
      <c r="AU290" s="86"/>
      <c r="AV290" s="125">
        <f>SUM(AV277:AV289)</f>
        <v>41.5</v>
      </c>
      <c r="AW290" s="101"/>
      <c r="AX290" s="102"/>
      <c r="BA290" s="212">
        <f>+AV290</f>
        <v>41.5</v>
      </c>
      <c r="BB290" s="213">
        <f>+AU289</f>
        <v>6542</v>
      </c>
      <c r="BC290" s="214">
        <f>+AA272</f>
        <v>10</v>
      </c>
      <c r="BF290" s="215">
        <f>SUM(BF271:BF289)</f>
        <v>36</v>
      </c>
      <c r="BQ290" s="212">
        <f>+BB290/1000000+BA290</f>
        <v>41.506542000000003</v>
      </c>
      <c r="BR290" s="214">
        <f>RANK(BQ290,BQ:BQ)</f>
        <v>1</v>
      </c>
      <c r="BV290" s="214"/>
      <c r="BZ290" s="214"/>
    </row>
    <row r="291" spans="2:78" ht="11.25" customHeight="1" x14ac:dyDescent="0.3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3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46">
        <f t="shared" si="345"/>
        <v>6</v>
      </c>
      <c r="E292" s="346" t="str">
        <f t="shared" si="345"/>
        <v/>
      </c>
      <c r="F292" s="346">
        <f t="shared" si="345"/>
        <v>5</v>
      </c>
      <c r="G292" s="346" t="str">
        <f t="shared" si="345"/>
        <v/>
      </c>
      <c r="H292" s="346">
        <f t="shared" si="345"/>
        <v>2</v>
      </c>
      <c r="I292" s="346" t="str">
        <f t="shared" si="345"/>
        <v/>
      </c>
      <c r="J292" s="346">
        <f t="shared" si="345"/>
        <v>9</v>
      </c>
      <c r="K292" s="346" t="str">
        <f t="shared" si="345"/>
        <v/>
      </c>
      <c r="L292" s="346">
        <f t="shared" si="345"/>
        <v>1</v>
      </c>
      <c r="M292" s="346" t="str">
        <f t="shared" si="345"/>
        <v/>
      </c>
      <c r="N292" s="346">
        <f t="shared" si="345"/>
        <v>4</v>
      </c>
      <c r="O292" s="346" t="str">
        <f t="shared" si="345"/>
        <v/>
      </c>
      <c r="P292" s="346">
        <f t="shared" si="345"/>
        <v>7</v>
      </c>
      <c r="Q292" s="346" t="str">
        <f t="shared" si="345"/>
        <v/>
      </c>
      <c r="R292" s="346">
        <f t="shared" ref="N292:U294" si="346">IF(AQ292=0,"",AQ292)</f>
        <v>3</v>
      </c>
      <c r="S292" s="346" t="str">
        <f t="shared" si="346"/>
        <v/>
      </c>
      <c r="T292" s="346">
        <f t="shared" si="346"/>
        <v>8</v>
      </c>
      <c r="U292" s="346" t="str">
        <f t="shared" si="346"/>
        <v/>
      </c>
      <c r="V292" s="347"/>
      <c r="W292" s="347"/>
      <c r="AA292" s="88" t="s">
        <v>1797</v>
      </c>
      <c r="AB292" s="89" t="s">
        <v>1798</v>
      </c>
      <c r="AC292" s="370">
        <f>VLOOKUP($AA272,Schlüssel!$A$5:$DG$14,23)</f>
        <v>6</v>
      </c>
      <c r="AD292" s="371"/>
      <c r="AE292" s="370">
        <f>VLOOKUP($AA272,Schlüssel!$A$5:$EK$14,24)</f>
        <v>5</v>
      </c>
      <c r="AF292" s="371"/>
      <c r="AG292" s="370">
        <f>VLOOKUP($AA272,Schlüssel!$A$5:$EK$14,25)</f>
        <v>2</v>
      </c>
      <c r="AH292" s="371"/>
      <c r="AI292" s="370">
        <f>VLOOKUP($AA272,Schlüssel!$A$5:$EK$14,26)</f>
        <v>9</v>
      </c>
      <c r="AJ292" s="371"/>
      <c r="AK292" s="370">
        <f>VLOOKUP($AA272,Schlüssel!$A$5:$EK$14,27)</f>
        <v>1</v>
      </c>
      <c r="AL292" s="371"/>
      <c r="AM292" s="370">
        <f>VLOOKUP($AA272,Schlüssel!$A$5:$EK$14,28)</f>
        <v>4</v>
      </c>
      <c r="AN292" s="371"/>
      <c r="AO292" s="370">
        <f>VLOOKUP($AA272,Schlüssel!$A$5:$EK$14,29)</f>
        <v>7</v>
      </c>
      <c r="AP292" s="371"/>
      <c r="AQ292" s="370">
        <f>VLOOKUP($AA272,Schlüssel!$A$5:$EK$14,30)</f>
        <v>3</v>
      </c>
      <c r="AR292" s="371"/>
      <c r="AS292" s="370">
        <f>VLOOKUP($AA272,Schlüssel!$A$5:$EK$14,31)</f>
        <v>8</v>
      </c>
      <c r="AT292" s="371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35">
      <c r="B293" s="90" t="str">
        <f t="shared" ref="B293:M294" si="347">IF(AA293=0,"",AA293)</f>
        <v/>
      </c>
      <c r="C293" s="86" t="str">
        <f t="shared" si="347"/>
        <v/>
      </c>
      <c r="D293" s="343" t="str">
        <f t="shared" si="347"/>
        <v>Phönix 03 Lauf</v>
      </c>
      <c r="E293" s="344" t="str">
        <f t="shared" si="347"/>
        <v/>
      </c>
      <c r="F293" s="343" t="str">
        <f t="shared" si="347"/>
        <v xml:space="preserve">Weiß Blau Unterföhring </v>
      </c>
      <c r="G293" s="344" t="str">
        <f t="shared" si="347"/>
        <v/>
      </c>
      <c r="H293" s="343" t="str">
        <f t="shared" si="347"/>
        <v>BK München 2</v>
      </c>
      <c r="I293" s="344" t="str">
        <f t="shared" si="347"/>
        <v/>
      </c>
      <c r="J293" s="343" t="str">
        <f t="shared" si="347"/>
        <v>RW Lichtenhof 69 Stein 2</v>
      </c>
      <c r="K293" s="344" t="str">
        <f t="shared" si="347"/>
        <v/>
      </c>
      <c r="L293" s="343" t="str">
        <f t="shared" si="347"/>
        <v>Praetoria Regensburg</v>
      </c>
      <c r="M293" s="344" t="str">
        <f t="shared" si="347"/>
        <v/>
      </c>
      <c r="N293" s="343" t="str">
        <f t="shared" si="346"/>
        <v>BK München 3</v>
      </c>
      <c r="O293" s="344" t="str">
        <f t="shared" si="346"/>
        <v/>
      </c>
      <c r="P293" s="343" t="str">
        <f t="shared" si="346"/>
        <v>Frankenpower Nürnberg</v>
      </c>
      <c r="Q293" s="344" t="str">
        <f t="shared" si="346"/>
        <v/>
      </c>
      <c r="R293" s="343" t="str">
        <f t="shared" si="346"/>
        <v>Highroller Rosenheim</v>
      </c>
      <c r="S293" s="344" t="str">
        <f t="shared" si="346"/>
        <v/>
      </c>
      <c r="T293" s="343" t="str">
        <f t="shared" si="346"/>
        <v>EPA München 1</v>
      </c>
      <c r="U293" s="344" t="str">
        <f t="shared" si="346"/>
        <v/>
      </c>
      <c r="V293" s="345"/>
      <c r="W293" s="345"/>
      <c r="AA293" s="90"/>
      <c r="AB293" s="86"/>
      <c r="AC293" s="343" t="str">
        <f>VLOOKUP(AC292,Schlüssel!$A$5:$K$14,2)</f>
        <v>Phönix 03 Lauf</v>
      </c>
      <c r="AD293" s="344"/>
      <c r="AE293" s="343" t="str">
        <f>VLOOKUP(AE292,Schlüssel!$A$5:$K$14,2)</f>
        <v xml:space="preserve">Weiß Blau Unterföhring </v>
      </c>
      <c r="AF293" s="344"/>
      <c r="AG293" s="343" t="str">
        <f>VLOOKUP(AG292,Schlüssel!$A$5:$K$14,2)</f>
        <v>BK München 2</v>
      </c>
      <c r="AH293" s="344"/>
      <c r="AI293" s="343" t="str">
        <f>VLOOKUP(AI292,Schlüssel!$A$5:$K$14,2)</f>
        <v>RW Lichtenhof 69 Stein 2</v>
      </c>
      <c r="AJ293" s="344"/>
      <c r="AK293" s="343" t="str">
        <f>VLOOKUP(AK292,Schlüssel!$A$5:$K$14,2)</f>
        <v>Praetoria Regensburg</v>
      </c>
      <c r="AL293" s="344"/>
      <c r="AM293" s="343" t="str">
        <f>VLOOKUP(AM292,Schlüssel!$A$5:$K$14,2)</f>
        <v>BK München 3</v>
      </c>
      <c r="AN293" s="344"/>
      <c r="AO293" s="343" t="str">
        <f>VLOOKUP(AO292,Schlüssel!$A$5:$K$14,2)</f>
        <v>Frankenpower Nürnberg</v>
      </c>
      <c r="AP293" s="344"/>
      <c r="AQ293" s="343" t="str">
        <f>VLOOKUP(AQ292,Schlüssel!$A$5:$K$14,2)</f>
        <v>Highroller Rosenheim</v>
      </c>
      <c r="AR293" s="344"/>
      <c r="AS293" s="343" t="str">
        <f>VLOOKUP(AS292,Schlüssel!$A$5:$K$14,2)</f>
        <v>EPA München 1</v>
      </c>
      <c r="AT293" s="344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35">
      <c r="B294" s="90" t="str">
        <f t="shared" si="347"/>
        <v/>
      </c>
      <c r="C294" s="86" t="str">
        <f t="shared" si="347"/>
        <v/>
      </c>
      <c r="D294" s="341" t="str">
        <f t="shared" si="347"/>
        <v/>
      </c>
      <c r="E294" s="341" t="str">
        <f t="shared" si="347"/>
        <v/>
      </c>
      <c r="F294" s="341" t="str">
        <f t="shared" si="347"/>
        <v/>
      </c>
      <c r="G294" s="341" t="str">
        <f t="shared" si="347"/>
        <v/>
      </c>
      <c r="H294" s="341" t="str">
        <f t="shared" si="347"/>
        <v/>
      </c>
      <c r="I294" s="341" t="str">
        <f t="shared" si="347"/>
        <v/>
      </c>
      <c r="J294" s="341" t="str">
        <f t="shared" si="347"/>
        <v/>
      </c>
      <c r="K294" s="341" t="str">
        <f t="shared" si="347"/>
        <v/>
      </c>
      <c r="L294" s="341" t="str">
        <f t="shared" si="347"/>
        <v/>
      </c>
      <c r="M294" s="341" t="str">
        <f t="shared" si="347"/>
        <v/>
      </c>
      <c r="N294" s="341" t="str">
        <f t="shared" si="346"/>
        <v/>
      </c>
      <c r="O294" s="341" t="str">
        <f t="shared" si="346"/>
        <v/>
      </c>
      <c r="P294" s="341" t="str">
        <f t="shared" si="346"/>
        <v/>
      </c>
      <c r="Q294" s="341" t="str">
        <f t="shared" si="346"/>
        <v/>
      </c>
      <c r="R294" s="341" t="str">
        <f t="shared" si="346"/>
        <v/>
      </c>
      <c r="S294" s="341" t="str">
        <f t="shared" si="346"/>
        <v/>
      </c>
      <c r="T294" s="341" t="str">
        <f t="shared" si="346"/>
        <v/>
      </c>
      <c r="U294" s="342" t="str">
        <f t="shared" si="346"/>
        <v/>
      </c>
      <c r="V294" s="301"/>
      <c r="W294" s="301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6.05" customHeight="1" x14ac:dyDescent="0.35">
      <c r="B295" s="365" t="str">
        <f t="shared" ref="B295:C299" si="348">IF(AA295=0,"",AA295)</f>
        <v>Spieler 1</v>
      </c>
      <c r="C295" s="366" t="str">
        <f t="shared" si="348"/>
        <v/>
      </c>
      <c r="D295" s="339">
        <f>IF(AC295=301,"",AC295)</f>
        <v>176</v>
      </c>
      <c r="E295" s="339" t="str">
        <f>IF(AD295=0,"",AD295)</f>
        <v/>
      </c>
      <c r="F295" s="339">
        <f>IF(AE295=301,"",AE295)</f>
        <v>135</v>
      </c>
      <c r="G295" s="339" t="str">
        <f>IF(AF295=0,"",AF295)</f>
        <v/>
      </c>
      <c r="H295" s="339">
        <f>IF(AG295=301,"",AG295)</f>
        <v>182</v>
      </c>
      <c r="I295" s="339" t="str">
        <f>IF(AH295=0,"",AH295)</f>
        <v/>
      </c>
      <c r="J295" s="339">
        <f>IF(AI295=301,"",AI295)</f>
        <v>123</v>
      </c>
      <c r="K295" s="339" t="str">
        <f>IF(AJ295=0,"",AJ295)</f>
        <v/>
      </c>
      <c r="L295" s="339">
        <f>IF(AK295=301,"",AK295)</f>
        <v>157</v>
      </c>
      <c r="M295" s="339" t="str">
        <f>IF(AL295=0,"",AL295)</f>
        <v/>
      </c>
      <c r="N295" s="339">
        <f>IF(AM295=301,"",AM295)</f>
        <v>0</v>
      </c>
      <c r="O295" s="339" t="str">
        <f>IF(AN295=0,"",AN295)</f>
        <v/>
      </c>
      <c r="P295" s="339">
        <f>IF(AO295=301,"",AO295)</f>
        <v>167</v>
      </c>
      <c r="Q295" s="339" t="str">
        <f>IF(AP295=0,"",AP295)</f>
        <v/>
      </c>
      <c r="R295" s="339">
        <f>IF(AQ295=301,"",AQ295)</f>
        <v>189</v>
      </c>
      <c r="S295" s="339" t="str">
        <f>IF(AR295=0,"",AR295)</f>
        <v/>
      </c>
      <c r="T295" s="339">
        <f>IF(AS295=301,"",AS295)</f>
        <v>171</v>
      </c>
      <c r="U295" s="339" t="str">
        <f>IF(AT295=0,"",AT295)</f>
        <v/>
      </c>
      <c r="V295" s="340"/>
      <c r="W295" s="340"/>
      <c r="AA295" s="91" t="s">
        <v>0</v>
      </c>
      <c r="AB295" s="92"/>
      <c r="AC295" s="372">
        <f>ABS(INDEX(AC:AC,MATCH(AC292,$AA:$AA,0)+5)+INDEX(AC:AC,MATCH(AC292,$AA:$AA,0)+6)+INDEX(AC:AC,MATCH(AC292,$AA:$AA,0)+7))</f>
        <v>176</v>
      </c>
      <c r="AD295" s="373"/>
      <c r="AE295" s="372">
        <f>ABS(INDEX(AE:AE,MATCH(AE292,$AA:$AA,0)+5)+INDEX(AE:AE,MATCH(AE292,$AA:$AA,0)+6)+INDEX(AE:AE,MATCH(AE292,$AA:$AA,0)+7))</f>
        <v>135</v>
      </c>
      <c r="AF295" s="373"/>
      <c r="AG295" s="372">
        <f>ABS(INDEX(AG:AG,MATCH(AG292,$AA:$AA,0)+5)+INDEX(AG:AG,MATCH(AG292,$AA:$AA,0)+6)+INDEX(AG:AG,MATCH(AG292,$AA:$AA,0)+7))</f>
        <v>182</v>
      </c>
      <c r="AH295" s="373"/>
      <c r="AI295" s="372">
        <f>ABS(INDEX(AI:AI,MATCH(AI292,$AA:$AA,0)+5)+INDEX(AI:AI,MATCH(AI292,$AA:$AA,0)+6)+INDEX(AI:AI,MATCH(AI292,$AA:$AA,0)+7))</f>
        <v>123</v>
      </c>
      <c r="AJ295" s="373"/>
      <c r="AK295" s="372">
        <f>ABS(INDEX(AK:AK,MATCH(AK292,$AA:$AA,0)+5)+INDEX(AK:AK,MATCH(AK292,$AA:$AA,0)+6)+INDEX(AK:AK,MATCH(AK292,$AA:$AA,0)+7))</f>
        <v>157</v>
      </c>
      <c r="AL295" s="373"/>
      <c r="AM295" s="372">
        <f>ABS(INDEX(AM:AM,MATCH(AM292,$AA:$AA,0)+5)+INDEX(AM:AM,MATCH(AM292,$AA:$AA,0)+6)+INDEX(AM:AM,MATCH(AM292,$AA:$AA,0)+7))</f>
        <v>0</v>
      </c>
      <c r="AN295" s="373"/>
      <c r="AO295" s="372">
        <f>ABS(INDEX(AO:AO,MATCH(AO292,$AA:$AA,0)+5)+INDEX(AO:AO,MATCH(AO292,$AA:$AA,0)+6)+INDEX(AO:AO,MATCH(AO292,$AA:$AA,0)+7))</f>
        <v>167</v>
      </c>
      <c r="AP295" s="373"/>
      <c r="AQ295" s="372">
        <f>ABS(INDEX(AQ:AQ,MATCH(AQ292,$AA:$AA,0)+5)+INDEX(AQ:AQ,MATCH(AQ292,$AA:$AA,0)+6)+INDEX(AQ:AQ,MATCH(AQ292,$AA:$AA,0)+7))</f>
        <v>189</v>
      </c>
      <c r="AR295" s="373"/>
      <c r="AS295" s="372">
        <f>ABS(INDEX(AS:AS,MATCH(AS292,$AA:$AA,0)+5)+INDEX(AS:AS,MATCH(AS292,$AA:$AA,0)+6)+INDEX(AS:AS,MATCH(AS292,$AA:$AA,0)+7))</f>
        <v>171</v>
      </c>
      <c r="AT295" s="373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6.05" customHeight="1" x14ac:dyDescent="0.35">
      <c r="B296" s="365" t="str">
        <f t="shared" si="348"/>
        <v>Spieler 2</v>
      </c>
      <c r="C296" s="366" t="str">
        <f t="shared" si="348"/>
        <v/>
      </c>
      <c r="D296" s="339">
        <f>IF(AC296=301,"",AC296)</f>
        <v>128</v>
      </c>
      <c r="E296" s="339" t="str">
        <f>IF(AD296=0,"",AD296)</f>
        <v/>
      </c>
      <c r="F296" s="339">
        <f>IF(AE296=301,"",AE296)</f>
        <v>172</v>
      </c>
      <c r="G296" s="339" t="str">
        <f>IF(AF296=0,"",AF296)</f>
        <v/>
      </c>
      <c r="H296" s="339">
        <f>IF(AG296=301,"",AG296)</f>
        <v>189</v>
      </c>
      <c r="I296" s="339" t="str">
        <f>IF(AH296=0,"",AH296)</f>
        <v/>
      </c>
      <c r="J296" s="339">
        <f>IF(AI296=301,"",AI296)</f>
        <v>192</v>
      </c>
      <c r="K296" s="339" t="str">
        <f>IF(AJ296=0,"",AJ296)</f>
        <v/>
      </c>
      <c r="L296" s="339">
        <f>IF(AK296=301,"",AK296)</f>
        <v>169</v>
      </c>
      <c r="M296" s="339" t="str">
        <f>IF(AL296=0,"",AL296)</f>
        <v/>
      </c>
      <c r="N296" s="339">
        <f>IF(AM296=301,"",AM296)</f>
        <v>0</v>
      </c>
      <c r="O296" s="339" t="str">
        <f>IF(AN296=0,"",AN296)</f>
        <v/>
      </c>
      <c r="P296" s="339">
        <f>IF(AO296=301,"",AO296)</f>
        <v>162</v>
      </c>
      <c r="Q296" s="339" t="str">
        <f>IF(AP296=0,"",AP296)</f>
        <v/>
      </c>
      <c r="R296" s="339">
        <f>IF(AQ296=301,"",AQ296)</f>
        <v>149</v>
      </c>
      <c r="S296" s="339" t="str">
        <f>IF(AR296=0,"",AR296)</f>
        <v/>
      </c>
      <c r="T296" s="339">
        <f>IF(AS296=301,"",AS296)</f>
        <v>180</v>
      </c>
      <c r="U296" s="339" t="str">
        <f>IF(AT296=0,"",AT296)</f>
        <v/>
      </c>
      <c r="V296" s="340"/>
      <c r="W296" s="340"/>
      <c r="AA296" s="91" t="s">
        <v>2</v>
      </c>
      <c r="AB296" s="92"/>
      <c r="AC296" s="374">
        <f>ABS(INDEX(AC:AC,MATCH(AC292,$AA:$AA,0)+8)+INDEX(AC:AC,MATCH(AC292,$AA:$AA,0)+9)+INDEX(AC:AC,MATCH(AC292,$AA:$AA,0)+10))</f>
        <v>128</v>
      </c>
      <c r="AD296" s="375"/>
      <c r="AE296" s="374">
        <f>ABS(INDEX(AE:AE,MATCH(AE292,$AA:$AA,0)+8)+INDEX(AE:AE,MATCH(AE292,$AA:$AA,0)+9)+INDEX(AE:AE,MATCH(AE292,$AA:$AA,0)+10))</f>
        <v>172</v>
      </c>
      <c r="AF296" s="375"/>
      <c r="AG296" s="374">
        <f>ABS(INDEX(AG:AG,MATCH(AG292,$AA:$AA,0)+8)+INDEX(AG:AG,MATCH(AG292,$AA:$AA,0)+9)+INDEX(AG:AG,MATCH(AG292,$AA:$AA,0)+10))</f>
        <v>189</v>
      </c>
      <c r="AH296" s="375"/>
      <c r="AI296" s="374">
        <f>ABS(INDEX(AI:AI,MATCH(AI292,$AA:$AA,0)+8)+INDEX(AI:AI,MATCH(AI292,$AA:$AA,0)+9)+INDEX(AI:AI,MATCH(AI292,$AA:$AA,0)+10))</f>
        <v>192</v>
      </c>
      <c r="AJ296" s="375"/>
      <c r="AK296" s="374">
        <f>ABS(INDEX(AK:AK,MATCH(AK292,$AA:$AA,0)+8)+INDEX(AK:AK,MATCH(AK292,$AA:$AA,0)+9)+INDEX(AK:AK,MATCH(AK292,$AA:$AA,0)+10))</f>
        <v>169</v>
      </c>
      <c r="AL296" s="375"/>
      <c r="AM296" s="374">
        <f>ABS(INDEX(AM:AM,MATCH(AM292,$AA:$AA,0)+8)+INDEX(AM:AM,MATCH(AM292,$AA:$AA,0)+9)+INDEX(AM:AM,MATCH(AM292,$AA:$AA,0)+10))</f>
        <v>0</v>
      </c>
      <c r="AN296" s="375"/>
      <c r="AO296" s="374">
        <f>ABS(INDEX(AO:AO,MATCH(AO292,$AA:$AA,0)+8)+INDEX(AO:AO,MATCH(AO292,$AA:$AA,0)+9)+INDEX(AO:AO,MATCH(AO292,$AA:$AA,0)+10))</f>
        <v>162</v>
      </c>
      <c r="AP296" s="375"/>
      <c r="AQ296" s="374">
        <f>ABS(INDEX(AQ:AQ,MATCH(AQ292,$AA:$AA,0)+8)+INDEX(AQ:AQ,MATCH(AQ292,$AA:$AA,0)+9)+INDEX(AQ:AQ,MATCH(AQ292,$AA:$AA,0)+10))</f>
        <v>149</v>
      </c>
      <c r="AR296" s="375"/>
      <c r="AS296" s="374">
        <f>ABS(INDEX(AS:AS,MATCH(AS292,$AA:$AA,0)+8)+INDEX(AS:AS,MATCH(AS292,$AA:$AA,0)+9)+INDEX(AS:AS,MATCH(AS292,$AA:$AA,0)+10))</f>
        <v>180</v>
      </c>
      <c r="AT296" s="37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6.05" customHeight="1" x14ac:dyDescent="0.35">
      <c r="B297" s="365" t="str">
        <f t="shared" si="348"/>
        <v>Spieler 3</v>
      </c>
      <c r="C297" s="366" t="str">
        <f t="shared" si="348"/>
        <v/>
      </c>
      <c r="D297" s="339">
        <f>IF(AC297=301,"",AC297)</f>
        <v>169</v>
      </c>
      <c r="E297" s="339" t="str">
        <f>IF(AD297=0,"",AD297)</f>
        <v/>
      </c>
      <c r="F297" s="339">
        <f>IF(AE297=301,"",AE297)</f>
        <v>184</v>
      </c>
      <c r="G297" s="339" t="str">
        <f>IF(AF297=0,"",AF297)</f>
        <v/>
      </c>
      <c r="H297" s="339">
        <f>IF(AG297=301,"",AG297)</f>
        <v>167</v>
      </c>
      <c r="I297" s="339" t="str">
        <f>IF(AH297=0,"",AH297)</f>
        <v/>
      </c>
      <c r="J297" s="339">
        <f>IF(AI297=301,"",AI297)</f>
        <v>170</v>
      </c>
      <c r="K297" s="339" t="str">
        <f>IF(AJ297=0,"",AJ297)</f>
        <v/>
      </c>
      <c r="L297" s="339">
        <f>IF(AK297=301,"",AK297)</f>
        <v>162</v>
      </c>
      <c r="M297" s="339" t="str">
        <f>IF(AL297=0,"",AL297)</f>
        <v/>
      </c>
      <c r="N297" s="339">
        <f>IF(AM297=301,"",AM297)</f>
        <v>0</v>
      </c>
      <c r="O297" s="339" t="str">
        <f>IF(AN297=0,"",AN297)</f>
        <v/>
      </c>
      <c r="P297" s="339">
        <f>IF(AO297=301,"",AO297)</f>
        <v>150</v>
      </c>
      <c r="Q297" s="339" t="str">
        <f>IF(AP297=0,"",AP297)</f>
        <v/>
      </c>
      <c r="R297" s="339">
        <f>IF(AQ297=301,"",AQ297)</f>
        <v>163</v>
      </c>
      <c r="S297" s="339" t="str">
        <f>IF(AR297=0,"",AR297)</f>
        <v/>
      </c>
      <c r="T297" s="339">
        <f>IF(AS297=301,"",AS297)</f>
        <v>185</v>
      </c>
      <c r="U297" s="339" t="str">
        <f>IF(AT297=0,"",AT297)</f>
        <v/>
      </c>
      <c r="V297" s="340"/>
      <c r="W297" s="340"/>
      <c r="AA297" s="91" t="s">
        <v>3</v>
      </c>
      <c r="AB297" s="92"/>
      <c r="AC297" s="374">
        <f>ABS(INDEX(AC:AC,MATCH(AC292,$AA:$AA,0)+11)+INDEX(AC:AC,MATCH(AC292,$AA:$AA,0)+12)+INDEX(AC:AC,MATCH(AC292,$AA:$AA,0)+13))</f>
        <v>169</v>
      </c>
      <c r="AD297" s="375"/>
      <c r="AE297" s="374">
        <f>ABS(INDEX(AE:AE,MATCH(AE292,$AA:$AA,0)+11)+INDEX(AE:AE,MATCH(AE292,$AA:$AA,0)+12)+INDEX(AE:AE,MATCH(AE292,$AA:$AA,0)+13))</f>
        <v>184</v>
      </c>
      <c r="AF297" s="375"/>
      <c r="AG297" s="374">
        <f>ABS(INDEX(AG:AG,MATCH(AG292,$AA:$AA,0)+11)+INDEX(AG:AG,MATCH(AG292,$AA:$AA,0)+12)+INDEX(AG:AG,MATCH(AG292,$AA:$AA,0)+13))</f>
        <v>167</v>
      </c>
      <c r="AH297" s="375"/>
      <c r="AI297" s="374">
        <f>ABS(INDEX(AI:AI,MATCH(AI292,$AA:$AA,0)+11)+INDEX(AI:AI,MATCH(AI292,$AA:$AA,0)+12)+INDEX(AI:AI,MATCH(AI292,$AA:$AA,0)+13))</f>
        <v>170</v>
      </c>
      <c r="AJ297" s="375"/>
      <c r="AK297" s="374">
        <f>ABS(INDEX(AK:AK,MATCH(AK292,$AA:$AA,0)+11)+INDEX(AK:AK,MATCH(AK292,$AA:$AA,0)+12)+INDEX(AK:AK,MATCH(AK292,$AA:$AA,0)+13))</f>
        <v>162</v>
      </c>
      <c r="AL297" s="375"/>
      <c r="AM297" s="374">
        <f>ABS(INDEX(AM:AM,MATCH(AM292,$AA:$AA,0)+11)+INDEX(AM:AM,MATCH(AM292,$AA:$AA,0)+12)+INDEX(AM:AM,MATCH(AM292,$AA:$AA,0)+13))</f>
        <v>0</v>
      </c>
      <c r="AN297" s="375"/>
      <c r="AO297" s="374">
        <f>ABS(INDEX(AO:AO,MATCH(AO292,$AA:$AA,0)+11)+INDEX(AO:AO,MATCH(AO292,$AA:$AA,0)+12)+INDEX(AO:AO,MATCH(AO292,$AA:$AA,0)+13))</f>
        <v>150</v>
      </c>
      <c r="AP297" s="375"/>
      <c r="AQ297" s="374">
        <f>ABS(INDEX(AQ:AQ,MATCH(AQ292,$AA:$AA,0)+11)+INDEX(AQ:AQ,MATCH(AQ292,$AA:$AA,0)+12)+INDEX(AQ:AQ,MATCH(AQ292,$AA:$AA,0)+13))</f>
        <v>163</v>
      </c>
      <c r="AR297" s="375"/>
      <c r="AS297" s="374">
        <f>ABS(INDEX(AS:AS,MATCH(AS292,$AA:$AA,0)+11)+INDEX(AS:AS,MATCH(AS292,$AA:$AA,0)+12)+INDEX(AS:AS,MATCH(AS292,$AA:$AA,0)+13))</f>
        <v>185</v>
      </c>
      <c r="AT297" s="37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6.05" customHeight="1" x14ac:dyDescent="0.35">
      <c r="B298" s="365" t="str">
        <f t="shared" si="348"/>
        <v>Spieler 4</v>
      </c>
      <c r="C298" s="366" t="str">
        <f t="shared" si="348"/>
        <v/>
      </c>
      <c r="D298" s="339">
        <f>IF(AC298=301,"",AC298)</f>
        <v>205</v>
      </c>
      <c r="E298" s="339" t="str">
        <f>IF(AD298=0,"",AD298)</f>
        <v/>
      </c>
      <c r="F298" s="339">
        <f>IF(AE298=301,"",AE298)</f>
        <v>155</v>
      </c>
      <c r="G298" s="339" t="str">
        <f>IF(AF298=0,"",AF298)</f>
        <v/>
      </c>
      <c r="H298" s="339">
        <f>IF(AG298=301,"",AG298)</f>
        <v>182</v>
      </c>
      <c r="I298" s="339" t="str">
        <f>IF(AH298=0,"",AH298)</f>
        <v/>
      </c>
      <c r="J298" s="339">
        <f>IF(AI298=301,"",AI298)</f>
        <v>205</v>
      </c>
      <c r="K298" s="339" t="str">
        <f>IF(AJ298=0,"",AJ298)</f>
        <v/>
      </c>
      <c r="L298" s="339">
        <f>IF(AK298=301,"",AK298)</f>
        <v>148</v>
      </c>
      <c r="M298" s="339" t="str">
        <f>IF(AL298=0,"",AL298)</f>
        <v/>
      </c>
      <c r="N298" s="339">
        <f>IF(AM298=301,"",AM298)</f>
        <v>0</v>
      </c>
      <c r="O298" s="339" t="str">
        <f>IF(AN298=0,"",AN298)</f>
        <v/>
      </c>
      <c r="P298" s="339">
        <f>IF(AO298=301,"",AO298)</f>
        <v>168</v>
      </c>
      <c r="Q298" s="339" t="str">
        <f>IF(AP298=0,"",AP298)</f>
        <v/>
      </c>
      <c r="R298" s="339">
        <f>IF(AQ298=301,"",AQ298)</f>
        <v>171</v>
      </c>
      <c r="S298" s="339" t="str">
        <f>IF(AR298=0,"",AR298)</f>
        <v/>
      </c>
      <c r="T298" s="339">
        <f>IF(AS298=301,"",AS298)</f>
        <v>160</v>
      </c>
      <c r="U298" s="339" t="str">
        <f>IF(AT298=0,"",AT298)</f>
        <v/>
      </c>
      <c r="V298" s="340"/>
      <c r="W298" s="340"/>
      <c r="AA298" s="91" t="s">
        <v>11</v>
      </c>
      <c r="AB298" s="92"/>
      <c r="AC298" s="374">
        <f>ABS(INDEX(AC:AC,MATCH(AC292,$AA:$AA,0)+14)+INDEX(AC:AC,MATCH(AC292,$AA:$AA,0)+15)+INDEX(AC:AC,MATCH(AC292,$AA:$AA,0)+16))</f>
        <v>205</v>
      </c>
      <c r="AD298" s="375"/>
      <c r="AE298" s="374">
        <f>ABS(INDEX(AE:AE,MATCH(AE292,$AA:$AA,0)+14)+INDEX(AE:AE,MATCH(AE292,$AA:$AA,0)+15)+INDEX(AE:AE,MATCH(AE292,$AA:$AA,0)+16))</f>
        <v>155</v>
      </c>
      <c r="AF298" s="375"/>
      <c r="AG298" s="374">
        <f>ABS(INDEX(AG:AG,MATCH(AG292,$AA:$AA,0)+14)+INDEX(AG:AG,MATCH(AG292,$AA:$AA,0)+15)+INDEX(AG:AG,MATCH(AG292,$AA:$AA,0)+16))</f>
        <v>182</v>
      </c>
      <c r="AH298" s="375"/>
      <c r="AI298" s="374">
        <f>ABS(INDEX(AI:AI,MATCH(AI292,$AA:$AA,0)+14)+INDEX(AI:AI,MATCH(AI292,$AA:$AA,0)+15)+INDEX(AI:AI,MATCH(AI292,$AA:$AA,0)+16))</f>
        <v>205</v>
      </c>
      <c r="AJ298" s="375"/>
      <c r="AK298" s="374">
        <f>ABS(INDEX(AK:AK,MATCH(AK292,$AA:$AA,0)+14)+INDEX(AK:AK,MATCH(AK292,$AA:$AA,0)+15)+INDEX(AK:AK,MATCH(AK292,$AA:$AA,0)+16))</f>
        <v>148</v>
      </c>
      <c r="AL298" s="375"/>
      <c r="AM298" s="374">
        <f>ABS(INDEX(AM:AM,MATCH(AM292,$AA:$AA,0)+14)+INDEX(AM:AM,MATCH(AM292,$AA:$AA,0)+15)+INDEX(AM:AM,MATCH(AM292,$AA:$AA,0)+16))</f>
        <v>0</v>
      </c>
      <c r="AN298" s="375"/>
      <c r="AO298" s="374">
        <f>ABS(INDEX(AO:AO,MATCH(AO292,$AA:$AA,0)+14)+INDEX(AO:AO,MATCH(AO292,$AA:$AA,0)+15)+INDEX(AO:AO,MATCH(AO292,$AA:$AA,0)+16))</f>
        <v>168</v>
      </c>
      <c r="AP298" s="375"/>
      <c r="AQ298" s="374">
        <f>ABS(INDEX(AQ:AQ,MATCH(AQ292,$AA:$AA,0)+14)+INDEX(AQ:AQ,MATCH(AQ292,$AA:$AA,0)+15)+INDEX(AQ:AQ,MATCH(AQ292,$AA:$AA,0)+16))</f>
        <v>171</v>
      </c>
      <c r="AR298" s="375"/>
      <c r="AS298" s="374">
        <f>ABS(INDEX(AS:AS,MATCH(AS292,$AA:$AA,0)+14)+INDEX(AS:AS,MATCH(AS292,$AA:$AA,0)+15)+INDEX(AS:AS,MATCH(AS292,$AA:$AA,0)+16))</f>
        <v>160</v>
      </c>
      <c r="AT298" s="37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6.05" customHeight="1" x14ac:dyDescent="0.35">
      <c r="B299" s="354" t="str">
        <f t="shared" si="348"/>
        <v>Gesamt</v>
      </c>
      <c r="C299" s="355" t="str">
        <f t="shared" si="348"/>
        <v/>
      </c>
      <c r="D299" s="338">
        <f>IF(AC299=1505,"",AC299)</f>
        <v>678</v>
      </c>
      <c r="E299" s="338" t="str">
        <f>IF(AD299=0,"",AD299)</f>
        <v/>
      </c>
      <c r="F299" s="338">
        <f>IF(AE299=1505,"",AE299)</f>
        <v>646</v>
      </c>
      <c r="G299" s="338" t="str">
        <f>IF(AF299=0,"",AF299)</f>
        <v/>
      </c>
      <c r="H299" s="338">
        <f>IF(AG299=1505,"",AG299)</f>
        <v>720</v>
      </c>
      <c r="I299" s="338" t="str">
        <f>IF(AH299=0,"",AH299)</f>
        <v/>
      </c>
      <c r="J299" s="338">
        <f>IF(AI299=1505,"",AI299)</f>
        <v>690</v>
      </c>
      <c r="K299" s="338" t="str">
        <f>IF(AJ299=0,"",AJ299)</f>
        <v/>
      </c>
      <c r="L299" s="338">
        <f>IF(AK299=1505,"",AK299)</f>
        <v>636</v>
      </c>
      <c r="M299" s="338" t="str">
        <f>IF(AL299=0,"",AL299)</f>
        <v/>
      </c>
      <c r="N299" s="338">
        <f>IF(AM299=1505,"",AM299)</f>
        <v>0</v>
      </c>
      <c r="O299" s="338" t="str">
        <f>IF(AN299=0,"",AN299)</f>
        <v/>
      </c>
      <c r="P299" s="338">
        <f>IF(AO299=1505,"",AO299)</f>
        <v>647</v>
      </c>
      <c r="Q299" s="338" t="str">
        <f>IF(AP299=0,"",AP299)</f>
        <v/>
      </c>
      <c r="R299" s="338">
        <f>IF(AQ299=1505,"",AQ299)</f>
        <v>672</v>
      </c>
      <c r="S299" s="338" t="str">
        <f>IF(AR299=0,"",AR299)</f>
        <v/>
      </c>
      <c r="T299" s="338">
        <f>IF(AS299=1505,"",AS299)</f>
        <v>696</v>
      </c>
      <c r="U299" s="338" t="str">
        <f>IF(AT299=0,"",AT299)</f>
        <v/>
      </c>
      <c r="V299" s="290"/>
      <c r="W299" s="290"/>
      <c r="AA299" s="93" t="s">
        <v>1799</v>
      </c>
      <c r="AB299" s="94"/>
      <c r="AC299" s="354">
        <f>SUM(AC295:AC298)</f>
        <v>678</v>
      </c>
      <c r="AD299" s="355"/>
      <c r="AE299" s="354">
        <f>SUM(AE295:AE298)</f>
        <v>646</v>
      </c>
      <c r="AF299" s="355"/>
      <c r="AG299" s="354">
        <f>SUM(AG295:AG298)</f>
        <v>720</v>
      </c>
      <c r="AH299" s="355"/>
      <c r="AI299" s="354">
        <f>SUM(AI295:AI298)</f>
        <v>690</v>
      </c>
      <c r="AJ299" s="355"/>
      <c r="AK299" s="354">
        <f>SUM(AK295:AK298)</f>
        <v>636</v>
      </c>
      <c r="AL299" s="355"/>
      <c r="AM299" s="354">
        <f>SUM(AM295:AM298)</f>
        <v>0</v>
      </c>
      <c r="AN299" s="355"/>
      <c r="AO299" s="354">
        <f>SUM(AO295:AO298)</f>
        <v>647</v>
      </c>
      <c r="AP299" s="355"/>
      <c r="AQ299" s="354">
        <f>SUM(AQ295:AQ298)</f>
        <v>672</v>
      </c>
      <c r="AR299" s="355"/>
      <c r="AS299" s="354">
        <f>SUM(AS295:AS298)</f>
        <v>696</v>
      </c>
      <c r="AT299" s="35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3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objects="1" scenarios="1" formatCells="0" formatColumns="0" formatRows="0"/>
  <mergeCells count="2110"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0B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8">
    <tabColor rgb="FFFFFF00"/>
    <pageSetUpPr fitToPage="1"/>
  </sheetPr>
  <dimension ref="A1:AF26"/>
  <sheetViews>
    <sheetView topLeftCell="A5" workbookViewId="0">
      <selection activeCell="C19" sqref="C19:T19"/>
    </sheetView>
  </sheetViews>
  <sheetFormatPr baseColWidth="10" defaultColWidth="11.33203125" defaultRowHeight="12.75" x14ac:dyDescent="0.35"/>
  <cols>
    <col min="1" max="1" width="4.06640625" customWidth="1"/>
    <col min="2" max="2" width="18.33203125" customWidth="1"/>
    <col min="3" max="3" width="6.265625" customWidth="1"/>
    <col min="4" max="4" width="4.73046875" customWidth="1"/>
    <col min="5" max="5" width="6.265625" customWidth="1"/>
    <col min="6" max="6" width="4.73046875" customWidth="1"/>
    <col min="7" max="7" width="6.265625" customWidth="1"/>
    <col min="8" max="8" width="4.73046875" customWidth="1"/>
    <col min="9" max="9" width="6.265625" customWidth="1"/>
    <col min="10" max="10" width="4.73046875" customWidth="1"/>
    <col min="11" max="11" width="6.265625" customWidth="1"/>
    <col min="12" max="12" width="4.73046875" customWidth="1"/>
    <col min="13" max="13" width="6.265625" customWidth="1"/>
    <col min="14" max="14" width="4.73046875" customWidth="1"/>
    <col min="15" max="15" width="6.265625" customWidth="1"/>
    <col min="16" max="16" width="4.73046875" customWidth="1"/>
    <col min="17" max="17" width="6.265625" customWidth="1"/>
    <col min="18" max="18" width="4.73046875" customWidth="1"/>
    <col min="19" max="19" width="6.265625" customWidth="1"/>
    <col min="20" max="20" width="4.73046875" customWidth="1"/>
    <col min="21" max="21" width="9.33203125" customWidth="1"/>
    <col min="22" max="22" width="7.796875" customWidth="1"/>
    <col min="24" max="24" width="4.33203125" customWidth="1"/>
    <col min="27" max="27" width="14.796875" style="215" hidden="1" customWidth="1"/>
    <col min="28" max="28" width="6.33203125" style="215" hidden="1" customWidth="1"/>
    <col min="29" max="29" width="5" style="215" hidden="1" customWidth="1"/>
    <col min="30" max="30" width="5.06640625" style="215" hidden="1" customWidth="1"/>
    <col min="31" max="31" width="6" style="215" hidden="1" customWidth="1"/>
    <col min="32" max="32" width="11.33203125" hidden="1" customWidth="1"/>
    <col min="33" max="52" width="11.33203125" customWidth="1"/>
  </cols>
  <sheetData>
    <row r="1" spans="1:31" ht="28.5" customHeight="1" x14ac:dyDescent="0.35">
      <c r="A1" s="382" t="str">
        <f>Schlüssel!$C$1</f>
        <v>Bayernliga Frauen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5"/>
      <c r="Y1" s="5"/>
      <c r="AA1" s="215" t="s">
        <v>2080</v>
      </c>
    </row>
    <row r="2" spans="1:31" ht="28.5" customHeight="1" x14ac:dyDescent="0.35">
      <c r="A2" s="383" t="str">
        <f>"Saison "&amp;Spielorte!C18&amp;"     -     Spieltag "&amp;Erfassung2!AS2&amp;"     -     "&amp;Erfassung2!AT1</f>
        <v>Saison 2024/2025     -     Spieltag 2     -     02.11./03.11.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5"/>
      <c r="Y2" s="5"/>
    </row>
    <row r="3" spans="1:31" ht="28.5" customHeight="1" x14ac:dyDescent="0.35">
      <c r="A3" s="383" t="str">
        <f>+Erfassung2!AE2</f>
        <v>Regensburg Super Bowl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5"/>
      <c r="Y3" s="5"/>
    </row>
    <row r="4" spans="1:31" ht="28.5" customHeight="1" thickBot="1" x14ac:dyDescent="0.6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35">
      <c r="A5" s="386" t="s">
        <v>1816</v>
      </c>
      <c r="B5" s="388" t="s">
        <v>1817</v>
      </c>
      <c r="C5" s="376" t="s">
        <v>1800</v>
      </c>
      <c r="D5" s="377"/>
      <c r="E5" s="376" t="s">
        <v>1801</v>
      </c>
      <c r="F5" s="377"/>
      <c r="G5" s="376" t="s">
        <v>1802</v>
      </c>
      <c r="H5" s="377"/>
      <c r="I5" s="376" t="s">
        <v>1803</v>
      </c>
      <c r="J5" s="377"/>
      <c r="K5" s="376" t="s">
        <v>1804</v>
      </c>
      <c r="L5" s="377"/>
      <c r="M5" s="376" t="s">
        <v>1805</v>
      </c>
      <c r="N5" s="377"/>
      <c r="O5" s="376" t="s">
        <v>1806</v>
      </c>
      <c r="P5" s="377"/>
      <c r="Q5" s="376" t="s">
        <v>1807</v>
      </c>
      <c r="R5" s="377"/>
      <c r="S5" s="378" t="s">
        <v>1808</v>
      </c>
      <c r="T5" s="377"/>
      <c r="U5" s="376" t="s">
        <v>1799</v>
      </c>
      <c r="V5" s="377"/>
      <c r="W5" s="384" t="s">
        <v>1818</v>
      </c>
    </row>
    <row r="6" spans="1:31" ht="13.15" thickBot="1" x14ac:dyDescent="0.4">
      <c r="A6" s="387"/>
      <c r="B6" s="389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5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4">
      <c r="A7" s="223">
        <v>1</v>
      </c>
      <c r="B7" s="128" t="str">
        <f>INDEX(Erfassung2!$AA:$AA,MATCH($A7,Erfassung2!$BR:$BR,0)-17)</f>
        <v>BK München 4</v>
      </c>
      <c r="C7" s="129">
        <f>INDEX(Erfassung2!AC:AC,MATCH($A7,Erfassung2!$BR:$BR,0)-1)</f>
        <v>788</v>
      </c>
      <c r="D7" s="130">
        <f>INDEX(Erfassung2!AD:AD,MATCH($A7,Erfassung2!$BR:$BR,0))</f>
        <v>4</v>
      </c>
      <c r="E7" s="129">
        <f>INDEX(Erfassung2!AE:AE,MATCH($A7,Erfassung2!$BR:$BR,0)-1)</f>
        <v>805</v>
      </c>
      <c r="F7" s="130">
        <f>INDEX(Erfassung2!AF:AF,MATCH($A7,Erfassung2!$BR:$BR,0))</f>
        <v>5</v>
      </c>
      <c r="G7" s="129">
        <f>INDEX(Erfassung2!AG:AG,MATCH($A7,Erfassung2!$BR:$BR,0)-1)</f>
        <v>731</v>
      </c>
      <c r="H7" s="130">
        <f>INDEX(Erfassung2!AH:AH,MATCH($A7,Erfassung2!$BR:$BR,0))</f>
        <v>4</v>
      </c>
      <c r="I7" s="129">
        <f>INDEX(Erfassung2!AI:AI,MATCH($A7,Erfassung2!$BR:$BR,0)-1)</f>
        <v>757</v>
      </c>
      <c r="J7" s="130">
        <f>INDEX(Erfassung2!AJ:AJ,MATCH($A7,Erfassung2!$BR:$BR,0))</f>
        <v>4</v>
      </c>
      <c r="K7" s="129">
        <f>INDEX(Erfassung2!AK:AK,MATCH($A7,Erfassung2!$BR:$BR,0)-1)</f>
        <v>693</v>
      </c>
      <c r="L7" s="130">
        <f>INDEX(Erfassung2!AL:AL,MATCH($A7,Erfassung2!$BR:$BR,0))</f>
        <v>4.5</v>
      </c>
      <c r="M7" s="129">
        <f>INDEX(Erfassung2!AM:AM,MATCH($A7,Erfassung2!$BR:$BR,0)-1)</f>
        <v>674</v>
      </c>
      <c r="N7" s="130">
        <f>INDEX(Erfassung2!AN:AN,MATCH($A7,Erfassung2!$BR:$BR,0))</f>
        <v>6</v>
      </c>
      <c r="O7" s="129">
        <f>INDEX(Erfassung2!AO:AO,MATCH($A7,Erfassung2!$BR:$BR,0)-1)</f>
        <v>669</v>
      </c>
      <c r="P7" s="130">
        <f>INDEX(Erfassung2!AP:AP,MATCH($A7,Erfassung2!$BR:$BR,0))</f>
        <v>5</v>
      </c>
      <c r="Q7" s="129">
        <f>INDEX(Erfassung2!AQ:AQ,MATCH($A7,Erfassung2!$BR:$BR,0)-1)</f>
        <v>684</v>
      </c>
      <c r="R7" s="130">
        <f>INDEX(Erfassung2!AR:AR,MATCH($A7,Erfassung2!$BR:$BR,0))</f>
        <v>4</v>
      </c>
      <c r="S7" s="129">
        <f>INDEX(Erfassung2!AS:AS,MATCH($A7,Erfassung2!$BR:$BR,0)-1)</f>
        <v>741</v>
      </c>
      <c r="T7" s="130">
        <f>INDEX(Erfassung2!AT:AT,MATCH($A7,Erfassung2!$BR:$BR,0))</f>
        <v>5</v>
      </c>
      <c r="U7" s="131">
        <f t="shared" ref="U7:V16" si="0">SUM(C7+E7+G7+I7+K7+M7+O7+Q7+S7)</f>
        <v>6542</v>
      </c>
      <c r="V7" s="132">
        <f t="shared" si="0"/>
        <v>41.5</v>
      </c>
      <c r="W7" s="224">
        <f>IFERROR(U7/INDEX(Erfassung2!BF:BF,MATCH(A7,Erfassung2!BR:BR,0)),0)</f>
        <v>181.72222222222223</v>
      </c>
      <c r="X7" s="25"/>
      <c r="AA7" s="225">
        <f>INDEX(Tabelle1!U:U,MATCH(B7,Tabelle1!B:B,0))+U7</f>
        <v>12760</v>
      </c>
      <c r="AB7" s="226">
        <f>INDEX(Tabelle1!V:V,MATCH(B7,Tabelle1!B:B,0))+V7</f>
        <v>71.5</v>
      </c>
      <c r="AC7" s="215">
        <f>+AB7+AA7/1000000000</f>
        <v>71.500012760000004</v>
      </c>
      <c r="AD7" s="215">
        <f>RANK(AC7,AC:AC)</f>
        <v>1</v>
      </c>
      <c r="AE7" s="215">
        <f>INDEX(Tabelle1!AE:AE,MATCH(B7,Tabelle1!B:B,0))+SUMIF(Erfassung2!BU:BU,B7,Erfassung2!BF:BF)</f>
        <v>72</v>
      </c>
    </row>
    <row r="8" spans="1:31" ht="42" customHeight="1" thickBot="1" x14ac:dyDescent="0.4">
      <c r="A8" s="223">
        <v>2</v>
      </c>
      <c r="B8" s="128" t="str">
        <f>INDEX(Erfassung2!$AA:$AA,MATCH($A8,Erfassung2!$BR:$BR,0)-17)</f>
        <v>Praetoria Regensburg</v>
      </c>
      <c r="C8" s="129">
        <f>INDEX(Erfassung2!AC:AC,MATCH($A8,Erfassung2!$BR:$BR,0)-1)</f>
        <v>688</v>
      </c>
      <c r="D8" s="130">
        <f>INDEX(Erfassung2!AD:AD,MATCH($A8,Erfassung2!$BR:$BR,0))</f>
        <v>6</v>
      </c>
      <c r="E8" s="129">
        <f>INDEX(Erfassung2!AE:AE,MATCH($A8,Erfassung2!$BR:$BR,0)-1)</f>
        <v>758</v>
      </c>
      <c r="F8" s="130">
        <f>INDEX(Erfassung2!AF:AF,MATCH($A8,Erfassung2!$BR:$BR,0))</f>
        <v>6</v>
      </c>
      <c r="G8" s="129">
        <f>INDEX(Erfassung2!AG:AG,MATCH($A8,Erfassung2!$BR:$BR,0)-1)</f>
        <v>753</v>
      </c>
      <c r="H8" s="130">
        <f>INDEX(Erfassung2!AH:AH,MATCH($A8,Erfassung2!$BR:$BR,0))</f>
        <v>6</v>
      </c>
      <c r="I8" s="129">
        <f>INDEX(Erfassung2!AI:AI,MATCH($A8,Erfassung2!$BR:$BR,0)-1)</f>
        <v>702</v>
      </c>
      <c r="J8" s="130">
        <f>INDEX(Erfassung2!AJ:AJ,MATCH($A8,Erfassung2!$BR:$BR,0))</f>
        <v>2</v>
      </c>
      <c r="K8" s="129">
        <f>INDEX(Erfassung2!AK:AK,MATCH($A8,Erfassung2!$BR:$BR,0)-1)</f>
        <v>636</v>
      </c>
      <c r="L8" s="130">
        <f>INDEX(Erfassung2!AL:AL,MATCH($A8,Erfassung2!$BR:$BR,0))</f>
        <v>1.5</v>
      </c>
      <c r="M8" s="129">
        <f>INDEX(Erfassung2!AM:AM,MATCH($A8,Erfassung2!$BR:$BR,0)-1)</f>
        <v>728</v>
      </c>
      <c r="N8" s="130">
        <f>INDEX(Erfassung2!AN:AN,MATCH($A8,Erfassung2!$BR:$BR,0))</f>
        <v>4.5</v>
      </c>
      <c r="O8" s="129">
        <f>INDEX(Erfassung2!AO:AO,MATCH($A8,Erfassung2!$BR:$BR,0)-1)</f>
        <v>682</v>
      </c>
      <c r="P8" s="130">
        <f>INDEX(Erfassung2!AP:AP,MATCH($A8,Erfassung2!$BR:$BR,0))</f>
        <v>2</v>
      </c>
      <c r="Q8" s="129">
        <f>INDEX(Erfassung2!AQ:AQ,MATCH($A8,Erfassung2!$BR:$BR,0)-1)</f>
        <v>716</v>
      </c>
      <c r="R8" s="130">
        <f>INDEX(Erfassung2!AR:AR,MATCH($A8,Erfassung2!$BR:$BR,0))</f>
        <v>5</v>
      </c>
      <c r="S8" s="129">
        <f>INDEX(Erfassung2!AS:AS,MATCH($A8,Erfassung2!$BR:$BR,0)-1)</f>
        <v>688</v>
      </c>
      <c r="T8" s="130">
        <f>INDEX(Erfassung2!AT:AT,MATCH($A8,Erfassung2!$BR:$BR,0))</f>
        <v>1</v>
      </c>
      <c r="U8" s="131">
        <f t="shared" si="0"/>
        <v>6351</v>
      </c>
      <c r="V8" s="132">
        <f t="shared" si="0"/>
        <v>34</v>
      </c>
      <c r="W8" s="224">
        <f>IFERROR(U8/INDEX(Erfassung2!BF:BF,MATCH(A8,Erfassung2!BR:BR,0)),0)</f>
        <v>176.41666666666666</v>
      </c>
      <c r="X8" s="25"/>
      <c r="AA8" s="225">
        <f>INDEX(Tabelle1!U:U,MATCH(B8,Tabelle1!B:B,0))+U8</f>
        <v>12758</v>
      </c>
      <c r="AB8" s="226">
        <f>INDEX(Tabelle1!V:V,MATCH(B8,Tabelle1!B:B,0))+V8</f>
        <v>63</v>
      </c>
      <c r="AC8" s="215">
        <f t="shared" ref="AC8:AC16" si="1">+AB8+AA8/1000000000</f>
        <v>63.000012757999997</v>
      </c>
      <c r="AD8" s="215">
        <f t="shared" ref="AD8:AD16" si="2">RANK(AC8,AC:AC)</f>
        <v>5</v>
      </c>
      <c r="AE8" s="215">
        <f>INDEX(Tabelle1!AE:AE,MATCH(B8,Tabelle1!B:B,0))+SUMIF(Erfassung2!BU:BU,B8,Erfassung2!BF:BF)</f>
        <v>72</v>
      </c>
    </row>
    <row r="9" spans="1:31" ht="42" customHeight="1" thickBot="1" x14ac:dyDescent="0.4">
      <c r="A9" s="223">
        <v>3</v>
      </c>
      <c r="B9" s="128" t="str">
        <f>INDEX(Erfassung2!$AA:$AA,MATCH($A9,Erfassung2!$BR:$BR,0)-17)</f>
        <v>EPA München 1</v>
      </c>
      <c r="C9" s="129">
        <f>INDEX(Erfassung2!AC:AC,MATCH($A9,Erfassung2!$BR:$BR,0)-1)</f>
        <v>612</v>
      </c>
      <c r="D9" s="130">
        <f>INDEX(Erfassung2!AD:AD,MATCH($A9,Erfassung2!$BR:$BR,0))</f>
        <v>0</v>
      </c>
      <c r="E9" s="129">
        <f>INDEX(Erfassung2!AE:AE,MATCH($A9,Erfassung2!$BR:$BR,0)-1)</f>
        <v>685</v>
      </c>
      <c r="F9" s="130">
        <f>INDEX(Erfassung2!AF:AF,MATCH($A9,Erfassung2!$BR:$BR,0))</f>
        <v>5</v>
      </c>
      <c r="G9" s="129">
        <f>INDEX(Erfassung2!AG:AG,MATCH($A9,Erfassung2!$BR:$BR,0)-1)</f>
        <v>767</v>
      </c>
      <c r="H9" s="130">
        <f>INDEX(Erfassung2!AH:AH,MATCH($A9,Erfassung2!$BR:$BR,0))</f>
        <v>5</v>
      </c>
      <c r="I9" s="129">
        <f>INDEX(Erfassung2!AI:AI,MATCH($A9,Erfassung2!$BR:$BR,0)-1)</f>
        <v>795</v>
      </c>
      <c r="J9" s="130">
        <f>INDEX(Erfassung2!AJ:AJ,MATCH($A9,Erfassung2!$BR:$BR,0))</f>
        <v>6</v>
      </c>
      <c r="K9" s="129">
        <f>INDEX(Erfassung2!AK:AK,MATCH($A9,Erfassung2!$BR:$BR,0)-1)</f>
        <v>683</v>
      </c>
      <c r="L9" s="130">
        <f>INDEX(Erfassung2!AL:AL,MATCH($A9,Erfassung2!$BR:$BR,0))</f>
        <v>1</v>
      </c>
      <c r="M9" s="129">
        <f>INDEX(Erfassung2!AM:AM,MATCH($A9,Erfassung2!$BR:$BR,0)-1)</f>
        <v>683</v>
      </c>
      <c r="N9" s="130">
        <f>INDEX(Erfassung2!AN:AN,MATCH($A9,Erfassung2!$BR:$BR,0))</f>
        <v>4</v>
      </c>
      <c r="O9" s="129">
        <f>INDEX(Erfassung2!AO:AO,MATCH($A9,Erfassung2!$BR:$BR,0)-1)</f>
        <v>809</v>
      </c>
      <c r="P9" s="130">
        <f>INDEX(Erfassung2!AP:AP,MATCH($A9,Erfassung2!$BR:$BR,0))</f>
        <v>5</v>
      </c>
      <c r="Q9" s="129">
        <f>INDEX(Erfassung2!AQ:AQ,MATCH($A9,Erfassung2!$BR:$BR,0)-1)</f>
        <v>700</v>
      </c>
      <c r="R9" s="130">
        <f>INDEX(Erfassung2!AR:AR,MATCH($A9,Erfassung2!$BR:$BR,0))</f>
        <v>5</v>
      </c>
      <c r="S9" s="129">
        <f>INDEX(Erfassung2!AS:AS,MATCH($A9,Erfassung2!$BR:$BR,0)-1)</f>
        <v>696</v>
      </c>
      <c r="T9" s="130">
        <f>INDEX(Erfassung2!AT:AT,MATCH($A9,Erfassung2!$BR:$BR,0))</f>
        <v>1</v>
      </c>
      <c r="U9" s="131">
        <f t="shared" si="0"/>
        <v>6430</v>
      </c>
      <c r="V9" s="132">
        <f t="shared" si="0"/>
        <v>32</v>
      </c>
      <c r="W9" s="224">
        <f>IFERROR(U9/INDEX(Erfassung2!BF:BF,MATCH(A9,Erfassung2!BR:BR,0)),0)</f>
        <v>178.61111111111111</v>
      </c>
      <c r="X9" s="25"/>
      <c r="AA9" s="225">
        <f>INDEX(Tabelle1!U:U,MATCH(B9,Tabelle1!B:B,0))+U9</f>
        <v>13187</v>
      </c>
      <c r="AB9" s="226">
        <f>INDEX(Tabelle1!V:V,MATCH(B9,Tabelle1!B:B,0))+V9</f>
        <v>70</v>
      </c>
      <c r="AC9" s="215">
        <f t="shared" si="1"/>
        <v>70.000013186999993</v>
      </c>
      <c r="AD9" s="215">
        <f t="shared" si="2"/>
        <v>3</v>
      </c>
      <c r="AE9" s="215">
        <f>INDEX(Tabelle1!AE:AE,MATCH(B9,Tabelle1!B:B,0))+SUMIF(Erfassung2!BU:BU,B9,Erfassung2!BF:BF)</f>
        <v>72</v>
      </c>
    </row>
    <row r="10" spans="1:31" ht="42" customHeight="1" thickBot="1" x14ac:dyDescent="0.4">
      <c r="A10" s="223">
        <v>4</v>
      </c>
      <c r="B10" s="128" t="str">
        <f>INDEX(Erfassung2!$AA:$AA,MATCH($A10,Erfassung2!$BR:$BR,0)-17)</f>
        <v xml:space="preserve">Weiß Blau Unterföhring </v>
      </c>
      <c r="C10" s="129">
        <f>INDEX(Erfassung2!AC:AC,MATCH($A10,Erfassung2!$BR:$BR,0)-1)</f>
        <v>752</v>
      </c>
      <c r="D10" s="130">
        <f>INDEX(Erfassung2!AD:AD,MATCH($A10,Erfassung2!$BR:$BR,0))</f>
        <v>6</v>
      </c>
      <c r="E10" s="129">
        <f>INDEX(Erfassung2!AE:AE,MATCH($A10,Erfassung2!$BR:$BR,0)-1)</f>
        <v>646</v>
      </c>
      <c r="F10" s="130">
        <f>INDEX(Erfassung2!AF:AF,MATCH($A10,Erfassung2!$BR:$BR,0))</f>
        <v>1</v>
      </c>
      <c r="G10" s="129">
        <f>INDEX(Erfassung2!AG:AG,MATCH($A10,Erfassung2!$BR:$BR,0)-1)</f>
        <v>682</v>
      </c>
      <c r="H10" s="130">
        <f>INDEX(Erfassung2!AH:AH,MATCH($A10,Erfassung2!$BR:$BR,0))</f>
        <v>5</v>
      </c>
      <c r="I10" s="129">
        <f>INDEX(Erfassung2!AI:AI,MATCH($A10,Erfassung2!$BR:$BR,0)-1)</f>
        <v>750</v>
      </c>
      <c r="J10" s="130">
        <f>INDEX(Erfassung2!AJ:AJ,MATCH($A10,Erfassung2!$BR:$BR,0))</f>
        <v>5</v>
      </c>
      <c r="K10" s="129">
        <f>INDEX(Erfassung2!AK:AK,MATCH($A10,Erfassung2!$BR:$BR,0)-1)</f>
        <v>710</v>
      </c>
      <c r="L10" s="130">
        <f>INDEX(Erfassung2!AL:AL,MATCH($A10,Erfassung2!$BR:$BR,0))</f>
        <v>1</v>
      </c>
      <c r="M10" s="129">
        <f>INDEX(Erfassung2!AM:AM,MATCH($A10,Erfassung2!$BR:$BR,0)-1)</f>
        <v>722</v>
      </c>
      <c r="N10" s="130">
        <f>INDEX(Erfassung2!AN:AN,MATCH($A10,Erfassung2!$BR:$BR,0))</f>
        <v>1.5</v>
      </c>
      <c r="O10" s="129">
        <f>INDEX(Erfassung2!AO:AO,MATCH($A10,Erfassung2!$BR:$BR,0)-1)</f>
        <v>725</v>
      </c>
      <c r="P10" s="130">
        <f>INDEX(Erfassung2!AP:AP,MATCH($A10,Erfassung2!$BR:$BR,0))</f>
        <v>5</v>
      </c>
      <c r="Q10" s="129">
        <f>INDEX(Erfassung2!AQ:AQ,MATCH($A10,Erfassung2!$BR:$BR,0)-1)</f>
        <v>641</v>
      </c>
      <c r="R10" s="130">
        <f>INDEX(Erfassung2!AR:AR,MATCH($A10,Erfassung2!$BR:$BR,0))</f>
        <v>1</v>
      </c>
      <c r="S10" s="129">
        <f>INDEX(Erfassung2!AS:AS,MATCH($A10,Erfassung2!$BR:$BR,0)-1)</f>
        <v>721</v>
      </c>
      <c r="T10" s="130">
        <f>INDEX(Erfassung2!AT:AT,MATCH($A10,Erfassung2!$BR:$BR,0))</f>
        <v>5</v>
      </c>
      <c r="U10" s="131">
        <f t="shared" si="0"/>
        <v>6349</v>
      </c>
      <c r="V10" s="132">
        <f t="shared" si="0"/>
        <v>30.5</v>
      </c>
      <c r="W10" s="224">
        <f>IFERROR(U10/INDEX(Erfassung2!BF:BF,MATCH(A10,Erfassung2!BR:BR,0)),0)</f>
        <v>176.36111111111111</v>
      </c>
      <c r="X10" s="25"/>
      <c r="AA10" s="225">
        <f>INDEX(Tabelle1!U:U,MATCH(B10,Tabelle1!B:B,0))+U10</f>
        <v>12232</v>
      </c>
      <c r="AB10" s="226">
        <f>INDEX(Tabelle1!V:V,MATCH(B10,Tabelle1!B:B,0))+V10</f>
        <v>46.5</v>
      </c>
      <c r="AC10" s="215">
        <f t="shared" si="1"/>
        <v>46.500012232000003</v>
      </c>
      <c r="AD10" s="215">
        <f t="shared" si="2"/>
        <v>8</v>
      </c>
      <c r="AE10" s="215">
        <f>INDEX(Tabelle1!AE:AE,MATCH(B10,Tabelle1!B:B,0))+SUMIF(Erfassung2!BU:BU,B10,Erfassung2!BF:BF)</f>
        <v>72</v>
      </c>
    </row>
    <row r="11" spans="1:31" ht="42" customHeight="1" thickBot="1" x14ac:dyDescent="0.4">
      <c r="A11" s="223">
        <v>5</v>
      </c>
      <c r="B11" s="128" t="str">
        <f>INDEX(Erfassung2!$AA:$AA,MATCH($A11,Erfassung2!$BR:$BR,0)-17)</f>
        <v>Highroller Rosenheim</v>
      </c>
      <c r="C11" s="129">
        <f>INDEX(Erfassung2!AC:AC,MATCH($A11,Erfassung2!$BR:$BR,0)-1)</f>
        <v>688</v>
      </c>
      <c r="D11" s="130">
        <f>INDEX(Erfassung2!AD:AD,MATCH($A11,Erfassung2!$BR:$BR,0))</f>
        <v>4</v>
      </c>
      <c r="E11" s="129">
        <f>INDEX(Erfassung2!AE:AE,MATCH($A11,Erfassung2!$BR:$BR,0)-1)</f>
        <v>758</v>
      </c>
      <c r="F11" s="130">
        <f>INDEX(Erfassung2!AF:AF,MATCH($A11,Erfassung2!$BR:$BR,0))</f>
        <v>6</v>
      </c>
      <c r="G11" s="129">
        <f>INDEX(Erfassung2!AG:AG,MATCH($A11,Erfassung2!$BR:$BR,0)-1)</f>
        <v>689</v>
      </c>
      <c r="H11" s="130">
        <f>INDEX(Erfassung2!AH:AH,MATCH($A11,Erfassung2!$BR:$BR,0))</f>
        <v>1</v>
      </c>
      <c r="I11" s="129">
        <f>INDEX(Erfassung2!AI:AI,MATCH($A11,Erfassung2!$BR:$BR,0)-1)</f>
        <v>680</v>
      </c>
      <c r="J11" s="130">
        <f>INDEX(Erfassung2!AJ:AJ,MATCH($A11,Erfassung2!$BR:$BR,0))</f>
        <v>6</v>
      </c>
      <c r="K11" s="129">
        <f>INDEX(Erfassung2!AK:AK,MATCH($A11,Erfassung2!$BR:$BR,0)-1)</f>
        <v>665</v>
      </c>
      <c r="L11" s="130">
        <f>INDEX(Erfassung2!AL:AL,MATCH($A11,Erfassung2!$BR:$BR,0))</f>
        <v>2</v>
      </c>
      <c r="M11" s="129">
        <f>INDEX(Erfassung2!AM:AM,MATCH($A11,Erfassung2!$BR:$BR,0)-1)</f>
        <v>669</v>
      </c>
      <c r="N11" s="130">
        <f>INDEX(Erfassung2!AN:AN,MATCH($A11,Erfassung2!$BR:$BR,0))</f>
        <v>2</v>
      </c>
      <c r="O11" s="129">
        <f>INDEX(Erfassung2!AO:AO,MATCH($A11,Erfassung2!$BR:$BR,0)-1)</f>
        <v>696</v>
      </c>
      <c r="P11" s="130">
        <f>INDEX(Erfassung2!AP:AP,MATCH($A11,Erfassung2!$BR:$BR,0))</f>
        <v>1</v>
      </c>
      <c r="Q11" s="129">
        <f>INDEX(Erfassung2!AQ:AQ,MATCH($A11,Erfassung2!$BR:$BR,0)-1)</f>
        <v>672</v>
      </c>
      <c r="R11" s="130">
        <f>INDEX(Erfassung2!AR:AR,MATCH($A11,Erfassung2!$BR:$BR,0))</f>
        <v>2</v>
      </c>
      <c r="S11" s="129">
        <f>INDEX(Erfassung2!AS:AS,MATCH($A11,Erfassung2!$BR:$BR,0)-1)</f>
        <v>768</v>
      </c>
      <c r="T11" s="130">
        <f>INDEX(Erfassung2!AT:AT,MATCH($A11,Erfassung2!$BR:$BR,0))</f>
        <v>5</v>
      </c>
      <c r="U11" s="131">
        <f t="shared" si="0"/>
        <v>6285</v>
      </c>
      <c r="V11" s="132">
        <f t="shared" si="0"/>
        <v>29</v>
      </c>
      <c r="W11" s="224">
        <f>IFERROR(U11/INDEX(Erfassung2!BF:BF,MATCH(A11,Erfassung2!BR:BR,0)),0)</f>
        <v>174.58333333333334</v>
      </c>
      <c r="X11" s="25"/>
      <c r="AA11" s="225">
        <f>INDEX(Tabelle1!U:U,MATCH(B11,Tabelle1!B:B,0))+U11</f>
        <v>13043</v>
      </c>
      <c r="AB11" s="226">
        <f>INDEX(Tabelle1!V:V,MATCH(B11,Tabelle1!B:B,0))+V11</f>
        <v>71</v>
      </c>
      <c r="AC11" s="215">
        <f t="shared" si="1"/>
        <v>71.000013042999996</v>
      </c>
      <c r="AD11" s="215">
        <f t="shared" si="2"/>
        <v>2</v>
      </c>
      <c r="AE11" s="215">
        <f>INDEX(Tabelle1!AE:AE,MATCH(B11,Tabelle1!B:B,0))+SUMIF(Erfassung2!BU:BU,B11,Erfassung2!BF:BF)</f>
        <v>72</v>
      </c>
    </row>
    <row r="12" spans="1:31" ht="42" customHeight="1" thickBot="1" x14ac:dyDescent="0.4">
      <c r="A12" s="223">
        <v>6</v>
      </c>
      <c r="B12" s="128" t="str">
        <f>INDEX(Erfassung2!$AA:$AA,MATCH($A12,Erfassung2!$BR:$BR,0)-17)</f>
        <v>RW Lichtenhof 69 Stein 2</v>
      </c>
      <c r="C12" s="129">
        <f>INDEX(Erfassung2!AC:AC,MATCH($A12,Erfassung2!$BR:$BR,0)-1)</f>
        <v>738</v>
      </c>
      <c r="D12" s="130">
        <f>INDEX(Erfassung2!AD:AD,MATCH($A12,Erfassung2!$BR:$BR,0))</f>
        <v>5</v>
      </c>
      <c r="E12" s="129">
        <f>INDEX(Erfassung2!AE:AE,MATCH($A12,Erfassung2!$BR:$BR,0)-1)</f>
        <v>618</v>
      </c>
      <c r="F12" s="130">
        <f>INDEX(Erfassung2!AF:AF,MATCH($A12,Erfassung2!$BR:$BR,0))</f>
        <v>1</v>
      </c>
      <c r="G12" s="129">
        <f>INDEX(Erfassung2!AG:AG,MATCH($A12,Erfassung2!$BR:$BR,0)-1)</f>
        <v>723</v>
      </c>
      <c r="H12" s="130">
        <f>INDEX(Erfassung2!AH:AH,MATCH($A12,Erfassung2!$BR:$BR,0))</f>
        <v>3</v>
      </c>
      <c r="I12" s="129">
        <f>INDEX(Erfassung2!AI:AI,MATCH($A12,Erfassung2!$BR:$BR,0)-1)</f>
        <v>690</v>
      </c>
      <c r="J12" s="130">
        <f>INDEX(Erfassung2!AJ:AJ,MATCH($A12,Erfassung2!$BR:$BR,0))</f>
        <v>2</v>
      </c>
      <c r="K12" s="129">
        <f>INDEX(Erfassung2!AK:AK,MATCH($A12,Erfassung2!$BR:$BR,0)-1)</f>
        <v>722</v>
      </c>
      <c r="L12" s="130">
        <f>INDEX(Erfassung2!AL:AL,MATCH($A12,Erfassung2!$BR:$BR,0))</f>
        <v>5</v>
      </c>
      <c r="M12" s="129">
        <f>INDEX(Erfassung2!AM:AM,MATCH($A12,Erfassung2!$BR:$BR,0)-1)</f>
        <v>680</v>
      </c>
      <c r="N12" s="130">
        <f>INDEX(Erfassung2!AN:AN,MATCH($A12,Erfassung2!$BR:$BR,0))</f>
        <v>4</v>
      </c>
      <c r="O12" s="129">
        <f>INDEX(Erfassung2!AO:AO,MATCH($A12,Erfassung2!$BR:$BR,0)-1)</f>
        <v>727</v>
      </c>
      <c r="P12" s="130">
        <f>INDEX(Erfassung2!AP:AP,MATCH($A12,Erfassung2!$BR:$BR,0))</f>
        <v>6</v>
      </c>
      <c r="Q12" s="129">
        <f>INDEX(Erfassung2!AQ:AQ,MATCH($A12,Erfassung2!$BR:$BR,0)-1)</f>
        <v>659</v>
      </c>
      <c r="R12" s="130">
        <f>INDEX(Erfassung2!AR:AR,MATCH($A12,Erfassung2!$BR:$BR,0))</f>
        <v>1</v>
      </c>
      <c r="S12" s="129">
        <f>INDEX(Erfassung2!AS:AS,MATCH($A12,Erfassung2!$BR:$BR,0)-1)</f>
        <v>651</v>
      </c>
      <c r="T12" s="130">
        <f>INDEX(Erfassung2!AT:AT,MATCH($A12,Erfassung2!$BR:$BR,0))</f>
        <v>1</v>
      </c>
      <c r="U12" s="131">
        <f t="shared" si="0"/>
        <v>6208</v>
      </c>
      <c r="V12" s="132">
        <f t="shared" si="0"/>
        <v>28</v>
      </c>
      <c r="W12" s="224">
        <f>IFERROR(U12/INDEX(Erfassung2!BF:BF,MATCH(A12,Erfassung2!BR:BR,0)),0)</f>
        <v>172.44444444444446</v>
      </c>
      <c r="X12" s="25"/>
      <c r="AA12" s="225">
        <f>INDEX(Tabelle1!U:U,MATCH(B12,Tabelle1!B:B,0))+U12</f>
        <v>12013</v>
      </c>
      <c r="AB12" s="226">
        <f>INDEX(Tabelle1!V:V,MATCH(B12,Tabelle1!B:B,0))+V12</f>
        <v>44</v>
      </c>
      <c r="AC12" s="215">
        <f t="shared" si="1"/>
        <v>44.000012013000003</v>
      </c>
      <c r="AD12" s="215">
        <f t="shared" si="2"/>
        <v>9</v>
      </c>
      <c r="AE12" s="215">
        <f>INDEX(Tabelle1!AE:AE,MATCH(B12,Tabelle1!B:B,0))+SUMIF(Erfassung2!BU:BU,B12,Erfassung2!BF:BF)</f>
        <v>72</v>
      </c>
    </row>
    <row r="13" spans="1:31" ht="42" customHeight="1" thickBot="1" x14ac:dyDescent="0.4">
      <c r="A13" s="223">
        <v>7</v>
      </c>
      <c r="B13" s="128" t="str">
        <f>INDEX(Erfassung2!$AA:$AA,MATCH($A13,Erfassung2!$BR:$BR,0)-17)</f>
        <v>Phönix 03 Lauf</v>
      </c>
      <c r="C13" s="129">
        <f>INDEX(Erfassung2!AC:AC,MATCH($A13,Erfassung2!$BR:$BR,0)-1)</f>
        <v>678</v>
      </c>
      <c r="D13" s="130">
        <f>INDEX(Erfassung2!AD:AD,MATCH($A13,Erfassung2!$BR:$BR,0))</f>
        <v>2</v>
      </c>
      <c r="E13" s="129">
        <f>INDEX(Erfassung2!AE:AE,MATCH($A13,Erfassung2!$BR:$BR,0)-1)</f>
        <v>678</v>
      </c>
      <c r="F13" s="130">
        <f>INDEX(Erfassung2!AF:AF,MATCH($A13,Erfassung2!$BR:$BR,0))</f>
        <v>5</v>
      </c>
      <c r="G13" s="129">
        <f>INDEX(Erfassung2!AG:AG,MATCH($A13,Erfassung2!$BR:$BR,0)-1)</f>
        <v>678</v>
      </c>
      <c r="H13" s="130">
        <f>INDEX(Erfassung2!AH:AH,MATCH($A13,Erfassung2!$BR:$BR,0))</f>
        <v>1</v>
      </c>
      <c r="I13" s="129">
        <f>INDEX(Erfassung2!AI:AI,MATCH($A13,Erfassung2!$BR:$BR,0)-1)</f>
        <v>648</v>
      </c>
      <c r="J13" s="130">
        <f>INDEX(Erfassung2!AJ:AJ,MATCH($A13,Erfassung2!$BR:$BR,0))</f>
        <v>0</v>
      </c>
      <c r="K13" s="129">
        <f>INDEX(Erfassung2!AK:AK,MATCH($A13,Erfassung2!$BR:$BR,0)-1)</f>
        <v>612</v>
      </c>
      <c r="L13" s="130">
        <f>INDEX(Erfassung2!AL:AL,MATCH($A13,Erfassung2!$BR:$BR,0))</f>
        <v>6</v>
      </c>
      <c r="M13" s="129">
        <f>INDEX(Erfassung2!AM:AM,MATCH($A13,Erfassung2!$BR:$BR,0)-1)</f>
        <v>648</v>
      </c>
      <c r="N13" s="130">
        <f>INDEX(Erfassung2!AN:AN,MATCH($A13,Erfassung2!$BR:$BR,0))</f>
        <v>2</v>
      </c>
      <c r="O13" s="129">
        <f>INDEX(Erfassung2!AO:AO,MATCH($A13,Erfassung2!$BR:$BR,0)-1)</f>
        <v>684</v>
      </c>
      <c r="P13" s="130">
        <f>INDEX(Erfassung2!AP:AP,MATCH($A13,Erfassung2!$BR:$BR,0))</f>
        <v>4</v>
      </c>
      <c r="Q13" s="129">
        <f>INDEX(Erfassung2!AQ:AQ,MATCH($A13,Erfassung2!$BR:$BR,0)-1)</f>
        <v>758</v>
      </c>
      <c r="R13" s="130">
        <f>INDEX(Erfassung2!AR:AR,MATCH($A13,Erfassung2!$BR:$BR,0))</f>
        <v>5</v>
      </c>
      <c r="S13" s="129">
        <f>INDEX(Erfassung2!AS:AS,MATCH($A13,Erfassung2!$BR:$BR,0)-1)</f>
        <v>722</v>
      </c>
      <c r="T13" s="130">
        <f>INDEX(Erfassung2!AT:AT,MATCH($A13,Erfassung2!$BR:$BR,0))</f>
        <v>1.5</v>
      </c>
      <c r="U13" s="131">
        <f t="shared" si="0"/>
        <v>6106</v>
      </c>
      <c r="V13" s="132">
        <f t="shared" si="0"/>
        <v>26.5</v>
      </c>
      <c r="W13" s="224">
        <f>IFERROR(U13/INDEX(Erfassung2!BF:BF,MATCH(A13,Erfassung2!BR:BR,0)),0)</f>
        <v>169.61111111111111</v>
      </c>
      <c r="X13" s="25"/>
      <c r="AA13" s="225">
        <f>INDEX(Tabelle1!U:U,MATCH(B13,Tabelle1!B:B,0))+U13</f>
        <v>12808</v>
      </c>
      <c r="AB13" s="226">
        <f>INDEX(Tabelle1!V:V,MATCH(B13,Tabelle1!B:B,0))+V13</f>
        <v>67.5</v>
      </c>
      <c r="AC13" s="215">
        <f t="shared" si="1"/>
        <v>67.500012807999994</v>
      </c>
      <c r="AD13" s="215">
        <f t="shared" si="2"/>
        <v>4</v>
      </c>
      <c r="AE13" s="215">
        <f>INDEX(Tabelle1!AE:AE,MATCH(B13,Tabelle1!B:B,0))+SUMIF(Erfassung2!BU:BU,B13,Erfassung2!BF:BF)</f>
        <v>72</v>
      </c>
    </row>
    <row r="14" spans="1:31" ht="42" customHeight="1" thickBot="1" x14ac:dyDescent="0.4">
      <c r="A14" s="223">
        <v>8</v>
      </c>
      <c r="B14" s="128" t="str">
        <f>INDEX(Erfassung2!$AA:$AA,MATCH($A14,Erfassung2!$BR:$BR,0)-17)</f>
        <v>Frankenpower Nürnberg</v>
      </c>
      <c r="C14" s="129">
        <f>INDEX(Erfassung2!AC:AC,MATCH($A14,Erfassung2!$BR:$BR,0)-1)</f>
        <v>684</v>
      </c>
      <c r="D14" s="130">
        <f>INDEX(Erfassung2!AD:AD,MATCH($A14,Erfassung2!$BR:$BR,0))</f>
        <v>2</v>
      </c>
      <c r="E14" s="129">
        <f>INDEX(Erfassung2!AE:AE,MATCH($A14,Erfassung2!$BR:$BR,0)-1)</f>
        <v>668</v>
      </c>
      <c r="F14" s="130">
        <f>INDEX(Erfassung2!AF:AF,MATCH($A14,Erfassung2!$BR:$BR,0))</f>
        <v>1</v>
      </c>
      <c r="G14" s="129">
        <f>INDEX(Erfassung2!AG:AG,MATCH($A14,Erfassung2!$BR:$BR,0)-1)</f>
        <v>702</v>
      </c>
      <c r="H14" s="130">
        <f>INDEX(Erfassung2!AH:AH,MATCH($A14,Erfassung2!$BR:$BR,0))</f>
        <v>3</v>
      </c>
      <c r="I14" s="129">
        <f>INDEX(Erfassung2!AI:AI,MATCH($A14,Erfassung2!$BR:$BR,0)-1)</f>
        <v>722</v>
      </c>
      <c r="J14" s="130">
        <f>INDEX(Erfassung2!AJ:AJ,MATCH($A14,Erfassung2!$BR:$BR,0))</f>
        <v>4</v>
      </c>
      <c r="K14" s="129">
        <f>INDEX(Erfassung2!AK:AK,MATCH($A14,Erfassung2!$BR:$BR,0)-1)</f>
        <v>745</v>
      </c>
      <c r="L14" s="130">
        <f>INDEX(Erfassung2!AL:AL,MATCH($A14,Erfassung2!$BR:$BR,0))</f>
        <v>5</v>
      </c>
      <c r="M14" s="129">
        <f>INDEX(Erfassung2!AM:AM,MATCH($A14,Erfassung2!$BR:$BR,0)-1)</f>
        <v>700</v>
      </c>
      <c r="N14" s="130">
        <f>INDEX(Erfassung2!AN:AN,MATCH($A14,Erfassung2!$BR:$BR,0))</f>
        <v>2</v>
      </c>
      <c r="O14" s="129">
        <f>INDEX(Erfassung2!AO:AO,MATCH($A14,Erfassung2!$BR:$BR,0)-1)</f>
        <v>647</v>
      </c>
      <c r="P14" s="130">
        <f>INDEX(Erfassung2!AP:AP,MATCH($A14,Erfassung2!$BR:$BR,0))</f>
        <v>1</v>
      </c>
      <c r="Q14" s="129">
        <f>INDEX(Erfassung2!AQ:AQ,MATCH($A14,Erfassung2!$BR:$BR,0)-1)</f>
        <v>661</v>
      </c>
      <c r="R14" s="130">
        <f>INDEX(Erfassung2!AR:AR,MATCH($A14,Erfassung2!$BR:$BR,0))</f>
        <v>1</v>
      </c>
      <c r="S14" s="129">
        <f>INDEX(Erfassung2!AS:AS,MATCH($A14,Erfassung2!$BR:$BR,0)-1)</f>
        <v>706</v>
      </c>
      <c r="T14" s="130">
        <f>INDEX(Erfassung2!AT:AT,MATCH($A14,Erfassung2!$BR:$BR,0))</f>
        <v>6</v>
      </c>
      <c r="U14" s="131">
        <f t="shared" si="0"/>
        <v>6235</v>
      </c>
      <c r="V14" s="132">
        <f t="shared" si="0"/>
        <v>25</v>
      </c>
      <c r="W14" s="224">
        <f>IFERROR(U14/INDEX(Erfassung2!BF:BF,MATCH(A14,Erfassung2!BR:BR,0)),0)</f>
        <v>173.19444444444446</v>
      </c>
      <c r="X14" s="25"/>
      <c r="AA14" s="225">
        <f>INDEX(Tabelle1!U:U,MATCH(B14,Tabelle1!B:B,0))+U14</f>
        <v>12391</v>
      </c>
      <c r="AB14" s="226">
        <f>INDEX(Tabelle1!V:V,MATCH(B14,Tabelle1!B:B,0))+V14</f>
        <v>51.5</v>
      </c>
      <c r="AC14" s="215">
        <f t="shared" si="1"/>
        <v>51.500012390999999</v>
      </c>
      <c r="AD14" s="215">
        <f t="shared" si="2"/>
        <v>7</v>
      </c>
      <c r="AE14" s="215">
        <f>INDEX(Tabelle1!AE:AE,MATCH(B14,Tabelle1!B:B,0))+SUMIF(Erfassung2!BU:BU,B14,Erfassung2!BF:BF)</f>
        <v>72</v>
      </c>
    </row>
    <row r="15" spans="1:31" ht="42" customHeight="1" thickBot="1" x14ac:dyDescent="0.4">
      <c r="A15" s="223">
        <v>9</v>
      </c>
      <c r="B15" s="128" t="str">
        <f>INDEX(Erfassung2!$AA:$AA,MATCH($A15,Erfassung2!$BR:$BR,0)-17)</f>
        <v>BK München 2</v>
      </c>
      <c r="C15" s="129">
        <f>INDEX(Erfassung2!AC:AC,MATCH($A15,Erfassung2!$BR:$BR,0)-1)</f>
        <v>720</v>
      </c>
      <c r="D15" s="130">
        <f>INDEX(Erfassung2!AD:AD,MATCH($A15,Erfassung2!$BR:$BR,0))</f>
        <v>1</v>
      </c>
      <c r="E15" s="129">
        <f>INDEX(Erfassung2!AE:AE,MATCH($A15,Erfassung2!$BR:$BR,0)-1)</f>
        <v>644</v>
      </c>
      <c r="F15" s="130">
        <f>INDEX(Erfassung2!AF:AF,MATCH($A15,Erfassung2!$BR:$BR,0))</f>
        <v>0</v>
      </c>
      <c r="G15" s="129">
        <f>INDEX(Erfassung2!AG:AG,MATCH($A15,Erfassung2!$BR:$BR,0)-1)</f>
        <v>720</v>
      </c>
      <c r="H15" s="130">
        <f>INDEX(Erfassung2!AH:AH,MATCH($A15,Erfassung2!$BR:$BR,0))</f>
        <v>2</v>
      </c>
      <c r="I15" s="129">
        <f>INDEX(Erfassung2!AI:AI,MATCH($A15,Erfassung2!$BR:$BR,0)-1)</f>
        <v>728</v>
      </c>
      <c r="J15" s="130">
        <f>INDEX(Erfassung2!AJ:AJ,MATCH($A15,Erfassung2!$BR:$BR,0))</f>
        <v>1</v>
      </c>
      <c r="K15" s="129">
        <f>INDEX(Erfassung2!AK:AK,MATCH($A15,Erfassung2!$BR:$BR,0)-1)</f>
        <v>700</v>
      </c>
      <c r="L15" s="130">
        <f>INDEX(Erfassung2!AL:AL,MATCH($A15,Erfassung2!$BR:$BR,0))</f>
        <v>4</v>
      </c>
      <c r="M15" s="129">
        <f>INDEX(Erfassung2!AM:AM,MATCH($A15,Erfassung2!$BR:$BR,0)-1)</f>
        <v>712</v>
      </c>
      <c r="N15" s="130">
        <f>INDEX(Erfassung2!AN:AN,MATCH($A15,Erfassung2!$BR:$BR,0))</f>
        <v>4</v>
      </c>
      <c r="O15" s="129">
        <f>INDEX(Erfassung2!AO:AO,MATCH($A15,Erfassung2!$BR:$BR,0)-1)</f>
        <v>695</v>
      </c>
      <c r="P15" s="130">
        <f>INDEX(Erfassung2!AP:AP,MATCH($A15,Erfassung2!$BR:$BR,0))</f>
        <v>1</v>
      </c>
      <c r="Q15" s="129">
        <f>INDEX(Erfassung2!AQ:AQ,MATCH($A15,Erfassung2!$BR:$BR,0)-1)</f>
        <v>726</v>
      </c>
      <c r="R15" s="130">
        <f>INDEX(Erfassung2!AR:AR,MATCH($A15,Erfassung2!$BR:$BR,0))</f>
        <v>6</v>
      </c>
      <c r="S15" s="129">
        <f>INDEX(Erfassung2!AS:AS,MATCH($A15,Erfassung2!$BR:$BR,0)-1)</f>
        <v>760</v>
      </c>
      <c r="T15" s="130">
        <f>INDEX(Erfassung2!AT:AT,MATCH($A15,Erfassung2!$BR:$BR,0))</f>
        <v>4.5</v>
      </c>
      <c r="U15" s="131">
        <f t="shared" si="0"/>
        <v>6405</v>
      </c>
      <c r="V15" s="132">
        <f t="shared" si="0"/>
        <v>23.5</v>
      </c>
      <c r="W15" s="224">
        <f>IFERROR(U15/INDEX(Erfassung2!BF:BF,MATCH(A15,Erfassung2!BR:BR,0)),0)</f>
        <v>177.91666666666666</v>
      </c>
      <c r="X15" s="25"/>
      <c r="AA15" s="225">
        <f>INDEX(Tabelle1!U:U,MATCH(B15,Tabelle1!B:B,0))+U15</f>
        <v>13014</v>
      </c>
      <c r="AB15" s="226">
        <f>INDEX(Tabelle1!V:V,MATCH(B15,Tabelle1!B:B,0))+V15</f>
        <v>55</v>
      </c>
      <c r="AC15" s="215">
        <f t="shared" si="1"/>
        <v>55.000013013999997</v>
      </c>
      <c r="AD15" s="215">
        <f t="shared" si="2"/>
        <v>6</v>
      </c>
      <c r="AE15" s="215">
        <f>INDEX(Tabelle1!AE:AE,MATCH(B15,Tabelle1!B:B,0))+SUMIF(Erfassung2!BU:BU,B15,Erfassung2!BF:BF)</f>
        <v>72</v>
      </c>
    </row>
    <row r="16" spans="1:31" ht="42" customHeight="1" thickBot="1" x14ac:dyDescent="0.4">
      <c r="A16" s="223">
        <v>10</v>
      </c>
      <c r="B16" s="128" t="str">
        <f>INDEX(Erfassung2!$AA:$AA,MATCH($A16,Erfassung2!$BR:$BR,0)-17)</f>
        <v>BK München 3</v>
      </c>
      <c r="C16" s="129">
        <f>INDEX(Erfassung2!AC:AC,MATCH($A16,Erfassung2!$BR:$BR,0)-1)</f>
        <v>0</v>
      </c>
      <c r="D16" s="130">
        <f>INDEX(Erfassung2!AD:AD,MATCH($A16,Erfassung2!$BR:$BR,0))</f>
        <v>0</v>
      </c>
      <c r="E16" s="129">
        <f>INDEX(Erfassung2!AE:AE,MATCH($A16,Erfassung2!$BR:$BR,0)-1)</f>
        <v>0</v>
      </c>
      <c r="F16" s="130">
        <f>INDEX(Erfassung2!AF:AF,MATCH($A16,Erfassung2!$BR:$BR,0))</f>
        <v>0</v>
      </c>
      <c r="G16" s="129">
        <f>INDEX(Erfassung2!AG:AG,MATCH($A16,Erfassung2!$BR:$BR,0)-1)</f>
        <v>0</v>
      </c>
      <c r="H16" s="130">
        <f>INDEX(Erfassung2!AH:AH,MATCH($A16,Erfassung2!$BR:$BR,0))</f>
        <v>0</v>
      </c>
      <c r="I16" s="129">
        <f>INDEX(Erfassung2!AI:AI,MATCH($A16,Erfassung2!$BR:$BR,0)-1)</f>
        <v>0</v>
      </c>
      <c r="J16" s="130">
        <f>INDEX(Erfassung2!AJ:AJ,MATCH($A16,Erfassung2!$BR:$BR,0))</f>
        <v>0</v>
      </c>
      <c r="K16" s="129">
        <f>INDEX(Erfassung2!AK:AK,MATCH($A16,Erfassung2!$BR:$BR,0)-1)</f>
        <v>0</v>
      </c>
      <c r="L16" s="130">
        <f>INDEX(Erfassung2!AL:AL,MATCH($A16,Erfassung2!$BR:$BR,0))</f>
        <v>0</v>
      </c>
      <c r="M16" s="129">
        <f>INDEX(Erfassung2!AM:AM,MATCH($A16,Erfassung2!$BR:$BR,0)-1)</f>
        <v>0</v>
      </c>
      <c r="N16" s="130">
        <f>INDEX(Erfassung2!AN:AN,MATCH($A16,Erfassung2!$BR:$BR,0))</f>
        <v>0</v>
      </c>
      <c r="O16" s="129">
        <f>INDEX(Erfassung2!AO:AO,MATCH($A16,Erfassung2!$BR:$BR,0)-1)</f>
        <v>0</v>
      </c>
      <c r="P16" s="130">
        <f>INDEX(Erfassung2!AP:AP,MATCH($A16,Erfassung2!$BR:$BR,0))</f>
        <v>0</v>
      </c>
      <c r="Q16" s="129">
        <f>INDEX(Erfassung2!AQ:AQ,MATCH($A16,Erfassung2!$BR:$BR,0)-1)</f>
        <v>0</v>
      </c>
      <c r="R16" s="130">
        <f>INDEX(Erfassung2!AR:AR,MATCH($A16,Erfassung2!$BR:$BR,0))</f>
        <v>0</v>
      </c>
      <c r="S16" s="129">
        <f>INDEX(Erfassung2!AS:AS,MATCH($A16,Erfassung2!$BR:$BR,0)-1)</f>
        <v>0</v>
      </c>
      <c r="T16" s="130">
        <f>INDEX(Erfassung2!AT:AT,MATCH($A16,Erfassung2!$BR:$BR,0))</f>
        <v>0</v>
      </c>
      <c r="U16" s="131">
        <f t="shared" si="0"/>
        <v>0</v>
      </c>
      <c r="V16" s="132">
        <f t="shared" si="0"/>
        <v>0</v>
      </c>
      <c r="W16" s="224">
        <f>IFERROR(U16/INDEX(Erfassung2!BF:BF,MATCH(A16,Erfassung2!BR:BR,0)),0)</f>
        <v>0</v>
      </c>
      <c r="X16" s="25"/>
      <c r="AA16" s="225">
        <f>INDEX(Tabelle1!U:U,MATCH(B16,Tabelle1!B:B,0))+U16</f>
        <v>0</v>
      </c>
      <c r="AB16" s="226">
        <f>INDEX(Tabelle1!V:V,MATCH(B16,Tabelle1!B:B,0))+V16</f>
        <v>0</v>
      </c>
      <c r="AC16" s="215">
        <f t="shared" si="1"/>
        <v>0</v>
      </c>
      <c r="AD16" s="215">
        <f t="shared" si="2"/>
        <v>10</v>
      </c>
      <c r="AE16" s="215">
        <f>INDEX(Tabelle1!AE:AE,MATCH(B16,Tabelle1!B:B,0))+SUMIF(Erfassung2!BU:BU,B16,Erfassung2!BF:BF)</f>
        <v>0</v>
      </c>
    </row>
    <row r="19" spans="2:23" ht="15" x14ac:dyDescent="0.4">
      <c r="B19" s="379" t="s">
        <v>1827</v>
      </c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80"/>
      <c r="V19" s="380"/>
      <c r="W19" s="380"/>
    </row>
    <row r="20" spans="2:23" x14ac:dyDescent="0.35">
      <c r="C20" s="380"/>
      <c r="D20" s="380"/>
      <c r="E20" s="380"/>
      <c r="F20" s="380"/>
      <c r="G20" s="380"/>
      <c r="H20" s="380"/>
    </row>
    <row r="21" spans="2:23" ht="13.15" x14ac:dyDescent="0.4">
      <c r="B21" s="166" t="s">
        <v>1826</v>
      </c>
      <c r="C21" t="str">
        <f>IFERROR(INDEX(Erfassung2!AA:AA,MATCH(1,Erfassung2!BV:BV,0)),"")</f>
        <v>Lieb, Anja</v>
      </c>
      <c r="H21" t="str">
        <f>INDEX(Erfassung2!BU:BU,MATCH(C21,Erfassung2!AA:AA,0))</f>
        <v>EPA München 1</v>
      </c>
      <c r="N21" s="133">
        <f>IFERROR(ROUND(INDEX(Erfassung2!BT:BT,MATCH(1,Erfassung2!BV:BV,0)),0),"")</f>
        <v>263</v>
      </c>
    </row>
    <row r="22" spans="2:23" ht="13.15" x14ac:dyDescent="0.4">
      <c r="B22" s="166"/>
      <c r="C22" t="str">
        <f>IF(N22="","",IFERROR(INDEX(Erfassung2!AA:AA,MATCH(2,Erfassung2!BV:BV,0)),""))</f>
        <v/>
      </c>
      <c r="H22" t="str">
        <f>IF(C22="","",INDEX(Erfassung2!BU:BU,MATCH(C22,Erfassung2!AA:AA,0)))</f>
        <v/>
      </c>
      <c r="N22" s="134" t="str">
        <f>IF(IFERROR(ROUND(INDEX(Erfassung2!BT:BT,MATCH(2,Erfassung2!BV:BV,0)),0),0)=0,"",IFERROR(ROUND(INDEX(Erfassung2!BT:BT,MATCH(2,Erfassung2!BV:BV,0)),0),0))</f>
        <v/>
      </c>
    </row>
    <row r="23" spans="2:23" ht="13.15" x14ac:dyDescent="0.4">
      <c r="B23" s="166"/>
      <c r="C23" t="str">
        <f>IF(N23="","",IFERROR(INDEX(Erfassung2!AA:AA,MATCH(3,Erfassung2!BV:BV,0)),""))</f>
        <v/>
      </c>
      <c r="H23" t="str">
        <f>IF(C23="","",INDEX(Erfassung2!BU:BU,MATCH(C23,Erfassung2!AA:AA,0)))</f>
        <v/>
      </c>
      <c r="N23" s="134" t="str">
        <f>IF(IFERROR(ROUND(INDEX(Erfassung2!BT:BT,MATCH(3,Erfassung2!BV:BV,0)),0),0)=0,"",IFERROR(ROUND(INDEX(Erfassung2!BT:BT,MATCH(3,Erfassung2!BV:BV,0)),0),""))</f>
        <v/>
      </c>
    </row>
    <row r="24" spans="2:23" ht="13.15" x14ac:dyDescent="0.4">
      <c r="B24" s="166" t="s">
        <v>1828</v>
      </c>
      <c r="C24" t="str">
        <f>IFERROR(INDEX(Erfassung2!AA:AA,MATCH(1,Erfassung2!BZ:BZ,0)),"")</f>
        <v>Hinterwimmer, Sabine</v>
      </c>
      <c r="H24" t="str">
        <f>INDEX(Erfassung2!BU:BU,MATCH(C24,Erfassung2!AA:AA,0))</f>
        <v>BK München 4</v>
      </c>
      <c r="N24" s="381" t="str">
        <f>IFERROR(ROUND(INDEX(Erfassung2!BW:BW,MATCH(1,Erfassung2!BZ:BZ,0)),0),"")&amp;"  /  "&amp;ROUND(IFERROR(ROUND(INDEX(Erfassung2!BW:BW,MATCH(1,Erfassung2!BZ:BZ,0)),0),"")/9,2)</f>
        <v>1815  /  201,67</v>
      </c>
      <c r="O24" s="381"/>
      <c r="P24" s="381"/>
    </row>
    <row r="25" spans="2:23" x14ac:dyDescent="0.35">
      <c r="C25" t="str">
        <f>IF(N25="","",IFERROR(INDEX(Erfassung2!AA:AA,MATCH(2,Erfassung2!BZ:BZ,0)),""))</f>
        <v/>
      </c>
      <c r="E25" s="2"/>
      <c r="H25" t="str">
        <f>IF(C25="","",INDEX(Erfassung2!BU:BU,MATCH(C25,Erfassung2!AA:AA,0)))</f>
        <v/>
      </c>
      <c r="N25" s="134" t="str">
        <f>IF(IFERROR(ROUND(INDEX(Erfassung2!BW:BW,MATCH(2,Erfassung2!BZ:BZ,0)),0),0)=0,"",IFERROR(ROUND(INDEX(Erfassung2!BW:BW,MATCH(2,Erfassung2!BZ:BZ,0)),0),0))</f>
        <v/>
      </c>
    </row>
    <row r="26" spans="2:23" x14ac:dyDescent="0.35">
      <c r="C26" t="str">
        <f>IF(N26="","",IFERROR(INDEX(Erfassung2!AA:AA,MATCH(3,Erfassung2!BZ:BZ,0)),""))</f>
        <v/>
      </c>
      <c r="E26" s="2"/>
      <c r="H26" t="str">
        <f>IF(C26="","",INDEX(Erfassung2!BU:BU,MATCH(C26,Erfassung2!AA:AA,0)))</f>
        <v/>
      </c>
      <c r="N26" s="134" t="str">
        <f>IF(IFERROR(ROUND(INDEX(Erfassung2!BW:BW,MATCH(3,Erfassung2!BZ:BZ,0)),0),0)=0,"",IFERROR(ROUND(INDEX(Erfassung2!BW:BW,MATCH(3,Erfassung2!BZ:BZ,0)),0),0))</f>
        <v/>
      </c>
    </row>
  </sheetData>
  <sheetProtection password="D19C" sheet="1" formatCells="0" formatColumns="0" formatRows="0"/>
  <mergeCells count="20"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  <mergeCell ref="C20:H20"/>
    <mergeCell ref="N24:P24"/>
    <mergeCell ref="B19:T19"/>
    <mergeCell ref="U19:W19"/>
    <mergeCell ref="M5:N5"/>
    <mergeCell ref="O5:P5"/>
  </mergeCells>
  <conditionalFormatting sqref="C7:T16">
    <cfRule type="top10" dxfId="10" priority="1" stopIfTrue="1" rank="1"/>
  </conditionalFormatting>
  <conditionalFormatting sqref="U7:U16">
    <cfRule type="top10" dxfId="9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9">
    <tabColor theme="8" tint="-0.249977111117893"/>
    <pageSetUpPr fitToPage="1"/>
  </sheetPr>
  <dimension ref="A1:AE16"/>
  <sheetViews>
    <sheetView workbookViewId="0">
      <selection activeCell="C19" sqref="C19:T19"/>
    </sheetView>
  </sheetViews>
  <sheetFormatPr baseColWidth="10" defaultColWidth="11.33203125" defaultRowHeight="12.75" x14ac:dyDescent="0.35"/>
  <cols>
    <col min="1" max="1" width="4.06640625" customWidth="1"/>
    <col min="2" max="2" width="18.33203125" customWidth="1"/>
    <col min="3" max="6" width="8.73046875" customWidth="1"/>
    <col min="7" max="7" width="13.33203125" customWidth="1"/>
    <col min="8" max="8" width="9.33203125" customWidth="1"/>
    <col min="10" max="10" width="6.33203125" customWidth="1"/>
  </cols>
  <sheetData>
    <row r="1" spans="1:31" ht="28.5" customHeight="1" x14ac:dyDescent="0.35">
      <c r="A1" s="382" t="str">
        <f>Schlüssel!$C$1</f>
        <v>Bayernliga Frauen</v>
      </c>
      <c r="B1" s="382"/>
      <c r="C1" s="382"/>
      <c r="D1" s="382"/>
      <c r="E1" s="382"/>
      <c r="F1" s="382"/>
      <c r="G1" s="382"/>
      <c r="H1" s="382"/>
      <c r="I1" s="382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35">
      <c r="A2" s="383" t="str">
        <f>"Saison "&amp;Spielorte!C18&amp;"     -     Spieltag "&amp;Erfassung2!AS2&amp;"     -     "&amp;Erfassung2!AT1</f>
        <v>Saison 2024/2025     -     Spieltag 2     -     02.11./03.11.</v>
      </c>
      <c r="B2" s="383"/>
      <c r="C2" s="383"/>
      <c r="D2" s="383"/>
      <c r="E2" s="383"/>
      <c r="F2" s="383"/>
      <c r="G2" s="383"/>
      <c r="H2" s="383"/>
      <c r="I2" s="383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35">
      <c r="A3" s="383" t="s">
        <v>2082</v>
      </c>
      <c r="B3" s="383"/>
      <c r="C3" s="383"/>
      <c r="D3" s="383"/>
      <c r="E3" s="383"/>
      <c r="F3" s="383"/>
      <c r="G3" s="383"/>
      <c r="H3" s="383"/>
      <c r="I3" s="383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65">
      <c r="A4" s="20"/>
      <c r="B4" s="20"/>
      <c r="C4" s="31"/>
      <c r="D4" s="218"/>
      <c r="E4" s="20"/>
      <c r="F4" s="218"/>
      <c r="G4" s="218"/>
      <c r="H4" s="218"/>
      <c r="I4" s="218"/>
      <c r="J4" s="54"/>
      <c r="K4" s="54"/>
      <c r="L4" s="54"/>
      <c r="M4" s="50"/>
      <c r="O4" s="85"/>
      <c r="P4" s="5"/>
      <c r="Q4" s="5"/>
      <c r="R4" s="5"/>
      <c r="S4" s="5"/>
      <c r="T4" s="5"/>
      <c r="U4" s="5"/>
      <c r="V4" s="5"/>
      <c r="W4" s="5"/>
      <c r="X4" s="5"/>
      <c r="Y4" s="5"/>
      <c r="AA4" s="215"/>
      <c r="AB4" s="215"/>
      <c r="AC4" s="215"/>
      <c r="AD4" s="215"/>
      <c r="AE4" s="215"/>
    </row>
    <row r="5" spans="1:31" x14ac:dyDescent="0.35">
      <c r="A5" s="386" t="s">
        <v>1816</v>
      </c>
      <c r="B5" s="388" t="s">
        <v>1817</v>
      </c>
      <c r="C5" s="376" t="s">
        <v>1820</v>
      </c>
      <c r="D5" s="377"/>
      <c r="E5" s="376" t="s">
        <v>1821</v>
      </c>
      <c r="F5" s="377"/>
      <c r="G5" s="376" t="s">
        <v>1799</v>
      </c>
      <c r="H5" s="377"/>
      <c r="I5" s="384" t="s">
        <v>1818</v>
      </c>
    </row>
    <row r="6" spans="1:31" ht="13.15" thickBot="1" x14ac:dyDescent="0.4">
      <c r="A6" s="387"/>
      <c r="B6" s="389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385"/>
    </row>
    <row r="7" spans="1:31" ht="42" customHeight="1" thickBot="1" x14ac:dyDescent="0.4">
      <c r="A7" s="34">
        <v>1</v>
      </c>
      <c r="B7" s="128" t="str">
        <f>INDEX(Tabelle2!B:B,MATCH(A7,Tabelle2!AD:AD,0))</f>
        <v>BK München 4</v>
      </c>
      <c r="C7" s="35">
        <f>INDEX(Tabelle1!U:U,MATCH(B7,Tabelle1!B:B,0))</f>
        <v>6218</v>
      </c>
      <c r="D7" s="36">
        <f>INDEX(Tabelle1!V:V,MATCH(B7,Tabelle1!B:B,0))</f>
        <v>30</v>
      </c>
      <c r="E7" s="35">
        <f>INDEX(Tabelle2!U:U,MATCH(B7,Tabelle2!B:B,0))</f>
        <v>6542</v>
      </c>
      <c r="F7" s="36">
        <f>INDEX(Tabelle2!V:V,MATCH(B7,Tabelle2!B:B,0))</f>
        <v>41.5</v>
      </c>
      <c r="G7" s="143">
        <f t="shared" ref="G7:G16" si="0">SUM(C7+E7)</f>
        <v>12760</v>
      </c>
      <c r="H7" s="144">
        <f t="shared" ref="H7:H16" si="1">SUM(D7+F7)</f>
        <v>71.5</v>
      </c>
      <c r="I7" s="37">
        <f>G7/INDEX(Tabelle2!$AE:$AE,MATCH($B7,Tabelle2!$B:$B,0))</f>
        <v>177.22222222222223</v>
      </c>
      <c r="J7" s="25"/>
    </row>
    <row r="8" spans="1:31" ht="42" customHeight="1" thickBot="1" x14ac:dyDescent="0.4">
      <c r="A8" s="34">
        <v>2</v>
      </c>
      <c r="B8" s="128" t="str">
        <f>INDEX(Tabelle2!B:B,MATCH(A8,Tabelle2!AD:AD,0))</f>
        <v>Highroller Rosenheim</v>
      </c>
      <c r="C8" s="35">
        <f>INDEX(Tabelle1!U:U,MATCH(B8,Tabelle1!B:B,0))</f>
        <v>6758</v>
      </c>
      <c r="D8" s="36">
        <f>INDEX(Tabelle1!V:V,MATCH(B8,Tabelle1!B:B,0))</f>
        <v>42</v>
      </c>
      <c r="E8" s="35">
        <f>INDEX(Tabelle2!U:U,MATCH(B8,Tabelle2!B:B,0))</f>
        <v>6285</v>
      </c>
      <c r="F8" s="36">
        <f>INDEX(Tabelle2!V:V,MATCH(B8,Tabelle2!B:B,0))</f>
        <v>29</v>
      </c>
      <c r="G8" s="143">
        <f t="shared" si="0"/>
        <v>13043</v>
      </c>
      <c r="H8" s="144">
        <f t="shared" si="1"/>
        <v>71</v>
      </c>
      <c r="I8" s="37">
        <f>G8/INDEX(Tabelle2!$AE:$AE,MATCH($B8,Tabelle2!$B:$B,0))</f>
        <v>181.15277777777777</v>
      </c>
      <c r="J8" s="25"/>
    </row>
    <row r="9" spans="1:31" ht="42" customHeight="1" thickBot="1" x14ac:dyDescent="0.4">
      <c r="A9" s="34">
        <v>3</v>
      </c>
      <c r="B9" s="128" t="str">
        <f>INDEX(Tabelle2!B:B,MATCH(A9,Tabelle2!AD:AD,0))</f>
        <v>EPA München 1</v>
      </c>
      <c r="C9" s="35">
        <f>INDEX(Tabelle1!U:U,MATCH(B9,Tabelle1!B:B,0))</f>
        <v>6757</v>
      </c>
      <c r="D9" s="36">
        <f>INDEX(Tabelle1!V:V,MATCH(B9,Tabelle1!B:B,0))</f>
        <v>38</v>
      </c>
      <c r="E9" s="35">
        <f>INDEX(Tabelle2!U:U,MATCH(B9,Tabelle2!B:B,0))</f>
        <v>6430</v>
      </c>
      <c r="F9" s="36">
        <f>INDEX(Tabelle2!V:V,MATCH(B9,Tabelle2!B:B,0))</f>
        <v>32</v>
      </c>
      <c r="G9" s="143">
        <f t="shared" si="0"/>
        <v>13187</v>
      </c>
      <c r="H9" s="144">
        <f t="shared" si="1"/>
        <v>70</v>
      </c>
      <c r="I9" s="37">
        <f>G9/INDEX(Tabelle2!$AE:$AE,MATCH($B9,Tabelle2!$B:$B,0))</f>
        <v>183.15277777777777</v>
      </c>
      <c r="J9" s="25"/>
    </row>
    <row r="10" spans="1:31" ht="42" customHeight="1" thickBot="1" x14ac:dyDescent="0.4">
      <c r="A10" s="34">
        <v>4</v>
      </c>
      <c r="B10" s="128" t="str">
        <f>INDEX(Tabelle2!B:B,MATCH(A10,Tabelle2!AD:AD,0))</f>
        <v>Phönix 03 Lauf</v>
      </c>
      <c r="C10" s="35">
        <f>INDEX(Tabelle1!U:U,MATCH(B10,Tabelle1!B:B,0))</f>
        <v>6702</v>
      </c>
      <c r="D10" s="36">
        <f>INDEX(Tabelle1!V:V,MATCH(B10,Tabelle1!B:B,0))</f>
        <v>41</v>
      </c>
      <c r="E10" s="35">
        <f>INDEX(Tabelle2!U:U,MATCH(B10,Tabelle2!B:B,0))</f>
        <v>6106</v>
      </c>
      <c r="F10" s="36">
        <f>INDEX(Tabelle2!V:V,MATCH(B10,Tabelle2!B:B,0))</f>
        <v>26.5</v>
      </c>
      <c r="G10" s="143">
        <f t="shared" si="0"/>
        <v>12808</v>
      </c>
      <c r="H10" s="144">
        <f t="shared" si="1"/>
        <v>67.5</v>
      </c>
      <c r="I10" s="37">
        <f>G10/INDEX(Tabelle2!$AE:$AE,MATCH($B10,Tabelle2!$B:$B,0))</f>
        <v>177.88888888888889</v>
      </c>
      <c r="J10" s="25"/>
    </row>
    <row r="11" spans="1:31" ht="42" customHeight="1" thickBot="1" x14ac:dyDescent="0.4">
      <c r="A11" s="34">
        <v>5</v>
      </c>
      <c r="B11" s="128" t="str">
        <f>INDEX(Tabelle2!B:B,MATCH(A11,Tabelle2!AD:AD,0))</f>
        <v>Praetoria Regensburg</v>
      </c>
      <c r="C11" s="35">
        <f>INDEX(Tabelle1!U:U,MATCH(B11,Tabelle1!B:B,0))</f>
        <v>6407</v>
      </c>
      <c r="D11" s="36">
        <f>INDEX(Tabelle1!V:V,MATCH(B11,Tabelle1!B:B,0))</f>
        <v>29</v>
      </c>
      <c r="E11" s="35">
        <f>INDEX(Tabelle2!U:U,MATCH(B11,Tabelle2!B:B,0))</f>
        <v>6351</v>
      </c>
      <c r="F11" s="36">
        <f>INDEX(Tabelle2!V:V,MATCH(B11,Tabelle2!B:B,0))</f>
        <v>34</v>
      </c>
      <c r="G11" s="143">
        <f t="shared" si="0"/>
        <v>12758</v>
      </c>
      <c r="H11" s="144">
        <f t="shared" si="1"/>
        <v>63</v>
      </c>
      <c r="I11" s="37">
        <f>G11/INDEX(Tabelle2!$AE:$AE,MATCH($B11,Tabelle2!$B:$B,0))</f>
        <v>177.19444444444446</v>
      </c>
      <c r="J11" s="25"/>
    </row>
    <row r="12" spans="1:31" ht="42" customHeight="1" thickBot="1" x14ac:dyDescent="0.4">
      <c r="A12" s="34">
        <v>6</v>
      </c>
      <c r="B12" s="128" t="str">
        <f>INDEX(Tabelle2!B:B,MATCH(A12,Tabelle2!AD:AD,0))</f>
        <v>BK München 2</v>
      </c>
      <c r="C12" s="35">
        <f>INDEX(Tabelle1!U:U,MATCH(B12,Tabelle1!B:B,0))</f>
        <v>6609</v>
      </c>
      <c r="D12" s="36">
        <f>INDEX(Tabelle1!V:V,MATCH(B12,Tabelle1!B:B,0))</f>
        <v>31.5</v>
      </c>
      <c r="E12" s="35">
        <f>INDEX(Tabelle2!U:U,MATCH(B12,Tabelle2!B:B,0))</f>
        <v>6405</v>
      </c>
      <c r="F12" s="36">
        <f>INDEX(Tabelle2!V:V,MATCH(B12,Tabelle2!B:B,0))</f>
        <v>23.5</v>
      </c>
      <c r="G12" s="143">
        <f t="shared" si="0"/>
        <v>13014</v>
      </c>
      <c r="H12" s="144">
        <f t="shared" si="1"/>
        <v>55</v>
      </c>
      <c r="I12" s="37">
        <f>G12/INDEX(Tabelle2!$AE:$AE,MATCH($B12,Tabelle2!$B:$B,0))</f>
        <v>180.75</v>
      </c>
      <c r="J12" s="25"/>
    </row>
    <row r="13" spans="1:31" ht="42" customHeight="1" thickBot="1" x14ac:dyDescent="0.4">
      <c r="A13" s="34">
        <v>7</v>
      </c>
      <c r="B13" s="128" t="str">
        <f>INDEX(Tabelle2!B:B,MATCH(A13,Tabelle2!AD:AD,0))</f>
        <v>Frankenpower Nürnberg</v>
      </c>
      <c r="C13" s="35">
        <f>INDEX(Tabelle1!U:U,MATCH(B13,Tabelle1!B:B,0))</f>
        <v>6156</v>
      </c>
      <c r="D13" s="36">
        <f>INDEX(Tabelle1!V:V,MATCH(B13,Tabelle1!B:B,0))</f>
        <v>26.5</v>
      </c>
      <c r="E13" s="35">
        <f>INDEX(Tabelle2!U:U,MATCH(B13,Tabelle2!B:B,0))</f>
        <v>6235</v>
      </c>
      <c r="F13" s="36">
        <f>INDEX(Tabelle2!V:V,MATCH(B13,Tabelle2!B:B,0))</f>
        <v>25</v>
      </c>
      <c r="G13" s="143">
        <f t="shared" si="0"/>
        <v>12391</v>
      </c>
      <c r="H13" s="144">
        <f t="shared" si="1"/>
        <v>51.5</v>
      </c>
      <c r="I13" s="37">
        <f>G13/INDEX(Tabelle2!$AE:$AE,MATCH($B13,Tabelle2!$B:$B,0))</f>
        <v>172.09722222222223</v>
      </c>
      <c r="J13" s="25"/>
    </row>
    <row r="14" spans="1:31" ht="42" customHeight="1" thickBot="1" x14ac:dyDescent="0.4">
      <c r="A14" s="34">
        <v>8</v>
      </c>
      <c r="B14" s="128" t="str">
        <f>INDEX(Tabelle2!B:B,MATCH(A14,Tabelle2!AD:AD,0))</f>
        <v xml:space="preserve">Weiß Blau Unterföhring </v>
      </c>
      <c r="C14" s="35">
        <f>INDEX(Tabelle1!U:U,MATCH(B14,Tabelle1!B:B,0))</f>
        <v>5883</v>
      </c>
      <c r="D14" s="36">
        <f>INDEX(Tabelle1!V:V,MATCH(B14,Tabelle1!B:B,0))</f>
        <v>16</v>
      </c>
      <c r="E14" s="35">
        <f>INDEX(Tabelle2!U:U,MATCH(B14,Tabelle2!B:B,0))</f>
        <v>6349</v>
      </c>
      <c r="F14" s="36">
        <f>INDEX(Tabelle2!V:V,MATCH(B14,Tabelle2!B:B,0))</f>
        <v>30.5</v>
      </c>
      <c r="G14" s="143">
        <f t="shared" si="0"/>
        <v>12232</v>
      </c>
      <c r="H14" s="144">
        <f t="shared" si="1"/>
        <v>46.5</v>
      </c>
      <c r="I14" s="37">
        <f>G14/INDEX(Tabelle2!$AE:$AE,MATCH($B14,Tabelle2!$B:$B,0))</f>
        <v>169.88888888888889</v>
      </c>
      <c r="J14" s="25"/>
    </row>
    <row r="15" spans="1:31" ht="42" customHeight="1" thickBot="1" x14ac:dyDescent="0.4">
      <c r="A15" s="34">
        <v>9</v>
      </c>
      <c r="B15" s="128" t="str">
        <f>INDEX(Tabelle2!B:B,MATCH(A15,Tabelle2!AD:AD,0))</f>
        <v>RW Lichtenhof 69 Stein 2</v>
      </c>
      <c r="C15" s="35">
        <f>INDEX(Tabelle1!U:U,MATCH(B15,Tabelle1!B:B,0))</f>
        <v>5805</v>
      </c>
      <c r="D15" s="36">
        <f>INDEX(Tabelle1!V:V,MATCH(B15,Tabelle1!B:B,0))</f>
        <v>16</v>
      </c>
      <c r="E15" s="35">
        <f>INDEX(Tabelle2!U:U,MATCH(B15,Tabelle2!B:B,0))</f>
        <v>6208</v>
      </c>
      <c r="F15" s="36">
        <f>INDEX(Tabelle2!V:V,MATCH(B15,Tabelle2!B:B,0))</f>
        <v>28</v>
      </c>
      <c r="G15" s="143">
        <f t="shared" si="0"/>
        <v>12013</v>
      </c>
      <c r="H15" s="144">
        <f t="shared" si="1"/>
        <v>44</v>
      </c>
      <c r="I15" s="37">
        <f>G15/INDEX(Tabelle2!$AE:$AE,MATCH($B15,Tabelle2!$B:$B,0))</f>
        <v>166.84722222222223</v>
      </c>
      <c r="J15" s="25"/>
    </row>
    <row r="16" spans="1:31" ht="42" customHeight="1" thickBot="1" x14ac:dyDescent="0.4">
      <c r="A16" s="34">
        <v>10</v>
      </c>
      <c r="B16" s="128" t="str">
        <f>INDEX(Tabelle2!B:B,MATCH(A16,Tabelle2!AD:AD,0))</f>
        <v>BK München 3</v>
      </c>
      <c r="C16" s="35">
        <f>INDEX(Tabelle1!U:U,MATCH(B16,Tabelle1!B:B,0))</f>
        <v>0</v>
      </c>
      <c r="D16" s="36">
        <f>INDEX(Tabelle1!V:V,MATCH(B16,Tabelle1!B:B,0))</f>
        <v>0</v>
      </c>
      <c r="E16" s="35">
        <f>INDEX(Tabelle2!U:U,MATCH(B16,Tabelle2!B:B,0))</f>
        <v>0</v>
      </c>
      <c r="F16" s="36">
        <f>INDEX(Tabelle2!V:V,MATCH(B16,Tabelle2!B:B,0))</f>
        <v>0</v>
      </c>
      <c r="G16" s="143">
        <f t="shared" si="0"/>
        <v>0</v>
      </c>
      <c r="H16" s="144">
        <f t="shared" si="1"/>
        <v>0</v>
      </c>
      <c r="I16" s="37" t="e">
        <f>G16/INDEX(Tabelle2!$AE:$AE,MATCH($B16,Tabelle2!$B:$B,0))</f>
        <v>#DIV/0!</v>
      </c>
      <c r="J16" s="25"/>
    </row>
  </sheetData>
  <sheetProtection password="D19C" sheet="1" formatCells="0" formatColumns="0" formatRows="0"/>
  <mergeCells count="9">
    <mergeCell ref="A1:I1"/>
    <mergeCell ref="A2:I2"/>
    <mergeCell ref="A3:I3"/>
    <mergeCell ref="G5:H5"/>
    <mergeCell ref="I5:I6"/>
    <mergeCell ref="A5:A6"/>
    <mergeCell ref="B5:B6"/>
    <mergeCell ref="C5:D5"/>
    <mergeCell ref="E5:F5"/>
  </mergeCells>
  <printOptions horizontalCentered="1"/>
  <pageMargins left="0.47244094488188981" right="0.27559055118110237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0">
    <tabColor rgb="FF7030A0"/>
    <pageSetUpPr fitToPage="1"/>
  </sheetPr>
  <dimension ref="A1:R104"/>
  <sheetViews>
    <sheetView view="pageBreakPreview" zoomScaleNormal="100" zoomScaleSheetLayoutView="100" workbookViewId="0">
      <selection activeCell="C19" sqref="C19:T19"/>
    </sheetView>
  </sheetViews>
  <sheetFormatPr baseColWidth="10" defaultColWidth="11.33203125" defaultRowHeight="12.75" x14ac:dyDescent="0.35"/>
  <cols>
    <col min="1" max="1" width="5.265625" customWidth="1"/>
    <col min="2" max="2" width="8.265625" customWidth="1"/>
    <col min="3" max="4" width="27.73046875" customWidth="1"/>
    <col min="5" max="5" width="7.73046875" style="102" customWidth="1"/>
    <col min="6" max="6" width="7.73046875" customWidth="1"/>
    <col min="7" max="7" width="7.73046875" style="137" customWidth="1"/>
    <col min="12" max="12" width="11.33203125" style="227" hidden="1" customWidth="1"/>
    <col min="13" max="18" width="11.33203125" hidden="1" customWidth="1"/>
  </cols>
  <sheetData>
    <row r="1" spans="1:16" ht="28.5" customHeight="1" x14ac:dyDescent="0.7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6">
      <c r="A2" s="138" t="s">
        <v>1791</v>
      </c>
      <c r="C2" s="50">
        <v>2</v>
      </c>
      <c r="D2" s="50" t="s">
        <v>1829</v>
      </c>
      <c r="E2" s="139"/>
      <c r="F2" s="54"/>
      <c r="L2" s="227">
        <f>INDEX(Starter!A:A,ROW()-1)</f>
        <v>25751</v>
      </c>
      <c r="M2">
        <f>SUMIF(Erfassung2!BD:BD,L2,Erfassung2!BW:BW)</f>
        <v>1583</v>
      </c>
      <c r="N2">
        <f>SUMIF(Erfassung2!BD:BD,L2,Erfassung2!BG:BG)</f>
        <v>9</v>
      </c>
      <c r="O2">
        <f t="shared" ref="O2:O65" si="0">IF(N2=0,0,M2/N2-ROW()/1000000000)</f>
        <v>175.88888888688888</v>
      </c>
      <c r="P2">
        <f t="shared" ref="P2:P65" si="1">RANK(O2,O:O)</f>
        <v>19</v>
      </c>
    </row>
    <row r="3" spans="1:16" x14ac:dyDescent="0.35">
      <c r="L3" s="227">
        <f>INDEX(Starter!A:A,ROW()-1)</f>
        <v>38258</v>
      </c>
      <c r="M3">
        <f>SUMIF(Erfassung2!BD:BD,L3,Erfassung2!BW:BW)</f>
        <v>1181</v>
      </c>
      <c r="N3">
        <f>SUMIF(Erfassung2!BD:BD,L3,Erfassung2!BG:BG)</f>
        <v>7</v>
      </c>
      <c r="O3">
        <f t="shared" si="0"/>
        <v>168.71428571128573</v>
      </c>
      <c r="P3">
        <f t="shared" si="1"/>
        <v>28</v>
      </c>
    </row>
    <row r="4" spans="1:16" x14ac:dyDescent="0.3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SUMIF(Erfassung2!BD:BD,L4,Erfassung2!BW:BW)</f>
        <v>0</v>
      </c>
      <c r="N4">
        <f>SUMIF(Erfassung2!BD:BD,L4,Erfassung2!BG:BG)</f>
        <v>0</v>
      </c>
      <c r="O4">
        <f t="shared" si="0"/>
        <v>0</v>
      </c>
      <c r="P4">
        <f t="shared" si="1"/>
        <v>42</v>
      </c>
    </row>
    <row r="5" spans="1:16" x14ac:dyDescent="0.35">
      <c r="A5">
        <v>1</v>
      </c>
      <c r="B5">
        <f t="shared" ref="B5:B36" si="2">IFERROR(INDEX(L:L,MATCH(A5,P:P,0)),"")</f>
        <v>7578</v>
      </c>
      <c r="C5" t="str">
        <f>IFERROR(INDEX(Starter!B:B,MATCH(B5,Starter!A:A,0)),"")</f>
        <v>Hinterwimmer, Sabine</v>
      </c>
      <c r="D5" t="str">
        <f>IFERROR(INDEX(Starter!C:C,MATCH(B5,Starter!A:A,0)),"")</f>
        <v>BK München</v>
      </c>
      <c r="E5" s="102">
        <f t="shared" ref="E5:E36" si="3">IFERROR(INDEX(M:M,MATCH(A5,P:P,0)),"")</f>
        <v>1815</v>
      </c>
      <c r="F5">
        <f t="shared" ref="F5:F36" si="4">IFERROR(INDEX(N:N,MATCH(A5,P:P,0)),"")</f>
        <v>9</v>
      </c>
      <c r="G5" s="137">
        <f t="shared" ref="G5:G36" si="5">IFERROR(INDEX(O:O,MATCH(A5,P:P,0)),"")</f>
        <v>201.66666665066666</v>
      </c>
      <c r="L5" s="227">
        <f>INDEX(Starter!A:A,ROW()-1)</f>
        <v>7903</v>
      </c>
      <c r="M5">
        <f>SUMIF(Erfassung2!BD:BD,L5,Erfassung2!BW:BW)</f>
        <v>855</v>
      </c>
      <c r="N5">
        <f>SUMIF(Erfassung2!BD:BD,L5,Erfassung2!BG:BG)</f>
        <v>5</v>
      </c>
      <c r="O5">
        <f t="shared" si="0"/>
        <v>170.999999995</v>
      </c>
      <c r="P5">
        <f t="shared" si="1"/>
        <v>27</v>
      </c>
    </row>
    <row r="6" spans="1:16" x14ac:dyDescent="0.35">
      <c r="A6">
        <f t="shared" ref="A6:A37" si="6">IFERROR(IF(A5+1&gt;MAX(P:P)-1,"",A5+1),"")</f>
        <v>2</v>
      </c>
      <c r="B6">
        <f t="shared" si="2"/>
        <v>25192</v>
      </c>
      <c r="C6" t="str">
        <f>IFERROR(INDEX(Starter!B:B,MATCH(B6,Starter!A:A,0)),"")</f>
        <v>Bess, Vanessa</v>
      </c>
      <c r="D6" t="str">
        <f>IFERROR(INDEX(Starter!C:C,MATCH(B6,Starter!A:A,0)),"")</f>
        <v>BC E.P.A. München</v>
      </c>
      <c r="E6" s="102">
        <f t="shared" si="3"/>
        <v>1734</v>
      </c>
      <c r="F6">
        <f t="shared" si="4"/>
        <v>9</v>
      </c>
      <c r="G6" s="137">
        <f t="shared" si="5"/>
        <v>192.66666659766665</v>
      </c>
      <c r="L6" s="227">
        <f>INDEX(Starter!A:A,ROW()-1)</f>
        <v>16170</v>
      </c>
      <c r="M6">
        <f>SUMIF(Erfassung2!BD:BD,L6,Erfassung2!BW:BW)</f>
        <v>1087</v>
      </c>
      <c r="N6">
        <f>SUMIF(Erfassung2!BD:BD,L6,Erfassung2!BG:BG)</f>
        <v>6</v>
      </c>
      <c r="O6">
        <f t="shared" si="0"/>
        <v>181.16666666066666</v>
      </c>
      <c r="P6">
        <f t="shared" si="1"/>
        <v>11</v>
      </c>
    </row>
    <row r="7" spans="1:16" x14ac:dyDescent="0.35">
      <c r="A7">
        <f t="shared" si="6"/>
        <v>3</v>
      </c>
      <c r="B7">
        <f t="shared" si="2"/>
        <v>38553</v>
      </c>
      <c r="C7" t="str">
        <f>IFERROR(INDEX(Starter!B:B,MATCH(B7,Starter!A:A,0)),"")</f>
        <v>Kirschke, Saskia</v>
      </c>
      <c r="D7" t="str">
        <f>IFERROR(INDEX(Starter!C:C,MATCH(B7,Starter!A:A,0)),"")</f>
        <v>BK München</v>
      </c>
      <c r="E7" s="102">
        <f t="shared" si="3"/>
        <v>1729</v>
      </c>
      <c r="F7">
        <f t="shared" si="4"/>
        <v>9</v>
      </c>
      <c r="G7" s="137">
        <f t="shared" si="5"/>
        <v>192.11111110111111</v>
      </c>
      <c r="L7" s="227">
        <f>INDEX(Starter!A:A,ROW()-1)</f>
        <v>7889</v>
      </c>
      <c r="M7">
        <f>SUMIF(Erfassung2!BD:BD,L7,Erfassung2!BW:BW)</f>
        <v>1645</v>
      </c>
      <c r="N7">
        <f>SUMIF(Erfassung2!BD:BD,L7,Erfassung2!BG:BG)</f>
        <v>9</v>
      </c>
      <c r="O7">
        <f t="shared" si="0"/>
        <v>182.77777777077776</v>
      </c>
      <c r="P7">
        <f t="shared" si="1"/>
        <v>8</v>
      </c>
    </row>
    <row r="8" spans="1:16" x14ac:dyDescent="0.35">
      <c r="A8">
        <f t="shared" si="6"/>
        <v>4</v>
      </c>
      <c r="B8">
        <f t="shared" si="2"/>
        <v>7801</v>
      </c>
      <c r="C8" t="str">
        <f>IFERROR(INDEX(Starter!B:B,MATCH(B8,Starter!A:A,0)),"")</f>
        <v>Schuster, Katharina</v>
      </c>
      <c r="D8" t="str">
        <f>IFERROR(INDEX(Starter!C:C,MATCH(B8,Starter!A:A,0)),"")</f>
        <v>BC Phönix 03 Lauf</v>
      </c>
      <c r="E8" s="102">
        <f t="shared" si="3"/>
        <v>1710</v>
      </c>
      <c r="F8">
        <f t="shared" si="4"/>
        <v>9</v>
      </c>
      <c r="G8" s="137">
        <f t="shared" si="5"/>
        <v>189.999999944</v>
      </c>
      <c r="L8" s="227">
        <f>INDEX(Starter!A:A,ROW()-1)</f>
        <v>38222</v>
      </c>
      <c r="M8">
        <f>SUMIF(Erfassung2!BD:BD,L8,Erfassung2!BW:BW)</f>
        <v>0</v>
      </c>
      <c r="N8">
        <f>SUMIF(Erfassung2!BD:BD,L8,Erfassung2!BG:BG)</f>
        <v>0</v>
      </c>
      <c r="O8">
        <f t="shared" si="0"/>
        <v>0</v>
      </c>
      <c r="P8">
        <f t="shared" si="1"/>
        <v>42</v>
      </c>
    </row>
    <row r="9" spans="1:16" x14ac:dyDescent="0.35">
      <c r="A9">
        <f t="shared" si="6"/>
        <v>5</v>
      </c>
      <c r="B9">
        <f t="shared" si="2"/>
        <v>25298</v>
      </c>
      <c r="C9" t="str">
        <f>IFERROR(INDEX(Starter!B:B,MATCH(B9,Starter!A:A,0)),"")</f>
        <v>Auer, Cornelia</v>
      </c>
      <c r="D9" t="str">
        <f>IFERROR(INDEX(Starter!C:C,MATCH(B9,Starter!A:A,0)),"")</f>
        <v>BSC Highroller Rosenheim</v>
      </c>
      <c r="E9" s="102">
        <f t="shared" si="3"/>
        <v>1699</v>
      </c>
      <c r="F9">
        <f t="shared" si="4"/>
        <v>9</v>
      </c>
      <c r="G9" s="137">
        <f t="shared" si="5"/>
        <v>188.77777775377777</v>
      </c>
      <c r="L9" s="227">
        <f>INDEX(Starter!A:A,ROW()-1)</f>
        <v>38438</v>
      </c>
      <c r="M9">
        <f>SUMIF(Erfassung2!BD:BD,L9,Erfassung2!BW:BW)</f>
        <v>1594</v>
      </c>
      <c r="N9">
        <f>SUMIF(Erfassung2!BD:BD,L9,Erfassung2!BG:BG)</f>
        <v>9</v>
      </c>
      <c r="O9">
        <f t="shared" si="0"/>
        <v>177.11111110211112</v>
      </c>
      <c r="P9">
        <f t="shared" si="1"/>
        <v>17</v>
      </c>
    </row>
    <row r="10" spans="1:16" x14ac:dyDescent="0.35">
      <c r="A10">
        <f t="shared" si="6"/>
        <v>6</v>
      </c>
      <c r="B10">
        <f t="shared" si="2"/>
        <v>7574</v>
      </c>
      <c r="C10" t="str">
        <f>IFERROR(INDEX(Starter!B:B,MATCH(B10,Starter!A:A,0)),"")</f>
        <v>Clemenz, Brigitte</v>
      </c>
      <c r="D10" t="str">
        <f>IFERROR(INDEX(Starter!C:C,MATCH(B10,Starter!A:A,0)),"")</f>
        <v>BK München</v>
      </c>
      <c r="E10" s="102">
        <f t="shared" si="3"/>
        <v>1670</v>
      </c>
      <c r="F10">
        <f t="shared" si="4"/>
        <v>9</v>
      </c>
      <c r="G10" s="137">
        <f t="shared" si="5"/>
        <v>185.55555553755553</v>
      </c>
      <c r="L10" s="227">
        <f>INDEX(Starter!A:A,ROW()-1)</f>
        <v>38553</v>
      </c>
      <c r="M10">
        <f>SUMIF(Erfassung2!BD:BD,L10,Erfassung2!BW:BW)</f>
        <v>1729</v>
      </c>
      <c r="N10">
        <f>SUMIF(Erfassung2!BD:BD,L10,Erfassung2!BG:BG)</f>
        <v>9</v>
      </c>
      <c r="O10">
        <f t="shared" si="0"/>
        <v>192.11111110111111</v>
      </c>
      <c r="P10">
        <f t="shared" si="1"/>
        <v>3</v>
      </c>
    </row>
    <row r="11" spans="1:16" x14ac:dyDescent="0.35">
      <c r="A11">
        <f t="shared" si="6"/>
        <v>7</v>
      </c>
      <c r="B11">
        <f t="shared" si="2"/>
        <v>7752</v>
      </c>
      <c r="C11" t="str">
        <f>IFERROR(INDEX(Starter!B:B,MATCH(B11,Starter!A:A,0)),"")</f>
        <v>Treffke, Helga</v>
      </c>
      <c r="D11" t="str">
        <f>IFERROR(INDEX(Starter!C:C,MATCH(B11,Starter!A:A,0)),"")</f>
        <v>BC E.P.A. München</v>
      </c>
      <c r="E11" s="102">
        <f t="shared" si="3"/>
        <v>1288</v>
      </c>
      <c r="F11">
        <f t="shared" si="4"/>
        <v>7</v>
      </c>
      <c r="G11" s="137">
        <f t="shared" si="5"/>
        <v>183.99999995900001</v>
      </c>
      <c r="L11" s="227">
        <f>INDEX(Starter!A:A,ROW()-1)</f>
        <v>38350</v>
      </c>
      <c r="M11">
        <f>SUMIF(Erfassung2!BD:BD,L11,Erfassung2!BW:BW)</f>
        <v>1499</v>
      </c>
      <c r="N11">
        <f>SUMIF(Erfassung2!BD:BD,L11,Erfassung2!BG:BG)</f>
        <v>9</v>
      </c>
      <c r="O11">
        <f t="shared" si="0"/>
        <v>166.55555554455555</v>
      </c>
      <c r="P11">
        <f t="shared" si="1"/>
        <v>33</v>
      </c>
    </row>
    <row r="12" spans="1:16" x14ac:dyDescent="0.35">
      <c r="A12">
        <f t="shared" si="6"/>
        <v>8</v>
      </c>
      <c r="B12">
        <f t="shared" si="2"/>
        <v>7889</v>
      </c>
      <c r="C12" t="str">
        <f>IFERROR(INDEX(Starter!B:B,MATCH(B12,Starter!A:A,0)),"")</f>
        <v>Zahner, Barbara</v>
      </c>
      <c r="D12" t="str">
        <f>IFERROR(INDEX(Starter!C:C,MATCH(B12,Starter!A:A,0)),"")</f>
        <v>BC Praetoria</v>
      </c>
      <c r="E12" s="102">
        <f t="shared" si="3"/>
        <v>1645</v>
      </c>
      <c r="F12">
        <f t="shared" si="4"/>
        <v>9</v>
      </c>
      <c r="G12" s="137">
        <f t="shared" si="5"/>
        <v>182.77777777077776</v>
      </c>
      <c r="L12" s="227">
        <f>INDEX(Starter!A:A,ROW()-1)</f>
        <v>16594</v>
      </c>
      <c r="M12">
        <f>SUMIF(Erfassung2!BD:BD,L12,Erfassung2!BW:BW)</f>
        <v>0</v>
      </c>
      <c r="N12">
        <f>SUMIF(Erfassung2!BD:BD,L12,Erfassung2!BG:BG)</f>
        <v>0</v>
      </c>
      <c r="O12">
        <f t="shared" si="0"/>
        <v>0</v>
      </c>
      <c r="P12">
        <f t="shared" si="1"/>
        <v>42</v>
      </c>
    </row>
    <row r="13" spans="1:16" x14ac:dyDescent="0.35">
      <c r="A13">
        <f t="shared" si="6"/>
        <v>9</v>
      </c>
      <c r="B13">
        <f t="shared" si="2"/>
        <v>7575</v>
      </c>
      <c r="C13" t="str">
        <f>IFERROR(INDEX(Starter!B:B,MATCH(B13,Starter!A:A,0)),"")</f>
        <v>Dozauer, Jessica</v>
      </c>
      <c r="D13" t="str">
        <f>IFERROR(INDEX(Starter!C:C,MATCH(B13,Starter!A:A,0)),"")</f>
        <v>BK München</v>
      </c>
      <c r="E13" s="102">
        <f t="shared" si="3"/>
        <v>1641</v>
      </c>
      <c r="F13">
        <f t="shared" si="4"/>
        <v>9</v>
      </c>
      <c r="G13" s="137">
        <f t="shared" si="5"/>
        <v>182.33333331633335</v>
      </c>
      <c r="L13" s="227">
        <f>INDEX(Starter!A:A,ROW()-1)</f>
        <v>16595</v>
      </c>
      <c r="M13">
        <f>SUMIF(Erfassung2!BD:BD,L13,Erfassung2!BW:BW)</f>
        <v>0</v>
      </c>
      <c r="N13">
        <f>SUMIF(Erfassung2!BD:BD,L13,Erfassung2!BG:BG)</f>
        <v>0</v>
      </c>
      <c r="O13">
        <f t="shared" si="0"/>
        <v>0</v>
      </c>
      <c r="P13">
        <f t="shared" si="1"/>
        <v>42</v>
      </c>
    </row>
    <row r="14" spans="1:16" x14ac:dyDescent="0.35">
      <c r="A14">
        <f t="shared" si="6"/>
        <v>10</v>
      </c>
      <c r="B14">
        <f t="shared" si="2"/>
        <v>7534</v>
      </c>
      <c r="C14" t="str">
        <f>IFERROR(INDEX(Starter!B:B,MATCH(B14,Starter!A:A,0)),"")</f>
        <v>Lieb, Anja</v>
      </c>
      <c r="D14" t="str">
        <f>IFERROR(INDEX(Starter!C:C,MATCH(B14,Starter!A:A,0)),"")</f>
        <v>BC E.P.A. München</v>
      </c>
      <c r="E14" s="102">
        <f t="shared" si="3"/>
        <v>1632</v>
      </c>
      <c r="F14">
        <f t="shared" si="4"/>
        <v>9</v>
      </c>
      <c r="G14" s="137">
        <f t="shared" si="5"/>
        <v>181.33333326233335</v>
      </c>
      <c r="L14" s="227">
        <f>INDEX(Starter!A:A,ROW()-1)</f>
        <v>7061</v>
      </c>
      <c r="M14">
        <f>SUMIF(Erfassung2!BD:BD,L14,Erfassung2!BW:BW)</f>
        <v>0</v>
      </c>
      <c r="N14">
        <f>SUMIF(Erfassung2!BD:BD,L14,Erfassung2!BG:BG)</f>
        <v>0</v>
      </c>
      <c r="O14">
        <f t="shared" si="0"/>
        <v>0</v>
      </c>
      <c r="P14">
        <f t="shared" si="1"/>
        <v>42</v>
      </c>
    </row>
    <row r="15" spans="1:16" x14ac:dyDescent="0.35">
      <c r="A15">
        <f t="shared" si="6"/>
        <v>11</v>
      </c>
      <c r="B15">
        <f t="shared" si="2"/>
        <v>16170</v>
      </c>
      <c r="C15" t="str">
        <f>IFERROR(INDEX(Starter!B:B,MATCH(B15,Starter!A:A,0)),"")</f>
        <v>Wölki, Elisabeth</v>
      </c>
      <c r="D15" t="str">
        <f>IFERROR(INDEX(Starter!C:C,MATCH(B15,Starter!A:A,0)),"")</f>
        <v>BC Praetoria</v>
      </c>
      <c r="E15" s="102">
        <f t="shared" si="3"/>
        <v>1087</v>
      </c>
      <c r="F15">
        <f t="shared" si="4"/>
        <v>6</v>
      </c>
      <c r="G15" s="137">
        <f t="shared" si="5"/>
        <v>181.16666666066666</v>
      </c>
      <c r="L15" s="227">
        <f>INDEX(Starter!A:A,ROW()-1)</f>
        <v>25550</v>
      </c>
      <c r="M15">
        <f>SUMIF(Erfassung2!BD:BD,L15,Erfassung2!BW:BW)</f>
        <v>0</v>
      </c>
      <c r="N15">
        <f>SUMIF(Erfassung2!BD:BD,L15,Erfassung2!BG:BG)</f>
        <v>0</v>
      </c>
      <c r="O15">
        <f t="shared" si="0"/>
        <v>0</v>
      </c>
      <c r="P15">
        <f t="shared" si="1"/>
        <v>42</v>
      </c>
    </row>
    <row r="16" spans="1:16" x14ac:dyDescent="0.35">
      <c r="A16">
        <f t="shared" si="6"/>
        <v>12</v>
      </c>
      <c r="B16">
        <f t="shared" si="2"/>
        <v>16414</v>
      </c>
      <c r="C16" t="str">
        <f>IFERROR(INDEX(Starter!B:B,MATCH(B16,Starter!A:A,0)),"")</f>
        <v>Dornacher, Hannelore</v>
      </c>
      <c r="D16" t="str">
        <f>IFERROR(INDEX(Starter!C:C,MATCH(B16,Starter!A:A,0)),"")</f>
        <v>BF Weiß-Blau</v>
      </c>
      <c r="E16" s="102">
        <f t="shared" si="3"/>
        <v>1623</v>
      </c>
      <c r="F16">
        <f t="shared" si="4"/>
        <v>9</v>
      </c>
      <c r="G16" s="137">
        <f t="shared" si="5"/>
        <v>180.33333328733335</v>
      </c>
      <c r="L16" s="227">
        <f>INDEX(Starter!A:A,ROW()-1)</f>
        <v>7578</v>
      </c>
      <c r="M16">
        <f>SUMIF(Erfassung2!BD:BD,L16,Erfassung2!BW:BW)</f>
        <v>1815</v>
      </c>
      <c r="N16">
        <f>SUMIF(Erfassung2!BD:BD,L16,Erfassung2!BG:BG)</f>
        <v>9</v>
      </c>
      <c r="O16">
        <f t="shared" si="0"/>
        <v>201.66666665066666</v>
      </c>
      <c r="P16">
        <f t="shared" si="1"/>
        <v>1</v>
      </c>
    </row>
    <row r="17" spans="1:16" x14ac:dyDescent="0.35">
      <c r="A17">
        <f t="shared" si="6"/>
        <v>13</v>
      </c>
      <c r="B17">
        <f t="shared" si="2"/>
        <v>7431</v>
      </c>
      <c r="C17" t="str">
        <f>IFERROR(INDEX(Starter!B:B,MATCH(B17,Starter!A:A,0)),"")</f>
        <v>Denz, Angelika</v>
      </c>
      <c r="D17" t="str">
        <f>IFERROR(INDEX(Starter!C:C,MATCH(B17,Starter!A:A,0)),"")</f>
        <v>BF Weiß-Blau</v>
      </c>
      <c r="E17" s="102">
        <f t="shared" si="3"/>
        <v>1615</v>
      </c>
      <c r="F17">
        <f t="shared" si="4"/>
        <v>9</v>
      </c>
      <c r="G17" s="137">
        <f t="shared" si="5"/>
        <v>179.44444440044447</v>
      </c>
      <c r="L17" s="227">
        <f>INDEX(Starter!A:A,ROW()-1)</f>
        <v>7575</v>
      </c>
      <c r="M17">
        <f>SUMIF(Erfassung2!BD:BD,L17,Erfassung2!BW:BW)</f>
        <v>1641</v>
      </c>
      <c r="N17">
        <f>SUMIF(Erfassung2!BD:BD,L17,Erfassung2!BG:BG)</f>
        <v>9</v>
      </c>
      <c r="O17">
        <f t="shared" si="0"/>
        <v>182.33333331633335</v>
      </c>
      <c r="P17">
        <f t="shared" si="1"/>
        <v>9</v>
      </c>
    </row>
    <row r="18" spans="1:16" x14ac:dyDescent="0.35">
      <c r="A18">
        <f t="shared" si="6"/>
        <v>14</v>
      </c>
      <c r="B18">
        <f t="shared" si="2"/>
        <v>7786</v>
      </c>
      <c r="C18" t="str">
        <f>IFERROR(INDEX(Starter!B:B,MATCH(B18,Starter!A:A,0)),"")</f>
        <v>Reichel, Christina</v>
      </c>
      <c r="D18" t="str">
        <f>IFERROR(INDEX(Starter!C:C,MATCH(B18,Starter!A:A,0)),"")</f>
        <v>BC Phönix 03 Lauf</v>
      </c>
      <c r="E18" s="102">
        <f t="shared" si="3"/>
        <v>1613</v>
      </c>
      <c r="F18">
        <f t="shared" si="4"/>
        <v>9</v>
      </c>
      <c r="G18" s="137">
        <f t="shared" si="5"/>
        <v>179.22222216722224</v>
      </c>
      <c r="L18" s="227">
        <f>INDEX(Starter!A:A,ROW()-1)</f>
        <v>7574</v>
      </c>
      <c r="M18">
        <f>SUMIF(Erfassung2!BD:BD,L18,Erfassung2!BW:BW)</f>
        <v>1670</v>
      </c>
      <c r="N18">
        <f>SUMIF(Erfassung2!BD:BD,L18,Erfassung2!BG:BG)</f>
        <v>9</v>
      </c>
      <c r="O18">
        <f t="shared" si="0"/>
        <v>185.55555553755553</v>
      </c>
      <c r="P18">
        <f t="shared" si="1"/>
        <v>6</v>
      </c>
    </row>
    <row r="19" spans="1:16" x14ac:dyDescent="0.35">
      <c r="A19">
        <f t="shared" si="6"/>
        <v>15</v>
      </c>
      <c r="B19">
        <f t="shared" si="2"/>
        <v>38513</v>
      </c>
      <c r="C19" t="str">
        <f>IFERROR(INDEX(Starter!B:B,MATCH(B19,Starter!A:A,0)),"")</f>
        <v>Thöne, Melanie</v>
      </c>
      <c r="D19" t="str">
        <f>IFERROR(INDEX(Starter!C:C,MATCH(B19,Starter!A:A,0)),"")</f>
        <v>BF Rot-Weiß Lichtenhof 69</v>
      </c>
      <c r="E19" s="102">
        <f t="shared" si="3"/>
        <v>1598</v>
      </c>
      <c r="F19">
        <f t="shared" si="4"/>
        <v>9</v>
      </c>
      <c r="G19" s="137">
        <f t="shared" si="5"/>
        <v>177.55555549655554</v>
      </c>
      <c r="L19" s="227">
        <f>INDEX(Starter!A:A,ROW()-1)</f>
        <v>7576</v>
      </c>
      <c r="M19">
        <f>SUMIF(Erfassung2!BD:BD,L19,Erfassung2!BW:BW)</f>
        <v>628</v>
      </c>
      <c r="N19">
        <f>SUMIF(Erfassung2!BD:BD,L19,Erfassung2!BG:BG)</f>
        <v>4</v>
      </c>
      <c r="O19">
        <f t="shared" si="0"/>
        <v>156.999999981</v>
      </c>
      <c r="P19">
        <f t="shared" si="1"/>
        <v>38</v>
      </c>
    </row>
    <row r="20" spans="1:16" x14ac:dyDescent="0.35">
      <c r="A20">
        <f t="shared" si="6"/>
        <v>16</v>
      </c>
      <c r="B20">
        <f t="shared" si="2"/>
        <v>7087</v>
      </c>
      <c r="C20" t="str">
        <f>IFERROR(INDEX(Starter!B:B,MATCH(B20,Starter!A:A,0)),"")</f>
        <v>Albert, Beate</v>
      </c>
      <c r="D20" t="str">
        <f>IFERROR(INDEX(Starter!C:C,MATCH(B20,Starter!A:A,0)),"")</f>
        <v>BF Weiß-Blau</v>
      </c>
      <c r="E20" s="102">
        <f t="shared" si="3"/>
        <v>1595</v>
      </c>
      <c r="F20">
        <f t="shared" si="4"/>
        <v>9</v>
      </c>
      <c r="G20" s="137">
        <f t="shared" si="5"/>
        <v>177.22222217722222</v>
      </c>
      <c r="L20" s="227">
        <f>INDEX(Starter!A:A,ROW()-1)</f>
        <v>12850</v>
      </c>
      <c r="M20">
        <f>SUMIF(Erfassung2!BD:BD,L20,Erfassung2!BW:BW)</f>
        <v>788</v>
      </c>
      <c r="N20">
        <f>SUMIF(Erfassung2!BD:BD,L20,Erfassung2!BG:BG)</f>
        <v>5</v>
      </c>
      <c r="O20">
        <f t="shared" si="0"/>
        <v>157.59999998000001</v>
      </c>
      <c r="P20">
        <f t="shared" si="1"/>
        <v>37</v>
      </c>
    </row>
    <row r="21" spans="1:16" x14ac:dyDescent="0.35">
      <c r="A21">
        <f t="shared" si="6"/>
        <v>17</v>
      </c>
      <c r="B21">
        <f t="shared" si="2"/>
        <v>38438</v>
      </c>
      <c r="C21" t="str">
        <f>IFERROR(INDEX(Starter!B:B,MATCH(B21,Starter!A:A,0)),"")</f>
        <v>Hassforth, Lea</v>
      </c>
      <c r="D21" t="str">
        <f>IFERROR(INDEX(Starter!C:C,MATCH(B21,Starter!A:A,0)),"")</f>
        <v>BK München</v>
      </c>
      <c r="E21" s="102">
        <f t="shared" si="3"/>
        <v>1594</v>
      </c>
      <c r="F21">
        <f t="shared" si="4"/>
        <v>9</v>
      </c>
      <c r="G21" s="137">
        <f t="shared" si="5"/>
        <v>177.11111110211112</v>
      </c>
      <c r="L21" s="227">
        <f>INDEX(Starter!A:A,ROW()-1)</f>
        <v>16879</v>
      </c>
      <c r="M21">
        <f>SUMIF(Erfassung2!BD:BD,L21,Erfassung2!BW:BW)</f>
        <v>0</v>
      </c>
      <c r="N21">
        <f>SUMIF(Erfassung2!BD:BD,L21,Erfassung2!BG:BG)</f>
        <v>0</v>
      </c>
      <c r="O21">
        <f t="shared" si="0"/>
        <v>0</v>
      </c>
      <c r="P21">
        <f t="shared" si="1"/>
        <v>42</v>
      </c>
    </row>
    <row r="22" spans="1:16" x14ac:dyDescent="0.35">
      <c r="A22">
        <f t="shared" si="6"/>
        <v>18</v>
      </c>
      <c r="B22">
        <f t="shared" si="2"/>
        <v>7758</v>
      </c>
      <c r="C22" t="str">
        <f>IFERROR(INDEX(Starter!B:B,MATCH(B22,Starter!A:A,0)),"")</f>
        <v>Deinlein, Christine</v>
      </c>
      <c r="D22" t="str">
        <f>IFERROR(INDEX(Starter!C:C,MATCH(B22,Starter!A:A,0)),"")</f>
        <v>BC Frankenpower</v>
      </c>
      <c r="E22" s="102">
        <f t="shared" si="3"/>
        <v>1584</v>
      </c>
      <c r="F22">
        <f t="shared" si="4"/>
        <v>9</v>
      </c>
      <c r="G22" s="137">
        <f t="shared" si="5"/>
        <v>175.99999997</v>
      </c>
      <c r="L22" s="227">
        <f>INDEX(Starter!A:A,ROW()-1)</f>
        <v>7991</v>
      </c>
      <c r="M22">
        <f>SUMIF(Erfassung2!BD:BD,L22,Erfassung2!BW:BW)</f>
        <v>0</v>
      </c>
      <c r="N22">
        <f>SUMIF(Erfassung2!BD:BD,L22,Erfassung2!BG:BG)</f>
        <v>0</v>
      </c>
      <c r="O22">
        <f t="shared" si="0"/>
        <v>0</v>
      </c>
      <c r="P22">
        <f t="shared" si="1"/>
        <v>42</v>
      </c>
    </row>
    <row r="23" spans="1:16" x14ac:dyDescent="0.35">
      <c r="A23">
        <f t="shared" si="6"/>
        <v>19</v>
      </c>
      <c r="B23">
        <f t="shared" si="2"/>
        <v>25751</v>
      </c>
      <c r="C23" t="str">
        <f>IFERROR(INDEX(Starter!B:B,MATCH(B23,Starter!A:A,0)),"")</f>
        <v>Schlundt, Sabrina</v>
      </c>
      <c r="D23" t="str">
        <f>IFERROR(INDEX(Starter!C:C,MATCH(B23,Starter!A:A,0)),"")</f>
        <v>BC Praetoria</v>
      </c>
      <c r="E23" s="102">
        <f t="shared" si="3"/>
        <v>1583</v>
      </c>
      <c r="F23">
        <f t="shared" si="4"/>
        <v>9</v>
      </c>
      <c r="G23" s="137">
        <f t="shared" si="5"/>
        <v>175.88888888688888</v>
      </c>
      <c r="L23" s="227">
        <f>INDEX(Starter!A:A,ROW()-1)</f>
        <v>7024</v>
      </c>
      <c r="M23">
        <f>SUMIF(Erfassung2!BD:BD,L23,Erfassung2!BW:BW)</f>
        <v>0</v>
      </c>
      <c r="N23">
        <f>SUMIF(Erfassung2!BD:BD,L23,Erfassung2!BG:BG)</f>
        <v>0</v>
      </c>
      <c r="O23">
        <f t="shared" si="0"/>
        <v>0</v>
      </c>
      <c r="P23">
        <f t="shared" si="1"/>
        <v>42</v>
      </c>
    </row>
    <row r="24" spans="1:16" x14ac:dyDescent="0.35">
      <c r="A24">
        <f t="shared" si="6"/>
        <v>20</v>
      </c>
      <c r="B24">
        <f t="shared" si="2"/>
        <v>38289</v>
      </c>
      <c r="C24" t="str">
        <f>IFERROR(INDEX(Starter!B:B,MATCH(B24,Starter!A:A,0)),"")</f>
        <v>Kirschke, Sandra</v>
      </c>
      <c r="D24" t="str">
        <f>IFERROR(INDEX(Starter!C:C,MATCH(B24,Starter!A:A,0)),"")</f>
        <v>BC LA Bowling</v>
      </c>
      <c r="E24" s="102">
        <f t="shared" si="3"/>
        <v>1583</v>
      </c>
      <c r="F24">
        <f t="shared" si="4"/>
        <v>9</v>
      </c>
      <c r="G24" s="137">
        <f t="shared" si="5"/>
        <v>175.88888881688888</v>
      </c>
      <c r="L24" s="227">
        <f>INDEX(Starter!A:A,ROW()-1)</f>
        <v>25298</v>
      </c>
      <c r="M24">
        <f>SUMIF(Erfassung2!BD:BD,L24,Erfassung2!BW:BW)</f>
        <v>1699</v>
      </c>
      <c r="N24">
        <f>SUMIF(Erfassung2!BD:BD,L24,Erfassung2!BG:BG)</f>
        <v>9</v>
      </c>
      <c r="O24">
        <f t="shared" si="0"/>
        <v>188.77777775377777</v>
      </c>
      <c r="P24">
        <f t="shared" si="1"/>
        <v>5</v>
      </c>
    </row>
    <row r="25" spans="1:16" x14ac:dyDescent="0.35">
      <c r="A25">
        <f t="shared" si="6"/>
        <v>21</v>
      </c>
      <c r="B25">
        <f t="shared" si="2"/>
        <v>38560</v>
      </c>
      <c r="C25" t="str">
        <f>IFERROR(INDEX(Starter!B:B,MATCH(B25,Starter!A:A,0)),"")</f>
        <v>Reng, Verena</v>
      </c>
      <c r="D25" t="str">
        <f>IFERROR(INDEX(Starter!C:C,MATCH(B25,Starter!A:A,0)),"")</f>
        <v>BC Frankenpower</v>
      </c>
      <c r="E25" s="102">
        <f t="shared" si="3"/>
        <v>1571</v>
      </c>
      <c r="F25">
        <f t="shared" si="4"/>
        <v>9</v>
      </c>
      <c r="G25" s="137">
        <f t="shared" si="5"/>
        <v>174.55555552355554</v>
      </c>
      <c r="L25" s="227">
        <f>INDEX(Starter!A:A,ROW()-1)</f>
        <v>38757</v>
      </c>
      <c r="M25">
        <f>SUMIF(Erfassung2!BD:BD,L25,Erfassung2!BW:BW)</f>
        <v>1176</v>
      </c>
      <c r="N25">
        <f>SUMIF(Erfassung2!BD:BD,L25,Erfassung2!BG:BG)</f>
        <v>7</v>
      </c>
      <c r="O25">
        <f t="shared" si="0"/>
        <v>167.99999997500001</v>
      </c>
      <c r="P25">
        <f t="shared" si="1"/>
        <v>31</v>
      </c>
    </row>
    <row r="26" spans="1:16" x14ac:dyDescent="0.35">
      <c r="A26">
        <f t="shared" si="6"/>
        <v>22</v>
      </c>
      <c r="B26">
        <f t="shared" si="2"/>
        <v>7976</v>
      </c>
      <c r="C26" t="str">
        <f>IFERROR(INDEX(Starter!B:B,MATCH(B26,Starter!A:A,0)),"")</f>
        <v>Martisko, Petra</v>
      </c>
      <c r="D26" t="str">
        <f>IFERROR(INDEX(Starter!C:C,MATCH(B26,Starter!A:A,0)),"")</f>
        <v>BF Rot-Weiß Lichtenhof 69</v>
      </c>
      <c r="E26" s="102">
        <f t="shared" si="3"/>
        <v>1569</v>
      </c>
      <c r="F26">
        <f t="shared" si="4"/>
        <v>9</v>
      </c>
      <c r="G26" s="137">
        <f t="shared" si="5"/>
        <v>174.33333327233333</v>
      </c>
      <c r="L26" s="227">
        <f>INDEX(Starter!A:A,ROW()-1)</f>
        <v>25630</v>
      </c>
      <c r="M26">
        <f>SUMIF(Erfassung2!BD:BD,L26,Erfassung2!BW:BW)</f>
        <v>1158</v>
      </c>
      <c r="N26">
        <f>SUMIF(Erfassung2!BD:BD,L26,Erfassung2!BG:BG)</f>
        <v>7</v>
      </c>
      <c r="O26">
        <f t="shared" si="0"/>
        <v>165.42857140257141</v>
      </c>
      <c r="P26">
        <f t="shared" si="1"/>
        <v>35</v>
      </c>
    </row>
    <row r="27" spans="1:16" x14ac:dyDescent="0.35">
      <c r="A27">
        <f t="shared" si="6"/>
        <v>23</v>
      </c>
      <c r="B27">
        <f t="shared" si="2"/>
        <v>7753</v>
      </c>
      <c r="C27" t="str">
        <f>IFERROR(INDEX(Starter!B:B,MATCH(B27,Starter!A:A,0)),"")</f>
        <v>Krämer, Gisela</v>
      </c>
      <c r="D27" t="str">
        <f>IFERROR(INDEX(Starter!C:C,MATCH(B27,Starter!A:A,0)),"")</f>
        <v>BC Frankenpower</v>
      </c>
      <c r="E27" s="102">
        <f t="shared" si="3"/>
        <v>1566</v>
      </c>
      <c r="F27">
        <f t="shared" si="4"/>
        <v>9</v>
      </c>
      <c r="G27" s="137">
        <f t="shared" si="5"/>
        <v>173.99999997099999</v>
      </c>
      <c r="L27" s="227">
        <f>INDEX(Starter!A:A,ROW()-1)</f>
        <v>38758</v>
      </c>
      <c r="M27">
        <f>SUMIF(Erfassung2!BD:BD,L27,Erfassung2!BW:BW)</f>
        <v>1558</v>
      </c>
      <c r="N27">
        <f>SUMIF(Erfassung2!BD:BD,L27,Erfassung2!BG:BG)</f>
        <v>9</v>
      </c>
      <c r="O27">
        <f t="shared" si="0"/>
        <v>173.11111108411112</v>
      </c>
      <c r="P27">
        <f t="shared" si="1"/>
        <v>25</v>
      </c>
    </row>
    <row r="28" spans="1:16" x14ac:dyDescent="0.35">
      <c r="A28">
        <f t="shared" si="6"/>
        <v>24</v>
      </c>
      <c r="B28">
        <f t="shared" si="2"/>
        <v>38458</v>
      </c>
      <c r="C28" t="str">
        <f>IFERROR(INDEX(Starter!B:B,MATCH(B28,Starter!A:A,0)),"")</f>
        <v>Lindner, Theresa</v>
      </c>
      <c r="D28" t="str">
        <f>IFERROR(INDEX(Starter!C:C,MATCH(B28,Starter!A:A,0)),"")</f>
        <v>BSC Highroller Rosenheim</v>
      </c>
      <c r="E28" s="102">
        <f t="shared" si="3"/>
        <v>694</v>
      </c>
      <c r="F28">
        <f t="shared" si="4"/>
        <v>4</v>
      </c>
      <c r="G28" s="137">
        <f t="shared" si="5"/>
        <v>173.49999993500001</v>
      </c>
      <c r="L28" s="227">
        <f>INDEX(Starter!A:A,ROW()-1)</f>
        <v>7754</v>
      </c>
      <c r="M28">
        <f>SUMIF(Erfassung2!BD:BD,L28,Erfassung2!BW:BW)</f>
        <v>0</v>
      </c>
      <c r="N28">
        <f>SUMIF(Erfassung2!BD:BD,L28,Erfassung2!BG:BG)</f>
        <v>0</v>
      </c>
      <c r="O28">
        <f t="shared" si="0"/>
        <v>0</v>
      </c>
      <c r="P28">
        <f t="shared" si="1"/>
        <v>42</v>
      </c>
    </row>
    <row r="29" spans="1:16" x14ac:dyDescent="0.35">
      <c r="A29">
        <f t="shared" si="6"/>
        <v>25</v>
      </c>
      <c r="B29">
        <f t="shared" si="2"/>
        <v>38758</v>
      </c>
      <c r="C29" t="str">
        <f>IFERROR(INDEX(Starter!B:B,MATCH(B29,Starter!A:A,0)),"")</f>
        <v>Rauscher, Julia</v>
      </c>
      <c r="D29" t="str">
        <f>IFERROR(INDEX(Starter!C:C,MATCH(B29,Starter!A:A,0)),"")</f>
        <v>BSC Highroller Rosenheim</v>
      </c>
      <c r="E29" s="102">
        <f t="shared" si="3"/>
        <v>1558</v>
      </c>
      <c r="F29">
        <f t="shared" si="4"/>
        <v>9</v>
      </c>
      <c r="G29" s="137">
        <f t="shared" si="5"/>
        <v>173.11111108411112</v>
      </c>
      <c r="L29" s="227">
        <f>INDEX(Starter!A:A,ROW()-1)</f>
        <v>7753</v>
      </c>
      <c r="M29">
        <f>SUMIF(Erfassung2!BD:BD,L29,Erfassung2!BW:BW)</f>
        <v>1566</v>
      </c>
      <c r="N29">
        <f>SUMIF(Erfassung2!BD:BD,L29,Erfassung2!BG:BG)</f>
        <v>9</v>
      </c>
      <c r="O29">
        <f t="shared" si="0"/>
        <v>173.99999997099999</v>
      </c>
      <c r="P29">
        <f t="shared" si="1"/>
        <v>23</v>
      </c>
    </row>
    <row r="30" spans="1:16" x14ac:dyDescent="0.35">
      <c r="A30">
        <f t="shared" si="6"/>
        <v>26</v>
      </c>
      <c r="B30">
        <f t="shared" si="2"/>
        <v>7972</v>
      </c>
      <c r="C30" t="str">
        <f>IFERROR(INDEX(Starter!B:B,MATCH(B30,Starter!A:A,0)),"")</f>
        <v>Hödl, Renate</v>
      </c>
      <c r="D30" t="str">
        <f>IFERROR(INDEX(Starter!C:C,MATCH(B30,Starter!A:A,0)),"")</f>
        <v>BF Rot-Weiß Lichtenhof 69</v>
      </c>
      <c r="E30" s="102">
        <f t="shared" si="3"/>
        <v>1544</v>
      </c>
      <c r="F30">
        <f t="shared" si="4"/>
        <v>9</v>
      </c>
      <c r="G30" s="137">
        <f t="shared" si="5"/>
        <v>171.55555549555555</v>
      </c>
      <c r="L30" s="227">
        <f>INDEX(Starter!A:A,ROW()-1)</f>
        <v>7758</v>
      </c>
      <c r="M30">
        <f>SUMIF(Erfassung2!BD:BD,L30,Erfassung2!BW:BW)</f>
        <v>1584</v>
      </c>
      <c r="N30">
        <f>SUMIF(Erfassung2!BD:BD,L30,Erfassung2!BG:BG)</f>
        <v>9</v>
      </c>
      <c r="O30">
        <f t="shared" si="0"/>
        <v>175.99999997</v>
      </c>
      <c r="P30">
        <f t="shared" si="1"/>
        <v>18</v>
      </c>
    </row>
    <row r="31" spans="1:16" x14ac:dyDescent="0.35">
      <c r="A31">
        <f t="shared" si="6"/>
        <v>27</v>
      </c>
      <c r="B31">
        <f t="shared" si="2"/>
        <v>7903</v>
      </c>
      <c r="C31" t="str">
        <f>IFERROR(INDEX(Starter!B:B,MATCH(B31,Starter!A:A,0)),"")</f>
        <v>Spieler, Regina</v>
      </c>
      <c r="D31" t="str">
        <f>IFERROR(INDEX(Starter!C:C,MATCH(B31,Starter!A:A,0)),"")</f>
        <v>BC Praetoria</v>
      </c>
      <c r="E31" s="102">
        <f t="shared" si="3"/>
        <v>855</v>
      </c>
      <c r="F31">
        <f t="shared" si="4"/>
        <v>5</v>
      </c>
      <c r="G31" s="137">
        <f t="shared" si="5"/>
        <v>170.999999995</v>
      </c>
      <c r="L31" s="227">
        <f>INDEX(Starter!A:A,ROW()-1)</f>
        <v>7757</v>
      </c>
      <c r="M31">
        <f>SUMIF(Erfassung2!BD:BD,L31,Erfassung2!BW:BW)</f>
        <v>1514</v>
      </c>
      <c r="N31">
        <f>SUMIF(Erfassung2!BD:BD,L31,Erfassung2!BG:BG)</f>
        <v>9</v>
      </c>
      <c r="O31">
        <f t="shared" si="0"/>
        <v>168.22222219122222</v>
      </c>
      <c r="P31">
        <f t="shared" si="1"/>
        <v>30</v>
      </c>
    </row>
    <row r="32" spans="1:16" x14ac:dyDescent="0.35">
      <c r="A32">
        <f t="shared" si="6"/>
        <v>28</v>
      </c>
      <c r="B32">
        <f t="shared" si="2"/>
        <v>38258</v>
      </c>
      <c r="C32" t="str">
        <f>IFERROR(INDEX(Starter!B:B,MATCH(B32,Starter!A:A,0)),"")</f>
        <v>Bösl, Anna</v>
      </c>
      <c r="D32" t="str">
        <f>IFERROR(INDEX(Starter!C:C,MATCH(B32,Starter!A:A,0)),"")</f>
        <v>BC Praetoria</v>
      </c>
      <c r="E32" s="102">
        <f t="shared" si="3"/>
        <v>1181</v>
      </c>
      <c r="F32">
        <f t="shared" si="4"/>
        <v>7</v>
      </c>
      <c r="G32" s="137">
        <f t="shared" si="5"/>
        <v>168.71428571128573</v>
      </c>
      <c r="L32" s="227">
        <f>INDEX(Starter!A:A,ROW()-1)</f>
        <v>38560</v>
      </c>
      <c r="M32">
        <f>SUMIF(Erfassung2!BD:BD,L32,Erfassung2!BW:BW)</f>
        <v>1571</v>
      </c>
      <c r="N32">
        <f>SUMIF(Erfassung2!BD:BD,L32,Erfassung2!BG:BG)</f>
        <v>9</v>
      </c>
      <c r="O32">
        <f t="shared" si="0"/>
        <v>174.55555552355554</v>
      </c>
      <c r="P32">
        <f t="shared" si="1"/>
        <v>21</v>
      </c>
    </row>
    <row r="33" spans="1:16" x14ac:dyDescent="0.35">
      <c r="A33">
        <f t="shared" si="6"/>
        <v>29</v>
      </c>
      <c r="B33">
        <f t="shared" si="2"/>
        <v>21185</v>
      </c>
      <c r="C33" t="str">
        <f>IFERROR(INDEX(Starter!B:B,MATCH(B33,Starter!A:A,0)),"")</f>
        <v>Richter, Petra</v>
      </c>
      <c r="D33" t="str">
        <f>IFERROR(INDEX(Starter!C:C,MATCH(B33,Starter!A:A,0)),"")</f>
        <v>BF Weiß-Blau</v>
      </c>
      <c r="E33" s="102">
        <f t="shared" si="3"/>
        <v>1516</v>
      </c>
      <c r="F33">
        <f t="shared" si="4"/>
        <v>9</v>
      </c>
      <c r="G33" s="137">
        <f t="shared" si="5"/>
        <v>168.44444439344446</v>
      </c>
      <c r="L33" s="227">
        <f>INDEX(Starter!A:A,ROW()-1)</f>
        <v>7755</v>
      </c>
      <c r="M33">
        <f>SUMIF(Erfassung2!BD:BD,L33,Erfassung2!BW:BW)</f>
        <v>0</v>
      </c>
      <c r="N33">
        <f>SUMIF(Erfassung2!BD:BD,L33,Erfassung2!BG:BG)</f>
        <v>0</v>
      </c>
      <c r="O33">
        <f t="shared" si="0"/>
        <v>0</v>
      </c>
      <c r="P33">
        <f t="shared" si="1"/>
        <v>42</v>
      </c>
    </row>
    <row r="34" spans="1:16" x14ac:dyDescent="0.35">
      <c r="A34">
        <f t="shared" si="6"/>
        <v>30</v>
      </c>
      <c r="B34">
        <f t="shared" si="2"/>
        <v>7757</v>
      </c>
      <c r="C34" t="str">
        <f>IFERROR(INDEX(Starter!B:B,MATCH(B34,Starter!A:A,0)),"")</f>
        <v>Legl, Renate</v>
      </c>
      <c r="D34" t="str">
        <f>IFERROR(INDEX(Starter!C:C,MATCH(B34,Starter!A:A,0)),"")</f>
        <v>BC Frankenpower</v>
      </c>
      <c r="E34" s="102">
        <f t="shared" si="3"/>
        <v>1514</v>
      </c>
      <c r="F34">
        <f t="shared" si="4"/>
        <v>9</v>
      </c>
      <c r="G34" s="137">
        <f t="shared" si="5"/>
        <v>168.22222219122222</v>
      </c>
      <c r="L34" s="227">
        <f>INDEX(Starter!A:A,ROW()-1)</f>
        <v>7676</v>
      </c>
      <c r="M34">
        <f>SUMIF(Erfassung2!BD:BD,L34,Erfassung2!BW:BW)</f>
        <v>0</v>
      </c>
      <c r="N34">
        <f>SUMIF(Erfassung2!BD:BD,L34,Erfassung2!BG:BG)</f>
        <v>0</v>
      </c>
      <c r="O34">
        <f t="shared" si="0"/>
        <v>0</v>
      </c>
      <c r="P34">
        <f t="shared" si="1"/>
        <v>42</v>
      </c>
    </row>
    <row r="35" spans="1:16" x14ac:dyDescent="0.35">
      <c r="A35">
        <f t="shared" si="6"/>
        <v>31</v>
      </c>
      <c r="B35">
        <f t="shared" si="2"/>
        <v>38757</v>
      </c>
      <c r="C35" t="str">
        <f>IFERROR(INDEX(Starter!B:B,MATCH(B35,Starter!A:A,0)),"")</f>
        <v>Schanze, Bianka</v>
      </c>
      <c r="D35" t="str">
        <f>IFERROR(INDEX(Starter!C:C,MATCH(B35,Starter!A:A,0)),"")</f>
        <v>BSC Highroller Rosenheim</v>
      </c>
      <c r="E35" s="102">
        <f t="shared" si="3"/>
        <v>1176</v>
      </c>
      <c r="F35">
        <f t="shared" si="4"/>
        <v>7</v>
      </c>
      <c r="G35" s="137">
        <f t="shared" si="5"/>
        <v>167.99999997500001</v>
      </c>
      <c r="L35" s="227">
        <f>INDEX(Starter!A:A,ROW()-1)</f>
        <v>16804</v>
      </c>
      <c r="M35">
        <f>SUMIF(Erfassung2!BD:BD,L35,Erfassung2!BW:BW)</f>
        <v>0</v>
      </c>
      <c r="N35">
        <f>SUMIF(Erfassung2!BD:BD,L35,Erfassung2!BG:BG)</f>
        <v>0</v>
      </c>
      <c r="O35">
        <f t="shared" si="0"/>
        <v>0</v>
      </c>
      <c r="P35">
        <f t="shared" si="1"/>
        <v>42</v>
      </c>
    </row>
    <row r="36" spans="1:16" x14ac:dyDescent="0.35">
      <c r="A36">
        <f t="shared" si="6"/>
        <v>32</v>
      </c>
      <c r="B36">
        <f t="shared" si="2"/>
        <v>25714</v>
      </c>
      <c r="C36" t="str">
        <f>IFERROR(INDEX(Starter!B:B,MATCH(B36,Starter!A:A,0)),"")</f>
        <v>Schulz, Carolin</v>
      </c>
      <c r="D36" t="str">
        <f>IFERROR(INDEX(Starter!C:C,MATCH(B36,Starter!A:A,0)),"")</f>
        <v>BC E.P.A. München</v>
      </c>
      <c r="E36" s="102">
        <f t="shared" si="3"/>
        <v>1176</v>
      </c>
      <c r="F36">
        <f t="shared" si="4"/>
        <v>7</v>
      </c>
      <c r="G36" s="137">
        <f t="shared" si="5"/>
        <v>167.99999993</v>
      </c>
      <c r="L36" s="227">
        <f>INDEX(Starter!A:A,ROW()-1)</f>
        <v>7978</v>
      </c>
      <c r="M36">
        <f>SUMIF(Erfassung2!BD:BD,L36,Erfassung2!BW:BW)</f>
        <v>0</v>
      </c>
      <c r="N36">
        <f>SUMIF(Erfassung2!BD:BD,L36,Erfassung2!BG:BG)</f>
        <v>0</v>
      </c>
      <c r="O36">
        <f t="shared" si="0"/>
        <v>0</v>
      </c>
      <c r="P36">
        <f t="shared" si="1"/>
        <v>42</v>
      </c>
    </row>
    <row r="37" spans="1:16" x14ac:dyDescent="0.35">
      <c r="A37">
        <f t="shared" si="6"/>
        <v>33</v>
      </c>
      <c r="B37">
        <f t="shared" ref="B37:B68" si="7">IFERROR(INDEX(L:L,MATCH(A37,P:P,0)),"")</f>
        <v>38350</v>
      </c>
      <c r="C37" t="str">
        <f>IFERROR(INDEX(Starter!B:B,MATCH(B37,Starter!A:A,0)),"")</f>
        <v>Seeger, Melanie</v>
      </c>
      <c r="D37" t="str">
        <f>IFERROR(INDEX(Starter!C:C,MATCH(B37,Starter!A:A,0)),"")</f>
        <v>BK München</v>
      </c>
      <c r="E37" s="102">
        <f t="shared" ref="E37:E68" si="8">IFERROR(INDEX(M:M,MATCH(A37,P:P,0)),"")</f>
        <v>1499</v>
      </c>
      <c r="F37">
        <f t="shared" ref="F37:F68" si="9">IFERROR(INDEX(N:N,MATCH(A37,P:P,0)),"")</f>
        <v>9</v>
      </c>
      <c r="G37" s="137">
        <f t="shared" ref="G37:G68" si="10">IFERROR(INDEX(O:O,MATCH(A37,P:P,0)),"")</f>
        <v>166.55555554455555</v>
      </c>
      <c r="L37" s="227">
        <f>INDEX(Starter!A:A,ROW()-1)</f>
        <v>16029</v>
      </c>
      <c r="M37">
        <f>SUMIF(Erfassung2!BD:BD,L37,Erfassung2!BW:BW)</f>
        <v>0</v>
      </c>
      <c r="N37">
        <f>SUMIF(Erfassung2!BD:BD,L37,Erfassung2!BG:BG)</f>
        <v>0</v>
      </c>
      <c r="O37">
        <f t="shared" si="0"/>
        <v>0</v>
      </c>
      <c r="P37">
        <f t="shared" si="1"/>
        <v>42</v>
      </c>
    </row>
    <row r="38" spans="1:16" x14ac:dyDescent="0.35">
      <c r="A38">
        <f t="shared" ref="A38:A69" si="11">IFERROR(IF(A37+1&gt;MAX(P:P)-1,"",A37+1),"")</f>
        <v>34</v>
      </c>
      <c r="B38">
        <f t="shared" si="7"/>
        <v>25551</v>
      </c>
      <c r="C38" t="str">
        <f>IFERROR(INDEX(Starter!B:B,MATCH(B38,Starter!A:A,0)),"")</f>
        <v>Wahl, Alexandra</v>
      </c>
      <c r="D38" t="str">
        <f>IFERROR(INDEX(Starter!C:C,MATCH(B38,Starter!A:A,0)),"")</f>
        <v>BF Rot-Weiß Lichtenhof 69</v>
      </c>
      <c r="E38" s="102">
        <f t="shared" si="8"/>
        <v>1497</v>
      </c>
      <c r="F38">
        <f t="shared" si="9"/>
        <v>9</v>
      </c>
      <c r="G38" s="137">
        <f t="shared" si="10"/>
        <v>166.33333327633335</v>
      </c>
      <c r="L38" s="227">
        <f>INDEX(Starter!A:A,ROW()-1)</f>
        <v>7082</v>
      </c>
      <c r="M38">
        <f>SUMIF(Erfassung2!BD:BD,L38,Erfassung2!BW:BW)</f>
        <v>0</v>
      </c>
      <c r="N38">
        <f>SUMIF(Erfassung2!BD:BD,L38,Erfassung2!BG:BG)</f>
        <v>0</v>
      </c>
      <c r="O38">
        <f t="shared" si="0"/>
        <v>0</v>
      </c>
      <c r="P38">
        <f t="shared" si="1"/>
        <v>42</v>
      </c>
    </row>
    <row r="39" spans="1:16" x14ac:dyDescent="0.35">
      <c r="A39">
        <f t="shared" si="11"/>
        <v>35</v>
      </c>
      <c r="B39">
        <f t="shared" si="7"/>
        <v>25630</v>
      </c>
      <c r="C39" t="str">
        <f>IFERROR(INDEX(Starter!B:B,MATCH(B39,Starter!A:A,0)),"")</f>
        <v>Groll, Hanni</v>
      </c>
      <c r="D39" t="str">
        <f>IFERROR(INDEX(Starter!C:C,MATCH(B39,Starter!A:A,0)),"")</f>
        <v>BSC Highroller Rosenheim</v>
      </c>
      <c r="E39" s="102">
        <f t="shared" si="8"/>
        <v>1158</v>
      </c>
      <c r="F39">
        <f t="shared" si="9"/>
        <v>7</v>
      </c>
      <c r="G39" s="137">
        <f t="shared" si="10"/>
        <v>165.42857140257141</v>
      </c>
      <c r="L39" s="227">
        <f>INDEX(Starter!A:A,ROW()-1)</f>
        <v>16700</v>
      </c>
      <c r="M39">
        <f>SUMIF(Erfassung2!BD:BD,L39,Erfassung2!BW:BW)</f>
        <v>0</v>
      </c>
      <c r="N39">
        <f>SUMIF(Erfassung2!BD:BD,L39,Erfassung2!BG:BG)</f>
        <v>0</v>
      </c>
      <c r="O39">
        <f t="shared" si="0"/>
        <v>0</v>
      </c>
      <c r="P39">
        <f t="shared" si="1"/>
        <v>42</v>
      </c>
    </row>
    <row r="40" spans="1:16" x14ac:dyDescent="0.35">
      <c r="A40">
        <f t="shared" si="11"/>
        <v>36</v>
      </c>
      <c r="B40">
        <f t="shared" si="7"/>
        <v>25347</v>
      </c>
      <c r="C40" t="str">
        <f>IFERROR(INDEX(Starter!B:B,MATCH(B40,Starter!A:A,0)),"")</f>
        <v>Schulz-Burkert, Roswitha</v>
      </c>
      <c r="D40" t="str">
        <f>IFERROR(INDEX(Starter!C:C,MATCH(B40,Starter!A:A,0)),"")</f>
        <v>BC Phönix 03 Lauf</v>
      </c>
      <c r="E40" s="102">
        <f t="shared" si="8"/>
        <v>1125</v>
      </c>
      <c r="F40">
        <f t="shared" si="9"/>
        <v>7</v>
      </c>
      <c r="G40" s="137">
        <f t="shared" si="10"/>
        <v>160.71428564128573</v>
      </c>
      <c r="L40" s="227">
        <f>INDEX(Starter!A:A,ROW()-1)</f>
        <v>38737</v>
      </c>
      <c r="M40">
        <f>SUMIF(Erfassung2!BD:BD,L40,Erfassung2!BW:BW)</f>
        <v>0</v>
      </c>
      <c r="N40">
        <f>SUMIF(Erfassung2!BD:BD,L40,Erfassung2!BG:BG)</f>
        <v>0</v>
      </c>
      <c r="O40">
        <f t="shared" si="0"/>
        <v>0</v>
      </c>
      <c r="P40">
        <f t="shared" si="1"/>
        <v>42</v>
      </c>
    </row>
    <row r="41" spans="1:16" x14ac:dyDescent="0.35">
      <c r="A41">
        <f t="shared" si="11"/>
        <v>37</v>
      </c>
      <c r="B41">
        <f t="shared" si="7"/>
        <v>12850</v>
      </c>
      <c r="C41" t="str">
        <f>IFERROR(INDEX(Starter!B:B,MATCH(B41,Starter!A:A,0)),"")</f>
        <v>Müller, Angelika</v>
      </c>
      <c r="D41" t="str">
        <f>IFERROR(INDEX(Starter!C:C,MATCH(B41,Starter!A:A,0)),"")</f>
        <v>BK München</v>
      </c>
      <c r="E41" s="102">
        <f t="shared" si="8"/>
        <v>788</v>
      </c>
      <c r="F41">
        <f t="shared" si="9"/>
        <v>5</v>
      </c>
      <c r="G41" s="137">
        <f t="shared" si="10"/>
        <v>157.59999998000001</v>
      </c>
      <c r="L41" s="227">
        <f>INDEX(Starter!A:A,ROW()-1)</f>
        <v>7752</v>
      </c>
      <c r="M41">
        <f>SUMIF(Erfassung2!BD:BD,L41,Erfassung2!BW:BW)</f>
        <v>1288</v>
      </c>
      <c r="N41">
        <f>SUMIF(Erfassung2!BD:BD,L41,Erfassung2!BG:BG)</f>
        <v>7</v>
      </c>
      <c r="O41">
        <f t="shared" si="0"/>
        <v>183.99999995900001</v>
      </c>
      <c r="P41">
        <f t="shared" si="1"/>
        <v>7</v>
      </c>
    </row>
    <row r="42" spans="1:16" x14ac:dyDescent="0.35">
      <c r="A42">
        <f t="shared" si="11"/>
        <v>38</v>
      </c>
      <c r="B42">
        <f t="shared" si="7"/>
        <v>7576</v>
      </c>
      <c r="C42" t="str">
        <f>IFERROR(INDEX(Starter!B:B,MATCH(B42,Starter!A:A,0)),"")</f>
        <v>Laub, Angela</v>
      </c>
      <c r="D42" t="str">
        <f>IFERROR(INDEX(Starter!C:C,MATCH(B42,Starter!A:A,0)),"")</f>
        <v>BK München</v>
      </c>
      <c r="E42" s="102">
        <f t="shared" si="8"/>
        <v>628</v>
      </c>
      <c r="F42">
        <f t="shared" si="9"/>
        <v>4</v>
      </c>
      <c r="G42" s="137">
        <f t="shared" si="10"/>
        <v>156.999999981</v>
      </c>
      <c r="L42" s="227">
        <f>INDEX(Starter!A:A,ROW()-1)</f>
        <v>25397</v>
      </c>
      <c r="M42">
        <f>SUMIF(Erfassung2!BD:BD,L42,Erfassung2!BW:BW)</f>
        <v>443</v>
      </c>
      <c r="N42">
        <f>SUMIF(Erfassung2!BD:BD,L42,Erfassung2!BG:BG)</f>
        <v>3</v>
      </c>
      <c r="O42">
        <f t="shared" si="0"/>
        <v>147.66666662466665</v>
      </c>
      <c r="P42">
        <f t="shared" si="1"/>
        <v>40</v>
      </c>
    </row>
    <row r="43" spans="1:16" x14ac:dyDescent="0.35">
      <c r="A43">
        <f t="shared" si="11"/>
        <v>39</v>
      </c>
      <c r="B43">
        <f t="shared" si="7"/>
        <v>7787</v>
      </c>
      <c r="C43" t="str">
        <f>IFERROR(INDEX(Starter!B:B,MATCH(B43,Starter!A:A,0)),"")</f>
        <v>Kleim, Helga</v>
      </c>
      <c r="D43" t="str">
        <f>IFERROR(INDEX(Starter!C:C,MATCH(B43,Starter!A:A,0)),"")</f>
        <v>BC Phönix 03 Lauf</v>
      </c>
      <c r="E43" s="102">
        <f t="shared" si="8"/>
        <v>933</v>
      </c>
      <c r="F43">
        <f t="shared" si="9"/>
        <v>6</v>
      </c>
      <c r="G43" s="137">
        <f t="shared" si="10"/>
        <v>155.499999946</v>
      </c>
      <c r="L43" s="227">
        <f>INDEX(Starter!A:A,ROW()-1)</f>
        <v>38061</v>
      </c>
      <c r="M43">
        <f>SUMIF(Erfassung2!BD:BD,L43,Erfassung2!BW:BW)</f>
        <v>0</v>
      </c>
      <c r="N43">
        <f>SUMIF(Erfassung2!BD:BD,L43,Erfassung2!BG:BG)</f>
        <v>0</v>
      </c>
      <c r="O43">
        <f t="shared" si="0"/>
        <v>0</v>
      </c>
      <c r="P43">
        <f t="shared" si="1"/>
        <v>42</v>
      </c>
    </row>
    <row r="44" spans="1:16" x14ac:dyDescent="0.35">
      <c r="A44">
        <f t="shared" si="11"/>
        <v>40</v>
      </c>
      <c r="B44">
        <f t="shared" si="7"/>
        <v>25397</v>
      </c>
      <c r="C44" t="str">
        <f>IFERROR(INDEX(Starter!B:B,MATCH(B44,Starter!A:A,0)),"")</f>
        <v>Weninger, Diana</v>
      </c>
      <c r="D44" t="str">
        <f>IFERROR(INDEX(Starter!C:C,MATCH(B44,Starter!A:A,0)),"")</f>
        <v>BC E.P.A. München</v>
      </c>
      <c r="E44" s="102">
        <f t="shared" si="8"/>
        <v>443</v>
      </c>
      <c r="F44">
        <f t="shared" si="9"/>
        <v>3</v>
      </c>
      <c r="G44" s="137">
        <f t="shared" si="10"/>
        <v>147.66666662466665</v>
      </c>
      <c r="L44" s="227">
        <f>INDEX(Starter!A:A,ROW()-1)</f>
        <v>7431</v>
      </c>
      <c r="M44">
        <f>SUMIF(Erfassung2!BD:BD,L44,Erfassung2!BW:BW)</f>
        <v>1615</v>
      </c>
      <c r="N44">
        <f>SUMIF(Erfassung2!BD:BD,L44,Erfassung2!BG:BG)</f>
        <v>9</v>
      </c>
      <c r="O44">
        <f t="shared" si="0"/>
        <v>179.44444440044447</v>
      </c>
      <c r="P44">
        <f t="shared" si="1"/>
        <v>13</v>
      </c>
    </row>
    <row r="45" spans="1:16" x14ac:dyDescent="0.35">
      <c r="A45">
        <f t="shared" si="11"/>
        <v>41</v>
      </c>
      <c r="B45">
        <f t="shared" si="7"/>
        <v>38210</v>
      </c>
      <c r="C45" t="str">
        <f>IFERROR(INDEX(Starter!B:B,MATCH(B45,Starter!A:A,0)),"")</f>
        <v>Kulzer, Katharina</v>
      </c>
      <c r="D45" t="str">
        <f>IFERROR(INDEX(Starter!C:C,MATCH(B45,Starter!A:A,0)),"")</f>
        <v>BC Phönix 03 Lauf</v>
      </c>
      <c r="E45" s="102">
        <f t="shared" si="8"/>
        <v>725</v>
      </c>
      <c r="F45">
        <f t="shared" si="9"/>
        <v>5</v>
      </c>
      <c r="G45" s="137">
        <f t="shared" si="10"/>
        <v>144.999999933</v>
      </c>
      <c r="L45" s="227">
        <f>INDEX(Starter!A:A,ROW()-1)</f>
        <v>7087</v>
      </c>
      <c r="M45">
        <f>SUMIF(Erfassung2!BD:BD,L45,Erfassung2!BW:BW)</f>
        <v>1595</v>
      </c>
      <c r="N45">
        <f>SUMIF(Erfassung2!BD:BD,L45,Erfassung2!BG:BG)</f>
        <v>9</v>
      </c>
      <c r="O45">
        <f t="shared" si="0"/>
        <v>177.22222217722222</v>
      </c>
      <c r="P45">
        <f t="shared" si="1"/>
        <v>16</v>
      </c>
    </row>
    <row r="46" spans="1:16" x14ac:dyDescent="0.35">
      <c r="A46" t="str">
        <f t="shared" si="11"/>
        <v/>
      </c>
      <c r="B46" t="str">
        <f t="shared" si="7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102" t="str">
        <f t="shared" si="8"/>
        <v/>
      </c>
      <c r="F46" t="str">
        <f t="shared" si="9"/>
        <v/>
      </c>
      <c r="G46" s="137" t="str">
        <f t="shared" si="10"/>
        <v/>
      </c>
      <c r="L46" s="227">
        <f>INDEX(Starter!A:A,ROW()-1)</f>
        <v>16414</v>
      </c>
      <c r="M46">
        <f>SUMIF(Erfassung2!BD:BD,L46,Erfassung2!BW:BW)</f>
        <v>1623</v>
      </c>
      <c r="N46">
        <f>SUMIF(Erfassung2!BD:BD,L46,Erfassung2!BG:BG)</f>
        <v>9</v>
      </c>
      <c r="O46">
        <f t="shared" si="0"/>
        <v>180.33333328733335</v>
      </c>
      <c r="P46">
        <f t="shared" si="1"/>
        <v>12</v>
      </c>
    </row>
    <row r="47" spans="1:16" x14ac:dyDescent="0.35">
      <c r="A47" t="str">
        <f t="shared" si="11"/>
        <v/>
      </c>
      <c r="B47" t="str">
        <f t="shared" si="7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8"/>
        <v/>
      </c>
      <c r="F47" t="str">
        <f t="shared" si="9"/>
        <v/>
      </c>
      <c r="G47" s="137" t="str">
        <f t="shared" si="10"/>
        <v/>
      </c>
      <c r="L47" s="227">
        <f>INDEX(Starter!A:A,ROW()-1)</f>
        <v>16713</v>
      </c>
      <c r="M47">
        <f>SUMIF(Erfassung2!BD:BD,L47,Erfassung2!BW:BW)</f>
        <v>0</v>
      </c>
      <c r="N47">
        <f>SUMIF(Erfassung2!BD:BD,L47,Erfassung2!BG:BG)</f>
        <v>0</v>
      </c>
      <c r="O47">
        <f t="shared" si="0"/>
        <v>0</v>
      </c>
      <c r="P47">
        <f t="shared" si="1"/>
        <v>42</v>
      </c>
    </row>
    <row r="48" spans="1:16" x14ac:dyDescent="0.35">
      <c r="A48" t="str">
        <f t="shared" si="11"/>
        <v/>
      </c>
      <c r="B48" t="str">
        <f t="shared" si="7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8"/>
        <v/>
      </c>
      <c r="F48" t="str">
        <f t="shared" si="9"/>
        <v/>
      </c>
      <c r="G48" s="137" t="str">
        <f t="shared" si="10"/>
        <v/>
      </c>
      <c r="L48" s="227">
        <f>INDEX(Starter!A:A,ROW()-1)</f>
        <v>7541</v>
      </c>
      <c r="M48">
        <f>SUMIF(Erfassung2!BD:BD,L48,Erfassung2!BW:BW)</f>
        <v>0</v>
      </c>
      <c r="N48">
        <f>SUMIF(Erfassung2!BD:BD,L48,Erfassung2!BG:BG)</f>
        <v>0</v>
      </c>
      <c r="O48">
        <f t="shared" si="0"/>
        <v>0</v>
      </c>
      <c r="P48">
        <f t="shared" si="1"/>
        <v>42</v>
      </c>
    </row>
    <row r="49" spans="1:16" x14ac:dyDescent="0.35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7546</v>
      </c>
      <c r="M49">
        <f>SUMIF(Erfassung2!BD:BD,L49,Erfassung2!BW:BW)</f>
        <v>0</v>
      </c>
      <c r="N49">
        <f>SUMIF(Erfassung2!BD:BD,L49,Erfassung2!BG:BG)</f>
        <v>0</v>
      </c>
      <c r="O49">
        <f t="shared" si="0"/>
        <v>0</v>
      </c>
      <c r="P49">
        <f t="shared" si="1"/>
        <v>42</v>
      </c>
    </row>
    <row r="50" spans="1:16" x14ac:dyDescent="0.3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16953</v>
      </c>
      <c r="M50">
        <f>SUMIF(Erfassung2!BD:BD,L50,Erfassung2!BW:BW)</f>
        <v>0</v>
      </c>
      <c r="N50">
        <f>SUMIF(Erfassung2!BD:BD,L50,Erfassung2!BG:BG)</f>
        <v>0</v>
      </c>
      <c r="O50">
        <f t="shared" si="0"/>
        <v>0</v>
      </c>
      <c r="P50">
        <f t="shared" si="1"/>
        <v>42</v>
      </c>
    </row>
    <row r="51" spans="1:16" x14ac:dyDescent="0.3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21185</v>
      </c>
      <c r="M51">
        <f>SUMIF(Erfassung2!BD:BD,L51,Erfassung2!BW:BW)</f>
        <v>1516</v>
      </c>
      <c r="N51">
        <f>SUMIF(Erfassung2!BD:BD,L51,Erfassung2!BG:BG)</f>
        <v>9</v>
      </c>
      <c r="O51">
        <f t="shared" si="0"/>
        <v>168.44444439344446</v>
      </c>
      <c r="P51">
        <f t="shared" si="1"/>
        <v>29</v>
      </c>
    </row>
    <row r="52" spans="1:16" x14ac:dyDescent="0.3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7551</v>
      </c>
      <c r="M52">
        <f>SUMIF(Erfassung2!BD:BD,L52,Erfassung2!BW:BW)</f>
        <v>0</v>
      </c>
      <c r="N52">
        <f>SUMIF(Erfassung2!BD:BD,L52,Erfassung2!BG:BG)</f>
        <v>0</v>
      </c>
      <c r="O52">
        <f t="shared" si="0"/>
        <v>0</v>
      </c>
      <c r="P52">
        <f t="shared" si="1"/>
        <v>42</v>
      </c>
    </row>
    <row r="53" spans="1:16" x14ac:dyDescent="0.3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16900</v>
      </c>
      <c r="M53">
        <f>SUMIF(Erfassung2!BD:BD,L53,Erfassung2!BW:BW)</f>
        <v>0</v>
      </c>
      <c r="N53">
        <f>SUMIF(Erfassung2!BD:BD,L53,Erfassung2!BG:BG)</f>
        <v>0</v>
      </c>
      <c r="O53">
        <f t="shared" si="0"/>
        <v>0</v>
      </c>
      <c r="P53">
        <f t="shared" si="1"/>
        <v>42</v>
      </c>
    </row>
    <row r="54" spans="1:16" x14ac:dyDescent="0.3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7787</v>
      </c>
      <c r="M54">
        <f>SUMIF(Erfassung2!BD:BD,L54,Erfassung2!BW:BW)</f>
        <v>933</v>
      </c>
      <c r="N54">
        <f>SUMIF(Erfassung2!BD:BD,L54,Erfassung2!BG:BG)</f>
        <v>6</v>
      </c>
      <c r="O54">
        <f t="shared" si="0"/>
        <v>155.499999946</v>
      </c>
      <c r="P54">
        <f t="shared" si="1"/>
        <v>39</v>
      </c>
    </row>
    <row r="55" spans="1:16" x14ac:dyDescent="0.3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7786</v>
      </c>
      <c r="M55">
        <f>SUMIF(Erfassung2!BD:BD,L55,Erfassung2!BW:BW)</f>
        <v>1613</v>
      </c>
      <c r="N55">
        <f>SUMIF(Erfassung2!BD:BD,L55,Erfassung2!BG:BG)</f>
        <v>9</v>
      </c>
      <c r="O55">
        <f t="shared" si="0"/>
        <v>179.22222216722224</v>
      </c>
      <c r="P55">
        <f t="shared" si="1"/>
        <v>14</v>
      </c>
    </row>
    <row r="56" spans="1:16" x14ac:dyDescent="0.3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7801</v>
      </c>
      <c r="M56">
        <f>SUMIF(Erfassung2!BD:BD,L56,Erfassung2!BW:BW)</f>
        <v>1710</v>
      </c>
      <c r="N56">
        <f>SUMIF(Erfassung2!BD:BD,L56,Erfassung2!BG:BG)</f>
        <v>9</v>
      </c>
      <c r="O56">
        <f t="shared" si="0"/>
        <v>189.999999944</v>
      </c>
      <c r="P56">
        <f t="shared" si="1"/>
        <v>4</v>
      </c>
    </row>
    <row r="57" spans="1:16" x14ac:dyDescent="0.3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25551</v>
      </c>
      <c r="M57">
        <f>SUMIF(Erfassung2!BD:BD,L57,Erfassung2!BW:BW)</f>
        <v>1497</v>
      </c>
      <c r="N57">
        <f>SUMIF(Erfassung2!BD:BD,L57,Erfassung2!BG:BG)</f>
        <v>9</v>
      </c>
      <c r="O57">
        <f t="shared" si="0"/>
        <v>166.33333327633335</v>
      </c>
      <c r="P57">
        <f t="shared" si="1"/>
        <v>34</v>
      </c>
    </row>
    <row r="58" spans="1:16" x14ac:dyDescent="0.3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25982</v>
      </c>
      <c r="M58">
        <f>SUMIF(Erfassung2!BD:BD,L58,Erfassung2!BW:BW)</f>
        <v>0</v>
      </c>
      <c r="N58">
        <f>SUMIF(Erfassung2!BD:BD,L58,Erfassung2!BG:BG)</f>
        <v>0</v>
      </c>
      <c r="O58">
        <f t="shared" si="0"/>
        <v>0</v>
      </c>
      <c r="P58">
        <f t="shared" si="1"/>
        <v>42</v>
      </c>
    </row>
    <row r="59" spans="1:16" x14ac:dyDescent="0.3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38513</v>
      </c>
      <c r="M59">
        <f>SUMIF(Erfassung2!BD:BD,L59,Erfassung2!BW:BW)</f>
        <v>1598</v>
      </c>
      <c r="N59">
        <f>SUMIF(Erfassung2!BD:BD,L59,Erfassung2!BG:BG)</f>
        <v>9</v>
      </c>
      <c r="O59">
        <f t="shared" si="0"/>
        <v>177.55555549655554</v>
      </c>
      <c r="P59">
        <f t="shared" si="1"/>
        <v>15</v>
      </c>
    </row>
    <row r="60" spans="1:16" x14ac:dyDescent="0.3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7972</v>
      </c>
      <c r="M60">
        <f>SUMIF(Erfassung2!BD:BD,L60,Erfassung2!BW:BW)</f>
        <v>1544</v>
      </c>
      <c r="N60">
        <f>SUMIF(Erfassung2!BD:BD,L60,Erfassung2!BG:BG)</f>
        <v>9</v>
      </c>
      <c r="O60">
        <f t="shared" si="0"/>
        <v>171.55555549555555</v>
      </c>
      <c r="P60">
        <f t="shared" si="1"/>
        <v>26</v>
      </c>
    </row>
    <row r="61" spans="1:16" x14ac:dyDescent="0.3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7976</v>
      </c>
      <c r="M61">
        <f>SUMIF(Erfassung2!BD:BD,L61,Erfassung2!BW:BW)</f>
        <v>1569</v>
      </c>
      <c r="N61">
        <f>SUMIF(Erfassung2!BD:BD,L61,Erfassung2!BG:BG)</f>
        <v>9</v>
      </c>
      <c r="O61">
        <f t="shared" si="0"/>
        <v>174.33333327233333</v>
      </c>
      <c r="P61">
        <f t="shared" si="1"/>
        <v>22</v>
      </c>
    </row>
    <row r="62" spans="1:16" x14ac:dyDescent="0.3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7977</v>
      </c>
      <c r="M62">
        <f>SUMIF(Erfassung2!BD:BD,L62,Erfassung2!BW:BW)</f>
        <v>0</v>
      </c>
      <c r="N62">
        <f>SUMIF(Erfassung2!BD:BD,L62,Erfassung2!BG:BG)</f>
        <v>0</v>
      </c>
      <c r="O62">
        <f t="shared" si="0"/>
        <v>0</v>
      </c>
      <c r="P62">
        <f t="shared" si="1"/>
        <v>42</v>
      </c>
    </row>
    <row r="63" spans="1:16" x14ac:dyDescent="0.3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7975</v>
      </c>
      <c r="M63">
        <f>SUMIF(Erfassung2!BD:BD,L63,Erfassung2!BW:BW)</f>
        <v>0</v>
      </c>
      <c r="N63">
        <f>SUMIF(Erfassung2!BD:BD,L63,Erfassung2!BG:BG)</f>
        <v>0</v>
      </c>
      <c r="O63">
        <f t="shared" si="0"/>
        <v>0</v>
      </c>
      <c r="P63">
        <f t="shared" si="1"/>
        <v>42</v>
      </c>
    </row>
    <row r="64" spans="1:16" x14ac:dyDescent="0.3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16475</v>
      </c>
      <c r="M64">
        <f>SUMIF(Erfassung2!BD:BD,L64,Erfassung2!BW:BW)</f>
        <v>0</v>
      </c>
      <c r="N64">
        <f>SUMIF(Erfassung2!BD:BD,L64,Erfassung2!BG:BG)</f>
        <v>0</v>
      </c>
      <c r="O64">
        <f t="shared" si="0"/>
        <v>0</v>
      </c>
      <c r="P64">
        <f t="shared" si="1"/>
        <v>42</v>
      </c>
    </row>
    <row r="65" spans="1:16" x14ac:dyDescent="0.3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38458</v>
      </c>
      <c r="M65">
        <f>SUMIF(Erfassung2!BD:BD,L65,Erfassung2!BW:BW)</f>
        <v>694</v>
      </c>
      <c r="N65">
        <f>SUMIF(Erfassung2!BD:BD,L65,Erfassung2!BG:BG)</f>
        <v>4</v>
      </c>
      <c r="O65">
        <f t="shared" si="0"/>
        <v>173.49999993500001</v>
      </c>
      <c r="P65">
        <f t="shared" si="1"/>
        <v>24</v>
      </c>
    </row>
    <row r="66" spans="1:16" x14ac:dyDescent="0.3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25808</v>
      </c>
      <c r="M66">
        <f>SUMIF(Erfassung2!BD:BD,L66,Erfassung2!BW:BW)</f>
        <v>0</v>
      </c>
      <c r="N66">
        <f>SUMIF(Erfassung2!BD:BD,L66,Erfassung2!BG:BG)</f>
        <v>0</v>
      </c>
      <c r="O66">
        <f t="shared" ref="O66:O104" si="12">IF(N66=0,0,M66/N66-ROW()/1000000000)</f>
        <v>0</v>
      </c>
      <c r="P66">
        <f t="shared" ref="P66:P104" si="13">RANK(O66,O:O)</f>
        <v>42</v>
      </c>
    </row>
    <row r="67" spans="1:16" x14ac:dyDescent="0.3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38210</v>
      </c>
      <c r="M67">
        <f>SUMIF(Erfassung2!BD:BD,L67,Erfassung2!BW:BW)</f>
        <v>725</v>
      </c>
      <c r="N67">
        <f>SUMIF(Erfassung2!BD:BD,L67,Erfassung2!BG:BG)</f>
        <v>5</v>
      </c>
      <c r="O67">
        <f t="shared" si="12"/>
        <v>144.999999933</v>
      </c>
      <c r="P67">
        <f t="shared" si="13"/>
        <v>41</v>
      </c>
    </row>
    <row r="68" spans="1:16" x14ac:dyDescent="0.3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7549</v>
      </c>
      <c r="M68">
        <f>SUMIF(Erfassung2!BD:BD,L68,Erfassung2!BW:BW)</f>
        <v>0</v>
      </c>
      <c r="N68">
        <f>SUMIF(Erfassung2!BD:BD,L68,Erfassung2!BG:BG)</f>
        <v>0</v>
      </c>
      <c r="O68">
        <f t="shared" si="12"/>
        <v>0</v>
      </c>
      <c r="P68">
        <f t="shared" si="13"/>
        <v>42</v>
      </c>
    </row>
    <row r="69" spans="1:16" x14ac:dyDescent="0.3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25192</v>
      </c>
      <c r="M69">
        <f>SUMIF(Erfassung2!BD:BD,L69,Erfassung2!BW:BW)</f>
        <v>1734</v>
      </c>
      <c r="N69">
        <f>SUMIF(Erfassung2!BD:BD,L69,Erfassung2!BG:BG)</f>
        <v>9</v>
      </c>
      <c r="O69">
        <f t="shared" si="12"/>
        <v>192.66666659766665</v>
      </c>
      <c r="P69">
        <f t="shared" si="13"/>
        <v>2</v>
      </c>
    </row>
    <row r="70" spans="1:16" x14ac:dyDescent="0.3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25714</v>
      </c>
      <c r="M70">
        <f>SUMIF(Erfassung2!BD:BD,L70,Erfassung2!BW:BW)</f>
        <v>1176</v>
      </c>
      <c r="N70">
        <f>SUMIF(Erfassung2!BD:BD,L70,Erfassung2!BG:BG)</f>
        <v>7</v>
      </c>
      <c r="O70">
        <f t="shared" si="12"/>
        <v>167.99999993</v>
      </c>
      <c r="P70">
        <f t="shared" si="13"/>
        <v>32</v>
      </c>
    </row>
    <row r="71" spans="1:16" x14ac:dyDescent="0.3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7534</v>
      </c>
      <c r="M71">
        <f>SUMIF(Erfassung2!BD:BD,L71,Erfassung2!BW:BW)</f>
        <v>1632</v>
      </c>
      <c r="N71">
        <f>SUMIF(Erfassung2!BD:BD,L71,Erfassung2!BG:BG)</f>
        <v>9</v>
      </c>
      <c r="O71">
        <f t="shared" si="12"/>
        <v>181.33333326233335</v>
      </c>
      <c r="P71">
        <f t="shared" si="13"/>
        <v>10</v>
      </c>
    </row>
    <row r="72" spans="1:16" x14ac:dyDescent="0.3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38289</v>
      </c>
      <c r="M72">
        <f>SUMIF(Erfassung2!BD:BD,L72,Erfassung2!BW:BW)</f>
        <v>1583</v>
      </c>
      <c r="N72">
        <f>SUMIF(Erfassung2!BD:BD,L72,Erfassung2!BG:BG)</f>
        <v>9</v>
      </c>
      <c r="O72">
        <f t="shared" si="12"/>
        <v>175.88888881688888</v>
      </c>
      <c r="P72">
        <f t="shared" si="13"/>
        <v>20</v>
      </c>
    </row>
    <row r="73" spans="1:16" x14ac:dyDescent="0.3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25347</v>
      </c>
      <c r="M73">
        <f>SUMIF(Erfassung2!BD:BD,L73,Erfassung2!BW:BW)</f>
        <v>1125</v>
      </c>
      <c r="N73">
        <f>SUMIF(Erfassung2!BD:BD,L73,Erfassung2!BG:BG)</f>
        <v>7</v>
      </c>
      <c r="O73">
        <f t="shared" si="12"/>
        <v>160.71428564128573</v>
      </c>
      <c r="P73">
        <f t="shared" si="13"/>
        <v>36</v>
      </c>
    </row>
    <row r="74" spans="1:16" x14ac:dyDescent="0.3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38607</v>
      </c>
      <c r="M74">
        <f>SUMIF(Erfassung2!BD:BD,L74,Erfassung2!BW:BW)</f>
        <v>0</v>
      </c>
      <c r="N74">
        <f>SUMIF(Erfassung2!BD:BD,L74,Erfassung2!BG:BG)</f>
        <v>0</v>
      </c>
      <c r="O74">
        <f t="shared" si="12"/>
        <v>0</v>
      </c>
      <c r="P74">
        <f t="shared" si="13"/>
        <v>42</v>
      </c>
    </row>
    <row r="75" spans="1:16" x14ac:dyDescent="0.3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SUMIF(Erfassung2!BD:BD,L75,Erfassung2!BW:BW)</f>
        <v>0</v>
      </c>
      <c r="N75">
        <f>SUMIF(Erfassung2!BD:BD,L75,Erfassung2!BG:BG)</f>
        <v>0</v>
      </c>
      <c r="O75">
        <f t="shared" si="12"/>
        <v>0</v>
      </c>
      <c r="P75">
        <f t="shared" si="13"/>
        <v>42</v>
      </c>
    </row>
    <row r="76" spans="1:16" x14ac:dyDescent="0.3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SUMIF(Erfassung2!BD:BD,L76,Erfassung2!BW:BW)</f>
        <v>0</v>
      </c>
      <c r="N76">
        <f>SUMIF(Erfassung2!BD:BD,L76,Erfassung2!BG:BG)</f>
        <v>0</v>
      </c>
      <c r="O76">
        <f t="shared" si="12"/>
        <v>0</v>
      </c>
      <c r="P76">
        <f t="shared" si="13"/>
        <v>42</v>
      </c>
    </row>
    <row r="77" spans="1:16" x14ac:dyDescent="0.3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SUMIF(Erfassung2!BD:BD,L77,Erfassung2!BW:BW)</f>
        <v>0</v>
      </c>
      <c r="N77">
        <f>SUMIF(Erfassung2!BD:BD,L77,Erfassung2!BG:BG)</f>
        <v>0</v>
      </c>
      <c r="O77">
        <f t="shared" si="12"/>
        <v>0</v>
      </c>
      <c r="P77">
        <f t="shared" si="13"/>
        <v>42</v>
      </c>
    </row>
    <row r="78" spans="1:16" x14ac:dyDescent="0.3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SUMIF(Erfassung2!BD:BD,L78,Erfassung2!BW:BW)</f>
        <v>0</v>
      </c>
      <c r="N78">
        <f>SUMIF(Erfassung2!BD:BD,L78,Erfassung2!BG:BG)</f>
        <v>0</v>
      </c>
      <c r="O78">
        <f t="shared" si="12"/>
        <v>0</v>
      </c>
      <c r="P78">
        <f t="shared" si="13"/>
        <v>42</v>
      </c>
    </row>
    <row r="79" spans="1:16" x14ac:dyDescent="0.3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SUMIF(Erfassung2!BD:BD,L79,Erfassung2!BW:BW)</f>
        <v>0</v>
      </c>
      <c r="N79">
        <f>SUMIF(Erfassung2!BD:BD,L79,Erfassung2!BG:BG)</f>
        <v>0</v>
      </c>
      <c r="O79">
        <f t="shared" si="12"/>
        <v>0</v>
      </c>
      <c r="P79">
        <f t="shared" si="13"/>
        <v>42</v>
      </c>
    </row>
    <row r="80" spans="1:16" x14ac:dyDescent="0.3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SUMIF(Erfassung2!BD:BD,L80,Erfassung2!BW:BW)</f>
        <v>0</v>
      </c>
      <c r="N80">
        <f>SUMIF(Erfassung2!BD:BD,L80,Erfassung2!BG:BG)</f>
        <v>0</v>
      </c>
      <c r="O80">
        <f t="shared" si="12"/>
        <v>0</v>
      </c>
      <c r="P80">
        <f t="shared" si="13"/>
        <v>42</v>
      </c>
    </row>
    <row r="81" spans="1:16" x14ac:dyDescent="0.3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SUMIF(Erfassung2!BD:BD,L81,Erfassung2!BW:BW)</f>
        <v>0</v>
      </c>
      <c r="N81">
        <f>SUMIF(Erfassung2!BD:BD,L81,Erfassung2!BG:BG)</f>
        <v>0</v>
      </c>
      <c r="O81">
        <f t="shared" si="12"/>
        <v>0</v>
      </c>
      <c r="P81">
        <f t="shared" si="13"/>
        <v>42</v>
      </c>
    </row>
    <row r="82" spans="1:16" x14ac:dyDescent="0.3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SUMIF(Erfassung2!BD:BD,L82,Erfassung2!BW:BW)</f>
        <v>0</v>
      </c>
      <c r="N82">
        <f>SUMIF(Erfassung2!BD:BD,L82,Erfassung2!BG:BG)</f>
        <v>0</v>
      </c>
      <c r="O82">
        <f t="shared" si="12"/>
        <v>0</v>
      </c>
      <c r="P82">
        <f t="shared" si="13"/>
        <v>42</v>
      </c>
    </row>
    <row r="83" spans="1:16" x14ac:dyDescent="0.3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SUMIF(Erfassung2!BD:BD,L83,Erfassung2!BW:BW)</f>
        <v>0</v>
      </c>
      <c r="N83">
        <f>SUMIF(Erfassung2!BD:BD,L83,Erfassung2!BG:BG)</f>
        <v>0</v>
      </c>
      <c r="O83">
        <f t="shared" si="12"/>
        <v>0</v>
      </c>
      <c r="P83">
        <f t="shared" si="13"/>
        <v>42</v>
      </c>
    </row>
    <row r="84" spans="1:16" x14ac:dyDescent="0.3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SUMIF(Erfassung2!BD:BD,L84,Erfassung2!BW:BW)</f>
        <v>0</v>
      </c>
      <c r="N84">
        <f>SUMIF(Erfassung2!BD:BD,L84,Erfassung2!BG:BG)</f>
        <v>0</v>
      </c>
      <c r="O84">
        <f t="shared" si="12"/>
        <v>0</v>
      </c>
      <c r="P84">
        <f t="shared" si="13"/>
        <v>42</v>
      </c>
    </row>
    <row r="85" spans="1:16" x14ac:dyDescent="0.3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SUMIF(Erfassung2!BD:BD,L85,Erfassung2!BW:BW)</f>
        <v>0</v>
      </c>
      <c r="N85">
        <f>SUMIF(Erfassung2!BD:BD,L85,Erfassung2!BG:BG)</f>
        <v>0</v>
      </c>
      <c r="O85">
        <f t="shared" si="12"/>
        <v>0</v>
      </c>
      <c r="P85">
        <f t="shared" si="13"/>
        <v>42</v>
      </c>
    </row>
    <row r="86" spans="1:16" x14ac:dyDescent="0.3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SUMIF(Erfassung2!BD:BD,L86,Erfassung2!BW:BW)</f>
        <v>0</v>
      </c>
      <c r="N86">
        <f>SUMIF(Erfassung2!BD:BD,L86,Erfassung2!BG:BG)</f>
        <v>0</v>
      </c>
      <c r="O86">
        <f t="shared" si="12"/>
        <v>0</v>
      </c>
      <c r="P86">
        <f t="shared" si="13"/>
        <v>42</v>
      </c>
    </row>
    <row r="87" spans="1:16" x14ac:dyDescent="0.3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SUMIF(Erfassung2!BD:BD,L87,Erfassung2!BW:BW)</f>
        <v>0</v>
      </c>
      <c r="N87">
        <f>SUMIF(Erfassung2!BD:BD,L87,Erfassung2!BG:BG)</f>
        <v>0</v>
      </c>
      <c r="O87">
        <f t="shared" si="12"/>
        <v>0</v>
      </c>
      <c r="P87">
        <f t="shared" si="13"/>
        <v>42</v>
      </c>
    </row>
    <row r="88" spans="1:16" x14ac:dyDescent="0.3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SUMIF(Erfassung2!BD:BD,L88,Erfassung2!BW:BW)</f>
        <v>0</v>
      </c>
      <c r="N88">
        <f>SUMIF(Erfassung2!BD:BD,L88,Erfassung2!BG:BG)</f>
        <v>0</v>
      </c>
      <c r="O88">
        <f t="shared" si="12"/>
        <v>0</v>
      </c>
      <c r="P88">
        <f t="shared" si="13"/>
        <v>42</v>
      </c>
    </row>
    <row r="89" spans="1:16" x14ac:dyDescent="0.3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SUMIF(Erfassung2!BD:BD,L89,Erfassung2!BW:BW)</f>
        <v>0</v>
      </c>
      <c r="N89">
        <f>SUMIF(Erfassung2!BD:BD,L89,Erfassung2!BG:BG)</f>
        <v>0</v>
      </c>
      <c r="O89">
        <f t="shared" si="12"/>
        <v>0</v>
      </c>
      <c r="P89">
        <f t="shared" si="13"/>
        <v>42</v>
      </c>
    </row>
    <row r="90" spans="1:16" x14ac:dyDescent="0.3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SUMIF(Erfassung2!BD:BD,L90,Erfassung2!BW:BW)</f>
        <v>0</v>
      </c>
      <c r="N90">
        <f>SUMIF(Erfassung2!BD:BD,L90,Erfassung2!BG:BG)</f>
        <v>0</v>
      </c>
      <c r="O90">
        <f t="shared" si="12"/>
        <v>0</v>
      </c>
      <c r="P90">
        <f t="shared" si="13"/>
        <v>42</v>
      </c>
    </row>
    <row r="91" spans="1:16" x14ac:dyDescent="0.3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SUMIF(Erfassung2!BD:BD,L91,Erfassung2!BW:BW)</f>
        <v>0</v>
      </c>
      <c r="N91">
        <f>SUMIF(Erfassung2!BD:BD,L91,Erfassung2!BG:BG)</f>
        <v>0</v>
      </c>
      <c r="O91">
        <f t="shared" si="12"/>
        <v>0</v>
      </c>
      <c r="P91">
        <f t="shared" si="13"/>
        <v>42</v>
      </c>
    </row>
    <row r="92" spans="1:16" x14ac:dyDescent="0.3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SUMIF(Erfassung2!BD:BD,L92,Erfassung2!BW:BW)</f>
        <v>0</v>
      </c>
      <c r="N92">
        <f>SUMIF(Erfassung2!BD:BD,L92,Erfassung2!BG:BG)</f>
        <v>0</v>
      </c>
      <c r="O92">
        <f t="shared" si="12"/>
        <v>0</v>
      </c>
      <c r="P92">
        <f t="shared" si="13"/>
        <v>42</v>
      </c>
    </row>
    <row r="93" spans="1:16" x14ac:dyDescent="0.3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SUMIF(Erfassung2!BD:BD,L93,Erfassung2!BW:BW)</f>
        <v>0</v>
      </c>
      <c r="N93">
        <f>SUMIF(Erfassung2!BD:BD,L93,Erfassung2!BG:BG)</f>
        <v>0</v>
      </c>
      <c r="O93">
        <f t="shared" si="12"/>
        <v>0</v>
      </c>
      <c r="P93">
        <f t="shared" si="13"/>
        <v>42</v>
      </c>
    </row>
    <row r="94" spans="1:16" x14ac:dyDescent="0.3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SUMIF(Erfassung2!BD:BD,L94,Erfassung2!BW:BW)</f>
        <v>0</v>
      </c>
      <c r="N94">
        <f>SUMIF(Erfassung2!BD:BD,L94,Erfassung2!BG:BG)</f>
        <v>0</v>
      </c>
      <c r="O94">
        <f t="shared" si="12"/>
        <v>0</v>
      </c>
      <c r="P94">
        <f t="shared" si="13"/>
        <v>42</v>
      </c>
    </row>
    <row r="95" spans="1:16" x14ac:dyDescent="0.3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SUMIF(Erfassung2!BD:BD,L95,Erfassung2!BW:BW)</f>
        <v>0</v>
      </c>
      <c r="N95">
        <f>SUMIF(Erfassung2!BD:BD,L95,Erfassung2!BG:BG)</f>
        <v>0</v>
      </c>
      <c r="O95">
        <f t="shared" si="12"/>
        <v>0</v>
      </c>
      <c r="P95">
        <f t="shared" si="13"/>
        <v>42</v>
      </c>
    </row>
    <row r="96" spans="1:16" x14ac:dyDescent="0.3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SUMIF(Erfassung2!BD:BD,L96,Erfassung2!BW:BW)</f>
        <v>0</v>
      </c>
      <c r="N96">
        <f>SUMIF(Erfassung2!BD:BD,L96,Erfassung2!BG:BG)</f>
        <v>0</v>
      </c>
      <c r="O96">
        <f t="shared" si="12"/>
        <v>0</v>
      </c>
      <c r="P96">
        <f t="shared" si="13"/>
        <v>42</v>
      </c>
    </row>
    <row r="97" spans="1:16" x14ac:dyDescent="0.3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SUMIF(Erfassung2!BD:BD,L97,Erfassung2!BW:BW)</f>
        <v>0</v>
      </c>
      <c r="N97">
        <f>SUMIF(Erfassung2!BD:BD,L97,Erfassung2!BG:BG)</f>
        <v>0</v>
      </c>
      <c r="O97">
        <f t="shared" si="12"/>
        <v>0</v>
      </c>
      <c r="P97">
        <f t="shared" si="13"/>
        <v>42</v>
      </c>
    </row>
    <row r="98" spans="1:16" x14ac:dyDescent="0.3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SUMIF(Erfassung2!BD:BD,L98,Erfassung2!BW:BW)</f>
        <v>0</v>
      </c>
      <c r="N98">
        <f>SUMIF(Erfassung2!BD:BD,L98,Erfassung2!BG:BG)</f>
        <v>0</v>
      </c>
      <c r="O98">
        <f t="shared" si="12"/>
        <v>0</v>
      </c>
      <c r="P98">
        <f t="shared" si="13"/>
        <v>42</v>
      </c>
    </row>
    <row r="99" spans="1:16" x14ac:dyDescent="0.3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SUMIF(Erfassung2!BD:BD,L99,Erfassung2!BW:BW)</f>
        <v>0</v>
      </c>
      <c r="N99">
        <f>SUMIF(Erfassung2!BD:BD,L99,Erfassung2!BG:BG)</f>
        <v>0</v>
      </c>
      <c r="O99">
        <f t="shared" si="12"/>
        <v>0</v>
      </c>
      <c r="P99">
        <f t="shared" si="13"/>
        <v>42</v>
      </c>
    </row>
    <row r="100" spans="1:16" x14ac:dyDescent="0.3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SUMIF(Erfassung2!BD:BD,L100,Erfassung2!BW:BW)</f>
        <v>0</v>
      </c>
      <c r="N100">
        <f>SUMIF(Erfassung2!BD:BD,L100,Erfassung2!BG:BG)</f>
        <v>0</v>
      </c>
      <c r="O100">
        <f t="shared" si="12"/>
        <v>0</v>
      </c>
      <c r="P100">
        <f t="shared" si="13"/>
        <v>42</v>
      </c>
    </row>
    <row r="101" spans="1:16" x14ac:dyDescent="0.3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SUMIF(Erfassung2!BD:BD,L101,Erfassung2!BW:BW)</f>
        <v>0</v>
      </c>
      <c r="N101">
        <f>SUMIF(Erfassung2!BD:BD,L101,Erfassung2!BG:BG)</f>
        <v>0</v>
      </c>
      <c r="O101">
        <f t="shared" si="12"/>
        <v>0</v>
      </c>
      <c r="P101">
        <f t="shared" si="13"/>
        <v>42</v>
      </c>
    </row>
    <row r="102" spans="1:16" x14ac:dyDescent="0.3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SUMIF(Erfassung2!BD:BD,L102,Erfassung2!BW:BW)</f>
        <v>0</v>
      </c>
      <c r="N102">
        <f>SUMIF(Erfassung2!BD:BD,L102,Erfassung2!BG:BG)</f>
        <v>0</v>
      </c>
      <c r="O102">
        <f t="shared" si="12"/>
        <v>0</v>
      </c>
      <c r="P102">
        <f t="shared" si="13"/>
        <v>42</v>
      </c>
    </row>
    <row r="103" spans="1:16" x14ac:dyDescent="0.3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SUMIF(Erfassung2!BD:BD,L103,Erfassung2!BW:BW)</f>
        <v>0</v>
      </c>
      <c r="N103">
        <f>SUMIF(Erfassung2!BD:BD,L103,Erfassung2!BG:BG)</f>
        <v>0</v>
      </c>
      <c r="O103">
        <f t="shared" si="12"/>
        <v>0</v>
      </c>
      <c r="P103">
        <f t="shared" si="13"/>
        <v>42</v>
      </c>
    </row>
    <row r="104" spans="1:16" x14ac:dyDescent="0.3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SUMIF(Erfassung2!BD:BD,L104,Erfassung2!BW:BW)</f>
        <v>0</v>
      </c>
      <c r="N104">
        <f>SUMIF(Erfassung2!BD:BD,L104,Erfassung2!BG:BG)</f>
        <v>0</v>
      </c>
      <c r="O104">
        <f t="shared" si="12"/>
        <v>0</v>
      </c>
      <c r="P104">
        <f t="shared" si="13"/>
        <v>42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1">
    <tabColor rgb="FF7030A0"/>
  </sheetPr>
  <dimension ref="A1:P104"/>
  <sheetViews>
    <sheetView view="pageBreakPreview" zoomScaleNormal="100" zoomScaleSheetLayoutView="100" workbookViewId="0">
      <selection activeCell="C19" sqref="C19:T19"/>
    </sheetView>
  </sheetViews>
  <sheetFormatPr baseColWidth="10" defaultColWidth="11.33203125" defaultRowHeight="12.75" x14ac:dyDescent="0.35"/>
  <cols>
    <col min="1" max="1" width="5.265625" customWidth="1"/>
    <col min="2" max="2" width="8.265625" customWidth="1"/>
    <col min="3" max="4" width="27.73046875" customWidth="1"/>
    <col min="5" max="5" width="7.73046875" style="102" customWidth="1"/>
    <col min="6" max="6" width="7.73046875" customWidth="1"/>
    <col min="7" max="7" width="7.73046875" style="137" customWidth="1"/>
    <col min="12" max="12" width="11.33203125" style="227" hidden="1" customWidth="1"/>
    <col min="13" max="16" width="11.33203125" hidden="1" customWidth="1"/>
    <col min="17" max="17" width="0" hidden="1" customWidth="1"/>
  </cols>
  <sheetData>
    <row r="1" spans="1:16" ht="28.5" customHeight="1" x14ac:dyDescent="0.7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6">
      <c r="A2" s="138" t="s">
        <v>1791</v>
      </c>
      <c r="C2" s="50">
        <v>2</v>
      </c>
      <c r="D2" s="50" t="s">
        <v>1835</v>
      </c>
      <c r="E2" s="139"/>
      <c r="F2" s="54"/>
      <c r="L2" s="227">
        <f>INDEX(Starter!A:A,ROW()-1)</f>
        <v>25751</v>
      </c>
      <c r="M2">
        <f>INDEX(Schnitt1!M:M,MATCH(L2,Schnitt1!L:L,0))+INDEX(Schnitt2!M:M,MATCH(L2,Schnitt2!L:L,0))</f>
        <v>2794</v>
      </c>
      <c r="N2">
        <f>INDEX(Schnitt1!N:N,MATCH(L2,Schnitt1!L:L,0))+INDEX(Schnitt2!N:N,MATCH(L2,Schnitt2!L:L,0))</f>
        <v>16</v>
      </c>
      <c r="O2">
        <f t="shared" ref="O2:O11" si="0">IF(N2=0,0,M2/N2-ROW()/1000000000)</f>
        <v>174.62499999799999</v>
      </c>
      <c r="P2">
        <f t="shared" ref="P2:P33" si="1">RANK(O2,O:O)</f>
        <v>24</v>
      </c>
    </row>
    <row r="3" spans="1:16" x14ac:dyDescent="0.35">
      <c r="L3" s="227">
        <f>INDEX(Starter!A:A,ROW()-1)</f>
        <v>38258</v>
      </c>
      <c r="M3">
        <f>INDEX(Schnitt1!M:M,MATCH(L3,Schnitt1!L:L,0))+INDEX(Schnitt2!M:M,MATCH(L3,Schnitt2!L:L,0))</f>
        <v>1181</v>
      </c>
      <c r="N3">
        <f>INDEX(Schnitt1!N:N,MATCH(L3,Schnitt1!L:L,0))+INDEX(Schnitt2!N:N,MATCH(L3,Schnitt2!L:L,0))</f>
        <v>7</v>
      </c>
      <c r="O3">
        <f t="shared" si="0"/>
        <v>168.71428571128573</v>
      </c>
      <c r="P3">
        <f t="shared" si="1"/>
        <v>30</v>
      </c>
    </row>
    <row r="4" spans="1:16" x14ac:dyDescent="0.3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INDEX(Schnitt1!M:M,MATCH(L4,Schnitt1!L:L,0))+INDEX(Schnitt2!M:M,MATCH(L4,Schnitt2!L:L,0))</f>
        <v>1681</v>
      </c>
      <c r="N4">
        <f>INDEX(Schnitt1!N:N,MATCH(L4,Schnitt1!L:L,0))+INDEX(Schnitt2!N:N,MATCH(L4,Schnitt2!L:L,0))</f>
        <v>9</v>
      </c>
      <c r="O4">
        <f t="shared" si="0"/>
        <v>186.77777777377779</v>
      </c>
      <c r="P4">
        <f t="shared" si="1"/>
        <v>8</v>
      </c>
    </row>
    <row r="5" spans="1:16" x14ac:dyDescent="0.35">
      <c r="A5">
        <v>1</v>
      </c>
      <c r="B5">
        <f t="shared" ref="B5:B36" si="2">IFERROR(INDEX(L:L,MATCH(A5,P:P,0)),"")</f>
        <v>7801</v>
      </c>
      <c r="C5" t="str">
        <f>IFERROR(INDEX(Starter!B:B,MATCH(B5,Starter!A:A,0)),"")</f>
        <v>Schuster, Katharina</v>
      </c>
      <c r="D5" t="str">
        <f>IFERROR(INDEX(Starter!C:C,MATCH(B5,Starter!A:A,0)),"")</f>
        <v>BC Phönix 03 Lauf</v>
      </c>
      <c r="E5" s="102">
        <f t="shared" ref="E5:E36" si="3">IFERROR(INDEX(M:M,MATCH(A5,P:P,0)),"")</f>
        <v>3591</v>
      </c>
      <c r="F5">
        <f t="shared" ref="F5:F36" si="4">IFERROR(INDEX(N:N,MATCH(A5,P:P,0)),"")</f>
        <v>18</v>
      </c>
      <c r="G5" s="137">
        <f t="shared" ref="G5:G36" si="5">IFERROR(INDEX(O:O,MATCH(A5,P:P,0)),"")</f>
        <v>199.499999944</v>
      </c>
      <c r="L5" s="227">
        <f>INDEX(Starter!A:A,ROW()-1)</f>
        <v>7903</v>
      </c>
      <c r="M5">
        <f>INDEX(Schnitt1!M:M,MATCH(L5,Schnitt1!L:L,0))+INDEX(Schnitt2!M:M,MATCH(L5,Schnitt2!L:L,0))</f>
        <v>1117</v>
      </c>
      <c r="N5">
        <f>INDEX(Schnitt1!N:N,MATCH(L5,Schnitt1!L:L,0))+INDEX(Schnitt2!N:N,MATCH(L5,Schnitt2!L:L,0))</f>
        <v>7</v>
      </c>
      <c r="O5">
        <f t="shared" si="0"/>
        <v>159.57142856642858</v>
      </c>
      <c r="P5">
        <f t="shared" si="1"/>
        <v>43</v>
      </c>
    </row>
    <row r="6" spans="1:16" x14ac:dyDescent="0.35">
      <c r="A6">
        <f t="shared" ref="A6:A37" si="6">IFERROR(IF(A5+1&gt;MAX(P:P)-1,"",A5+1),"")</f>
        <v>2</v>
      </c>
      <c r="B6">
        <f t="shared" si="2"/>
        <v>38458</v>
      </c>
      <c r="C6" t="str">
        <f>IFERROR(INDEX(Starter!B:B,MATCH(B6,Starter!A:A,0)),"")</f>
        <v>Lindner, Theresa</v>
      </c>
      <c r="D6" t="str">
        <f>IFERROR(INDEX(Starter!C:C,MATCH(B6,Starter!A:A,0)),"")</f>
        <v>BSC Highroller Rosenheim</v>
      </c>
      <c r="E6" s="102">
        <f t="shared" si="3"/>
        <v>2566</v>
      </c>
      <c r="F6">
        <f t="shared" si="4"/>
        <v>13</v>
      </c>
      <c r="G6" s="137">
        <f t="shared" si="5"/>
        <v>197.38461531961539</v>
      </c>
      <c r="L6" s="227">
        <f>INDEX(Starter!A:A,ROW()-1)</f>
        <v>16170</v>
      </c>
      <c r="M6">
        <f>INDEX(Schnitt1!M:M,MATCH(L6,Schnitt1!L:L,0))+INDEX(Schnitt2!M:M,MATCH(L6,Schnitt2!L:L,0))</f>
        <v>2673</v>
      </c>
      <c r="N6">
        <f>INDEX(Schnitt1!N:N,MATCH(L6,Schnitt1!L:L,0))+INDEX(Schnitt2!N:N,MATCH(L6,Schnitt2!L:L,0))</f>
        <v>15</v>
      </c>
      <c r="O6">
        <f t="shared" si="0"/>
        <v>178.199999994</v>
      </c>
      <c r="P6">
        <f t="shared" si="1"/>
        <v>18</v>
      </c>
    </row>
    <row r="7" spans="1:16" x14ac:dyDescent="0.35">
      <c r="A7">
        <f t="shared" si="6"/>
        <v>3</v>
      </c>
      <c r="B7">
        <f t="shared" si="2"/>
        <v>38438</v>
      </c>
      <c r="C7" t="str">
        <f>IFERROR(INDEX(Starter!B:B,MATCH(B7,Starter!A:A,0)),"")</f>
        <v>Hassforth, Lea</v>
      </c>
      <c r="D7" t="str">
        <f>IFERROR(INDEX(Starter!C:C,MATCH(B7,Starter!A:A,0)),"")</f>
        <v>BK München</v>
      </c>
      <c r="E7" s="102">
        <f t="shared" si="3"/>
        <v>3492</v>
      </c>
      <c r="F7">
        <f t="shared" si="4"/>
        <v>18</v>
      </c>
      <c r="G7" s="137">
        <f t="shared" si="5"/>
        <v>193.99999999100001</v>
      </c>
      <c r="L7" s="227">
        <f>INDEX(Starter!A:A,ROW()-1)</f>
        <v>7889</v>
      </c>
      <c r="M7">
        <f>INDEX(Schnitt1!M:M,MATCH(L7,Schnitt1!L:L,0))+INDEX(Schnitt2!M:M,MATCH(L7,Schnitt2!L:L,0))</f>
        <v>3312</v>
      </c>
      <c r="N7">
        <f>INDEX(Schnitt1!N:N,MATCH(L7,Schnitt1!L:L,0))+INDEX(Schnitt2!N:N,MATCH(L7,Schnitt2!L:L,0))</f>
        <v>18</v>
      </c>
      <c r="O7">
        <f t="shared" si="0"/>
        <v>183.99999999299999</v>
      </c>
      <c r="P7">
        <f t="shared" si="1"/>
        <v>12</v>
      </c>
    </row>
    <row r="8" spans="1:16" x14ac:dyDescent="0.35">
      <c r="A8">
        <f t="shared" si="6"/>
        <v>4</v>
      </c>
      <c r="B8">
        <f t="shared" si="2"/>
        <v>7578</v>
      </c>
      <c r="C8" t="str">
        <f>IFERROR(INDEX(Starter!B:B,MATCH(B8,Starter!A:A,0)),"")</f>
        <v>Hinterwimmer, Sabine</v>
      </c>
      <c r="D8" t="str">
        <f>IFERROR(INDEX(Starter!C:C,MATCH(B8,Starter!A:A,0)),"")</f>
        <v>BK München</v>
      </c>
      <c r="E8" s="102">
        <f t="shared" si="3"/>
        <v>3454</v>
      </c>
      <c r="F8">
        <f t="shared" si="4"/>
        <v>18</v>
      </c>
      <c r="G8" s="137">
        <f t="shared" si="5"/>
        <v>191.88888887288888</v>
      </c>
      <c r="L8" s="227">
        <f>INDEX(Starter!A:A,ROW()-1)</f>
        <v>38222</v>
      </c>
      <c r="M8">
        <f>INDEX(Schnitt1!M:M,MATCH(L8,Schnitt1!L:L,0))+INDEX(Schnitt2!M:M,MATCH(L8,Schnitt2!L:L,0))</f>
        <v>1479</v>
      </c>
      <c r="N8">
        <f>INDEX(Schnitt1!N:N,MATCH(L8,Schnitt1!L:L,0))+INDEX(Schnitt2!N:N,MATCH(L8,Schnitt2!L:L,0))</f>
        <v>9</v>
      </c>
      <c r="O8">
        <f t="shared" si="0"/>
        <v>164.33333332533334</v>
      </c>
      <c r="P8">
        <f t="shared" si="1"/>
        <v>37</v>
      </c>
    </row>
    <row r="9" spans="1:16" x14ac:dyDescent="0.35">
      <c r="A9">
        <f t="shared" si="6"/>
        <v>5</v>
      </c>
      <c r="B9">
        <f t="shared" si="2"/>
        <v>25714</v>
      </c>
      <c r="C9" t="str">
        <f>IFERROR(INDEX(Starter!B:B,MATCH(B9,Starter!A:A,0)),"")</f>
        <v>Schulz, Carolin</v>
      </c>
      <c r="D9" t="str">
        <f>IFERROR(INDEX(Starter!C:C,MATCH(B9,Starter!A:A,0)),"")</f>
        <v>BC E.P.A. München</v>
      </c>
      <c r="E9" s="102">
        <f t="shared" si="3"/>
        <v>3034</v>
      </c>
      <c r="F9">
        <f t="shared" si="4"/>
        <v>16</v>
      </c>
      <c r="G9" s="137">
        <f t="shared" si="5"/>
        <v>189.62499993</v>
      </c>
      <c r="L9" s="227">
        <f>INDEX(Starter!A:A,ROW()-1)</f>
        <v>38438</v>
      </c>
      <c r="M9">
        <f>INDEX(Schnitt1!M:M,MATCH(L9,Schnitt1!L:L,0))+INDEX(Schnitt2!M:M,MATCH(L9,Schnitt2!L:L,0))</f>
        <v>3492</v>
      </c>
      <c r="N9">
        <f>INDEX(Schnitt1!N:N,MATCH(L9,Schnitt1!L:L,0))+INDEX(Schnitt2!N:N,MATCH(L9,Schnitt2!L:L,0))</f>
        <v>18</v>
      </c>
      <c r="O9">
        <f t="shared" si="0"/>
        <v>193.99999999100001</v>
      </c>
      <c r="P9">
        <f t="shared" si="1"/>
        <v>3</v>
      </c>
    </row>
    <row r="10" spans="1:16" x14ac:dyDescent="0.35">
      <c r="A10">
        <f t="shared" si="6"/>
        <v>6</v>
      </c>
      <c r="B10">
        <f t="shared" si="2"/>
        <v>25298</v>
      </c>
      <c r="C10" t="str">
        <f>IFERROR(INDEX(Starter!B:B,MATCH(B10,Starter!A:A,0)),"")</f>
        <v>Auer, Cornelia</v>
      </c>
      <c r="D10" t="str">
        <f>IFERROR(INDEX(Starter!C:C,MATCH(B10,Starter!A:A,0)),"")</f>
        <v>BSC Highroller Rosenheim</v>
      </c>
      <c r="E10" s="102">
        <f t="shared" si="3"/>
        <v>3390</v>
      </c>
      <c r="F10">
        <f t="shared" si="4"/>
        <v>18</v>
      </c>
      <c r="G10" s="137">
        <f t="shared" si="5"/>
        <v>188.33333330933334</v>
      </c>
      <c r="L10" s="227">
        <f>INDEX(Starter!A:A,ROW()-1)</f>
        <v>38553</v>
      </c>
      <c r="M10">
        <f>INDEX(Schnitt1!M:M,MATCH(L10,Schnitt1!L:L,0))+INDEX(Schnitt2!M:M,MATCH(L10,Schnitt2!L:L,0))</f>
        <v>3376</v>
      </c>
      <c r="N10">
        <f>INDEX(Schnitt1!N:N,MATCH(L10,Schnitt1!L:L,0))+INDEX(Schnitt2!N:N,MATCH(L10,Schnitt2!L:L,0))</f>
        <v>18</v>
      </c>
      <c r="O10">
        <f t="shared" si="0"/>
        <v>187.55555554555553</v>
      </c>
      <c r="P10">
        <f t="shared" si="1"/>
        <v>7</v>
      </c>
    </row>
    <row r="11" spans="1:16" x14ac:dyDescent="0.35">
      <c r="A11">
        <f t="shared" si="6"/>
        <v>7</v>
      </c>
      <c r="B11">
        <f t="shared" si="2"/>
        <v>38553</v>
      </c>
      <c r="C11" t="str">
        <f>IFERROR(INDEX(Starter!B:B,MATCH(B11,Starter!A:A,0)),"")</f>
        <v>Kirschke, Saskia</v>
      </c>
      <c r="D11" t="str">
        <f>IFERROR(INDEX(Starter!C:C,MATCH(B11,Starter!A:A,0)),"")</f>
        <v>BK München</v>
      </c>
      <c r="E11" s="102">
        <f t="shared" si="3"/>
        <v>3376</v>
      </c>
      <c r="F11">
        <f t="shared" si="4"/>
        <v>18</v>
      </c>
      <c r="G11" s="137">
        <f t="shared" si="5"/>
        <v>187.55555554555553</v>
      </c>
      <c r="L11" s="227">
        <f>INDEX(Starter!A:A,ROW()-1)</f>
        <v>38350</v>
      </c>
      <c r="M11">
        <f>INDEX(Schnitt1!M:M,MATCH(L11,Schnitt1!L:L,0))+INDEX(Schnitt2!M:M,MATCH(L11,Schnitt2!L:L,0))</f>
        <v>3084</v>
      </c>
      <c r="N11">
        <f>INDEX(Schnitt1!N:N,MATCH(L11,Schnitt1!L:L,0))+INDEX(Schnitt2!N:N,MATCH(L11,Schnitt2!L:L,0))</f>
        <v>18</v>
      </c>
      <c r="O11">
        <f t="shared" si="0"/>
        <v>171.33333332233335</v>
      </c>
      <c r="P11">
        <f t="shared" si="1"/>
        <v>27</v>
      </c>
    </row>
    <row r="12" spans="1:16" x14ac:dyDescent="0.35">
      <c r="A12">
        <f t="shared" si="6"/>
        <v>8</v>
      </c>
      <c r="B12">
        <f t="shared" si="2"/>
        <v>25798</v>
      </c>
      <c r="C12" t="str">
        <f>IFERROR(INDEX(Starter!B:B,MATCH(B12,Starter!A:A,0)),"")</f>
        <v>Kicker-Mihatsch, Elvira</v>
      </c>
      <c r="D12" t="str">
        <f>IFERROR(INDEX(Starter!C:C,MATCH(B12,Starter!A:A,0)),"")</f>
        <v>BC Praetoria</v>
      </c>
      <c r="E12" s="102">
        <f t="shared" si="3"/>
        <v>1681</v>
      </c>
      <c r="F12">
        <f t="shared" si="4"/>
        <v>9</v>
      </c>
      <c r="G12" s="137">
        <f t="shared" si="5"/>
        <v>186.77777777377779</v>
      </c>
      <c r="L12" s="227">
        <f>INDEX(Starter!A:A,ROW()-1)</f>
        <v>16594</v>
      </c>
      <c r="M12">
        <f>INDEX(Schnitt1!M:M,MATCH(L12,Schnitt1!L:L,0))+INDEX(Schnitt2!M:M,MATCH(L12,Schnitt2!L:L,0))</f>
        <v>0</v>
      </c>
      <c r="N12">
        <f>INDEX(Schnitt1!N:N,MATCH(L12,Schnitt1!L:L,0))+INDEX(Schnitt2!N:N,MATCH(L12,Schnitt2!L:L,0))</f>
        <v>0</v>
      </c>
      <c r="O12">
        <f t="shared" ref="O12:O75" si="7">IF(N12=0,0,M12/N12-ROW()/1000000000)</f>
        <v>0</v>
      </c>
      <c r="P12">
        <f t="shared" si="1"/>
        <v>48</v>
      </c>
    </row>
    <row r="13" spans="1:16" x14ac:dyDescent="0.35">
      <c r="A13">
        <f t="shared" si="6"/>
        <v>9</v>
      </c>
      <c r="B13">
        <f t="shared" si="2"/>
        <v>25192</v>
      </c>
      <c r="C13" t="str">
        <f>IFERROR(INDEX(Starter!B:B,MATCH(B13,Starter!A:A,0)),"")</f>
        <v>Bess, Vanessa</v>
      </c>
      <c r="D13" t="str">
        <f>IFERROR(INDEX(Starter!C:C,MATCH(B13,Starter!A:A,0)),"")</f>
        <v>BC E.P.A. München</v>
      </c>
      <c r="E13" s="102">
        <f t="shared" si="3"/>
        <v>3168</v>
      </c>
      <c r="F13">
        <f t="shared" si="4"/>
        <v>17</v>
      </c>
      <c r="G13" s="137">
        <f t="shared" si="5"/>
        <v>186.35294110747057</v>
      </c>
      <c r="L13" s="227">
        <f>INDEX(Starter!A:A,ROW()-1)</f>
        <v>16595</v>
      </c>
      <c r="M13">
        <f>INDEX(Schnitt1!M:M,MATCH(L13,Schnitt1!L:L,0))+INDEX(Schnitt2!M:M,MATCH(L13,Schnitt2!L:L,0))</f>
        <v>0</v>
      </c>
      <c r="N13">
        <f>INDEX(Schnitt1!N:N,MATCH(L13,Schnitt1!L:L,0))+INDEX(Schnitt2!N:N,MATCH(L13,Schnitt2!L:L,0))</f>
        <v>0</v>
      </c>
      <c r="O13">
        <f t="shared" si="7"/>
        <v>0</v>
      </c>
      <c r="P13">
        <f t="shared" si="1"/>
        <v>48</v>
      </c>
    </row>
    <row r="14" spans="1:16" x14ac:dyDescent="0.35">
      <c r="A14">
        <f t="shared" si="6"/>
        <v>10</v>
      </c>
      <c r="B14">
        <f t="shared" si="2"/>
        <v>7534</v>
      </c>
      <c r="C14" t="str">
        <f>IFERROR(INDEX(Starter!B:B,MATCH(B14,Starter!A:A,0)),"")</f>
        <v>Lieb, Anja</v>
      </c>
      <c r="D14" t="str">
        <f>IFERROR(INDEX(Starter!C:C,MATCH(B14,Starter!A:A,0)),"")</f>
        <v>BC E.P.A. München</v>
      </c>
      <c r="E14" s="102">
        <f t="shared" si="3"/>
        <v>3347</v>
      </c>
      <c r="F14">
        <f t="shared" si="4"/>
        <v>18</v>
      </c>
      <c r="G14" s="137">
        <f t="shared" si="5"/>
        <v>185.94444437344447</v>
      </c>
      <c r="L14" s="227">
        <f>INDEX(Starter!A:A,ROW()-1)</f>
        <v>7061</v>
      </c>
      <c r="M14">
        <f>INDEX(Schnitt1!M:M,MATCH(L14,Schnitt1!L:L,0))+INDEX(Schnitt2!M:M,MATCH(L14,Schnitt2!L:L,0))</f>
        <v>0</v>
      </c>
      <c r="N14">
        <f>INDEX(Schnitt1!N:N,MATCH(L14,Schnitt1!L:L,0))+INDEX(Schnitt2!N:N,MATCH(L14,Schnitt2!L:L,0))</f>
        <v>0</v>
      </c>
      <c r="O14">
        <f t="shared" si="7"/>
        <v>0</v>
      </c>
      <c r="P14">
        <f t="shared" si="1"/>
        <v>48</v>
      </c>
    </row>
    <row r="15" spans="1:16" x14ac:dyDescent="0.35">
      <c r="A15">
        <f t="shared" si="6"/>
        <v>11</v>
      </c>
      <c r="B15">
        <f t="shared" si="2"/>
        <v>7574</v>
      </c>
      <c r="C15" t="str">
        <f>IFERROR(INDEX(Starter!B:B,MATCH(B15,Starter!A:A,0)),"")</f>
        <v>Clemenz, Brigitte</v>
      </c>
      <c r="D15" t="str">
        <f>IFERROR(INDEX(Starter!C:C,MATCH(B15,Starter!A:A,0)),"")</f>
        <v>BK München</v>
      </c>
      <c r="E15" s="102">
        <f t="shared" si="3"/>
        <v>3317</v>
      </c>
      <c r="F15">
        <f t="shared" si="4"/>
        <v>18</v>
      </c>
      <c r="G15" s="137">
        <f t="shared" si="5"/>
        <v>184.27777775977776</v>
      </c>
      <c r="L15" s="227">
        <f>INDEX(Starter!A:A,ROW()-1)</f>
        <v>25550</v>
      </c>
      <c r="M15">
        <f>INDEX(Schnitt1!M:M,MATCH(L15,Schnitt1!L:L,0))+INDEX(Schnitt2!M:M,MATCH(L15,Schnitt2!L:L,0))</f>
        <v>0</v>
      </c>
      <c r="N15">
        <f>INDEX(Schnitt1!N:N,MATCH(L15,Schnitt1!L:L,0))+INDEX(Schnitt2!N:N,MATCH(L15,Schnitt2!L:L,0))</f>
        <v>0</v>
      </c>
      <c r="O15">
        <f t="shared" si="7"/>
        <v>0</v>
      </c>
      <c r="P15">
        <f t="shared" si="1"/>
        <v>48</v>
      </c>
    </row>
    <row r="16" spans="1:16" x14ac:dyDescent="0.35">
      <c r="A16">
        <f t="shared" si="6"/>
        <v>12</v>
      </c>
      <c r="B16">
        <f t="shared" si="2"/>
        <v>7889</v>
      </c>
      <c r="C16" t="str">
        <f>IFERROR(INDEX(Starter!B:B,MATCH(B16,Starter!A:A,0)),"")</f>
        <v>Zahner, Barbara</v>
      </c>
      <c r="D16" t="str">
        <f>IFERROR(INDEX(Starter!C:C,MATCH(B16,Starter!A:A,0)),"")</f>
        <v>BC Praetoria</v>
      </c>
      <c r="E16" s="102">
        <f t="shared" si="3"/>
        <v>3312</v>
      </c>
      <c r="F16">
        <f t="shared" si="4"/>
        <v>18</v>
      </c>
      <c r="G16" s="137">
        <f t="shared" si="5"/>
        <v>183.99999999299999</v>
      </c>
      <c r="L16" s="227">
        <f>INDEX(Starter!A:A,ROW()-1)</f>
        <v>7578</v>
      </c>
      <c r="M16">
        <f>INDEX(Schnitt1!M:M,MATCH(L16,Schnitt1!L:L,0))+INDEX(Schnitt2!M:M,MATCH(L16,Schnitt2!L:L,0))</f>
        <v>3454</v>
      </c>
      <c r="N16">
        <f>INDEX(Schnitt1!N:N,MATCH(L16,Schnitt1!L:L,0))+INDEX(Schnitt2!N:N,MATCH(L16,Schnitt2!L:L,0))</f>
        <v>18</v>
      </c>
      <c r="O16">
        <f t="shared" si="7"/>
        <v>191.88888887288888</v>
      </c>
      <c r="P16">
        <f t="shared" si="1"/>
        <v>4</v>
      </c>
    </row>
    <row r="17" spans="1:16" x14ac:dyDescent="0.35">
      <c r="A17">
        <f t="shared" si="6"/>
        <v>13</v>
      </c>
      <c r="B17">
        <f t="shared" si="2"/>
        <v>7752</v>
      </c>
      <c r="C17" t="str">
        <f>IFERROR(INDEX(Starter!B:B,MATCH(B17,Starter!A:A,0)),"")</f>
        <v>Treffke, Helga</v>
      </c>
      <c r="D17" t="str">
        <f>IFERROR(INDEX(Starter!C:C,MATCH(B17,Starter!A:A,0)),"")</f>
        <v>BC E.P.A. München</v>
      </c>
      <c r="E17" s="102">
        <f t="shared" si="3"/>
        <v>1288</v>
      </c>
      <c r="F17">
        <f t="shared" si="4"/>
        <v>7</v>
      </c>
      <c r="G17" s="137">
        <f t="shared" si="5"/>
        <v>183.99999995900001</v>
      </c>
      <c r="L17" s="227">
        <f>INDEX(Starter!A:A,ROW()-1)</f>
        <v>7575</v>
      </c>
      <c r="M17">
        <f>INDEX(Schnitt1!M:M,MATCH(L17,Schnitt1!L:L,0))+INDEX(Schnitt2!M:M,MATCH(L17,Schnitt2!L:L,0))</f>
        <v>1641</v>
      </c>
      <c r="N17">
        <f>INDEX(Schnitt1!N:N,MATCH(L17,Schnitt1!L:L,0))+INDEX(Schnitt2!N:N,MATCH(L17,Schnitt2!L:L,0))</f>
        <v>9</v>
      </c>
      <c r="O17">
        <f t="shared" si="7"/>
        <v>182.33333331633335</v>
      </c>
      <c r="P17">
        <f t="shared" si="1"/>
        <v>14</v>
      </c>
    </row>
    <row r="18" spans="1:16" x14ac:dyDescent="0.35">
      <c r="A18">
        <f t="shared" si="6"/>
        <v>14</v>
      </c>
      <c r="B18">
        <f t="shared" si="2"/>
        <v>7575</v>
      </c>
      <c r="C18" t="str">
        <f>IFERROR(INDEX(Starter!B:B,MATCH(B18,Starter!A:A,0)),"")</f>
        <v>Dozauer, Jessica</v>
      </c>
      <c r="D18" t="str">
        <f>IFERROR(INDEX(Starter!C:C,MATCH(B18,Starter!A:A,0)),"")</f>
        <v>BK München</v>
      </c>
      <c r="E18" s="102">
        <f t="shared" si="3"/>
        <v>1641</v>
      </c>
      <c r="F18">
        <f t="shared" si="4"/>
        <v>9</v>
      </c>
      <c r="G18" s="137">
        <f t="shared" si="5"/>
        <v>182.33333331633335</v>
      </c>
      <c r="L18" s="227">
        <f>INDEX(Starter!A:A,ROW()-1)</f>
        <v>7574</v>
      </c>
      <c r="M18">
        <f>INDEX(Schnitt1!M:M,MATCH(L18,Schnitt1!L:L,0))+INDEX(Schnitt2!M:M,MATCH(L18,Schnitt2!L:L,0))</f>
        <v>3317</v>
      </c>
      <c r="N18">
        <f>INDEX(Schnitt1!N:N,MATCH(L18,Schnitt1!L:L,0))+INDEX(Schnitt2!N:N,MATCH(L18,Schnitt2!L:L,0))</f>
        <v>18</v>
      </c>
      <c r="O18">
        <f t="shared" si="7"/>
        <v>184.27777775977776</v>
      </c>
      <c r="P18">
        <f t="shared" si="1"/>
        <v>11</v>
      </c>
    </row>
    <row r="19" spans="1:16" x14ac:dyDescent="0.35">
      <c r="A19">
        <f t="shared" si="6"/>
        <v>15</v>
      </c>
      <c r="B19">
        <f t="shared" si="2"/>
        <v>7786</v>
      </c>
      <c r="C19" t="str">
        <f>IFERROR(INDEX(Starter!B:B,MATCH(B19,Starter!A:A,0)),"")</f>
        <v>Reichel, Christina</v>
      </c>
      <c r="D19" t="str">
        <f>IFERROR(INDEX(Starter!C:C,MATCH(B19,Starter!A:A,0)),"")</f>
        <v>BC Phönix 03 Lauf</v>
      </c>
      <c r="E19" s="102">
        <f t="shared" si="3"/>
        <v>3268</v>
      </c>
      <c r="F19">
        <f t="shared" si="4"/>
        <v>18</v>
      </c>
      <c r="G19" s="137">
        <f t="shared" si="5"/>
        <v>181.55555550055556</v>
      </c>
      <c r="L19" s="227">
        <f>INDEX(Starter!A:A,ROW()-1)</f>
        <v>7576</v>
      </c>
      <c r="M19">
        <f>INDEX(Schnitt1!M:M,MATCH(L19,Schnitt1!L:L,0))+INDEX(Schnitt2!M:M,MATCH(L19,Schnitt2!L:L,0))</f>
        <v>1495</v>
      </c>
      <c r="N19">
        <f>INDEX(Schnitt1!N:N,MATCH(L19,Schnitt1!L:L,0))+INDEX(Schnitt2!N:N,MATCH(L19,Schnitt2!L:L,0))</f>
        <v>9</v>
      </c>
      <c r="O19">
        <f t="shared" si="7"/>
        <v>166.11111109211112</v>
      </c>
      <c r="P19">
        <f t="shared" si="1"/>
        <v>34</v>
      </c>
    </row>
    <row r="20" spans="1:16" x14ac:dyDescent="0.35">
      <c r="A20">
        <f t="shared" si="6"/>
        <v>16</v>
      </c>
      <c r="B20">
        <f t="shared" si="2"/>
        <v>38560</v>
      </c>
      <c r="C20" t="str">
        <f>IFERROR(INDEX(Starter!B:B,MATCH(B20,Starter!A:A,0)),"")</f>
        <v>Reng, Verena</v>
      </c>
      <c r="D20" t="str">
        <f>IFERROR(INDEX(Starter!C:C,MATCH(B20,Starter!A:A,0)),"")</f>
        <v>BC Frankenpower</v>
      </c>
      <c r="E20" s="102">
        <f t="shared" si="3"/>
        <v>3252</v>
      </c>
      <c r="F20">
        <f t="shared" si="4"/>
        <v>18</v>
      </c>
      <c r="G20" s="137">
        <f t="shared" si="5"/>
        <v>180.66666663466665</v>
      </c>
      <c r="L20" s="227">
        <f>INDEX(Starter!A:A,ROW()-1)</f>
        <v>12850</v>
      </c>
      <c r="M20">
        <f>INDEX(Schnitt1!M:M,MATCH(L20,Schnitt1!L:L,0))+INDEX(Schnitt2!M:M,MATCH(L20,Schnitt2!L:L,0))</f>
        <v>1893</v>
      </c>
      <c r="N20">
        <f>INDEX(Schnitt1!N:N,MATCH(L20,Schnitt1!L:L,0))+INDEX(Schnitt2!N:N,MATCH(L20,Schnitt2!L:L,0))</f>
        <v>12</v>
      </c>
      <c r="O20">
        <f t="shared" si="7"/>
        <v>157.74999998000001</v>
      </c>
      <c r="P20">
        <f t="shared" si="1"/>
        <v>44</v>
      </c>
    </row>
    <row r="21" spans="1:16" x14ac:dyDescent="0.35">
      <c r="A21">
        <f t="shared" si="6"/>
        <v>17</v>
      </c>
      <c r="B21">
        <f t="shared" si="2"/>
        <v>7431</v>
      </c>
      <c r="C21" t="str">
        <f>IFERROR(INDEX(Starter!B:B,MATCH(B21,Starter!A:A,0)),"")</f>
        <v>Denz, Angelika</v>
      </c>
      <c r="D21" t="str">
        <f>IFERROR(INDEX(Starter!C:C,MATCH(B21,Starter!A:A,0)),"")</f>
        <v>BF Weiß-Blau</v>
      </c>
      <c r="E21" s="102">
        <f t="shared" si="3"/>
        <v>3223</v>
      </c>
      <c r="F21">
        <f t="shared" si="4"/>
        <v>18</v>
      </c>
      <c r="G21" s="137">
        <f t="shared" si="5"/>
        <v>179.05555551155555</v>
      </c>
      <c r="L21" s="227">
        <f>INDEX(Starter!A:A,ROW()-1)</f>
        <v>16879</v>
      </c>
      <c r="M21">
        <f>INDEX(Schnitt1!M:M,MATCH(L21,Schnitt1!L:L,0))+INDEX(Schnitt2!M:M,MATCH(L21,Schnitt2!L:L,0))</f>
        <v>960</v>
      </c>
      <c r="N21">
        <f>INDEX(Schnitt1!N:N,MATCH(L21,Schnitt1!L:L,0))+INDEX(Schnitt2!N:N,MATCH(L21,Schnitt2!L:L,0))</f>
        <v>6</v>
      </c>
      <c r="O21">
        <f t="shared" si="7"/>
        <v>159.99999997899999</v>
      </c>
      <c r="P21">
        <f t="shared" si="1"/>
        <v>42</v>
      </c>
    </row>
    <row r="22" spans="1:16" x14ac:dyDescent="0.35">
      <c r="A22">
        <f t="shared" si="6"/>
        <v>18</v>
      </c>
      <c r="B22">
        <f t="shared" si="2"/>
        <v>16170</v>
      </c>
      <c r="C22" t="str">
        <f>IFERROR(INDEX(Starter!B:B,MATCH(B22,Starter!A:A,0)),"")</f>
        <v>Wölki, Elisabeth</v>
      </c>
      <c r="D22" t="str">
        <f>IFERROR(INDEX(Starter!C:C,MATCH(B22,Starter!A:A,0)),"")</f>
        <v>BC Praetoria</v>
      </c>
      <c r="E22" s="102">
        <f t="shared" si="3"/>
        <v>2673</v>
      </c>
      <c r="F22">
        <f t="shared" si="4"/>
        <v>15</v>
      </c>
      <c r="G22" s="137">
        <f t="shared" si="5"/>
        <v>178.199999994</v>
      </c>
      <c r="L22" s="227">
        <f>INDEX(Starter!A:A,ROW()-1)</f>
        <v>7991</v>
      </c>
      <c r="M22">
        <f>INDEX(Schnitt1!M:M,MATCH(L22,Schnitt1!L:L,0))+INDEX(Schnitt2!M:M,MATCH(L22,Schnitt2!L:L,0))</f>
        <v>0</v>
      </c>
      <c r="N22">
        <f>INDEX(Schnitt1!N:N,MATCH(L22,Schnitt1!L:L,0))+INDEX(Schnitt2!N:N,MATCH(L22,Schnitt2!L:L,0))</f>
        <v>0</v>
      </c>
      <c r="O22">
        <f t="shared" si="7"/>
        <v>0</v>
      </c>
      <c r="P22">
        <f t="shared" si="1"/>
        <v>48</v>
      </c>
    </row>
    <row r="23" spans="1:16" x14ac:dyDescent="0.35">
      <c r="A23">
        <f t="shared" si="6"/>
        <v>19</v>
      </c>
      <c r="B23">
        <f t="shared" si="2"/>
        <v>7976</v>
      </c>
      <c r="C23" t="str">
        <f>IFERROR(INDEX(Starter!B:B,MATCH(B23,Starter!A:A,0)),"")</f>
        <v>Martisko, Petra</v>
      </c>
      <c r="D23" t="str">
        <f>IFERROR(INDEX(Starter!C:C,MATCH(B23,Starter!A:A,0)),"")</f>
        <v>BF Rot-Weiß Lichtenhof 69</v>
      </c>
      <c r="E23" s="102">
        <f t="shared" si="3"/>
        <v>3200</v>
      </c>
      <c r="F23">
        <f t="shared" si="4"/>
        <v>18</v>
      </c>
      <c r="G23" s="137">
        <f t="shared" si="5"/>
        <v>177.77777771677776</v>
      </c>
      <c r="L23" s="227">
        <f>INDEX(Starter!A:A,ROW()-1)</f>
        <v>7024</v>
      </c>
      <c r="M23">
        <f>INDEX(Schnitt1!M:M,MATCH(L23,Schnitt1!L:L,0))+INDEX(Schnitt2!M:M,MATCH(L23,Schnitt2!L:L,0))</f>
        <v>0</v>
      </c>
      <c r="N23">
        <f>INDEX(Schnitt1!N:N,MATCH(L23,Schnitt1!L:L,0))+INDEX(Schnitt2!N:N,MATCH(L23,Schnitt2!L:L,0))</f>
        <v>0</v>
      </c>
      <c r="O23">
        <f t="shared" si="7"/>
        <v>0</v>
      </c>
      <c r="P23">
        <f t="shared" si="1"/>
        <v>48</v>
      </c>
    </row>
    <row r="24" spans="1:16" x14ac:dyDescent="0.35">
      <c r="A24">
        <f t="shared" si="6"/>
        <v>20</v>
      </c>
      <c r="B24">
        <f t="shared" si="2"/>
        <v>38757</v>
      </c>
      <c r="C24" t="str">
        <f>IFERROR(INDEX(Starter!B:B,MATCH(B24,Starter!A:A,0)),"")</f>
        <v>Schanze, Bianka</v>
      </c>
      <c r="D24" t="str">
        <f>IFERROR(INDEX(Starter!C:C,MATCH(B24,Starter!A:A,0)),"")</f>
        <v>BSC Highroller Rosenheim</v>
      </c>
      <c r="E24" s="102">
        <f t="shared" si="3"/>
        <v>2838</v>
      </c>
      <c r="F24">
        <f t="shared" si="4"/>
        <v>16</v>
      </c>
      <c r="G24" s="137">
        <f t="shared" si="5"/>
        <v>177.37499997500001</v>
      </c>
      <c r="L24" s="227">
        <f>INDEX(Starter!A:A,ROW()-1)</f>
        <v>25298</v>
      </c>
      <c r="M24">
        <f>INDEX(Schnitt1!M:M,MATCH(L24,Schnitt1!L:L,0))+INDEX(Schnitt2!M:M,MATCH(L24,Schnitt2!L:L,0))</f>
        <v>3390</v>
      </c>
      <c r="N24">
        <f>INDEX(Schnitt1!N:N,MATCH(L24,Schnitt1!L:L,0))+INDEX(Schnitt2!N:N,MATCH(L24,Schnitt2!L:L,0))</f>
        <v>18</v>
      </c>
      <c r="O24">
        <f t="shared" si="7"/>
        <v>188.33333330933334</v>
      </c>
      <c r="P24">
        <f t="shared" si="1"/>
        <v>6</v>
      </c>
    </row>
    <row r="25" spans="1:16" x14ac:dyDescent="0.35">
      <c r="A25">
        <f t="shared" si="6"/>
        <v>21</v>
      </c>
      <c r="B25">
        <f t="shared" si="2"/>
        <v>7549</v>
      </c>
      <c r="C25" t="str">
        <f>IFERROR(INDEX(Starter!B:B,MATCH(B25,Starter!A:A,0)),"")</f>
        <v>Hernitschek, Angelika</v>
      </c>
      <c r="D25" t="str">
        <f>IFERROR(INDEX(Starter!C:C,MATCH(B25,Starter!A:A,0)),"")</f>
        <v>BC E.P.A. München</v>
      </c>
      <c r="E25" s="102">
        <f t="shared" si="3"/>
        <v>885</v>
      </c>
      <c r="F25">
        <f t="shared" si="4"/>
        <v>5</v>
      </c>
      <c r="G25" s="137">
        <f t="shared" si="5"/>
        <v>176.99999993200001</v>
      </c>
      <c r="L25" s="227">
        <f>INDEX(Starter!A:A,ROW()-1)</f>
        <v>38757</v>
      </c>
      <c r="M25">
        <f>INDEX(Schnitt1!M:M,MATCH(L25,Schnitt1!L:L,0))+INDEX(Schnitt2!M:M,MATCH(L25,Schnitt2!L:L,0))</f>
        <v>2838</v>
      </c>
      <c r="N25">
        <f>INDEX(Schnitt1!N:N,MATCH(L25,Schnitt1!L:L,0))+INDEX(Schnitt2!N:N,MATCH(L25,Schnitt2!L:L,0))</f>
        <v>16</v>
      </c>
      <c r="O25">
        <f t="shared" si="7"/>
        <v>177.37499997500001</v>
      </c>
      <c r="P25">
        <f t="shared" si="1"/>
        <v>20</v>
      </c>
    </row>
    <row r="26" spans="1:16" x14ac:dyDescent="0.35">
      <c r="A26">
        <f t="shared" si="6"/>
        <v>22</v>
      </c>
      <c r="B26">
        <f t="shared" si="2"/>
        <v>38289</v>
      </c>
      <c r="C26" t="str">
        <f>IFERROR(INDEX(Starter!B:B,MATCH(B26,Starter!A:A,0)),"")</f>
        <v>Kirschke, Sandra</v>
      </c>
      <c r="D26" t="str">
        <f>IFERROR(INDEX(Starter!C:C,MATCH(B26,Starter!A:A,0)),"")</f>
        <v>BC LA Bowling</v>
      </c>
      <c r="E26" s="102">
        <f t="shared" si="3"/>
        <v>1583</v>
      </c>
      <c r="F26">
        <f t="shared" si="4"/>
        <v>9</v>
      </c>
      <c r="G26" s="137">
        <f t="shared" si="5"/>
        <v>175.88888881688888</v>
      </c>
      <c r="L26" s="227">
        <f>INDEX(Starter!A:A,ROW()-1)</f>
        <v>25630</v>
      </c>
      <c r="M26">
        <f>INDEX(Schnitt1!M:M,MATCH(L26,Schnitt1!L:L,0))+INDEX(Schnitt2!M:M,MATCH(L26,Schnitt2!L:L,0))</f>
        <v>1816</v>
      </c>
      <c r="N26">
        <f>INDEX(Schnitt1!N:N,MATCH(L26,Schnitt1!L:L,0))+INDEX(Schnitt2!N:N,MATCH(L26,Schnitt2!L:L,0))</f>
        <v>11</v>
      </c>
      <c r="O26">
        <f t="shared" si="7"/>
        <v>165.09090906490908</v>
      </c>
      <c r="P26">
        <f t="shared" si="1"/>
        <v>35</v>
      </c>
    </row>
    <row r="27" spans="1:16" x14ac:dyDescent="0.35">
      <c r="A27">
        <f t="shared" si="6"/>
        <v>23</v>
      </c>
      <c r="B27">
        <f t="shared" si="2"/>
        <v>7753</v>
      </c>
      <c r="C27" t="str">
        <f>IFERROR(INDEX(Starter!B:B,MATCH(B27,Starter!A:A,0)),"")</f>
        <v>Krämer, Gisela</v>
      </c>
      <c r="D27" t="str">
        <f>IFERROR(INDEX(Starter!C:C,MATCH(B27,Starter!A:A,0)),"")</f>
        <v>BC Frankenpower</v>
      </c>
      <c r="E27" s="102">
        <f t="shared" si="3"/>
        <v>3165</v>
      </c>
      <c r="F27">
        <f t="shared" si="4"/>
        <v>18</v>
      </c>
      <c r="G27" s="137">
        <f t="shared" si="5"/>
        <v>175.83333330433334</v>
      </c>
      <c r="L27" s="227">
        <f>INDEX(Starter!A:A,ROW()-1)</f>
        <v>38758</v>
      </c>
      <c r="M27">
        <f>INDEX(Schnitt1!M:M,MATCH(L27,Schnitt1!L:L,0))+INDEX(Schnitt2!M:M,MATCH(L27,Schnitt2!L:L,0))</f>
        <v>2433</v>
      </c>
      <c r="N27">
        <f>INDEX(Schnitt1!N:N,MATCH(L27,Schnitt1!L:L,0))+INDEX(Schnitt2!N:N,MATCH(L27,Schnitt2!L:L,0))</f>
        <v>14</v>
      </c>
      <c r="O27">
        <f t="shared" si="7"/>
        <v>173.78571425871428</v>
      </c>
      <c r="P27">
        <f t="shared" si="1"/>
        <v>25</v>
      </c>
    </row>
    <row r="28" spans="1:16" x14ac:dyDescent="0.35">
      <c r="A28">
        <f t="shared" si="6"/>
        <v>24</v>
      </c>
      <c r="B28">
        <f t="shared" si="2"/>
        <v>25751</v>
      </c>
      <c r="C28" t="str">
        <f>IFERROR(INDEX(Starter!B:B,MATCH(B28,Starter!A:A,0)),"")</f>
        <v>Schlundt, Sabrina</v>
      </c>
      <c r="D28" t="str">
        <f>IFERROR(INDEX(Starter!C:C,MATCH(B28,Starter!A:A,0)),"")</f>
        <v>BC Praetoria</v>
      </c>
      <c r="E28" s="102">
        <f t="shared" si="3"/>
        <v>2794</v>
      </c>
      <c r="F28">
        <f t="shared" si="4"/>
        <v>16</v>
      </c>
      <c r="G28" s="137">
        <f t="shared" si="5"/>
        <v>174.62499999799999</v>
      </c>
      <c r="L28" s="227">
        <f>INDEX(Starter!A:A,ROW()-1)</f>
        <v>7754</v>
      </c>
      <c r="M28">
        <f>INDEX(Schnitt1!M:M,MATCH(L28,Schnitt1!L:L,0))+INDEX(Schnitt2!M:M,MATCH(L28,Schnitt2!L:L,0))</f>
        <v>0</v>
      </c>
      <c r="N28">
        <f>INDEX(Schnitt1!N:N,MATCH(L28,Schnitt1!L:L,0))+INDEX(Schnitt2!N:N,MATCH(L28,Schnitt2!L:L,0))</f>
        <v>0</v>
      </c>
      <c r="O28">
        <f t="shared" si="7"/>
        <v>0</v>
      </c>
      <c r="P28">
        <f t="shared" si="1"/>
        <v>48</v>
      </c>
    </row>
    <row r="29" spans="1:16" x14ac:dyDescent="0.35">
      <c r="A29">
        <f t="shared" si="6"/>
        <v>25</v>
      </c>
      <c r="B29">
        <f t="shared" si="2"/>
        <v>38758</v>
      </c>
      <c r="C29" t="str">
        <f>IFERROR(INDEX(Starter!B:B,MATCH(B29,Starter!A:A,0)),"")</f>
        <v>Rauscher, Julia</v>
      </c>
      <c r="D29" t="str">
        <f>IFERROR(INDEX(Starter!C:C,MATCH(B29,Starter!A:A,0)),"")</f>
        <v>BSC Highroller Rosenheim</v>
      </c>
      <c r="E29" s="102">
        <f t="shared" si="3"/>
        <v>2433</v>
      </c>
      <c r="F29">
        <f t="shared" si="4"/>
        <v>14</v>
      </c>
      <c r="G29" s="137">
        <f t="shared" si="5"/>
        <v>173.78571425871428</v>
      </c>
      <c r="L29" s="227">
        <f>INDEX(Starter!A:A,ROW()-1)</f>
        <v>7753</v>
      </c>
      <c r="M29">
        <f>INDEX(Schnitt1!M:M,MATCH(L29,Schnitt1!L:L,0))+INDEX(Schnitt2!M:M,MATCH(L29,Schnitt2!L:L,0))</f>
        <v>3165</v>
      </c>
      <c r="N29">
        <f>INDEX(Schnitt1!N:N,MATCH(L29,Schnitt1!L:L,0))+INDEX(Schnitt2!N:N,MATCH(L29,Schnitt2!L:L,0))</f>
        <v>18</v>
      </c>
      <c r="O29">
        <f t="shared" si="7"/>
        <v>175.83333330433334</v>
      </c>
      <c r="P29">
        <f t="shared" si="1"/>
        <v>23</v>
      </c>
    </row>
    <row r="30" spans="1:16" x14ac:dyDescent="0.35">
      <c r="A30">
        <f t="shared" si="6"/>
        <v>26</v>
      </c>
      <c r="B30">
        <f t="shared" si="2"/>
        <v>7087</v>
      </c>
      <c r="C30" t="str">
        <f>IFERROR(INDEX(Starter!B:B,MATCH(B30,Starter!A:A,0)),"")</f>
        <v>Albert, Beate</v>
      </c>
      <c r="D30" t="str">
        <f>IFERROR(INDEX(Starter!C:C,MATCH(B30,Starter!A:A,0)),"")</f>
        <v>BF Weiß-Blau</v>
      </c>
      <c r="E30" s="102">
        <f t="shared" si="3"/>
        <v>3101</v>
      </c>
      <c r="F30">
        <f t="shared" si="4"/>
        <v>18</v>
      </c>
      <c r="G30" s="137">
        <f t="shared" si="5"/>
        <v>172.27777773277776</v>
      </c>
      <c r="L30" s="227">
        <f>INDEX(Starter!A:A,ROW()-1)</f>
        <v>7758</v>
      </c>
      <c r="M30">
        <f>INDEX(Schnitt1!M:M,MATCH(L30,Schnitt1!L:L,0))+INDEX(Schnitt2!M:M,MATCH(L30,Schnitt2!L:L,0))</f>
        <v>3025</v>
      </c>
      <c r="N30">
        <f>INDEX(Schnitt1!N:N,MATCH(L30,Schnitt1!L:L,0))+INDEX(Schnitt2!N:N,MATCH(L30,Schnitt2!L:L,0))</f>
        <v>18</v>
      </c>
      <c r="O30">
        <f t="shared" si="7"/>
        <v>168.05555552555555</v>
      </c>
      <c r="P30">
        <f t="shared" si="1"/>
        <v>32</v>
      </c>
    </row>
    <row r="31" spans="1:16" x14ac:dyDescent="0.35">
      <c r="A31">
        <f t="shared" si="6"/>
        <v>27</v>
      </c>
      <c r="B31">
        <f t="shared" si="2"/>
        <v>38350</v>
      </c>
      <c r="C31" t="str">
        <f>IFERROR(INDEX(Starter!B:B,MATCH(B31,Starter!A:A,0)),"")</f>
        <v>Seeger, Melanie</v>
      </c>
      <c r="D31" t="str">
        <f>IFERROR(INDEX(Starter!C:C,MATCH(B31,Starter!A:A,0)),"")</f>
        <v>BK München</v>
      </c>
      <c r="E31" s="102">
        <f t="shared" si="3"/>
        <v>3084</v>
      </c>
      <c r="F31">
        <f t="shared" si="4"/>
        <v>18</v>
      </c>
      <c r="G31" s="137">
        <f t="shared" si="5"/>
        <v>171.33333332233335</v>
      </c>
      <c r="L31" s="227">
        <f>INDEX(Starter!A:A,ROW()-1)</f>
        <v>7757</v>
      </c>
      <c r="M31">
        <f>INDEX(Schnitt1!M:M,MATCH(L31,Schnitt1!L:L,0))+INDEX(Schnitt2!M:M,MATCH(L31,Schnitt2!L:L,0))</f>
        <v>2949</v>
      </c>
      <c r="N31">
        <f>INDEX(Schnitt1!N:N,MATCH(L31,Schnitt1!L:L,0))+INDEX(Schnitt2!N:N,MATCH(L31,Schnitt2!L:L,0))</f>
        <v>18</v>
      </c>
      <c r="O31">
        <f t="shared" si="7"/>
        <v>163.83333330233333</v>
      </c>
      <c r="P31">
        <f t="shared" si="1"/>
        <v>38</v>
      </c>
    </row>
    <row r="32" spans="1:16" x14ac:dyDescent="0.35">
      <c r="A32">
        <f t="shared" si="6"/>
        <v>28</v>
      </c>
      <c r="B32">
        <f t="shared" si="2"/>
        <v>38513</v>
      </c>
      <c r="C32" t="str">
        <f>IFERROR(INDEX(Starter!B:B,MATCH(B32,Starter!A:A,0)),"")</f>
        <v>Thöne, Melanie</v>
      </c>
      <c r="D32" t="str">
        <f>IFERROR(INDEX(Starter!C:C,MATCH(B32,Starter!A:A,0)),"")</f>
        <v>BF Rot-Weiß Lichtenhof 69</v>
      </c>
      <c r="E32" s="102">
        <f t="shared" si="3"/>
        <v>3066</v>
      </c>
      <c r="F32">
        <f t="shared" si="4"/>
        <v>18</v>
      </c>
      <c r="G32" s="137">
        <f t="shared" si="5"/>
        <v>170.33333327433334</v>
      </c>
      <c r="L32" s="227">
        <f>INDEX(Starter!A:A,ROW()-1)</f>
        <v>38560</v>
      </c>
      <c r="M32">
        <f>INDEX(Schnitt1!M:M,MATCH(L32,Schnitt1!L:L,0))+INDEX(Schnitt2!M:M,MATCH(L32,Schnitt2!L:L,0))</f>
        <v>3252</v>
      </c>
      <c r="N32">
        <f>INDEX(Schnitt1!N:N,MATCH(L32,Schnitt1!L:L,0))+INDEX(Schnitt2!N:N,MATCH(L32,Schnitt2!L:L,0))</f>
        <v>18</v>
      </c>
      <c r="O32">
        <f t="shared" si="7"/>
        <v>180.66666663466665</v>
      </c>
      <c r="P32">
        <f t="shared" si="1"/>
        <v>16</v>
      </c>
    </row>
    <row r="33" spans="1:16" x14ac:dyDescent="0.35">
      <c r="A33">
        <f t="shared" si="6"/>
        <v>29</v>
      </c>
      <c r="B33">
        <f t="shared" si="2"/>
        <v>16414</v>
      </c>
      <c r="C33" t="str">
        <f>IFERROR(INDEX(Starter!B:B,MATCH(B33,Starter!A:A,0)),"")</f>
        <v>Dornacher, Hannelore</v>
      </c>
      <c r="D33" t="str">
        <f>IFERROR(INDEX(Starter!C:C,MATCH(B33,Starter!A:A,0)),"")</f>
        <v>BF Weiß-Blau</v>
      </c>
      <c r="E33" s="102">
        <f t="shared" si="3"/>
        <v>2715</v>
      </c>
      <c r="F33">
        <f t="shared" si="4"/>
        <v>16</v>
      </c>
      <c r="G33" s="137">
        <f t="shared" si="5"/>
        <v>169.687499954</v>
      </c>
      <c r="L33" s="227">
        <f>INDEX(Starter!A:A,ROW()-1)</f>
        <v>7755</v>
      </c>
      <c r="M33">
        <f>INDEX(Schnitt1!M:M,MATCH(L33,Schnitt1!L:L,0))+INDEX(Schnitt2!M:M,MATCH(L33,Schnitt2!L:L,0))</f>
        <v>0</v>
      </c>
      <c r="N33">
        <f>INDEX(Schnitt1!N:N,MATCH(L33,Schnitt1!L:L,0))+INDEX(Schnitt2!N:N,MATCH(L33,Schnitt2!L:L,0))</f>
        <v>0</v>
      </c>
      <c r="O33">
        <f t="shared" si="7"/>
        <v>0</v>
      </c>
      <c r="P33">
        <f t="shared" si="1"/>
        <v>48</v>
      </c>
    </row>
    <row r="34" spans="1:16" x14ac:dyDescent="0.35">
      <c r="A34">
        <f t="shared" si="6"/>
        <v>30</v>
      </c>
      <c r="B34">
        <f t="shared" si="2"/>
        <v>38258</v>
      </c>
      <c r="C34" t="str">
        <f>IFERROR(INDEX(Starter!B:B,MATCH(B34,Starter!A:A,0)),"")</f>
        <v>Bösl, Anna</v>
      </c>
      <c r="D34" t="str">
        <f>IFERROR(INDEX(Starter!C:C,MATCH(B34,Starter!A:A,0)),"")</f>
        <v>BC Praetoria</v>
      </c>
      <c r="E34" s="102">
        <f t="shared" si="3"/>
        <v>1181</v>
      </c>
      <c r="F34">
        <f t="shared" si="4"/>
        <v>7</v>
      </c>
      <c r="G34" s="137">
        <f t="shared" si="5"/>
        <v>168.71428571128573</v>
      </c>
      <c r="L34" s="227">
        <f>INDEX(Starter!A:A,ROW()-1)</f>
        <v>7676</v>
      </c>
      <c r="M34">
        <f>INDEX(Schnitt1!M:M,MATCH(L34,Schnitt1!L:L,0))+INDEX(Schnitt2!M:M,MATCH(L34,Schnitt2!L:L,0))</f>
        <v>0</v>
      </c>
      <c r="N34">
        <f>INDEX(Schnitt1!N:N,MATCH(L34,Schnitt1!L:L,0))+INDEX(Schnitt2!N:N,MATCH(L34,Schnitt2!L:L,0))</f>
        <v>0</v>
      </c>
      <c r="O34">
        <f t="shared" si="7"/>
        <v>0</v>
      </c>
      <c r="P34">
        <f t="shared" ref="P34:P65" si="8">RANK(O34,O:O)</f>
        <v>48</v>
      </c>
    </row>
    <row r="35" spans="1:16" x14ac:dyDescent="0.35">
      <c r="A35">
        <f t="shared" si="6"/>
        <v>31</v>
      </c>
      <c r="B35">
        <f t="shared" si="2"/>
        <v>21185</v>
      </c>
      <c r="C35" t="str">
        <f>IFERROR(INDEX(Starter!B:B,MATCH(B35,Starter!A:A,0)),"")</f>
        <v>Richter, Petra</v>
      </c>
      <c r="D35" t="str">
        <f>IFERROR(INDEX(Starter!C:C,MATCH(B35,Starter!A:A,0)),"")</f>
        <v>BF Weiß-Blau</v>
      </c>
      <c r="E35" s="102">
        <f t="shared" si="3"/>
        <v>1516</v>
      </c>
      <c r="F35">
        <f t="shared" si="4"/>
        <v>9</v>
      </c>
      <c r="G35" s="137">
        <f t="shared" si="5"/>
        <v>168.44444439344446</v>
      </c>
      <c r="L35" s="227">
        <f>INDEX(Starter!A:A,ROW()-1)</f>
        <v>16804</v>
      </c>
      <c r="M35">
        <f>INDEX(Schnitt1!M:M,MATCH(L35,Schnitt1!L:L,0))+INDEX(Schnitt2!M:M,MATCH(L35,Schnitt2!L:L,0))</f>
        <v>0</v>
      </c>
      <c r="N35">
        <f>INDEX(Schnitt1!N:N,MATCH(L35,Schnitt1!L:L,0))+INDEX(Schnitt2!N:N,MATCH(L35,Schnitt2!L:L,0))</f>
        <v>0</v>
      </c>
      <c r="O35">
        <f t="shared" si="7"/>
        <v>0</v>
      </c>
      <c r="P35">
        <f t="shared" si="8"/>
        <v>48</v>
      </c>
    </row>
    <row r="36" spans="1:16" x14ac:dyDescent="0.35">
      <c r="A36">
        <f t="shared" si="6"/>
        <v>32</v>
      </c>
      <c r="B36">
        <f t="shared" si="2"/>
        <v>7758</v>
      </c>
      <c r="C36" t="str">
        <f>IFERROR(INDEX(Starter!B:B,MATCH(B36,Starter!A:A,0)),"")</f>
        <v>Deinlein, Christine</v>
      </c>
      <c r="D36" t="str">
        <f>IFERROR(INDEX(Starter!C:C,MATCH(B36,Starter!A:A,0)),"")</f>
        <v>BC Frankenpower</v>
      </c>
      <c r="E36" s="102">
        <f t="shared" si="3"/>
        <v>3025</v>
      </c>
      <c r="F36">
        <f t="shared" si="4"/>
        <v>18</v>
      </c>
      <c r="G36" s="137">
        <f t="shared" si="5"/>
        <v>168.05555552555555</v>
      </c>
      <c r="L36" s="227">
        <f>INDEX(Starter!A:A,ROW()-1)</f>
        <v>7978</v>
      </c>
      <c r="M36">
        <f>INDEX(Schnitt1!M:M,MATCH(L36,Schnitt1!L:L,0))+INDEX(Schnitt2!M:M,MATCH(L36,Schnitt2!L:L,0))</f>
        <v>0</v>
      </c>
      <c r="N36">
        <f>INDEX(Schnitt1!N:N,MATCH(L36,Schnitt1!L:L,0))+INDEX(Schnitt2!N:N,MATCH(L36,Schnitt2!L:L,0))</f>
        <v>0</v>
      </c>
      <c r="O36">
        <f t="shared" si="7"/>
        <v>0</v>
      </c>
      <c r="P36">
        <f t="shared" si="8"/>
        <v>48</v>
      </c>
    </row>
    <row r="37" spans="1:16" x14ac:dyDescent="0.35">
      <c r="A37">
        <f t="shared" si="6"/>
        <v>33</v>
      </c>
      <c r="B37">
        <f t="shared" ref="B37:B68" si="9">IFERROR(INDEX(L:L,MATCH(A37,P:P,0)),"")</f>
        <v>38210</v>
      </c>
      <c r="C37" t="str">
        <f>IFERROR(INDEX(Starter!B:B,MATCH(B37,Starter!A:A,0)),"")</f>
        <v>Kulzer, Katharina</v>
      </c>
      <c r="D37" t="str">
        <f>IFERROR(INDEX(Starter!C:C,MATCH(B37,Starter!A:A,0)),"")</f>
        <v>BC Phönix 03 Lauf</v>
      </c>
      <c r="E37" s="102">
        <f t="shared" ref="E37:E68" si="10">IFERROR(INDEX(M:M,MATCH(A37,P:P,0)),"")</f>
        <v>2351</v>
      </c>
      <c r="F37">
        <f t="shared" ref="F37:F68" si="11">IFERROR(INDEX(N:N,MATCH(A37,P:P,0)),"")</f>
        <v>14</v>
      </c>
      <c r="G37" s="137">
        <f t="shared" ref="G37:G68" si="12">IFERROR(INDEX(O:O,MATCH(A37,P:P,0)),"")</f>
        <v>167.92857136157141</v>
      </c>
      <c r="L37" s="227">
        <f>INDEX(Starter!A:A,ROW()-1)</f>
        <v>16029</v>
      </c>
      <c r="M37">
        <f>INDEX(Schnitt1!M:M,MATCH(L37,Schnitt1!L:L,0))+INDEX(Schnitt2!M:M,MATCH(L37,Schnitt2!L:L,0))</f>
        <v>0</v>
      </c>
      <c r="N37">
        <f>INDEX(Schnitt1!N:N,MATCH(L37,Schnitt1!L:L,0))+INDEX(Schnitt2!N:N,MATCH(L37,Schnitt2!L:L,0))</f>
        <v>0</v>
      </c>
      <c r="O37">
        <f t="shared" si="7"/>
        <v>0</v>
      </c>
      <c r="P37">
        <f t="shared" si="8"/>
        <v>48</v>
      </c>
    </row>
    <row r="38" spans="1:16" x14ac:dyDescent="0.35">
      <c r="A38">
        <f t="shared" ref="A38:A69" si="13">IFERROR(IF(A37+1&gt;MAX(P:P)-1,"",A37+1),"")</f>
        <v>34</v>
      </c>
      <c r="B38">
        <f t="shared" si="9"/>
        <v>7576</v>
      </c>
      <c r="C38" t="str">
        <f>IFERROR(INDEX(Starter!B:B,MATCH(B38,Starter!A:A,0)),"")</f>
        <v>Laub, Angela</v>
      </c>
      <c r="D38" t="str">
        <f>IFERROR(INDEX(Starter!C:C,MATCH(B38,Starter!A:A,0)),"")</f>
        <v>BK München</v>
      </c>
      <c r="E38" s="102">
        <f t="shared" si="10"/>
        <v>1495</v>
      </c>
      <c r="F38">
        <f t="shared" si="11"/>
        <v>9</v>
      </c>
      <c r="G38" s="137">
        <f t="shared" si="12"/>
        <v>166.11111109211112</v>
      </c>
      <c r="L38" s="227">
        <f>INDEX(Starter!A:A,ROW()-1)</f>
        <v>7082</v>
      </c>
      <c r="M38">
        <f>INDEX(Schnitt1!M:M,MATCH(L38,Schnitt1!L:L,0))+INDEX(Schnitt2!M:M,MATCH(L38,Schnitt2!L:L,0))</f>
        <v>0</v>
      </c>
      <c r="N38">
        <f>INDEX(Schnitt1!N:N,MATCH(L38,Schnitt1!L:L,0))+INDEX(Schnitt2!N:N,MATCH(L38,Schnitt2!L:L,0))</f>
        <v>0</v>
      </c>
      <c r="O38">
        <f t="shared" si="7"/>
        <v>0</v>
      </c>
      <c r="P38">
        <f t="shared" si="8"/>
        <v>48</v>
      </c>
    </row>
    <row r="39" spans="1:16" x14ac:dyDescent="0.35">
      <c r="A39">
        <f t="shared" si="13"/>
        <v>35</v>
      </c>
      <c r="B39">
        <f t="shared" si="9"/>
        <v>25630</v>
      </c>
      <c r="C39" t="str">
        <f>IFERROR(INDEX(Starter!B:B,MATCH(B39,Starter!A:A,0)),"")</f>
        <v>Groll, Hanni</v>
      </c>
      <c r="D39" t="str">
        <f>IFERROR(INDEX(Starter!C:C,MATCH(B39,Starter!A:A,0)),"")</f>
        <v>BSC Highroller Rosenheim</v>
      </c>
      <c r="E39" s="102">
        <f t="shared" si="10"/>
        <v>1816</v>
      </c>
      <c r="F39">
        <f t="shared" si="11"/>
        <v>11</v>
      </c>
      <c r="G39" s="137">
        <f t="shared" si="12"/>
        <v>165.09090906490908</v>
      </c>
      <c r="L39" s="227">
        <f>INDEX(Starter!A:A,ROW()-1)</f>
        <v>16700</v>
      </c>
      <c r="M39">
        <f>INDEX(Schnitt1!M:M,MATCH(L39,Schnitt1!L:L,0))+INDEX(Schnitt2!M:M,MATCH(L39,Schnitt2!L:L,0))</f>
        <v>0</v>
      </c>
      <c r="N39">
        <f>INDEX(Schnitt1!N:N,MATCH(L39,Schnitt1!L:L,0))+INDEX(Schnitt2!N:N,MATCH(L39,Schnitt2!L:L,0))</f>
        <v>0</v>
      </c>
      <c r="O39">
        <f t="shared" si="7"/>
        <v>0</v>
      </c>
      <c r="P39">
        <f t="shared" si="8"/>
        <v>48</v>
      </c>
    </row>
    <row r="40" spans="1:16" x14ac:dyDescent="0.35">
      <c r="A40">
        <f t="shared" si="13"/>
        <v>36</v>
      </c>
      <c r="B40">
        <f t="shared" si="9"/>
        <v>7787</v>
      </c>
      <c r="C40" t="str">
        <f>IFERROR(INDEX(Starter!B:B,MATCH(B40,Starter!A:A,0)),"")</f>
        <v>Kleim, Helga</v>
      </c>
      <c r="D40" t="str">
        <f>IFERROR(INDEX(Starter!C:C,MATCH(B40,Starter!A:A,0)),"")</f>
        <v>BC Phönix 03 Lauf</v>
      </c>
      <c r="E40" s="102">
        <f t="shared" si="10"/>
        <v>2473</v>
      </c>
      <c r="F40">
        <f t="shared" si="11"/>
        <v>15</v>
      </c>
      <c r="G40" s="137">
        <f t="shared" si="12"/>
        <v>164.86666661266668</v>
      </c>
      <c r="L40" s="227">
        <f>INDEX(Starter!A:A,ROW()-1)</f>
        <v>38737</v>
      </c>
      <c r="M40">
        <f>INDEX(Schnitt1!M:M,MATCH(L40,Schnitt1!L:L,0))+INDEX(Schnitt2!M:M,MATCH(L40,Schnitt2!L:L,0))</f>
        <v>0</v>
      </c>
      <c r="N40">
        <f>INDEX(Schnitt1!N:N,MATCH(L40,Schnitt1!L:L,0))+INDEX(Schnitt2!N:N,MATCH(L40,Schnitt2!L:L,0))</f>
        <v>0</v>
      </c>
      <c r="O40">
        <f t="shared" si="7"/>
        <v>0</v>
      </c>
      <c r="P40">
        <f t="shared" si="8"/>
        <v>48</v>
      </c>
    </row>
    <row r="41" spans="1:16" x14ac:dyDescent="0.35">
      <c r="A41">
        <f t="shared" si="13"/>
        <v>37</v>
      </c>
      <c r="B41">
        <f t="shared" si="9"/>
        <v>38222</v>
      </c>
      <c r="C41" t="str">
        <f>IFERROR(INDEX(Starter!B:B,MATCH(B41,Starter!A:A,0)),"")</f>
        <v>Helmbrecht, Carolin</v>
      </c>
      <c r="D41" t="str">
        <f>IFERROR(INDEX(Starter!C:C,MATCH(B41,Starter!A:A,0)),"")</f>
        <v>BK München</v>
      </c>
      <c r="E41" s="102">
        <f t="shared" si="10"/>
        <v>1479</v>
      </c>
      <c r="F41">
        <f t="shared" si="11"/>
        <v>9</v>
      </c>
      <c r="G41" s="137">
        <f t="shared" si="12"/>
        <v>164.33333332533334</v>
      </c>
      <c r="L41" s="227">
        <f>INDEX(Starter!A:A,ROW()-1)</f>
        <v>7752</v>
      </c>
      <c r="M41">
        <f>INDEX(Schnitt1!M:M,MATCH(L41,Schnitt1!L:L,0))+INDEX(Schnitt2!M:M,MATCH(L41,Schnitt2!L:L,0))</f>
        <v>1288</v>
      </c>
      <c r="N41">
        <f>INDEX(Schnitt1!N:N,MATCH(L41,Schnitt1!L:L,0))+INDEX(Schnitt2!N:N,MATCH(L41,Schnitt2!L:L,0))</f>
        <v>7</v>
      </c>
      <c r="O41">
        <f t="shared" si="7"/>
        <v>183.99999995900001</v>
      </c>
      <c r="P41">
        <f t="shared" si="8"/>
        <v>13</v>
      </c>
    </row>
    <row r="42" spans="1:16" x14ac:dyDescent="0.35">
      <c r="A42">
        <f t="shared" si="13"/>
        <v>38</v>
      </c>
      <c r="B42">
        <f t="shared" si="9"/>
        <v>7757</v>
      </c>
      <c r="C42" t="str">
        <f>IFERROR(INDEX(Starter!B:B,MATCH(B42,Starter!A:A,0)),"")</f>
        <v>Legl, Renate</v>
      </c>
      <c r="D42" t="str">
        <f>IFERROR(INDEX(Starter!C:C,MATCH(B42,Starter!A:A,0)),"")</f>
        <v>BC Frankenpower</v>
      </c>
      <c r="E42" s="102">
        <f t="shared" si="10"/>
        <v>2949</v>
      </c>
      <c r="F42">
        <f t="shared" si="11"/>
        <v>18</v>
      </c>
      <c r="G42" s="137">
        <f t="shared" si="12"/>
        <v>163.83333330233333</v>
      </c>
      <c r="L42" s="227">
        <f>INDEX(Starter!A:A,ROW()-1)</f>
        <v>25397</v>
      </c>
      <c r="M42">
        <f>INDEX(Schnitt1!M:M,MATCH(L42,Schnitt1!L:L,0))+INDEX(Schnitt2!M:M,MATCH(L42,Schnitt2!L:L,0))</f>
        <v>1308</v>
      </c>
      <c r="N42">
        <f>INDEX(Schnitt1!N:N,MATCH(L42,Schnitt1!L:L,0))+INDEX(Schnitt2!N:N,MATCH(L42,Schnitt2!L:L,0))</f>
        <v>8</v>
      </c>
      <c r="O42">
        <f t="shared" si="7"/>
        <v>163.49999995799999</v>
      </c>
      <c r="P42">
        <f t="shared" si="8"/>
        <v>39</v>
      </c>
    </row>
    <row r="43" spans="1:16" x14ac:dyDescent="0.35">
      <c r="A43">
        <f t="shared" si="13"/>
        <v>39</v>
      </c>
      <c r="B43">
        <f t="shared" si="9"/>
        <v>25397</v>
      </c>
      <c r="C43" t="str">
        <f>IFERROR(INDEX(Starter!B:B,MATCH(B43,Starter!A:A,0)),"")</f>
        <v>Weninger, Diana</v>
      </c>
      <c r="D43" t="str">
        <f>IFERROR(INDEX(Starter!C:C,MATCH(B43,Starter!A:A,0)),"")</f>
        <v>BC E.P.A. München</v>
      </c>
      <c r="E43" s="102">
        <f t="shared" si="10"/>
        <v>1308</v>
      </c>
      <c r="F43">
        <f t="shared" si="11"/>
        <v>8</v>
      </c>
      <c r="G43" s="137">
        <f t="shared" si="12"/>
        <v>163.49999995799999</v>
      </c>
      <c r="L43" s="227">
        <f>INDEX(Starter!A:A,ROW()-1)</f>
        <v>38061</v>
      </c>
      <c r="M43">
        <f>INDEX(Schnitt1!M:M,MATCH(L43,Schnitt1!L:L,0))+INDEX(Schnitt2!M:M,MATCH(L43,Schnitt2!L:L,0))</f>
        <v>0</v>
      </c>
      <c r="N43">
        <f>INDEX(Schnitt1!N:N,MATCH(L43,Schnitt1!L:L,0))+INDEX(Schnitt2!N:N,MATCH(L43,Schnitt2!L:L,0))</f>
        <v>0</v>
      </c>
      <c r="O43">
        <f t="shared" si="7"/>
        <v>0</v>
      </c>
      <c r="P43">
        <f t="shared" si="8"/>
        <v>48</v>
      </c>
    </row>
    <row r="44" spans="1:16" x14ac:dyDescent="0.35">
      <c r="A44">
        <f t="shared" si="13"/>
        <v>40</v>
      </c>
      <c r="B44">
        <f t="shared" si="9"/>
        <v>7972</v>
      </c>
      <c r="C44" t="str">
        <f>IFERROR(INDEX(Starter!B:B,MATCH(B44,Starter!A:A,0)),"")</f>
        <v>Hödl, Renate</v>
      </c>
      <c r="D44" t="str">
        <f>IFERROR(INDEX(Starter!C:C,MATCH(B44,Starter!A:A,0)),"")</f>
        <v>BF Rot-Weiß Lichtenhof 69</v>
      </c>
      <c r="E44" s="102">
        <f t="shared" si="10"/>
        <v>2908</v>
      </c>
      <c r="F44">
        <f t="shared" si="11"/>
        <v>18</v>
      </c>
      <c r="G44" s="137">
        <f t="shared" si="12"/>
        <v>161.55555549555555</v>
      </c>
      <c r="L44" s="227">
        <f>INDEX(Starter!A:A,ROW()-1)</f>
        <v>7431</v>
      </c>
      <c r="M44">
        <f>INDEX(Schnitt1!M:M,MATCH(L44,Schnitt1!L:L,0))+INDEX(Schnitt2!M:M,MATCH(L44,Schnitt2!L:L,0))</f>
        <v>3223</v>
      </c>
      <c r="N44">
        <f>INDEX(Schnitt1!N:N,MATCH(L44,Schnitt1!L:L,0))+INDEX(Schnitt2!N:N,MATCH(L44,Schnitt2!L:L,0))</f>
        <v>18</v>
      </c>
      <c r="O44">
        <f t="shared" si="7"/>
        <v>179.05555551155555</v>
      </c>
      <c r="P44">
        <f t="shared" si="8"/>
        <v>17</v>
      </c>
    </row>
    <row r="45" spans="1:16" x14ac:dyDescent="0.35">
      <c r="A45">
        <f t="shared" si="13"/>
        <v>41</v>
      </c>
      <c r="B45">
        <f t="shared" si="9"/>
        <v>25347</v>
      </c>
      <c r="C45" t="str">
        <f>IFERROR(INDEX(Starter!B:B,MATCH(B45,Starter!A:A,0)),"")</f>
        <v>Schulz-Burkert, Roswitha</v>
      </c>
      <c r="D45" t="str">
        <f>IFERROR(INDEX(Starter!C:C,MATCH(B45,Starter!A:A,0)),"")</f>
        <v>BC Phönix 03 Lauf</v>
      </c>
      <c r="E45" s="102">
        <f t="shared" si="10"/>
        <v>1125</v>
      </c>
      <c r="F45">
        <f t="shared" si="11"/>
        <v>7</v>
      </c>
      <c r="G45" s="137">
        <f t="shared" si="12"/>
        <v>160.71428564128573</v>
      </c>
      <c r="L45" s="227">
        <f>INDEX(Starter!A:A,ROW()-1)</f>
        <v>7087</v>
      </c>
      <c r="M45">
        <f>INDEX(Schnitt1!M:M,MATCH(L45,Schnitt1!L:L,0))+INDEX(Schnitt2!M:M,MATCH(L45,Schnitt2!L:L,0))</f>
        <v>3101</v>
      </c>
      <c r="N45">
        <f>INDEX(Schnitt1!N:N,MATCH(L45,Schnitt1!L:L,0))+INDEX(Schnitt2!N:N,MATCH(L45,Schnitt2!L:L,0))</f>
        <v>18</v>
      </c>
      <c r="O45">
        <f t="shared" si="7"/>
        <v>172.27777773277776</v>
      </c>
      <c r="P45">
        <f t="shared" si="8"/>
        <v>26</v>
      </c>
    </row>
    <row r="46" spans="1:16" x14ac:dyDescent="0.35">
      <c r="A46">
        <f t="shared" si="13"/>
        <v>42</v>
      </c>
      <c r="B46">
        <f t="shared" si="9"/>
        <v>16879</v>
      </c>
      <c r="C46" t="str">
        <f>IFERROR(INDEX(Starter!B:B,MATCH(B46,Starter!A:A,0)),"")</f>
        <v>Danzer, Andrea</v>
      </c>
      <c r="D46" t="str">
        <f>IFERROR(INDEX(Starter!C:C,MATCH(B46,Starter!A:A,0)),"")</f>
        <v>BK München</v>
      </c>
      <c r="E46" s="102">
        <f t="shared" si="10"/>
        <v>960</v>
      </c>
      <c r="F46">
        <f t="shared" si="11"/>
        <v>6</v>
      </c>
      <c r="G46" s="137">
        <f t="shared" si="12"/>
        <v>159.99999997899999</v>
      </c>
      <c r="L46" s="227">
        <f>INDEX(Starter!A:A,ROW()-1)</f>
        <v>16414</v>
      </c>
      <c r="M46">
        <f>INDEX(Schnitt1!M:M,MATCH(L46,Schnitt1!L:L,0))+INDEX(Schnitt2!M:M,MATCH(L46,Schnitt2!L:L,0))</f>
        <v>2715</v>
      </c>
      <c r="N46">
        <f>INDEX(Schnitt1!N:N,MATCH(L46,Schnitt1!L:L,0))+INDEX(Schnitt2!N:N,MATCH(L46,Schnitt2!L:L,0))</f>
        <v>16</v>
      </c>
      <c r="O46">
        <f t="shared" si="7"/>
        <v>169.687499954</v>
      </c>
      <c r="P46">
        <f t="shared" si="8"/>
        <v>29</v>
      </c>
    </row>
    <row r="47" spans="1:16" x14ac:dyDescent="0.35">
      <c r="A47">
        <f t="shared" si="13"/>
        <v>43</v>
      </c>
      <c r="B47">
        <f t="shared" si="9"/>
        <v>7903</v>
      </c>
      <c r="C47" t="str">
        <f>IFERROR(INDEX(Starter!B:B,MATCH(B47,Starter!A:A,0)),"")</f>
        <v>Spieler, Regina</v>
      </c>
      <c r="D47" t="str">
        <f>IFERROR(INDEX(Starter!C:C,MATCH(B47,Starter!A:A,0)),"")</f>
        <v>BC Praetoria</v>
      </c>
      <c r="E47" s="102">
        <f t="shared" si="10"/>
        <v>1117</v>
      </c>
      <c r="F47">
        <f t="shared" si="11"/>
        <v>7</v>
      </c>
      <c r="G47" s="137">
        <f t="shared" si="12"/>
        <v>159.57142856642858</v>
      </c>
      <c r="L47" s="227">
        <f>INDEX(Starter!A:A,ROW()-1)</f>
        <v>16713</v>
      </c>
      <c r="M47">
        <f>INDEX(Schnitt1!M:M,MATCH(L47,Schnitt1!L:L,0))+INDEX(Schnitt2!M:M,MATCH(L47,Schnitt2!L:L,0))</f>
        <v>0</v>
      </c>
      <c r="N47">
        <f>INDEX(Schnitt1!N:N,MATCH(L47,Schnitt1!L:L,0))+INDEX(Schnitt2!N:N,MATCH(L47,Schnitt2!L:L,0))</f>
        <v>0</v>
      </c>
      <c r="O47">
        <f t="shared" si="7"/>
        <v>0</v>
      </c>
      <c r="P47">
        <f t="shared" si="8"/>
        <v>48</v>
      </c>
    </row>
    <row r="48" spans="1:16" x14ac:dyDescent="0.35">
      <c r="A48">
        <f t="shared" si="13"/>
        <v>44</v>
      </c>
      <c r="B48">
        <f t="shared" si="9"/>
        <v>12850</v>
      </c>
      <c r="C48" t="str">
        <f>IFERROR(INDEX(Starter!B:B,MATCH(B48,Starter!A:A,0)),"")</f>
        <v>Müller, Angelika</v>
      </c>
      <c r="D48" t="str">
        <f>IFERROR(INDEX(Starter!C:C,MATCH(B48,Starter!A:A,0)),"")</f>
        <v>BK München</v>
      </c>
      <c r="E48" s="102">
        <f t="shared" si="10"/>
        <v>1893</v>
      </c>
      <c r="F48">
        <f t="shared" si="11"/>
        <v>12</v>
      </c>
      <c r="G48" s="137">
        <f t="shared" si="12"/>
        <v>157.74999998000001</v>
      </c>
      <c r="L48" s="227">
        <f>INDEX(Starter!A:A,ROW()-1)</f>
        <v>7541</v>
      </c>
      <c r="M48">
        <f>INDEX(Schnitt1!M:M,MATCH(L48,Schnitt1!L:L,0))+INDEX(Schnitt2!M:M,MATCH(L48,Schnitt2!L:L,0))</f>
        <v>0</v>
      </c>
      <c r="N48">
        <f>INDEX(Schnitt1!N:N,MATCH(L48,Schnitt1!L:L,0))+INDEX(Schnitt2!N:N,MATCH(L48,Schnitt2!L:L,0))</f>
        <v>0</v>
      </c>
      <c r="O48">
        <f t="shared" si="7"/>
        <v>0</v>
      </c>
      <c r="P48">
        <f t="shared" si="8"/>
        <v>48</v>
      </c>
    </row>
    <row r="49" spans="1:16" x14ac:dyDescent="0.35">
      <c r="A49">
        <f t="shared" si="13"/>
        <v>45</v>
      </c>
      <c r="B49">
        <f t="shared" si="9"/>
        <v>25551</v>
      </c>
      <c r="C49" t="str">
        <f>IFERROR(INDEX(Starter!B:B,MATCH(B49,Starter!A:A,0)),"")</f>
        <v>Wahl, Alexandra</v>
      </c>
      <c r="D49" t="str">
        <f>IFERROR(INDEX(Starter!C:C,MATCH(B49,Starter!A:A,0)),"")</f>
        <v>BF Rot-Weiß Lichtenhof 69</v>
      </c>
      <c r="E49" s="102">
        <f t="shared" si="10"/>
        <v>2839</v>
      </c>
      <c r="F49">
        <f t="shared" si="11"/>
        <v>18</v>
      </c>
      <c r="G49" s="137">
        <f t="shared" si="12"/>
        <v>157.72222216522223</v>
      </c>
      <c r="L49" s="227">
        <f>INDEX(Starter!A:A,ROW()-1)</f>
        <v>7546</v>
      </c>
      <c r="M49">
        <f>INDEX(Schnitt1!M:M,MATCH(L49,Schnitt1!L:L,0))+INDEX(Schnitt2!M:M,MATCH(L49,Schnitt2!L:L,0))</f>
        <v>575</v>
      </c>
      <c r="N49">
        <f>INDEX(Schnitt1!N:N,MATCH(L49,Schnitt1!L:L,0))+INDEX(Schnitt2!N:N,MATCH(L49,Schnitt2!L:L,0))</f>
        <v>4</v>
      </c>
      <c r="O49">
        <f t="shared" si="7"/>
        <v>143.74999995100001</v>
      </c>
      <c r="P49">
        <f t="shared" si="8"/>
        <v>47</v>
      </c>
    </row>
    <row r="50" spans="1:16" x14ac:dyDescent="0.35">
      <c r="A50">
        <f t="shared" si="13"/>
        <v>46</v>
      </c>
      <c r="B50">
        <f t="shared" si="9"/>
        <v>7551</v>
      </c>
      <c r="C50" t="str">
        <f>IFERROR(INDEX(Starter!B:B,MATCH(B50,Starter!A:A,0)),"")</f>
        <v>Zehner, Gabriele</v>
      </c>
      <c r="D50" t="str">
        <f>IFERROR(INDEX(Starter!C:C,MATCH(B50,Starter!A:A,0)),"")</f>
        <v>BF Weiß-Blau</v>
      </c>
      <c r="E50" s="102">
        <f t="shared" si="10"/>
        <v>1102</v>
      </c>
      <c r="F50">
        <f t="shared" si="11"/>
        <v>7</v>
      </c>
      <c r="G50" s="137">
        <f t="shared" si="12"/>
        <v>157.42857137657143</v>
      </c>
      <c r="L50" s="227">
        <f>INDEX(Starter!A:A,ROW()-1)</f>
        <v>16953</v>
      </c>
      <c r="M50">
        <f>INDEX(Schnitt1!M:M,MATCH(L50,Schnitt1!L:L,0))+INDEX(Schnitt2!M:M,MATCH(L50,Schnitt2!L:L,0))</f>
        <v>0</v>
      </c>
      <c r="N50">
        <f>INDEX(Schnitt1!N:N,MATCH(L50,Schnitt1!L:L,0))+INDEX(Schnitt2!N:N,MATCH(L50,Schnitt2!L:L,0))</f>
        <v>0</v>
      </c>
      <c r="O50">
        <f t="shared" si="7"/>
        <v>0</v>
      </c>
      <c r="P50">
        <f t="shared" si="8"/>
        <v>48</v>
      </c>
    </row>
    <row r="51" spans="1:16" x14ac:dyDescent="0.35">
      <c r="A51">
        <f t="shared" si="13"/>
        <v>47</v>
      </c>
      <c r="B51">
        <f t="shared" si="9"/>
        <v>7546</v>
      </c>
      <c r="C51" t="str">
        <f>IFERROR(INDEX(Starter!B:B,MATCH(B51,Starter!A:A,0)),"")</f>
        <v>Mc Fadden, Brigitte</v>
      </c>
      <c r="D51" t="str">
        <f>IFERROR(INDEX(Starter!C:C,MATCH(B51,Starter!A:A,0)),"")</f>
        <v>BF Weiß-Blau</v>
      </c>
      <c r="E51" s="102">
        <f t="shared" si="10"/>
        <v>575</v>
      </c>
      <c r="F51">
        <f t="shared" si="11"/>
        <v>4</v>
      </c>
      <c r="G51" s="137">
        <f t="shared" si="12"/>
        <v>143.74999995100001</v>
      </c>
      <c r="L51" s="227">
        <f>INDEX(Starter!A:A,ROW()-1)</f>
        <v>21185</v>
      </c>
      <c r="M51">
        <f>INDEX(Schnitt1!M:M,MATCH(L51,Schnitt1!L:L,0))+INDEX(Schnitt2!M:M,MATCH(L51,Schnitt2!L:L,0))</f>
        <v>1516</v>
      </c>
      <c r="N51">
        <f>INDEX(Schnitt1!N:N,MATCH(L51,Schnitt1!L:L,0))+INDEX(Schnitt2!N:N,MATCH(L51,Schnitt2!L:L,0))</f>
        <v>9</v>
      </c>
      <c r="O51">
        <f t="shared" si="7"/>
        <v>168.44444439344446</v>
      </c>
      <c r="P51">
        <f t="shared" si="8"/>
        <v>31</v>
      </c>
    </row>
    <row r="52" spans="1:16" x14ac:dyDescent="0.35">
      <c r="A52" t="str">
        <f t="shared" si="13"/>
        <v/>
      </c>
      <c r="B52" t="str">
        <f t="shared" si="9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10"/>
        <v/>
      </c>
      <c r="F52" t="str">
        <f t="shared" si="11"/>
        <v/>
      </c>
      <c r="G52" s="137" t="str">
        <f t="shared" si="12"/>
        <v/>
      </c>
      <c r="L52" s="227">
        <f>INDEX(Starter!A:A,ROW()-1)</f>
        <v>7551</v>
      </c>
      <c r="M52">
        <f>INDEX(Schnitt1!M:M,MATCH(L52,Schnitt1!L:L,0))+INDEX(Schnitt2!M:M,MATCH(L52,Schnitt2!L:L,0))</f>
        <v>1102</v>
      </c>
      <c r="N52">
        <f>INDEX(Schnitt1!N:N,MATCH(L52,Schnitt1!L:L,0))+INDEX(Schnitt2!N:N,MATCH(L52,Schnitt2!L:L,0))</f>
        <v>7</v>
      </c>
      <c r="O52">
        <f t="shared" si="7"/>
        <v>157.42857137657143</v>
      </c>
      <c r="P52">
        <f t="shared" si="8"/>
        <v>46</v>
      </c>
    </row>
    <row r="53" spans="1:16" x14ac:dyDescent="0.35">
      <c r="A53" t="str">
        <f t="shared" si="13"/>
        <v/>
      </c>
      <c r="B53" t="str">
        <f t="shared" si="9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10"/>
        <v/>
      </c>
      <c r="F53" t="str">
        <f t="shared" si="11"/>
        <v/>
      </c>
      <c r="G53" s="137" t="str">
        <f t="shared" si="12"/>
        <v/>
      </c>
      <c r="L53" s="227">
        <f>INDEX(Starter!A:A,ROW()-1)</f>
        <v>16900</v>
      </c>
      <c r="M53">
        <f>INDEX(Schnitt1!M:M,MATCH(L53,Schnitt1!L:L,0))+INDEX(Schnitt2!M:M,MATCH(L53,Schnitt2!L:L,0))</f>
        <v>0</v>
      </c>
      <c r="N53">
        <f>INDEX(Schnitt1!N:N,MATCH(L53,Schnitt1!L:L,0))+INDEX(Schnitt2!N:N,MATCH(L53,Schnitt2!L:L,0))</f>
        <v>0</v>
      </c>
      <c r="O53">
        <f t="shared" si="7"/>
        <v>0</v>
      </c>
      <c r="P53">
        <f t="shared" si="8"/>
        <v>48</v>
      </c>
    </row>
    <row r="54" spans="1:16" x14ac:dyDescent="0.35">
      <c r="A54" t="str">
        <f t="shared" si="13"/>
        <v/>
      </c>
      <c r="B54" t="str">
        <f t="shared" si="9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10"/>
        <v/>
      </c>
      <c r="F54" t="str">
        <f t="shared" si="11"/>
        <v/>
      </c>
      <c r="G54" s="137" t="str">
        <f t="shared" si="12"/>
        <v/>
      </c>
      <c r="L54" s="227">
        <f>INDEX(Starter!A:A,ROW()-1)</f>
        <v>7787</v>
      </c>
      <c r="M54">
        <f>INDEX(Schnitt1!M:M,MATCH(L54,Schnitt1!L:L,0))+INDEX(Schnitt2!M:M,MATCH(L54,Schnitt2!L:L,0))</f>
        <v>2473</v>
      </c>
      <c r="N54">
        <f>INDEX(Schnitt1!N:N,MATCH(L54,Schnitt1!L:L,0))+INDEX(Schnitt2!N:N,MATCH(L54,Schnitt2!L:L,0))</f>
        <v>15</v>
      </c>
      <c r="O54">
        <f t="shared" si="7"/>
        <v>164.86666661266668</v>
      </c>
      <c r="P54">
        <f t="shared" si="8"/>
        <v>36</v>
      </c>
    </row>
    <row r="55" spans="1:16" x14ac:dyDescent="0.35">
      <c r="A55" t="str">
        <f t="shared" si="13"/>
        <v/>
      </c>
      <c r="B55" t="str">
        <f t="shared" si="9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10"/>
        <v/>
      </c>
      <c r="F55" t="str">
        <f t="shared" si="11"/>
        <v/>
      </c>
      <c r="G55" s="137" t="str">
        <f t="shared" si="12"/>
        <v/>
      </c>
      <c r="L55" s="227">
        <f>INDEX(Starter!A:A,ROW()-1)</f>
        <v>7786</v>
      </c>
      <c r="M55">
        <f>INDEX(Schnitt1!M:M,MATCH(L55,Schnitt1!L:L,0))+INDEX(Schnitt2!M:M,MATCH(L55,Schnitt2!L:L,0))</f>
        <v>3268</v>
      </c>
      <c r="N55">
        <f>INDEX(Schnitt1!N:N,MATCH(L55,Schnitt1!L:L,0))+INDEX(Schnitt2!N:N,MATCH(L55,Schnitt2!L:L,0))</f>
        <v>18</v>
      </c>
      <c r="O55">
        <f t="shared" si="7"/>
        <v>181.55555550055556</v>
      </c>
      <c r="P55">
        <f t="shared" si="8"/>
        <v>15</v>
      </c>
    </row>
    <row r="56" spans="1:16" x14ac:dyDescent="0.35">
      <c r="A56" t="str">
        <f t="shared" si="13"/>
        <v/>
      </c>
      <c r="B56" t="str">
        <f t="shared" si="9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10"/>
        <v/>
      </c>
      <c r="F56" t="str">
        <f t="shared" si="11"/>
        <v/>
      </c>
      <c r="G56" s="137" t="str">
        <f t="shared" si="12"/>
        <v/>
      </c>
      <c r="L56" s="227">
        <f>INDEX(Starter!A:A,ROW()-1)</f>
        <v>7801</v>
      </c>
      <c r="M56">
        <f>INDEX(Schnitt1!M:M,MATCH(L56,Schnitt1!L:L,0))+INDEX(Schnitt2!M:M,MATCH(L56,Schnitt2!L:L,0))</f>
        <v>3591</v>
      </c>
      <c r="N56">
        <f>INDEX(Schnitt1!N:N,MATCH(L56,Schnitt1!L:L,0))+INDEX(Schnitt2!N:N,MATCH(L56,Schnitt2!L:L,0))</f>
        <v>18</v>
      </c>
      <c r="O56">
        <f t="shared" si="7"/>
        <v>199.499999944</v>
      </c>
      <c r="P56">
        <f t="shared" si="8"/>
        <v>1</v>
      </c>
    </row>
    <row r="57" spans="1:16" x14ac:dyDescent="0.35">
      <c r="A57" t="str">
        <f t="shared" si="13"/>
        <v/>
      </c>
      <c r="B57" t="str">
        <f t="shared" si="9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10"/>
        <v/>
      </c>
      <c r="F57" t="str">
        <f t="shared" si="11"/>
        <v/>
      </c>
      <c r="G57" s="137" t="str">
        <f t="shared" si="12"/>
        <v/>
      </c>
      <c r="L57" s="227">
        <f>INDEX(Starter!A:A,ROW()-1)</f>
        <v>25551</v>
      </c>
      <c r="M57">
        <f>INDEX(Schnitt1!M:M,MATCH(L57,Schnitt1!L:L,0))+INDEX(Schnitt2!M:M,MATCH(L57,Schnitt2!L:L,0))</f>
        <v>2839</v>
      </c>
      <c r="N57">
        <f>INDEX(Schnitt1!N:N,MATCH(L57,Schnitt1!L:L,0))+INDEX(Schnitt2!N:N,MATCH(L57,Schnitt2!L:L,0))</f>
        <v>18</v>
      </c>
      <c r="O57">
        <f t="shared" si="7"/>
        <v>157.72222216522223</v>
      </c>
      <c r="P57">
        <f t="shared" si="8"/>
        <v>45</v>
      </c>
    </row>
    <row r="58" spans="1:16" x14ac:dyDescent="0.35">
      <c r="A58" t="str">
        <f t="shared" si="13"/>
        <v/>
      </c>
      <c r="B58" t="str">
        <f t="shared" si="9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10"/>
        <v/>
      </c>
      <c r="F58" t="str">
        <f t="shared" si="11"/>
        <v/>
      </c>
      <c r="G58" s="137" t="str">
        <f t="shared" si="12"/>
        <v/>
      </c>
      <c r="L58" s="227">
        <f>INDEX(Starter!A:A,ROW()-1)</f>
        <v>25982</v>
      </c>
      <c r="M58">
        <f>INDEX(Schnitt1!M:M,MATCH(L58,Schnitt1!L:L,0))+INDEX(Schnitt2!M:M,MATCH(L58,Schnitt2!L:L,0))</f>
        <v>0</v>
      </c>
      <c r="N58">
        <f>INDEX(Schnitt1!N:N,MATCH(L58,Schnitt1!L:L,0))+INDEX(Schnitt2!N:N,MATCH(L58,Schnitt2!L:L,0))</f>
        <v>0</v>
      </c>
      <c r="O58">
        <f t="shared" si="7"/>
        <v>0</v>
      </c>
      <c r="P58">
        <f t="shared" si="8"/>
        <v>48</v>
      </c>
    </row>
    <row r="59" spans="1:16" x14ac:dyDescent="0.35">
      <c r="A59" t="str">
        <f t="shared" si="13"/>
        <v/>
      </c>
      <c r="B59" t="str">
        <f t="shared" si="9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10"/>
        <v/>
      </c>
      <c r="F59" t="str">
        <f t="shared" si="11"/>
        <v/>
      </c>
      <c r="G59" s="137" t="str">
        <f t="shared" si="12"/>
        <v/>
      </c>
      <c r="L59" s="227">
        <f>INDEX(Starter!A:A,ROW()-1)</f>
        <v>38513</v>
      </c>
      <c r="M59">
        <f>INDEX(Schnitt1!M:M,MATCH(L59,Schnitt1!L:L,0))+INDEX(Schnitt2!M:M,MATCH(L59,Schnitt2!L:L,0))</f>
        <v>3066</v>
      </c>
      <c r="N59">
        <f>INDEX(Schnitt1!N:N,MATCH(L59,Schnitt1!L:L,0))+INDEX(Schnitt2!N:N,MATCH(L59,Schnitt2!L:L,0))</f>
        <v>18</v>
      </c>
      <c r="O59">
        <f t="shared" si="7"/>
        <v>170.33333327433334</v>
      </c>
      <c r="P59">
        <f t="shared" si="8"/>
        <v>28</v>
      </c>
    </row>
    <row r="60" spans="1:16" x14ac:dyDescent="0.35">
      <c r="A60" t="str">
        <f t="shared" si="13"/>
        <v/>
      </c>
      <c r="B60" t="str">
        <f t="shared" si="9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10"/>
        <v/>
      </c>
      <c r="F60" t="str">
        <f t="shared" si="11"/>
        <v/>
      </c>
      <c r="G60" s="137" t="str">
        <f t="shared" si="12"/>
        <v/>
      </c>
      <c r="L60" s="227">
        <f>INDEX(Starter!A:A,ROW()-1)</f>
        <v>7972</v>
      </c>
      <c r="M60">
        <f>INDEX(Schnitt1!M:M,MATCH(L60,Schnitt1!L:L,0))+INDEX(Schnitt2!M:M,MATCH(L60,Schnitt2!L:L,0))</f>
        <v>2908</v>
      </c>
      <c r="N60">
        <f>INDEX(Schnitt1!N:N,MATCH(L60,Schnitt1!L:L,0))+INDEX(Schnitt2!N:N,MATCH(L60,Schnitt2!L:L,0))</f>
        <v>18</v>
      </c>
      <c r="O60">
        <f t="shared" si="7"/>
        <v>161.55555549555555</v>
      </c>
      <c r="P60">
        <f t="shared" si="8"/>
        <v>40</v>
      </c>
    </row>
    <row r="61" spans="1:16" x14ac:dyDescent="0.35">
      <c r="A61" t="str">
        <f t="shared" si="13"/>
        <v/>
      </c>
      <c r="B61" t="str">
        <f t="shared" si="9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10"/>
        <v/>
      </c>
      <c r="F61" t="str">
        <f t="shared" si="11"/>
        <v/>
      </c>
      <c r="G61" s="137" t="str">
        <f t="shared" si="12"/>
        <v/>
      </c>
      <c r="L61" s="227">
        <f>INDEX(Starter!A:A,ROW()-1)</f>
        <v>7976</v>
      </c>
      <c r="M61">
        <f>INDEX(Schnitt1!M:M,MATCH(L61,Schnitt1!L:L,0))+INDEX(Schnitt2!M:M,MATCH(L61,Schnitt2!L:L,0))</f>
        <v>3200</v>
      </c>
      <c r="N61">
        <f>INDEX(Schnitt1!N:N,MATCH(L61,Schnitt1!L:L,0))+INDEX(Schnitt2!N:N,MATCH(L61,Schnitt2!L:L,0))</f>
        <v>18</v>
      </c>
      <c r="O61">
        <f t="shared" si="7"/>
        <v>177.77777771677776</v>
      </c>
      <c r="P61">
        <f t="shared" si="8"/>
        <v>19</v>
      </c>
    </row>
    <row r="62" spans="1:16" x14ac:dyDescent="0.35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10"/>
        <v/>
      </c>
      <c r="F62" t="str">
        <f t="shared" si="11"/>
        <v/>
      </c>
      <c r="G62" s="137" t="str">
        <f t="shared" si="12"/>
        <v/>
      </c>
      <c r="L62" s="227">
        <f>INDEX(Starter!A:A,ROW()-1)</f>
        <v>7977</v>
      </c>
      <c r="M62">
        <f>INDEX(Schnitt1!M:M,MATCH(L62,Schnitt1!L:L,0))+INDEX(Schnitt2!M:M,MATCH(L62,Schnitt2!L:L,0))</f>
        <v>0</v>
      </c>
      <c r="N62">
        <f>INDEX(Schnitt1!N:N,MATCH(L62,Schnitt1!L:L,0))+INDEX(Schnitt2!N:N,MATCH(L62,Schnitt2!L:L,0))</f>
        <v>0</v>
      </c>
      <c r="O62">
        <f t="shared" si="7"/>
        <v>0</v>
      </c>
      <c r="P62">
        <f t="shared" si="8"/>
        <v>48</v>
      </c>
    </row>
    <row r="63" spans="1:16" x14ac:dyDescent="0.3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10"/>
        <v/>
      </c>
      <c r="F63" t="str">
        <f t="shared" si="11"/>
        <v/>
      </c>
      <c r="G63" s="137" t="str">
        <f t="shared" si="12"/>
        <v/>
      </c>
      <c r="L63" s="227">
        <f>INDEX(Starter!A:A,ROW()-1)</f>
        <v>7975</v>
      </c>
      <c r="M63">
        <f>INDEX(Schnitt1!M:M,MATCH(L63,Schnitt1!L:L,0))+INDEX(Schnitt2!M:M,MATCH(L63,Schnitt2!L:L,0))</f>
        <v>0</v>
      </c>
      <c r="N63">
        <f>INDEX(Schnitt1!N:N,MATCH(L63,Schnitt1!L:L,0))+INDEX(Schnitt2!N:N,MATCH(L63,Schnitt2!L:L,0))</f>
        <v>0</v>
      </c>
      <c r="O63">
        <f t="shared" si="7"/>
        <v>0</v>
      </c>
      <c r="P63">
        <f t="shared" si="8"/>
        <v>48</v>
      </c>
    </row>
    <row r="64" spans="1:16" x14ac:dyDescent="0.3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16475</v>
      </c>
      <c r="M64">
        <f>INDEX(Schnitt1!M:M,MATCH(L64,Schnitt1!L:L,0))+INDEX(Schnitt2!M:M,MATCH(L64,Schnitt2!L:L,0))</f>
        <v>0</v>
      </c>
      <c r="N64">
        <f>INDEX(Schnitt1!N:N,MATCH(L64,Schnitt1!L:L,0))+INDEX(Schnitt2!N:N,MATCH(L64,Schnitt2!L:L,0))</f>
        <v>0</v>
      </c>
      <c r="O64">
        <f t="shared" si="7"/>
        <v>0</v>
      </c>
      <c r="P64">
        <f t="shared" si="8"/>
        <v>48</v>
      </c>
    </row>
    <row r="65" spans="1:16" x14ac:dyDescent="0.3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38458</v>
      </c>
      <c r="M65">
        <f>INDEX(Schnitt1!M:M,MATCH(L65,Schnitt1!L:L,0))+INDEX(Schnitt2!M:M,MATCH(L65,Schnitt2!L:L,0))</f>
        <v>2566</v>
      </c>
      <c r="N65">
        <f>INDEX(Schnitt1!N:N,MATCH(L65,Schnitt1!L:L,0))+INDEX(Schnitt2!N:N,MATCH(L65,Schnitt2!L:L,0))</f>
        <v>13</v>
      </c>
      <c r="O65">
        <f t="shared" si="7"/>
        <v>197.38461531961539</v>
      </c>
      <c r="P65">
        <f t="shared" si="8"/>
        <v>2</v>
      </c>
    </row>
    <row r="66" spans="1:16" x14ac:dyDescent="0.3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25808</v>
      </c>
      <c r="M66">
        <f>INDEX(Schnitt1!M:M,MATCH(L66,Schnitt1!L:L,0))+INDEX(Schnitt2!M:M,MATCH(L66,Schnitt2!L:L,0))</f>
        <v>0</v>
      </c>
      <c r="N66">
        <f>INDEX(Schnitt1!N:N,MATCH(L66,Schnitt1!L:L,0))+INDEX(Schnitt2!N:N,MATCH(L66,Schnitt2!L:L,0))</f>
        <v>0</v>
      </c>
      <c r="O66">
        <f t="shared" si="7"/>
        <v>0</v>
      </c>
      <c r="P66">
        <f t="shared" ref="P66:P97" si="14">RANK(O66,O:O)</f>
        <v>48</v>
      </c>
    </row>
    <row r="67" spans="1:16" x14ac:dyDescent="0.3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38210</v>
      </c>
      <c r="M67">
        <f>INDEX(Schnitt1!M:M,MATCH(L67,Schnitt1!L:L,0))+INDEX(Schnitt2!M:M,MATCH(L67,Schnitt2!L:L,0))</f>
        <v>2351</v>
      </c>
      <c r="N67">
        <f>INDEX(Schnitt1!N:N,MATCH(L67,Schnitt1!L:L,0))+INDEX(Schnitt2!N:N,MATCH(L67,Schnitt2!L:L,0))</f>
        <v>14</v>
      </c>
      <c r="O67">
        <f t="shared" si="7"/>
        <v>167.92857136157141</v>
      </c>
      <c r="P67">
        <f t="shared" si="14"/>
        <v>33</v>
      </c>
    </row>
    <row r="68" spans="1:16" x14ac:dyDescent="0.3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7549</v>
      </c>
      <c r="M68">
        <f>INDEX(Schnitt1!M:M,MATCH(L68,Schnitt1!L:L,0))+INDEX(Schnitt2!M:M,MATCH(L68,Schnitt2!L:L,0))</f>
        <v>885</v>
      </c>
      <c r="N68">
        <f>INDEX(Schnitt1!N:N,MATCH(L68,Schnitt1!L:L,0))+INDEX(Schnitt2!N:N,MATCH(L68,Schnitt2!L:L,0))</f>
        <v>5</v>
      </c>
      <c r="O68">
        <f t="shared" si="7"/>
        <v>176.99999993200001</v>
      </c>
      <c r="P68">
        <f t="shared" si="14"/>
        <v>21</v>
      </c>
    </row>
    <row r="69" spans="1:16" x14ac:dyDescent="0.3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INDEX(Schnitt1!M:M,MATCH(L69,Schnitt1!L:L,0))+INDEX(Schnitt2!M:M,MATCH(L69,Schnitt2!L:L,0))</f>
        <v>3168</v>
      </c>
      <c r="N69">
        <f>INDEX(Schnitt1!N:N,MATCH(L69,Schnitt1!L:L,0))+INDEX(Schnitt2!N:N,MATCH(L69,Schnitt2!L:L,0))</f>
        <v>17</v>
      </c>
      <c r="O69">
        <f t="shared" si="7"/>
        <v>186.35294110747057</v>
      </c>
      <c r="P69">
        <f t="shared" si="14"/>
        <v>9</v>
      </c>
    </row>
    <row r="70" spans="1:16" x14ac:dyDescent="0.3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INDEX(Schnitt1!M:M,MATCH(L70,Schnitt1!L:L,0))+INDEX(Schnitt2!M:M,MATCH(L70,Schnitt2!L:L,0))</f>
        <v>3034</v>
      </c>
      <c r="N70">
        <f>INDEX(Schnitt1!N:N,MATCH(L70,Schnitt1!L:L,0))+INDEX(Schnitt2!N:N,MATCH(L70,Schnitt2!L:L,0))</f>
        <v>16</v>
      </c>
      <c r="O70">
        <f t="shared" si="7"/>
        <v>189.62499993</v>
      </c>
      <c r="P70">
        <f t="shared" si="14"/>
        <v>5</v>
      </c>
    </row>
    <row r="71" spans="1:16" x14ac:dyDescent="0.3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INDEX(Schnitt1!M:M,MATCH(L71,Schnitt1!L:L,0))+INDEX(Schnitt2!M:M,MATCH(L71,Schnitt2!L:L,0))</f>
        <v>3347</v>
      </c>
      <c r="N71">
        <f>INDEX(Schnitt1!N:N,MATCH(L71,Schnitt1!L:L,0))+INDEX(Schnitt2!N:N,MATCH(L71,Schnitt2!L:L,0))</f>
        <v>18</v>
      </c>
      <c r="O71">
        <f t="shared" si="7"/>
        <v>185.94444437344447</v>
      </c>
      <c r="P71">
        <f t="shared" si="14"/>
        <v>10</v>
      </c>
    </row>
    <row r="72" spans="1:16" x14ac:dyDescent="0.3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INDEX(Schnitt1!M:M,MATCH(L72,Schnitt1!L:L,0))+INDEX(Schnitt2!M:M,MATCH(L72,Schnitt2!L:L,0))</f>
        <v>1583</v>
      </c>
      <c r="N72">
        <f>INDEX(Schnitt1!N:N,MATCH(L72,Schnitt1!L:L,0))+INDEX(Schnitt2!N:N,MATCH(L72,Schnitt2!L:L,0))</f>
        <v>9</v>
      </c>
      <c r="O72">
        <f t="shared" si="7"/>
        <v>175.88888881688888</v>
      </c>
      <c r="P72">
        <f t="shared" si="14"/>
        <v>22</v>
      </c>
    </row>
    <row r="73" spans="1:16" x14ac:dyDescent="0.3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INDEX(Schnitt1!M:M,MATCH(L73,Schnitt1!L:L,0))+INDEX(Schnitt2!M:M,MATCH(L73,Schnitt2!L:L,0))</f>
        <v>1125</v>
      </c>
      <c r="N73">
        <f>INDEX(Schnitt1!N:N,MATCH(L73,Schnitt1!L:L,0))+INDEX(Schnitt2!N:N,MATCH(L73,Schnitt2!L:L,0))</f>
        <v>7</v>
      </c>
      <c r="O73">
        <f t="shared" si="7"/>
        <v>160.71428564128573</v>
      </c>
      <c r="P73">
        <f t="shared" si="14"/>
        <v>41</v>
      </c>
    </row>
    <row r="74" spans="1:16" x14ac:dyDescent="0.3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38607</v>
      </c>
      <c r="M74">
        <f>INDEX(Schnitt1!M:M,MATCH(L74,Schnitt1!L:L,0))+INDEX(Schnitt2!M:M,MATCH(L74,Schnitt2!L:L,0))</f>
        <v>0</v>
      </c>
      <c r="N74">
        <f>INDEX(Schnitt1!N:N,MATCH(L74,Schnitt1!L:L,0))+INDEX(Schnitt2!N:N,MATCH(L74,Schnitt2!L:L,0))</f>
        <v>0</v>
      </c>
      <c r="O74">
        <f t="shared" si="7"/>
        <v>0</v>
      </c>
      <c r="P74">
        <f t="shared" si="14"/>
        <v>48</v>
      </c>
    </row>
    <row r="75" spans="1:16" x14ac:dyDescent="0.3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INDEX(Schnitt1!M:M,MATCH(L75,Schnitt1!L:L,0))+INDEX(Schnitt2!M:M,MATCH(L75,Schnitt2!L:L,0))</f>
        <v>0</v>
      </c>
      <c r="N75">
        <f>INDEX(Schnitt1!N:N,MATCH(L75,Schnitt1!L:L,0))+INDEX(Schnitt2!N:N,MATCH(L75,Schnitt2!L:L,0))</f>
        <v>0</v>
      </c>
      <c r="O75">
        <f t="shared" si="7"/>
        <v>0</v>
      </c>
      <c r="P75">
        <f t="shared" si="14"/>
        <v>48</v>
      </c>
    </row>
    <row r="76" spans="1:16" x14ac:dyDescent="0.3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INDEX(Schnitt1!M:M,MATCH(L76,Schnitt1!L:L,0))+INDEX(Schnitt2!M:M,MATCH(L76,Schnitt2!L:L,0))</f>
        <v>0</v>
      </c>
      <c r="N76">
        <f>INDEX(Schnitt1!N:N,MATCH(L76,Schnitt1!L:L,0))+INDEX(Schnitt2!N:N,MATCH(L76,Schnitt2!L:L,0))</f>
        <v>0</v>
      </c>
      <c r="O76">
        <f t="shared" ref="O76:O104" si="20">IF(N76=0,0,M76/N76-ROW()/1000000000)</f>
        <v>0</v>
      </c>
      <c r="P76">
        <f t="shared" si="14"/>
        <v>48</v>
      </c>
    </row>
    <row r="77" spans="1:16" x14ac:dyDescent="0.3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INDEX(Schnitt1!M:M,MATCH(L77,Schnitt1!L:L,0))+INDEX(Schnitt2!M:M,MATCH(L77,Schnitt2!L:L,0))</f>
        <v>0</v>
      </c>
      <c r="N77">
        <f>INDEX(Schnitt1!N:N,MATCH(L77,Schnitt1!L:L,0))+INDEX(Schnitt2!N:N,MATCH(L77,Schnitt2!L:L,0))</f>
        <v>0</v>
      </c>
      <c r="O77">
        <f t="shared" si="20"/>
        <v>0</v>
      </c>
      <c r="P77">
        <f t="shared" si="14"/>
        <v>48</v>
      </c>
    </row>
    <row r="78" spans="1:16" x14ac:dyDescent="0.3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INDEX(Schnitt1!M:M,MATCH(L78,Schnitt1!L:L,0))+INDEX(Schnitt2!M:M,MATCH(L78,Schnitt2!L:L,0))</f>
        <v>0</v>
      </c>
      <c r="N78">
        <f>INDEX(Schnitt1!N:N,MATCH(L78,Schnitt1!L:L,0))+INDEX(Schnitt2!N:N,MATCH(L78,Schnitt2!L:L,0))</f>
        <v>0</v>
      </c>
      <c r="O78">
        <f t="shared" si="20"/>
        <v>0</v>
      </c>
      <c r="P78">
        <f t="shared" si="14"/>
        <v>48</v>
      </c>
    </row>
    <row r="79" spans="1:16" x14ac:dyDescent="0.3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INDEX(Schnitt1!M:M,MATCH(L79,Schnitt1!L:L,0))+INDEX(Schnitt2!M:M,MATCH(L79,Schnitt2!L:L,0))</f>
        <v>0</v>
      </c>
      <c r="N79">
        <f>INDEX(Schnitt1!N:N,MATCH(L79,Schnitt1!L:L,0))+INDEX(Schnitt2!N:N,MATCH(L79,Schnitt2!L:L,0))</f>
        <v>0</v>
      </c>
      <c r="O79">
        <f t="shared" si="20"/>
        <v>0</v>
      </c>
      <c r="P79">
        <f t="shared" si="14"/>
        <v>48</v>
      </c>
    </row>
    <row r="80" spans="1:16" x14ac:dyDescent="0.3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INDEX(Schnitt1!M:M,MATCH(L80,Schnitt1!L:L,0))+INDEX(Schnitt2!M:M,MATCH(L80,Schnitt2!L:L,0))</f>
        <v>0</v>
      </c>
      <c r="N80">
        <f>INDEX(Schnitt1!N:N,MATCH(L80,Schnitt1!L:L,0))+INDEX(Schnitt2!N:N,MATCH(L80,Schnitt2!L:L,0))</f>
        <v>0</v>
      </c>
      <c r="O80">
        <f t="shared" si="20"/>
        <v>0</v>
      </c>
      <c r="P80">
        <f t="shared" si="14"/>
        <v>48</v>
      </c>
    </row>
    <row r="81" spans="1:16" x14ac:dyDescent="0.3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INDEX(Schnitt1!M:M,MATCH(L81,Schnitt1!L:L,0))+INDEX(Schnitt2!M:M,MATCH(L81,Schnitt2!L:L,0))</f>
        <v>0</v>
      </c>
      <c r="N81">
        <f>INDEX(Schnitt1!N:N,MATCH(L81,Schnitt1!L:L,0))+INDEX(Schnitt2!N:N,MATCH(L81,Schnitt2!L:L,0))</f>
        <v>0</v>
      </c>
      <c r="O81">
        <f t="shared" si="20"/>
        <v>0</v>
      </c>
      <c r="P81">
        <f t="shared" si="14"/>
        <v>48</v>
      </c>
    </row>
    <row r="82" spans="1:16" x14ac:dyDescent="0.3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INDEX(Schnitt1!M:M,MATCH(L82,Schnitt1!L:L,0))+INDEX(Schnitt2!M:M,MATCH(L82,Schnitt2!L:L,0))</f>
        <v>0</v>
      </c>
      <c r="N82">
        <f>INDEX(Schnitt1!N:N,MATCH(L82,Schnitt1!L:L,0))+INDEX(Schnitt2!N:N,MATCH(L82,Schnitt2!L:L,0))</f>
        <v>0</v>
      </c>
      <c r="O82">
        <f t="shared" si="20"/>
        <v>0</v>
      </c>
      <c r="P82">
        <f t="shared" si="14"/>
        <v>48</v>
      </c>
    </row>
    <row r="83" spans="1:16" x14ac:dyDescent="0.3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INDEX(Schnitt1!M:M,MATCH(L83,Schnitt1!L:L,0))+INDEX(Schnitt2!M:M,MATCH(L83,Schnitt2!L:L,0))</f>
        <v>0</v>
      </c>
      <c r="N83">
        <f>INDEX(Schnitt1!N:N,MATCH(L83,Schnitt1!L:L,0))+INDEX(Schnitt2!N:N,MATCH(L83,Schnitt2!L:L,0))</f>
        <v>0</v>
      </c>
      <c r="O83">
        <f t="shared" si="20"/>
        <v>0</v>
      </c>
      <c r="P83">
        <f t="shared" si="14"/>
        <v>48</v>
      </c>
    </row>
    <row r="84" spans="1:16" x14ac:dyDescent="0.3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INDEX(Schnitt1!M:M,MATCH(L84,Schnitt1!L:L,0))+INDEX(Schnitt2!M:M,MATCH(L84,Schnitt2!L:L,0))</f>
        <v>0</v>
      </c>
      <c r="N84">
        <f>INDEX(Schnitt1!N:N,MATCH(L84,Schnitt1!L:L,0))+INDEX(Schnitt2!N:N,MATCH(L84,Schnitt2!L:L,0))</f>
        <v>0</v>
      </c>
      <c r="O84">
        <f t="shared" si="20"/>
        <v>0</v>
      </c>
      <c r="P84">
        <f t="shared" si="14"/>
        <v>48</v>
      </c>
    </row>
    <row r="85" spans="1:16" x14ac:dyDescent="0.3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INDEX(Schnitt1!M:M,MATCH(L85,Schnitt1!L:L,0))+INDEX(Schnitt2!M:M,MATCH(L85,Schnitt2!L:L,0))</f>
        <v>0</v>
      </c>
      <c r="N85">
        <f>INDEX(Schnitt1!N:N,MATCH(L85,Schnitt1!L:L,0))+INDEX(Schnitt2!N:N,MATCH(L85,Schnitt2!L:L,0))</f>
        <v>0</v>
      </c>
      <c r="O85">
        <f t="shared" si="20"/>
        <v>0</v>
      </c>
      <c r="P85">
        <f t="shared" si="14"/>
        <v>48</v>
      </c>
    </row>
    <row r="86" spans="1:16" x14ac:dyDescent="0.3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INDEX(Schnitt1!M:M,MATCH(L86,Schnitt1!L:L,0))+INDEX(Schnitt2!M:M,MATCH(L86,Schnitt2!L:L,0))</f>
        <v>0</v>
      </c>
      <c r="N86">
        <f>INDEX(Schnitt1!N:N,MATCH(L86,Schnitt1!L:L,0))+INDEX(Schnitt2!N:N,MATCH(L86,Schnitt2!L:L,0))</f>
        <v>0</v>
      </c>
      <c r="O86">
        <f t="shared" si="20"/>
        <v>0</v>
      </c>
      <c r="P86">
        <f t="shared" si="14"/>
        <v>48</v>
      </c>
    </row>
    <row r="87" spans="1:16" x14ac:dyDescent="0.3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INDEX(Schnitt1!M:M,MATCH(L87,Schnitt1!L:L,0))+INDEX(Schnitt2!M:M,MATCH(L87,Schnitt2!L:L,0))</f>
        <v>0</v>
      </c>
      <c r="N87">
        <f>INDEX(Schnitt1!N:N,MATCH(L87,Schnitt1!L:L,0))+INDEX(Schnitt2!N:N,MATCH(L87,Schnitt2!L:L,0))</f>
        <v>0</v>
      </c>
      <c r="O87">
        <f t="shared" si="20"/>
        <v>0</v>
      </c>
      <c r="P87">
        <f t="shared" si="14"/>
        <v>48</v>
      </c>
    </row>
    <row r="88" spans="1:16" x14ac:dyDescent="0.3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INDEX(Schnitt1!M:M,MATCH(L88,Schnitt1!L:L,0))+INDEX(Schnitt2!M:M,MATCH(L88,Schnitt2!L:L,0))</f>
        <v>0</v>
      </c>
      <c r="N88">
        <f>INDEX(Schnitt1!N:N,MATCH(L88,Schnitt1!L:L,0))+INDEX(Schnitt2!N:N,MATCH(L88,Schnitt2!L:L,0))</f>
        <v>0</v>
      </c>
      <c r="O88">
        <f t="shared" si="20"/>
        <v>0</v>
      </c>
      <c r="P88">
        <f t="shared" si="14"/>
        <v>48</v>
      </c>
    </row>
    <row r="89" spans="1:16" x14ac:dyDescent="0.3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INDEX(Schnitt1!M:M,MATCH(L89,Schnitt1!L:L,0))+INDEX(Schnitt2!M:M,MATCH(L89,Schnitt2!L:L,0))</f>
        <v>0</v>
      </c>
      <c r="N89">
        <f>INDEX(Schnitt1!N:N,MATCH(L89,Schnitt1!L:L,0))+INDEX(Schnitt2!N:N,MATCH(L89,Schnitt2!L:L,0))</f>
        <v>0</v>
      </c>
      <c r="O89">
        <f t="shared" si="20"/>
        <v>0</v>
      </c>
      <c r="P89">
        <f t="shared" si="14"/>
        <v>48</v>
      </c>
    </row>
    <row r="90" spans="1:16" x14ac:dyDescent="0.3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INDEX(Schnitt1!M:M,MATCH(L90,Schnitt1!L:L,0))+INDEX(Schnitt2!M:M,MATCH(L90,Schnitt2!L:L,0))</f>
        <v>0</v>
      </c>
      <c r="N90">
        <f>INDEX(Schnitt1!N:N,MATCH(L90,Schnitt1!L:L,0))+INDEX(Schnitt2!N:N,MATCH(L90,Schnitt2!L:L,0))</f>
        <v>0</v>
      </c>
      <c r="O90">
        <f t="shared" si="20"/>
        <v>0</v>
      </c>
      <c r="P90">
        <f t="shared" si="14"/>
        <v>48</v>
      </c>
    </row>
    <row r="91" spans="1:16" x14ac:dyDescent="0.3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INDEX(Schnitt1!M:M,MATCH(L91,Schnitt1!L:L,0))+INDEX(Schnitt2!M:M,MATCH(L91,Schnitt2!L:L,0))</f>
        <v>0</v>
      </c>
      <c r="N91">
        <f>INDEX(Schnitt1!N:N,MATCH(L91,Schnitt1!L:L,0))+INDEX(Schnitt2!N:N,MATCH(L91,Schnitt2!L:L,0))</f>
        <v>0</v>
      </c>
      <c r="O91">
        <f t="shared" si="20"/>
        <v>0</v>
      </c>
      <c r="P91">
        <f t="shared" si="14"/>
        <v>48</v>
      </c>
    </row>
    <row r="92" spans="1:16" x14ac:dyDescent="0.3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INDEX(Schnitt1!M:M,MATCH(L92,Schnitt1!L:L,0))+INDEX(Schnitt2!M:M,MATCH(L92,Schnitt2!L:L,0))</f>
        <v>0</v>
      </c>
      <c r="N92">
        <f>INDEX(Schnitt1!N:N,MATCH(L92,Schnitt1!L:L,0))+INDEX(Schnitt2!N:N,MATCH(L92,Schnitt2!L:L,0))</f>
        <v>0</v>
      </c>
      <c r="O92">
        <f t="shared" si="20"/>
        <v>0</v>
      </c>
      <c r="P92">
        <f t="shared" si="14"/>
        <v>48</v>
      </c>
    </row>
    <row r="93" spans="1:16" x14ac:dyDescent="0.3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INDEX(Schnitt1!M:M,MATCH(L93,Schnitt1!L:L,0))+INDEX(Schnitt2!M:M,MATCH(L93,Schnitt2!L:L,0))</f>
        <v>0</v>
      </c>
      <c r="N93">
        <f>INDEX(Schnitt1!N:N,MATCH(L93,Schnitt1!L:L,0))+INDEX(Schnitt2!N:N,MATCH(L93,Schnitt2!L:L,0))</f>
        <v>0</v>
      </c>
      <c r="O93">
        <f t="shared" si="20"/>
        <v>0</v>
      </c>
      <c r="P93">
        <f t="shared" si="14"/>
        <v>48</v>
      </c>
    </row>
    <row r="94" spans="1:16" x14ac:dyDescent="0.3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INDEX(Schnitt1!M:M,MATCH(L94,Schnitt1!L:L,0))+INDEX(Schnitt2!M:M,MATCH(L94,Schnitt2!L:L,0))</f>
        <v>0</v>
      </c>
      <c r="N94">
        <f>INDEX(Schnitt1!N:N,MATCH(L94,Schnitt1!L:L,0))+INDEX(Schnitt2!N:N,MATCH(L94,Schnitt2!L:L,0))</f>
        <v>0</v>
      </c>
      <c r="O94">
        <f t="shared" si="20"/>
        <v>0</v>
      </c>
      <c r="P94">
        <f t="shared" si="14"/>
        <v>48</v>
      </c>
    </row>
    <row r="95" spans="1:16" x14ac:dyDescent="0.3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INDEX(Schnitt1!M:M,MATCH(L95,Schnitt1!L:L,0))+INDEX(Schnitt2!M:M,MATCH(L95,Schnitt2!L:L,0))</f>
        <v>0</v>
      </c>
      <c r="N95">
        <f>INDEX(Schnitt1!N:N,MATCH(L95,Schnitt1!L:L,0))+INDEX(Schnitt2!N:N,MATCH(L95,Schnitt2!L:L,0))</f>
        <v>0</v>
      </c>
      <c r="O95">
        <f t="shared" si="20"/>
        <v>0</v>
      </c>
      <c r="P95">
        <f t="shared" si="14"/>
        <v>48</v>
      </c>
    </row>
    <row r="96" spans="1:16" x14ac:dyDescent="0.3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INDEX(Schnitt1!M:M,MATCH(L96,Schnitt1!L:L,0))+INDEX(Schnitt2!M:M,MATCH(L96,Schnitt2!L:L,0))</f>
        <v>0</v>
      </c>
      <c r="N96">
        <f>INDEX(Schnitt1!N:N,MATCH(L96,Schnitt1!L:L,0))+INDEX(Schnitt2!N:N,MATCH(L96,Schnitt2!L:L,0))</f>
        <v>0</v>
      </c>
      <c r="O96">
        <f t="shared" si="20"/>
        <v>0</v>
      </c>
      <c r="P96">
        <f t="shared" si="14"/>
        <v>48</v>
      </c>
    </row>
    <row r="97" spans="1:16" x14ac:dyDescent="0.3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INDEX(Schnitt1!M:M,MATCH(L97,Schnitt1!L:L,0))+INDEX(Schnitt2!M:M,MATCH(L97,Schnitt2!L:L,0))</f>
        <v>0</v>
      </c>
      <c r="N97">
        <f>INDEX(Schnitt1!N:N,MATCH(L97,Schnitt1!L:L,0))+INDEX(Schnitt2!N:N,MATCH(L97,Schnitt2!L:L,0))</f>
        <v>0</v>
      </c>
      <c r="O97">
        <f t="shared" si="20"/>
        <v>0</v>
      </c>
      <c r="P97">
        <f t="shared" si="14"/>
        <v>48</v>
      </c>
    </row>
    <row r="98" spans="1:16" x14ac:dyDescent="0.3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INDEX(Schnitt1!M:M,MATCH(L98,Schnitt1!L:L,0))+INDEX(Schnitt2!M:M,MATCH(L98,Schnitt2!L:L,0))</f>
        <v>0</v>
      </c>
      <c r="N98">
        <f>INDEX(Schnitt1!N:N,MATCH(L98,Schnitt1!L:L,0))+INDEX(Schnitt2!N:N,MATCH(L98,Schnitt2!L:L,0))</f>
        <v>0</v>
      </c>
      <c r="O98">
        <f t="shared" si="20"/>
        <v>0</v>
      </c>
      <c r="P98">
        <f t="shared" ref="P98:P104" si="21">RANK(O98,O:O)</f>
        <v>48</v>
      </c>
    </row>
    <row r="99" spans="1:16" x14ac:dyDescent="0.3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INDEX(Schnitt1!M:M,MATCH(L99,Schnitt1!L:L,0))+INDEX(Schnitt2!M:M,MATCH(L99,Schnitt2!L:L,0))</f>
        <v>0</v>
      </c>
      <c r="N99">
        <f>INDEX(Schnitt1!N:N,MATCH(L99,Schnitt1!L:L,0))+INDEX(Schnitt2!N:N,MATCH(L99,Schnitt2!L:L,0))</f>
        <v>0</v>
      </c>
      <c r="O99">
        <f t="shared" si="20"/>
        <v>0</v>
      </c>
      <c r="P99">
        <f t="shared" si="21"/>
        <v>48</v>
      </c>
    </row>
    <row r="100" spans="1:16" x14ac:dyDescent="0.3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INDEX(Schnitt1!M:M,MATCH(L100,Schnitt1!L:L,0))+INDEX(Schnitt2!M:M,MATCH(L100,Schnitt2!L:L,0))</f>
        <v>0</v>
      </c>
      <c r="N100">
        <f>INDEX(Schnitt1!N:N,MATCH(L100,Schnitt1!L:L,0))+INDEX(Schnitt2!N:N,MATCH(L100,Schnitt2!L:L,0))</f>
        <v>0</v>
      </c>
      <c r="O100">
        <f t="shared" si="20"/>
        <v>0</v>
      </c>
      <c r="P100">
        <f t="shared" si="21"/>
        <v>48</v>
      </c>
    </row>
    <row r="101" spans="1:16" x14ac:dyDescent="0.3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INDEX(Schnitt1!M:M,MATCH(L101,Schnitt1!L:L,0))+INDEX(Schnitt2!M:M,MATCH(L101,Schnitt2!L:L,0))</f>
        <v>0</v>
      </c>
      <c r="N101">
        <f>INDEX(Schnitt1!N:N,MATCH(L101,Schnitt1!L:L,0))+INDEX(Schnitt2!N:N,MATCH(L101,Schnitt2!L:L,0))</f>
        <v>0</v>
      </c>
      <c r="O101">
        <f t="shared" si="20"/>
        <v>0</v>
      </c>
      <c r="P101">
        <f t="shared" si="21"/>
        <v>48</v>
      </c>
    </row>
    <row r="102" spans="1:16" x14ac:dyDescent="0.3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INDEX(Schnitt1!M:M,MATCH(L102,Schnitt1!L:L,0))+INDEX(Schnitt2!M:M,MATCH(L102,Schnitt2!L:L,0))</f>
        <v>0</v>
      </c>
      <c r="N102">
        <f>INDEX(Schnitt1!N:N,MATCH(L102,Schnitt1!L:L,0))+INDEX(Schnitt2!N:N,MATCH(L102,Schnitt2!L:L,0))</f>
        <v>0</v>
      </c>
      <c r="O102">
        <f t="shared" si="20"/>
        <v>0</v>
      </c>
      <c r="P102">
        <f t="shared" si="21"/>
        <v>48</v>
      </c>
    </row>
    <row r="103" spans="1:16" x14ac:dyDescent="0.3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INDEX(Schnitt1!M:M,MATCH(L103,Schnitt1!L:L,0))+INDEX(Schnitt2!M:M,MATCH(L103,Schnitt2!L:L,0))</f>
        <v>0</v>
      </c>
      <c r="N103">
        <f>INDEX(Schnitt1!N:N,MATCH(L103,Schnitt1!L:L,0))+INDEX(Schnitt2!N:N,MATCH(L103,Schnitt2!L:L,0))</f>
        <v>0</v>
      </c>
      <c r="O103">
        <f t="shared" si="20"/>
        <v>0</v>
      </c>
      <c r="P103">
        <f t="shared" si="21"/>
        <v>48</v>
      </c>
    </row>
    <row r="104" spans="1:16" x14ac:dyDescent="0.3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INDEX(Schnitt1!M:M,MATCH(L104,Schnitt1!L:L,0))+INDEX(Schnitt2!M:M,MATCH(L104,Schnitt2!L:L,0))</f>
        <v>0</v>
      </c>
      <c r="N104">
        <f>INDEX(Schnitt1!N:N,MATCH(L104,Schnitt1!L:L,0))+INDEX(Schnitt2!N:N,MATCH(L104,Schnitt2!L:L,0))</f>
        <v>0</v>
      </c>
      <c r="O104">
        <f t="shared" si="20"/>
        <v>0</v>
      </c>
      <c r="P104">
        <f t="shared" si="21"/>
        <v>48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  <pageSetUpPr autoPageBreaks="0"/>
  </sheetPr>
  <dimension ref="A1:V81"/>
  <sheetViews>
    <sheetView showGridLines="0" topLeftCell="A61" zoomScaleNormal="100" workbookViewId="0">
      <selection activeCell="D80" sqref="D80:M80"/>
    </sheetView>
  </sheetViews>
  <sheetFormatPr baseColWidth="10" defaultColWidth="0" defaultRowHeight="12.75" x14ac:dyDescent="0.35"/>
  <cols>
    <col min="1" max="1" width="1.06640625" customWidth="1"/>
    <col min="2" max="2" width="3.59765625" customWidth="1"/>
    <col min="3" max="3" width="10.796875" customWidth="1"/>
    <col min="4" max="4" width="1.33203125" customWidth="1"/>
    <col min="5" max="5" width="3.73046875" customWidth="1"/>
    <col min="6" max="6" width="3" customWidth="1"/>
    <col min="7" max="7" width="2" customWidth="1"/>
    <col min="8" max="8" width="11.06640625" customWidth="1"/>
    <col min="9" max="9" width="2.06640625" customWidth="1"/>
    <col min="10" max="10" width="3.06640625" customWidth="1"/>
    <col min="11" max="11" width="0.796875" customWidth="1"/>
    <col min="12" max="12" width="9.265625" customWidth="1"/>
    <col min="13" max="13" width="2.06640625" customWidth="1"/>
    <col min="14" max="14" width="3.06640625" customWidth="1"/>
    <col min="15" max="15" width="0.796875" customWidth="1"/>
    <col min="16" max="16" width="11.06640625" customWidth="1"/>
    <col min="17" max="17" width="2.06640625" customWidth="1"/>
    <col min="18" max="18" width="3.06640625" customWidth="1"/>
    <col min="19" max="19" width="0.796875" customWidth="1"/>
    <col min="20" max="20" width="11.796875" customWidth="1"/>
    <col min="21" max="21" width="2.06640625" customWidth="1"/>
    <col min="22" max="22" width="1" customWidth="1"/>
    <col min="23" max="16384" width="9.06640625" hidden="1"/>
  </cols>
  <sheetData>
    <row r="1" spans="2:21" ht="3.75" customHeight="1" x14ac:dyDescent="0.35"/>
    <row r="2" spans="2:21" ht="25.15" x14ac:dyDescent="0.7">
      <c r="B2" s="314" t="s">
        <v>1837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</row>
    <row r="3" spans="2:21" ht="11.25" customHeight="1" x14ac:dyDescent="0.7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4">
      <c r="P4" s="157"/>
      <c r="Q4" s="315"/>
      <c r="R4" s="315"/>
      <c r="S4" s="315"/>
      <c r="T4" s="315"/>
      <c r="U4" s="315"/>
    </row>
    <row r="5" spans="2:21" ht="11.25" customHeight="1" x14ac:dyDescent="0.3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35">
      <c r="B6" s="17"/>
      <c r="C6" s="140" t="s">
        <v>1795</v>
      </c>
      <c r="D6" s="140"/>
      <c r="E6" s="316">
        <f>+Spielzettel3!T2</f>
        <v>3</v>
      </c>
      <c r="F6" s="317"/>
      <c r="P6" s="140" t="s">
        <v>1838</v>
      </c>
      <c r="Q6" s="318" t="str">
        <f>+Spielzettel3!U1</f>
        <v>01.02./02.02.</v>
      </c>
      <c r="R6" s="319">
        <v>0</v>
      </c>
      <c r="S6" s="319">
        <v>0</v>
      </c>
      <c r="T6" s="320">
        <v>0</v>
      </c>
      <c r="U6" s="18"/>
    </row>
    <row r="7" spans="2:21" x14ac:dyDescent="0.35">
      <c r="B7" s="17"/>
      <c r="C7" s="140"/>
      <c r="D7" s="140"/>
      <c r="U7" s="18"/>
    </row>
    <row r="8" spans="2:21" x14ac:dyDescent="0.35">
      <c r="B8" s="17"/>
      <c r="C8" s="140" t="s">
        <v>1839</v>
      </c>
      <c r="D8" s="140"/>
      <c r="E8" s="321" t="str">
        <f>+Spielzettel3!F2</f>
        <v>Unterföhring Dreambowl Palace</v>
      </c>
      <c r="F8" s="322"/>
      <c r="G8" s="322"/>
      <c r="H8" s="322">
        <v>0</v>
      </c>
      <c r="I8" s="322"/>
      <c r="J8" s="323"/>
      <c r="N8" s="140" t="s">
        <v>1840</v>
      </c>
      <c r="P8" s="321" t="str">
        <f>+Spielzettel3!F1</f>
        <v>Bayernliga Frauen</v>
      </c>
      <c r="Q8" s="322"/>
      <c r="R8" s="322"/>
      <c r="S8" s="322"/>
      <c r="T8" s="323"/>
      <c r="U8" s="18"/>
    </row>
    <row r="9" spans="2:21" ht="11.25" customHeight="1" thickBot="1" x14ac:dyDescent="0.4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15" thickBot="1" x14ac:dyDescent="0.4"/>
    <row r="11" spans="2:21" s="1" customFormat="1" ht="30" customHeight="1" thickBot="1" x14ac:dyDescent="0.4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4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>
        <v>0.375</v>
      </c>
      <c r="M12" s="165" t="s">
        <v>1843</v>
      </c>
      <c r="P12" s="166"/>
      <c r="U12" s="18"/>
    </row>
    <row r="13" spans="2:21" ht="6.75" customHeight="1" thickBot="1" x14ac:dyDescent="0.55000000000000004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35">
      <c r="B14" s="17"/>
      <c r="U14" s="18"/>
    </row>
    <row r="15" spans="2:21" ht="13.15" x14ac:dyDescent="0.4">
      <c r="B15" s="17"/>
      <c r="C15" s="148" t="s">
        <v>1844</v>
      </c>
      <c r="D15" s="148"/>
      <c r="F15" s="151" t="s">
        <v>2549</v>
      </c>
      <c r="G15" s="154"/>
      <c r="H15" t="s">
        <v>1845</v>
      </c>
      <c r="J15" s="151"/>
      <c r="L15" t="s">
        <v>1846</v>
      </c>
      <c r="U15" s="18"/>
    </row>
    <row r="16" spans="2:21" ht="13.15" x14ac:dyDescent="0.4">
      <c r="B16" s="17"/>
      <c r="C16" s="148"/>
      <c r="D16" s="148"/>
      <c r="F16" s="44"/>
      <c r="J16" s="153"/>
      <c r="U16" s="18"/>
    </row>
    <row r="17" spans="2:21" ht="13.15" x14ac:dyDescent="0.4">
      <c r="B17" s="17"/>
      <c r="C17" s="148" t="s">
        <v>1847</v>
      </c>
      <c r="D17" s="148"/>
      <c r="F17" s="151" t="s">
        <v>2549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3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200000000000003" customHeight="1" x14ac:dyDescent="0.35">
      <c r="B19" s="17"/>
      <c r="C19" s="326"/>
      <c r="D19" s="327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9"/>
      <c r="U19" s="18"/>
    </row>
    <row r="20" spans="2:21" ht="12.75" customHeight="1" x14ac:dyDescent="0.3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35">
      <c r="B21" s="17"/>
      <c r="C21" s="148" t="s">
        <v>1849</v>
      </c>
      <c r="D21" s="148"/>
      <c r="U21" s="18"/>
    </row>
    <row r="22" spans="2:21" ht="13.15" x14ac:dyDescent="0.4">
      <c r="B22" s="17"/>
      <c r="C22" s="148" t="s">
        <v>1850</v>
      </c>
      <c r="D22" s="148"/>
      <c r="F22" s="151" t="s">
        <v>2549</v>
      </c>
      <c r="H22" t="s">
        <v>1845</v>
      </c>
      <c r="J22" s="151"/>
      <c r="L22" t="s">
        <v>1846</v>
      </c>
      <c r="U22" s="18"/>
    </row>
    <row r="23" spans="2:21" ht="18.75" customHeight="1" x14ac:dyDescent="0.3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200000000000003" customHeight="1" x14ac:dyDescent="0.35">
      <c r="B24" s="17"/>
      <c r="C24" s="326" t="s">
        <v>2363</v>
      </c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30"/>
      <c r="U24" s="18"/>
    </row>
    <row r="25" spans="2:21" ht="12.75" customHeight="1" thickBot="1" x14ac:dyDescent="0.4">
      <c r="B25" s="17"/>
      <c r="C25" s="171"/>
      <c r="D25" s="171"/>
      <c r="U25" s="18"/>
    </row>
    <row r="26" spans="2:21" s="175" customFormat="1" ht="21.75" customHeight="1" x14ac:dyDescent="0.4">
      <c r="B26" s="172" t="s">
        <v>1852</v>
      </c>
      <c r="C26" s="173"/>
      <c r="D26" s="173"/>
      <c r="E26" s="173"/>
      <c r="F26" s="173"/>
      <c r="G26" s="173"/>
      <c r="H26" s="152">
        <v>0.5</v>
      </c>
      <c r="I26" s="173"/>
      <c r="J26" s="174" t="s">
        <v>1853</v>
      </c>
      <c r="K26" s="174"/>
      <c r="L26" s="152">
        <v>0.51041666666666663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55000000000000004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5">
      <c r="B28" s="177"/>
      <c r="U28" s="18"/>
    </row>
    <row r="29" spans="2:21" ht="13.15" x14ac:dyDescent="0.4">
      <c r="B29" s="17"/>
      <c r="C29" s="148" t="s">
        <v>1854</v>
      </c>
      <c r="D29" s="148"/>
      <c r="F29" s="151" t="s">
        <v>2549</v>
      </c>
      <c r="H29" t="s">
        <v>1845</v>
      </c>
      <c r="J29" s="151"/>
      <c r="L29" t="s">
        <v>1846</v>
      </c>
      <c r="U29" s="18"/>
    </row>
    <row r="30" spans="2:21" ht="17.25" customHeight="1" x14ac:dyDescent="0.35">
      <c r="B30" s="17"/>
      <c r="C30" s="148" t="s">
        <v>1855</v>
      </c>
      <c r="D30" s="148"/>
      <c r="F30" s="331">
        <v>1</v>
      </c>
      <c r="G30" s="331"/>
      <c r="H30" s="148"/>
      <c r="U30" s="18"/>
    </row>
    <row r="31" spans="2:21" ht="17.25" customHeight="1" x14ac:dyDescent="0.3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200000000000003" customHeight="1" x14ac:dyDescent="0.35">
      <c r="B32" s="17"/>
      <c r="C32" s="326" t="s">
        <v>2364</v>
      </c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30"/>
      <c r="U32" s="18"/>
    </row>
    <row r="33" spans="2:21" x14ac:dyDescent="0.35">
      <c r="B33" s="17"/>
      <c r="C33" s="171"/>
      <c r="D33" s="171"/>
      <c r="U33" s="18"/>
    </row>
    <row r="34" spans="2:21" ht="6.75" customHeight="1" x14ac:dyDescent="0.35">
      <c r="B34" s="17"/>
      <c r="C34" s="171"/>
      <c r="D34" s="171"/>
      <c r="U34" s="18"/>
    </row>
    <row r="35" spans="2:21" ht="13.15" x14ac:dyDescent="0.4">
      <c r="B35" s="17"/>
      <c r="C35" s="148" t="s">
        <v>1857</v>
      </c>
      <c r="D35" s="148"/>
      <c r="F35" s="151" t="s">
        <v>2549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35">
      <c r="B36" s="17"/>
      <c r="C36" s="149" t="s">
        <v>1861</v>
      </c>
      <c r="D36" s="149"/>
      <c r="F36" s="332" t="s">
        <v>2365</v>
      </c>
      <c r="G36" s="332"/>
      <c r="H36" s="332"/>
      <c r="U36" s="18"/>
    </row>
    <row r="37" spans="2:21" ht="11.25" customHeight="1" x14ac:dyDescent="0.35">
      <c r="B37" s="17"/>
      <c r="U37" s="18"/>
    </row>
    <row r="38" spans="2:21" ht="13.9" x14ac:dyDescent="0.4">
      <c r="B38" s="179" t="s">
        <v>1862</v>
      </c>
      <c r="U38" s="18"/>
    </row>
    <row r="39" spans="2:21" ht="9" customHeight="1" x14ac:dyDescent="0.35">
      <c r="B39" s="17"/>
      <c r="U39" s="18"/>
    </row>
    <row r="40" spans="2:21" ht="80.25" customHeight="1" x14ac:dyDescent="0.35">
      <c r="B40" s="17"/>
      <c r="C40" s="326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30"/>
      <c r="U40" s="18"/>
    </row>
    <row r="41" spans="2:21" ht="11.25" customHeight="1" thickBot="1" x14ac:dyDescent="0.4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15" thickBot="1" x14ac:dyDescent="0.4"/>
    <row r="43" spans="2:21" s="1" customFormat="1" ht="30" customHeight="1" thickBot="1" x14ac:dyDescent="0.4">
      <c r="B43" s="162"/>
      <c r="C43" s="324" t="s">
        <v>1863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163"/>
    </row>
    <row r="44" spans="2:21" ht="9" customHeight="1" x14ac:dyDescent="0.35">
      <c r="B44" s="17"/>
      <c r="U44" s="18"/>
    </row>
    <row r="45" spans="2:21" ht="13.9" x14ac:dyDescent="0.4">
      <c r="B45" s="179"/>
      <c r="C45" s="166" t="s">
        <v>1864</v>
      </c>
      <c r="D45" s="166"/>
      <c r="U45" s="18"/>
    </row>
    <row r="46" spans="2:21" ht="9" customHeight="1" x14ac:dyDescent="0.35">
      <c r="B46" s="17"/>
      <c r="U46" s="18"/>
    </row>
    <row r="47" spans="2:21" ht="36.75" customHeight="1" x14ac:dyDescent="0.35">
      <c r="B47" s="17"/>
      <c r="C47" s="326"/>
      <c r="D47" s="327"/>
      <c r="E47" s="327"/>
      <c r="F47" s="327"/>
      <c r="G47" s="327"/>
      <c r="H47" s="327"/>
      <c r="I47" s="327"/>
      <c r="J47" s="327"/>
      <c r="K47" s="327"/>
      <c r="L47" s="327"/>
      <c r="M47" s="327"/>
      <c r="N47" s="327"/>
      <c r="O47" s="327"/>
      <c r="P47" s="327"/>
      <c r="Q47" s="327"/>
      <c r="R47" s="327"/>
      <c r="S47" s="327"/>
      <c r="T47" s="330"/>
      <c r="U47" s="18"/>
    </row>
    <row r="48" spans="2:21" ht="12.75" customHeight="1" x14ac:dyDescent="0.35">
      <c r="B48" s="17"/>
      <c r="C48" s="171"/>
      <c r="D48" s="171"/>
      <c r="U48" s="18"/>
    </row>
    <row r="49" spans="2:21" ht="12.75" customHeight="1" x14ac:dyDescent="0.4">
      <c r="B49" s="179"/>
      <c r="C49" s="166" t="s">
        <v>1865</v>
      </c>
      <c r="D49" s="166"/>
      <c r="U49" s="18"/>
    </row>
    <row r="50" spans="2:21" ht="6.75" customHeight="1" x14ac:dyDescent="0.35">
      <c r="B50" s="17"/>
      <c r="U50" s="18"/>
    </row>
    <row r="51" spans="2:21" ht="36.75" customHeight="1" x14ac:dyDescent="0.35">
      <c r="B51" s="17"/>
      <c r="C51" s="326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30"/>
      <c r="U51" s="18"/>
    </row>
    <row r="52" spans="2:21" ht="12.75" customHeight="1" x14ac:dyDescent="0.35">
      <c r="B52" s="17"/>
      <c r="C52" s="171"/>
      <c r="D52" s="171"/>
      <c r="U52" s="18"/>
    </row>
    <row r="53" spans="2:21" ht="12.75" customHeight="1" x14ac:dyDescent="0.4">
      <c r="B53" s="179"/>
      <c r="C53" s="166" t="s">
        <v>1866</v>
      </c>
      <c r="D53" s="166"/>
      <c r="U53" s="18"/>
    </row>
    <row r="54" spans="2:21" ht="6.75" customHeight="1" x14ac:dyDescent="0.35">
      <c r="B54" s="17"/>
      <c r="U54" s="18"/>
    </row>
    <row r="55" spans="2:21" ht="36.75" customHeight="1" x14ac:dyDescent="0.35">
      <c r="B55" s="17"/>
      <c r="C55" s="326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7"/>
      <c r="Q55" s="327"/>
      <c r="R55" s="327"/>
      <c r="S55" s="327"/>
      <c r="T55" s="330"/>
      <c r="U55" s="18"/>
    </row>
    <row r="56" spans="2:21" ht="11.25" customHeight="1" x14ac:dyDescent="0.35">
      <c r="B56" s="17"/>
      <c r="C56" s="171"/>
      <c r="D56" s="171"/>
      <c r="U56" s="18"/>
    </row>
    <row r="57" spans="2:21" ht="13.5" customHeight="1" x14ac:dyDescent="0.4">
      <c r="B57" s="179"/>
      <c r="C57" s="166" t="s">
        <v>1867</v>
      </c>
      <c r="D57" s="166"/>
      <c r="U57" s="18"/>
    </row>
    <row r="58" spans="2:21" ht="6.75" customHeight="1" x14ac:dyDescent="0.35">
      <c r="B58" s="17"/>
      <c r="U58" s="18"/>
    </row>
    <row r="59" spans="2:21" ht="36.75" customHeight="1" x14ac:dyDescent="0.35">
      <c r="B59" s="17"/>
      <c r="C59" s="326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30"/>
      <c r="U59" s="18"/>
    </row>
    <row r="60" spans="2:21" ht="11.25" customHeight="1" x14ac:dyDescent="0.35">
      <c r="B60" s="17"/>
      <c r="C60" s="171"/>
      <c r="D60" s="171"/>
      <c r="U60" s="18"/>
    </row>
    <row r="61" spans="2:21" ht="13.9" x14ac:dyDescent="0.4">
      <c r="B61" s="179"/>
      <c r="C61" s="166" t="s">
        <v>1868</v>
      </c>
      <c r="D61" s="166"/>
      <c r="U61" s="18"/>
    </row>
    <row r="62" spans="2:21" ht="6" customHeight="1" x14ac:dyDescent="0.35">
      <c r="B62" s="17"/>
      <c r="U62" s="18"/>
    </row>
    <row r="63" spans="2:21" ht="36.75" customHeight="1" x14ac:dyDescent="0.35">
      <c r="B63" s="17"/>
      <c r="C63" s="326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  <c r="T63" s="330"/>
      <c r="U63" s="18"/>
    </row>
    <row r="64" spans="2:21" ht="12.75" customHeight="1" x14ac:dyDescent="0.35">
      <c r="B64" s="17"/>
      <c r="C64" s="171"/>
      <c r="D64" s="171"/>
      <c r="U64" s="18"/>
    </row>
    <row r="65" spans="1:21" ht="12.75" customHeight="1" x14ac:dyDescent="0.4">
      <c r="B65" s="179"/>
      <c r="C65" s="166" t="s">
        <v>1869</v>
      </c>
      <c r="D65" s="166"/>
      <c r="U65" s="18"/>
    </row>
    <row r="66" spans="1:21" ht="6.75" customHeight="1" x14ac:dyDescent="0.35">
      <c r="B66" s="17"/>
      <c r="U66" s="18"/>
    </row>
    <row r="67" spans="1:21" ht="36.75" customHeight="1" x14ac:dyDescent="0.35">
      <c r="B67" s="17"/>
      <c r="C67" s="326" t="s">
        <v>2565</v>
      </c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30"/>
      <c r="U67" s="18"/>
    </row>
    <row r="68" spans="1:21" ht="11.25" customHeight="1" thickBot="1" x14ac:dyDescent="0.4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4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5">
      <c r="B70" s="177"/>
      <c r="U70" s="18"/>
    </row>
    <row r="71" spans="1:21" s="52" customFormat="1" ht="18" customHeight="1" x14ac:dyDescent="0.5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35">
      <c r="B72" s="17"/>
      <c r="P72" s="52"/>
      <c r="Q72" s="52"/>
      <c r="U72" s="18"/>
    </row>
    <row r="73" spans="1:21" ht="6" customHeight="1" x14ac:dyDescent="0.3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200000000000003" customHeight="1" x14ac:dyDescent="0.35">
      <c r="B74" s="17"/>
      <c r="C74" s="335"/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7"/>
      <c r="U74" s="18"/>
    </row>
    <row r="75" spans="1:21" ht="11.25" customHeight="1" thickBot="1" x14ac:dyDescent="0.4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35"/>
    <row r="77" spans="1:21" ht="13.15" x14ac:dyDescent="0.4">
      <c r="B77" s="166" t="s">
        <v>1871</v>
      </c>
      <c r="D77" s="333" t="s">
        <v>2566</v>
      </c>
      <c r="E77" s="334"/>
      <c r="F77" s="334"/>
      <c r="G77" s="334"/>
      <c r="H77" s="334"/>
      <c r="I77" s="334"/>
      <c r="J77" s="334"/>
      <c r="K77" s="334"/>
      <c r="L77" s="334"/>
      <c r="M77" s="334"/>
      <c r="P77" s="334"/>
      <c r="Q77" s="334"/>
      <c r="R77" s="334"/>
      <c r="S77" s="334"/>
      <c r="T77" s="334"/>
      <c r="U77" s="334"/>
    </row>
    <row r="78" spans="1:21" x14ac:dyDescent="0.3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35"/>
    <row r="80" spans="1:21" ht="13.15" x14ac:dyDescent="0.4">
      <c r="B80" s="166" t="s">
        <v>1874</v>
      </c>
      <c r="D80" s="333" t="s">
        <v>2567</v>
      </c>
      <c r="E80" s="334"/>
      <c r="F80" s="334"/>
      <c r="G80" s="334"/>
      <c r="H80" s="334"/>
      <c r="I80" s="334"/>
      <c r="J80" s="334"/>
      <c r="K80" s="334"/>
      <c r="L80" s="334"/>
      <c r="M80" s="334"/>
      <c r="P80" s="334"/>
      <c r="Q80" s="334"/>
      <c r="R80" s="334"/>
      <c r="S80" s="334"/>
      <c r="T80" s="334"/>
      <c r="U80" s="334"/>
    </row>
    <row r="81" spans="3:16" x14ac:dyDescent="0.3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F36:H36"/>
    <mergeCell ref="C40:T40"/>
    <mergeCell ref="C43:T43"/>
    <mergeCell ref="C47:T47"/>
    <mergeCell ref="C51:T51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2">
    <tabColor indexed="10"/>
    <pageSetUpPr fitToPage="1"/>
  </sheetPr>
  <dimension ref="A1:AC290"/>
  <sheetViews>
    <sheetView showGridLines="0" view="pageBreakPreview" zoomScaleNormal="100" zoomScaleSheetLayoutView="100" workbookViewId="0">
      <selection activeCell="D80" sqref="D80:M80"/>
    </sheetView>
  </sheetViews>
  <sheetFormatPr baseColWidth="10" defaultColWidth="11.33203125" defaultRowHeight="12.75" x14ac:dyDescent="0.35"/>
  <cols>
    <col min="1" max="1" width="4.33203125" customWidth="1"/>
    <col min="2" max="2" width="18.06640625" customWidth="1"/>
    <col min="3" max="3" width="6.33203125" customWidth="1"/>
    <col min="4" max="21" width="5.73046875" customWidth="1"/>
    <col min="22" max="22" width="8.33203125" customWidth="1"/>
    <col min="23" max="23" width="6.73046875" customWidth="1"/>
    <col min="25" max="25" width="7.73046875" customWidth="1"/>
    <col min="26" max="26" width="2.73046875" customWidth="1"/>
    <col min="27" max="27" width="7.73046875" customWidth="1"/>
    <col min="28" max="28" width="2.73046875" customWidth="1"/>
  </cols>
  <sheetData>
    <row r="1" spans="1:29" ht="21" customHeight="1" x14ac:dyDescent="0.7">
      <c r="B1" s="44" t="s">
        <v>1813</v>
      </c>
      <c r="C1" s="45"/>
      <c r="D1" s="46" t="s">
        <v>1792</v>
      </c>
      <c r="E1" s="47"/>
      <c r="F1" s="359" t="str">
        <f>Schlüssel!$C$1</f>
        <v>Bayernliga Frauen</v>
      </c>
      <c r="G1" s="359"/>
      <c r="H1" s="359"/>
      <c r="I1" s="359"/>
      <c r="J1" s="359"/>
      <c r="K1" s="359"/>
      <c r="L1" s="359"/>
      <c r="M1" s="359"/>
      <c r="N1" s="359"/>
      <c r="O1" s="359"/>
      <c r="P1" s="45"/>
      <c r="Q1" s="45"/>
      <c r="R1" s="48"/>
      <c r="S1" s="49" t="s">
        <v>1794</v>
      </c>
      <c r="T1" s="50"/>
      <c r="U1" s="360" t="str">
        <f>Schlüssel!$BA$1</f>
        <v>01.02./02.02.</v>
      </c>
      <c r="V1" s="361"/>
      <c r="W1" s="362"/>
      <c r="AC1" s="51" t="s">
        <v>1836</v>
      </c>
    </row>
    <row r="2" spans="1:29" ht="17.25" customHeight="1" thickBot="1" x14ac:dyDescent="0.65">
      <c r="A2" s="52"/>
      <c r="B2" s="96">
        <v>1</v>
      </c>
      <c r="D2" s="46" t="s">
        <v>1793</v>
      </c>
      <c r="E2" s="54"/>
      <c r="F2" s="358" t="str">
        <f>Schlüssel!$AQ$2</f>
        <v>Unterföhring Dreambowl Palace</v>
      </c>
      <c r="G2" s="358"/>
      <c r="H2" s="358"/>
      <c r="I2" s="358"/>
      <c r="J2" s="358"/>
      <c r="K2" s="358"/>
      <c r="L2" s="358"/>
      <c r="M2" s="358"/>
      <c r="N2" s="358"/>
      <c r="O2" s="358"/>
      <c r="P2" s="55"/>
      <c r="Q2" s="55"/>
      <c r="S2" s="49" t="s">
        <v>1791</v>
      </c>
      <c r="T2" s="56">
        <v>3</v>
      </c>
      <c r="U2" s="50"/>
      <c r="V2" s="50"/>
      <c r="AC2" s="97">
        <v>1</v>
      </c>
    </row>
    <row r="3" spans="1:29" ht="15.75" customHeight="1" thickBot="1" x14ac:dyDescent="0.4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5" thickBot="1" x14ac:dyDescent="0.45">
      <c r="A4" s="2"/>
      <c r="B4" s="44"/>
      <c r="C4" s="63"/>
      <c r="D4" s="64" t="s">
        <v>10</v>
      </c>
      <c r="E4" s="44">
        <f>VLOOKUP(B2,Schlüssel!$A$5:$DZ$14,53)</f>
        <v>2</v>
      </c>
      <c r="F4" s="65" t="s">
        <v>10</v>
      </c>
      <c r="G4" s="44">
        <f>VLOOKUP(B2,Schlüssel!$A$5:$DZ$14,54)</f>
        <v>9</v>
      </c>
      <c r="H4" s="65" t="s">
        <v>10</v>
      </c>
      <c r="I4" s="44">
        <f>VLOOKUP(B2,Schlüssel!$A$5:$DZ$14,55)</f>
        <v>5</v>
      </c>
      <c r="J4" s="65" t="s">
        <v>10</v>
      </c>
      <c r="K4" s="44">
        <f>VLOOKUP(B2,Schlüssel!$A$5:$DZ$14,56)</f>
        <v>1</v>
      </c>
      <c r="L4" s="65" t="s">
        <v>10</v>
      </c>
      <c r="M4" s="44">
        <f>VLOOKUP(B2,Schlüssel!$A$5:$DZ$14,57)</f>
        <v>4</v>
      </c>
      <c r="N4" s="65" t="s">
        <v>10</v>
      </c>
      <c r="O4" s="44">
        <f>VLOOKUP(B2,Schlüssel!$A$5:$DZ$14,58)</f>
        <v>7</v>
      </c>
      <c r="P4" s="65" t="s">
        <v>10</v>
      </c>
      <c r="Q4" s="44">
        <f>VLOOKUP(B2,Schlüssel!$A$5:$DZ$14,59)</f>
        <v>10</v>
      </c>
      <c r="R4" s="65" t="s">
        <v>10</v>
      </c>
      <c r="S4" s="44">
        <f>VLOOKUP(B2,Schlüssel!$A$5:$DZ$14,60)</f>
        <v>6</v>
      </c>
      <c r="T4" s="65" t="s">
        <v>10</v>
      </c>
      <c r="U4" s="66">
        <f>VLOOKUP(B2,Schlüssel!$A$5:$DZ$14,61)</f>
        <v>8</v>
      </c>
    </row>
    <row r="5" spans="1:29" ht="20.25" customHeight="1" x14ac:dyDescent="0.35">
      <c r="B5" s="67" t="s">
        <v>1</v>
      </c>
      <c r="C5" s="68"/>
      <c r="D5" s="354" t="s">
        <v>1800</v>
      </c>
      <c r="E5" s="355"/>
      <c r="F5" s="354" t="s">
        <v>1801</v>
      </c>
      <c r="G5" s="355"/>
      <c r="H5" s="354" t="s">
        <v>1802</v>
      </c>
      <c r="I5" s="355"/>
      <c r="J5" s="354" t="s">
        <v>1803</v>
      </c>
      <c r="K5" s="355"/>
      <c r="L5" s="354" t="s">
        <v>1804</v>
      </c>
      <c r="M5" s="355"/>
      <c r="N5" s="354" t="s">
        <v>1805</v>
      </c>
      <c r="O5" s="355"/>
      <c r="P5" s="354" t="s">
        <v>1806</v>
      </c>
      <c r="Q5" s="355"/>
      <c r="R5" s="354" t="s">
        <v>1807</v>
      </c>
      <c r="S5" s="355"/>
      <c r="T5" s="354" t="s">
        <v>1808</v>
      </c>
      <c r="U5" s="355"/>
      <c r="V5" s="356" t="s">
        <v>1799</v>
      </c>
      <c r="W5" s="357"/>
    </row>
    <row r="6" spans="1:29" ht="15" customHeight="1" thickBot="1" x14ac:dyDescent="0.4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2" customHeight="1" x14ac:dyDescent="0.35">
      <c r="A7" s="351" t="s">
        <v>0</v>
      </c>
      <c r="B7" s="73"/>
      <c r="C7" s="74"/>
      <c r="D7" s="75"/>
      <c r="E7" s="348"/>
      <c r="F7" s="75"/>
      <c r="G7" s="348"/>
      <c r="H7" s="75"/>
      <c r="I7" s="348"/>
      <c r="J7" s="75"/>
      <c r="K7" s="348"/>
      <c r="L7" s="75"/>
      <c r="M7" s="348"/>
      <c r="N7" s="75"/>
      <c r="O7" s="348"/>
      <c r="P7" s="75"/>
      <c r="Q7" s="348"/>
      <c r="R7" s="75"/>
      <c r="S7" s="348"/>
      <c r="T7" s="75"/>
      <c r="U7" s="348"/>
      <c r="V7" s="75"/>
      <c r="W7" s="348"/>
    </row>
    <row r="8" spans="1:29" ht="17.2" customHeight="1" x14ac:dyDescent="0.35">
      <c r="A8" s="352"/>
      <c r="B8" s="76"/>
      <c r="C8" s="77"/>
      <c r="D8" s="78"/>
      <c r="E8" s="349"/>
      <c r="F8" s="78"/>
      <c r="G8" s="349"/>
      <c r="H8" s="78"/>
      <c r="I8" s="349"/>
      <c r="J8" s="78"/>
      <c r="K8" s="349"/>
      <c r="L8" s="78"/>
      <c r="M8" s="349"/>
      <c r="N8" s="78"/>
      <c r="O8" s="349"/>
      <c r="P8" s="78"/>
      <c r="Q8" s="349"/>
      <c r="R8" s="78"/>
      <c r="S8" s="349"/>
      <c r="T8" s="78"/>
      <c r="U8" s="349"/>
      <c r="V8" s="78"/>
      <c r="W8" s="349"/>
    </row>
    <row r="9" spans="1:29" ht="17.2" customHeight="1" thickBot="1" x14ac:dyDescent="0.4">
      <c r="A9" s="353"/>
      <c r="B9" s="79"/>
      <c r="C9" s="80"/>
      <c r="D9" s="69"/>
      <c r="E9" s="350"/>
      <c r="F9" s="69"/>
      <c r="G9" s="350"/>
      <c r="H9" s="69"/>
      <c r="I9" s="350"/>
      <c r="J9" s="69"/>
      <c r="K9" s="350"/>
      <c r="L9" s="69"/>
      <c r="M9" s="350"/>
      <c r="N9" s="69"/>
      <c r="O9" s="350"/>
      <c r="P9" s="69"/>
      <c r="Q9" s="350"/>
      <c r="R9" s="69"/>
      <c r="S9" s="350"/>
      <c r="T9" s="69"/>
      <c r="U9" s="350"/>
      <c r="V9" s="69"/>
      <c r="W9" s="350"/>
    </row>
    <row r="10" spans="1:29" ht="17.2" customHeight="1" x14ac:dyDescent="0.35">
      <c r="A10" s="351" t="s">
        <v>2</v>
      </c>
      <c r="B10" s="73"/>
      <c r="C10" s="74"/>
      <c r="D10" s="75"/>
      <c r="E10" s="348"/>
      <c r="F10" s="75"/>
      <c r="G10" s="348"/>
      <c r="H10" s="75"/>
      <c r="I10" s="348"/>
      <c r="J10" s="75"/>
      <c r="K10" s="348"/>
      <c r="L10" s="75"/>
      <c r="M10" s="348"/>
      <c r="N10" s="75"/>
      <c r="O10" s="348"/>
      <c r="P10" s="75"/>
      <c r="Q10" s="348"/>
      <c r="R10" s="75"/>
      <c r="S10" s="348"/>
      <c r="T10" s="75"/>
      <c r="U10" s="348"/>
      <c r="V10" s="75"/>
      <c r="W10" s="348"/>
    </row>
    <row r="11" spans="1:29" ht="17.2" customHeight="1" x14ac:dyDescent="0.35">
      <c r="A11" s="352"/>
      <c r="B11" s="76"/>
      <c r="C11" s="77"/>
      <c r="D11" s="78"/>
      <c r="E11" s="349"/>
      <c r="F11" s="78"/>
      <c r="G11" s="349"/>
      <c r="H11" s="78"/>
      <c r="I11" s="349"/>
      <c r="J11" s="78"/>
      <c r="K11" s="349"/>
      <c r="L11" s="78"/>
      <c r="M11" s="349"/>
      <c r="N11" s="78"/>
      <c r="O11" s="349"/>
      <c r="P11" s="78"/>
      <c r="Q11" s="349"/>
      <c r="R11" s="78"/>
      <c r="S11" s="349"/>
      <c r="T11" s="78"/>
      <c r="U11" s="349"/>
      <c r="V11" s="78"/>
      <c r="W11" s="349"/>
    </row>
    <row r="12" spans="1:29" ht="17.2" customHeight="1" thickBot="1" x14ac:dyDescent="0.4">
      <c r="A12" s="353"/>
      <c r="B12" s="79"/>
      <c r="C12" s="80"/>
      <c r="D12" s="69"/>
      <c r="E12" s="350"/>
      <c r="F12" s="69"/>
      <c r="G12" s="350"/>
      <c r="H12" s="69"/>
      <c r="I12" s="350"/>
      <c r="J12" s="69"/>
      <c r="K12" s="350"/>
      <c r="L12" s="69"/>
      <c r="M12" s="350"/>
      <c r="N12" s="69"/>
      <c r="O12" s="350"/>
      <c r="P12" s="69"/>
      <c r="Q12" s="350"/>
      <c r="R12" s="69"/>
      <c r="S12" s="350"/>
      <c r="T12" s="69"/>
      <c r="U12" s="350"/>
      <c r="V12" s="69"/>
      <c r="W12" s="350"/>
    </row>
    <row r="13" spans="1:29" ht="17.2" customHeight="1" x14ac:dyDescent="0.35">
      <c r="A13" s="351" t="s">
        <v>3</v>
      </c>
      <c r="B13" s="73"/>
      <c r="C13" s="74"/>
      <c r="D13" s="75"/>
      <c r="E13" s="348"/>
      <c r="F13" s="75"/>
      <c r="G13" s="348"/>
      <c r="H13" s="75"/>
      <c r="I13" s="348"/>
      <c r="J13" s="75"/>
      <c r="K13" s="348"/>
      <c r="L13" s="75"/>
      <c r="M13" s="348"/>
      <c r="N13" s="75"/>
      <c r="O13" s="348"/>
      <c r="P13" s="75"/>
      <c r="Q13" s="348"/>
      <c r="R13" s="75"/>
      <c r="S13" s="348"/>
      <c r="T13" s="75"/>
      <c r="U13" s="348"/>
      <c r="V13" s="75"/>
      <c r="W13" s="348"/>
    </row>
    <row r="14" spans="1:29" ht="17.2" customHeight="1" x14ac:dyDescent="0.35">
      <c r="A14" s="352"/>
      <c r="B14" s="76"/>
      <c r="C14" s="77"/>
      <c r="D14" s="78"/>
      <c r="E14" s="349"/>
      <c r="F14" s="78"/>
      <c r="G14" s="349"/>
      <c r="H14" s="78"/>
      <c r="I14" s="349"/>
      <c r="J14" s="78"/>
      <c r="K14" s="349"/>
      <c r="L14" s="78"/>
      <c r="M14" s="349"/>
      <c r="N14" s="78"/>
      <c r="O14" s="349"/>
      <c r="P14" s="78"/>
      <c r="Q14" s="349"/>
      <c r="R14" s="78"/>
      <c r="S14" s="349"/>
      <c r="T14" s="78"/>
      <c r="U14" s="349"/>
      <c r="V14" s="78"/>
      <c r="W14" s="349"/>
    </row>
    <row r="15" spans="1:29" ht="17.2" customHeight="1" thickBot="1" x14ac:dyDescent="0.4">
      <c r="A15" s="353"/>
      <c r="B15" s="79"/>
      <c r="C15" s="80"/>
      <c r="D15" s="69"/>
      <c r="E15" s="350"/>
      <c r="F15" s="69"/>
      <c r="G15" s="350"/>
      <c r="H15" s="69"/>
      <c r="I15" s="350"/>
      <c r="J15" s="69"/>
      <c r="K15" s="350"/>
      <c r="L15" s="69"/>
      <c r="M15" s="350"/>
      <c r="N15" s="69"/>
      <c r="O15" s="350"/>
      <c r="P15" s="69"/>
      <c r="Q15" s="350"/>
      <c r="R15" s="69"/>
      <c r="S15" s="350"/>
      <c r="T15" s="69"/>
      <c r="U15" s="350"/>
      <c r="V15" s="69"/>
      <c r="W15" s="350"/>
    </row>
    <row r="16" spans="1:29" ht="17.2" customHeight="1" x14ac:dyDescent="0.35">
      <c r="A16" s="351" t="s">
        <v>11</v>
      </c>
      <c r="B16" s="73"/>
      <c r="C16" s="74"/>
      <c r="D16" s="75"/>
      <c r="E16" s="348"/>
      <c r="F16" s="75"/>
      <c r="G16" s="348"/>
      <c r="H16" s="75"/>
      <c r="I16" s="348"/>
      <c r="J16" s="75"/>
      <c r="K16" s="348"/>
      <c r="L16" s="75"/>
      <c r="M16" s="348"/>
      <c r="N16" s="75"/>
      <c r="O16" s="348"/>
      <c r="P16" s="75"/>
      <c r="Q16" s="348"/>
      <c r="R16" s="75"/>
      <c r="S16" s="348"/>
      <c r="T16" s="75"/>
      <c r="U16" s="348"/>
      <c r="V16" s="75"/>
      <c r="W16" s="348"/>
    </row>
    <row r="17" spans="1:29" ht="17.2" customHeight="1" x14ac:dyDescent="0.35">
      <c r="A17" s="352"/>
      <c r="B17" s="76"/>
      <c r="C17" s="77"/>
      <c r="D17" s="78"/>
      <c r="E17" s="349"/>
      <c r="F17" s="78"/>
      <c r="G17" s="349"/>
      <c r="H17" s="78"/>
      <c r="I17" s="349"/>
      <c r="J17" s="78"/>
      <c r="K17" s="349"/>
      <c r="L17" s="78"/>
      <c r="M17" s="349"/>
      <c r="N17" s="78"/>
      <c r="O17" s="349"/>
      <c r="P17" s="78"/>
      <c r="Q17" s="349"/>
      <c r="R17" s="78"/>
      <c r="S17" s="349"/>
      <c r="T17" s="78"/>
      <c r="U17" s="349"/>
      <c r="V17" s="78"/>
      <c r="W17" s="349"/>
    </row>
    <row r="18" spans="1:29" ht="17.2" customHeight="1" thickBot="1" x14ac:dyDescent="0.4">
      <c r="A18" s="353"/>
      <c r="B18" s="79"/>
      <c r="C18" s="80"/>
      <c r="D18" s="69"/>
      <c r="E18" s="350"/>
      <c r="F18" s="69"/>
      <c r="G18" s="350"/>
      <c r="H18" s="69"/>
      <c r="I18" s="350"/>
      <c r="J18" s="69"/>
      <c r="K18" s="350"/>
      <c r="L18" s="69"/>
      <c r="M18" s="350"/>
      <c r="N18" s="69"/>
      <c r="O18" s="350"/>
      <c r="P18" s="69"/>
      <c r="Q18" s="350"/>
      <c r="R18" s="69"/>
      <c r="S18" s="350"/>
      <c r="T18" s="69"/>
      <c r="U18" s="350"/>
      <c r="V18" s="69"/>
      <c r="W18" s="350"/>
    </row>
    <row r="19" spans="1:29" ht="27.75" customHeight="1" thickBot="1" x14ac:dyDescent="0.4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4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3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35">
      <c r="B22" s="88" t="s">
        <v>1797</v>
      </c>
      <c r="C22" s="89" t="s">
        <v>1798</v>
      </c>
      <c r="D22" s="370">
        <f>VLOOKUP(B2,Schlüssel!$A$5:$DZ$14,43)</f>
        <v>5</v>
      </c>
      <c r="E22" s="371"/>
      <c r="F22" s="370">
        <f>VLOOKUP(B2,Schlüssel!$A$5:$DZ$14,44)</f>
        <v>3</v>
      </c>
      <c r="G22" s="371"/>
      <c r="H22" s="370">
        <f>VLOOKUP(B2,Schlüssel!$A$5:$DZ$14,45)</f>
        <v>8</v>
      </c>
      <c r="I22" s="371"/>
      <c r="J22" s="370">
        <f>VLOOKUP(B2,Schlüssel!$A$5:$DZ$14,46)</f>
        <v>2</v>
      </c>
      <c r="K22" s="371"/>
      <c r="L22" s="370">
        <f>VLOOKUP(B2,Schlüssel!$A$5:$DZ$14,47)</f>
        <v>6</v>
      </c>
      <c r="M22" s="371"/>
      <c r="N22" s="370">
        <f>VLOOKUP(B2,Schlüssel!$A$5:$DZ$14,48)</f>
        <v>4</v>
      </c>
      <c r="O22" s="371"/>
      <c r="P22" s="370">
        <f>VLOOKUP(B2,Schlüssel!$A$5:$DZ$14,49)</f>
        <v>7</v>
      </c>
      <c r="Q22" s="371"/>
      <c r="R22" s="370">
        <f>VLOOKUP(B2,Schlüssel!$A$5:$DZ$14,50)</f>
        <v>9</v>
      </c>
      <c r="S22" s="371"/>
      <c r="T22" s="370">
        <f>VLOOKUP(B2,Schlüssel!$A$5:$DZ$14,51)</f>
        <v>10</v>
      </c>
      <c r="U22" s="371"/>
      <c r="V22" s="347"/>
      <c r="W22" s="347"/>
    </row>
    <row r="23" spans="1:29" ht="28.5" customHeight="1" x14ac:dyDescent="0.35">
      <c r="B23" s="90"/>
      <c r="C23" s="86"/>
      <c r="D23" s="343" t="str">
        <f>VLOOKUP(D22,Schlüssel!$A$5:$K$14,2)</f>
        <v xml:space="preserve">Weiß Blau Unterföhring </v>
      </c>
      <c r="E23" s="344"/>
      <c r="F23" s="343" t="str">
        <f>VLOOKUP(F22,Schlüssel!$A$5:$K$14,2)</f>
        <v>Highroller Rosenheim</v>
      </c>
      <c r="G23" s="344"/>
      <c r="H23" s="343" t="str">
        <f>VLOOKUP(H22,Schlüssel!$A$5:$K$14,2)</f>
        <v>EPA München 1</v>
      </c>
      <c r="I23" s="344"/>
      <c r="J23" s="343" t="str">
        <f>VLOOKUP(J22,Schlüssel!$A$5:$K$14,2)</f>
        <v>BK München 2</v>
      </c>
      <c r="K23" s="344"/>
      <c r="L23" s="343" t="str">
        <f>VLOOKUP(L22,Schlüssel!$A$5:$K$14,2)</f>
        <v>Phönix 03 Lauf</v>
      </c>
      <c r="M23" s="344"/>
      <c r="N23" s="343" t="str">
        <f>VLOOKUP(N22,Schlüssel!$A$5:$K$14,2)</f>
        <v>BK München 3</v>
      </c>
      <c r="O23" s="344"/>
      <c r="P23" s="343" t="str">
        <f>VLOOKUP(P22,Schlüssel!$A$5:$K$14,2)</f>
        <v>Frankenpower Nürnberg</v>
      </c>
      <c r="Q23" s="344"/>
      <c r="R23" s="343" t="str">
        <f>VLOOKUP(R22,Schlüssel!$A$5:$K$14,2)</f>
        <v>RW Lichtenhof 69 Stein 2</v>
      </c>
      <c r="S23" s="344"/>
      <c r="T23" s="343" t="str">
        <f>VLOOKUP(T22,Schlüssel!$A$5:$K$14,2)</f>
        <v>BK München 4</v>
      </c>
      <c r="U23" s="344"/>
      <c r="V23" s="345"/>
      <c r="W23" s="345"/>
    </row>
    <row r="24" spans="1:29" ht="12" customHeight="1" x14ac:dyDescent="0.35">
      <c r="B24" s="90"/>
      <c r="C24" s="86"/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2"/>
      <c r="V24" s="301"/>
      <c r="W24" s="301"/>
    </row>
    <row r="25" spans="1:29" ht="16.05" customHeight="1" x14ac:dyDescent="0.35">
      <c r="B25" s="91" t="s">
        <v>0</v>
      </c>
      <c r="C25" s="92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40"/>
      <c r="W25" s="340"/>
    </row>
    <row r="26" spans="1:29" ht="16.05" customHeight="1" x14ac:dyDescent="0.35">
      <c r="B26" s="91" t="s">
        <v>2</v>
      </c>
      <c r="C26" s="92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40"/>
      <c r="W26" s="340"/>
    </row>
    <row r="27" spans="1:29" ht="16.05" customHeight="1" x14ac:dyDescent="0.35">
      <c r="B27" s="91" t="s">
        <v>3</v>
      </c>
      <c r="C27" s="92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40"/>
      <c r="W27" s="340"/>
    </row>
    <row r="28" spans="1:29" ht="16.05" customHeight="1" x14ac:dyDescent="0.35">
      <c r="B28" s="91" t="s">
        <v>11</v>
      </c>
      <c r="C28" s="92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40"/>
      <c r="W28" s="340"/>
    </row>
    <row r="29" spans="1:29" ht="16.05" customHeight="1" x14ac:dyDescent="0.35">
      <c r="B29" s="93" t="s">
        <v>1799</v>
      </c>
      <c r="C29" s="94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290"/>
      <c r="W29" s="290"/>
    </row>
    <row r="30" spans="1:29" ht="21" customHeight="1" x14ac:dyDescent="0.7">
      <c r="B30" s="44" t="s">
        <v>1813</v>
      </c>
      <c r="C30" s="45"/>
      <c r="D30" s="46" t="s">
        <v>1792</v>
      </c>
      <c r="E30" s="47"/>
      <c r="F30" s="359" t="str">
        <f>Schlüssel!$C$1</f>
        <v>Bayernliga Frauen</v>
      </c>
      <c r="G30" s="359"/>
      <c r="H30" s="359"/>
      <c r="I30" s="359"/>
      <c r="J30" s="359"/>
      <c r="K30" s="359"/>
      <c r="L30" s="359"/>
      <c r="M30" s="359"/>
      <c r="N30" s="359"/>
      <c r="O30" s="359"/>
      <c r="P30" s="45"/>
      <c r="Q30" s="45"/>
      <c r="R30" s="48"/>
      <c r="S30" s="49" t="s">
        <v>1794</v>
      </c>
      <c r="T30" s="50"/>
      <c r="U30" s="360" t="str">
        <f>Schlüssel!$BA$1</f>
        <v>01.02./02.02.</v>
      </c>
      <c r="V30" s="361"/>
      <c r="W30" s="362"/>
      <c r="AC30" s="51"/>
    </row>
    <row r="31" spans="1:29" ht="17.25" customHeight="1" thickBot="1" x14ac:dyDescent="0.65">
      <c r="A31" s="52"/>
      <c r="B31" s="96">
        <f>+B2+1</f>
        <v>2</v>
      </c>
      <c r="D31" s="46" t="s">
        <v>1793</v>
      </c>
      <c r="E31" s="54"/>
      <c r="F31" s="358" t="str">
        <f>Schlüssel!$AQ$2</f>
        <v>Unterföhring Dreambowl Palace</v>
      </c>
      <c r="G31" s="358"/>
      <c r="H31" s="358"/>
      <c r="I31" s="358"/>
      <c r="J31" s="358"/>
      <c r="K31" s="358"/>
      <c r="L31" s="358"/>
      <c r="M31" s="358"/>
      <c r="N31" s="358"/>
      <c r="O31" s="358"/>
      <c r="P31" s="55"/>
      <c r="Q31" s="55"/>
      <c r="S31" s="49" t="s">
        <v>1791</v>
      </c>
      <c r="T31" s="56">
        <v>3</v>
      </c>
      <c r="U31" s="50"/>
      <c r="V31" s="50"/>
      <c r="AC31" s="97"/>
    </row>
    <row r="32" spans="1:29" ht="15.75" customHeight="1" thickBot="1" x14ac:dyDescent="0.4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5" thickBot="1" x14ac:dyDescent="0.45">
      <c r="A33" s="2"/>
      <c r="B33" s="44"/>
      <c r="C33" s="63"/>
      <c r="D33" s="64" t="s">
        <v>10</v>
      </c>
      <c r="E33" s="44">
        <f>VLOOKUP(B31,Schlüssel!$A$5:$DZ$14,53)</f>
        <v>10</v>
      </c>
      <c r="F33" s="65" t="s">
        <v>10</v>
      </c>
      <c r="G33" s="44">
        <f>VLOOKUP(B31,Schlüssel!$A$5:$DZ$14,54)</f>
        <v>5</v>
      </c>
      <c r="H33" s="65" t="s">
        <v>10</v>
      </c>
      <c r="I33" s="44">
        <f>VLOOKUP(B31,Schlüssel!$A$5:$DZ$14,55)</f>
        <v>4</v>
      </c>
      <c r="J33" s="65" t="s">
        <v>10</v>
      </c>
      <c r="K33" s="44">
        <f>VLOOKUP(B31,Schlüssel!$A$5:$DZ$14,56)</f>
        <v>2</v>
      </c>
      <c r="L33" s="65" t="s">
        <v>10</v>
      </c>
      <c r="M33" s="44">
        <f>VLOOKUP(B31,Schlüssel!$A$5:$DZ$14,57)</f>
        <v>6</v>
      </c>
      <c r="N33" s="65" t="s">
        <v>10</v>
      </c>
      <c r="O33" s="44">
        <f>VLOOKUP(B31,Schlüssel!$A$5:$DZ$14,58)</f>
        <v>9</v>
      </c>
      <c r="P33" s="65" t="s">
        <v>10</v>
      </c>
      <c r="Q33" s="44">
        <f>VLOOKUP(B31,Schlüssel!$A$5:$DZ$14,59)</f>
        <v>1</v>
      </c>
      <c r="R33" s="65" t="s">
        <v>10</v>
      </c>
      <c r="S33" s="44">
        <f>VLOOKUP(B31,Schlüssel!$A$5:$DZ$14,60)</f>
        <v>7</v>
      </c>
      <c r="T33" s="65" t="s">
        <v>10</v>
      </c>
      <c r="U33" s="66">
        <f>VLOOKUP(B31,Schlüssel!$A$5:$DZ$14,61)</f>
        <v>3</v>
      </c>
    </row>
    <row r="34" spans="1:23" ht="20.25" customHeight="1" x14ac:dyDescent="0.35">
      <c r="B34" s="67" t="s">
        <v>1</v>
      </c>
      <c r="C34" s="68"/>
      <c r="D34" s="354" t="s">
        <v>1800</v>
      </c>
      <c r="E34" s="355"/>
      <c r="F34" s="354" t="s">
        <v>1801</v>
      </c>
      <c r="G34" s="355"/>
      <c r="H34" s="354" t="s">
        <v>1802</v>
      </c>
      <c r="I34" s="355"/>
      <c r="J34" s="354" t="s">
        <v>1803</v>
      </c>
      <c r="K34" s="355"/>
      <c r="L34" s="354" t="s">
        <v>1804</v>
      </c>
      <c r="M34" s="355"/>
      <c r="N34" s="354" t="s">
        <v>1805</v>
      </c>
      <c r="O34" s="355"/>
      <c r="P34" s="354" t="s">
        <v>1806</v>
      </c>
      <c r="Q34" s="355"/>
      <c r="R34" s="354" t="s">
        <v>1807</v>
      </c>
      <c r="S34" s="355"/>
      <c r="T34" s="354" t="s">
        <v>1808</v>
      </c>
      <c r="U34" s="355"/>
      <c r="V34" s="356" t="s">
        <v>1799</v>
      </c>
      <c r="W34" s="357"/>
    </row>
    <row r="35" spans="1:23" ht="15" customHeight="1" thickBot="1" x14ac:dyDescent="0.4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2" customHeight="1" x14ac:dyDescent="0.35">
      <c r="A36" s="351" t="s">
        <v>0</v>
      </c>
      <c r="B36" s="73"/>
      <c r="C36" s="74"/>
      <c r="D36" s="75"/>
      <c r="E36" s="348"/>
      <c r="F36" s="75"/>
      <c r="G36" s="348"/>
      <c r="H36" s="75"/>
      <c r="I36" s="348"/>
      <c r="J36" s="75"/>
      <c r="K36" s="348"/>
      <c r="L36" s="75"/>
      <c r="M36" s="348"/>
      <c r="N36" s="75"/>
      <c r="O36" s="348"/>
      <c r="P36" s="75"/>
      <c r="Q36" s="348"/>
      <c r="R36" s="75"/>
      <c r="S36" s="348"/>
      <c r="T36" s="75"/>
      <c r="U36" s="348"/>
      <c r="V36" s="75"/>
      <c r="W36" s="348"/>
    </row>
    <row r="37" spans="1:23" ht="17.2" customHeight="1" x14ac:dyDescent="0.35">
      <c r="A37" s="352"/>
      <c r="B37" s="76"/>
      <c r="C37" s="77"/>
      <c r="D37" s="78"/>
      <c r="E37" s="349"/>
      <c r="F37" s="78"/>
      <c r="G37" s="349"/>
      <c r="H37" s="78"/>
      <c r="I37" s="349"/>
      <c r="J37" s="78"/>
      <c r="K37" s="349"/>
      <c r="L37" s="78"/>
      <c r="M37" s="349"/>
      <c r="N37" s="78"/>
      <c r="O37" s="349"/>
      <c r="P37" s="78"/>
      <c r="Q37" s="349"/>
      <c r="R37" s="78"/>
      <c r="S37" s="349"/>
      <c r="T37" s="78"/>
      <c r="U37" s="349"/>
      <c r="V37" s="78"/>
      <c r="W37" s="349"/>
    </row>
    <row r="38" spans="1:23" ht="17.2" customHeight="1" thickBot="1" x14ac:dyDescent="0.4">
      <c r="A38" s="353"/>
      <c r="B38" s="79"/>
      <c r="C38" s="80"/>
      <c r="D38" s="69"/>
      <c r="E38" s="350"/>
      <c r="F38" s="69"/>
      <c r="G38" s="350"/>
      <c r="H38" s="69"/>
      <c r="I38" s="350"/>
      <c r="J38" s="69"/>
      <c r="K38" s="350"/>
      <c r="L38" s="69"/>
      <c r="M38" s="350"/>
      <c r="N38" s="69"/>
      <c r="O38" s="350"/>
      <c r="P38" s="69"/>
      <c r="Q38" s="350"/>
      <c r="R38" s="69"/>
      <c r="S38" s="350"/>
      <c r="T38" s="69"/>
      <c r="U38" s="350"/>
      <c r="V38" s="69"/>
      <c r="W38" s="350"/>
    </row>
    <row r="39" spans="1:23" ht="17.2" customHeight="1" x14ac:dyDescent="0.35">
      <c r="A39" s="351" t="s">
        <v>2</v>
      </c>
      <c r="B39" s="73"/>
      <c r="C39" s="74"/>
      <c r="D39" s="75"/>
      <c r="E39" s="348"/>
      <c r="F39" s="75"/>
      <c r="G39" s="348"/>
      <c r="H39" s="75"/>
      <c r="I39" s="348"/>
      <c r="J39" s="75"/>
      <c r="K39" s="348"/>
      <c r="L39" s="75"/>
      <c r="M39" s="348"/>
      <c r="N39" s="75"/>
      <c r="O39" s="348"/>
      <c r="P39" s="75"/>
      <c r="Q39" s="348"/>
      <c r="R39" s="75"/>
      <c r="S39" s="348"/>
      <c r="T39" s="75"/>
      <c r="U39" s="348"/>
      <c r="V39" s="75"/>
      <c r="W39" s="348"/>
    </row>
    <row r="40" spans="1:23" ht="17.2" customHeight="1" x14ac:dyDescent="0.35">
      <c r="A40" s="352"/>
      <c r="B40" s="76"/>
      <c r="C40" s="77"/>
      <c r="D40" s="78"/>
      <c r="E40" s="349"/>
      <c r="F40" s="78"/>
      <c r="G40" s="349"/>
      <c r="H40" s="78"/>
      <c r="I40" s="349"/>
      <c r="J40" s="78"/>
      <c r="K40" s="349"/>
      <c r="L40" s="78"/>
      <c r="M40" s="349"/>
      <c r="N40" s="78"/>
      <c r="O40" s="349"/>
      <c r="P40" s="78"/>
      <c r="Q40" s="349"/>
      <c r="R40" s="78"/>
      <c r="S40" s="349"/>
      <c r="T40" s="78"/>
      <c r="U40" s="349"/>
      <c r="V40" s="78"/>
      <c r="W40" s="349"/>
    </row>
    <row r="41" spans="1:23" ht="17.2" customHeight="1" thickBot="1" x14ac:dyDescent="0.4">
      <c r="A41" s="353"/>
      <c r="B41" s="79"/>
      <c r="C41" s="80"/>
      <c r="D41" s="69"/>
      <c r="E41" s="350"/>
      <c r="F41" s="69"/>
      <c r="G41" s="350"/>
      <c r="H41" s="69"/>
      <c r="I41" s="350"/>
      <c r="J41" s="69"/>
      <c r="K41" s="350"/>
      <c r="L41" s="69"/>
      <c r="M41" s="350"/>
      <c r="N41" s="69"/>
      <c r="O41" s="350"/>
      <c r="P41" s="69"/>
      <c r="Q41" s="350"/>
      <c r="R41" s="69"/>
      <c r="S41" s="350"/>
      <c r="T41" s="69"/>
      <c r="U41" s="350"/>
      <c r="V41" s="69"/>
      <c r="W41" s="350"/>
    </row>
    <row r="42" spans="1:23" ht="17.2" customHeight="1" x14ac:dyDescent="0.35">
      <c r="A42" s="351" t="s">
        <v>3</v>
      </c>
      <c r="B42" s="73"/>
      <c r="C42" s="74"/>
      <c r="D42" s="75"/>
      <c r="E42" s="348"/>
      <c r="F42" s="75"/>
      <c r="G42" s="348"/>
      <c r="H42" s="75"/>
      <c r="I42" s="348"/>
      <c r="J42" s="75"/>
      <c r="K42" s="348"/>
      <c r="L42" s="75"/>
      <c r="M42" s="348"/>
      <c r="N42" s="75"/>
      <c r="O42" s="348"/>
      <c r="P42" s="75"/>
      <c r="Q42" s="348"/>
      <c r="R42" s="75"/>
      <c r="S42" s="348"/>
      <c r="T42" s="75"/>
      <c r="U42" s="348"/>
      <c r="V42" s="75"/>
      <c r="W42" s="348"/>
    </row>
    <row r="43" spans="1:23" ht="17.2" customHeight="1" x14ac:dyDescent="0.35">
      <c r="A43" s="352"/>
      <c r="B43" s="76"/>
      <c r="C43" s="77"/>
      <c r="D43" s="78"/>
      <c r="E43" s="349"/>
      <c r="F43" s="78"/>
      <c r="G43" s="349"/>
      <c r="H43" s="78"/>
      <c r="I43" s="349"/>
      <c r="J43" s="78"/>
      <c r="K43" s="349"/>
      <c r="L43" s="78"/>
      <c r="M43" s="349"/>
      <c r="N43" s="78"/>
      <c r="O43" s="349"/>
      <c r="P43" s="78"/>
      <c r="Q43" s="349"/>
      <c r="R43" s="78"/>
      <c r="S43" s="349"/>
      <c r="T43" s="78"/>
      <c r="U43" s="349"/>
      <c r="V43" s="78"/>
      <c r="W43" s="349"/>
    </row>
    <row r="44" spans="1:23" ht="17.2" customHeight="1" thickBot="1" x14ac:dyDescent="0.4">
      <c r="A44" s="353"/>
      <c r="B44" s="79"/>
      <c r="C44" s="80"/>
      <c r="D44" s="69"/>
      <c r="E44" s="350"/>
      <c r="F44" s="69"/>
      <c r="G44" s="350"/>
      <c r="H44" s="69"/>
      <c r="I44" s="350"/>
      <c r="J44" s="69"/>
      <c r="K44" s="350"/>
      <c r="L44" s="69"/>
      <c r="M44" s="350"/>
      <c r="N44" s="69"/>
      <c r="O44" s="350"/>
      <c r="P44" s="69"/>
      <c r="Q44" s="350"/>
      <c r="R44" s="69"/>
      <c r="S44" s="350"/>
      <c r="T44" s="69"/>
      <c r="U44" s="350"/>
      <c r="V44" s="69"/>
      <c r="W44" s="350"/>
    </row>
    <row r="45" spans="1:23" ht="17.2" customHeight="1" x14ac:dyDescent="0.35">
      <c r="A45" s="351" t="s">
        <v>11</v>
      </c>
      <c r="B45" s="73"/>
      <c r="C45" s="74"/>
      <c r="D45" s="75"/>
      <c r="E45" s="348"/>
      <c r="F45" s="75"/>
      <c r="G45" s="348"/>
      <c r="H45" s="75"/>
      <c r="I45" s="348"/>
      <c r="J45" s="75"/>
      <c r="K45" s="348"/>
      <c r="L45" s="75"/>
      <c r="M45" s="348"/>
      <c r="N45" s="75"/>
      <c r="O45" s="348"/>
      <c r="P45" s="75"/>
      <c r="Q45" s="348"/>
      <c r="R45" s="75"/>
      <c r="S45" s="348"/>
      <c r="T45" s="75"/>
      <c r="U45" s="348"/>
      <c r="V45" s="75"/>
      <c r="W45" s="348"/>
    </row>
    <row r="46" spans="1:23" ht="17.2" customHeight="1" x14ac:dyDescent="0.35">
      <c r="A46" s="352"/>
      <c r="B46" s="76"/>
      <c r="C46" s="77"/>
      <c r="D46" s="78"/>
      <c r="E46" s="349"/>
      <c r="F46" s="78"/>
      <c r="G46" s="349"/>
      <c r="H46" s="78"/>
      <c r="I46" s="349"/>
      <c r="J46" s="78"/>
      <c r="K46" s="349"/>
      <c r="L46" s="78"/>
      <c r="M46" s="349"/>
      <c r="N46" s="78"/>
      <c r="O46" s="349"/>
      <c r="P46" s="78"/>
      <c r="Q46" s="349"/>
      <c r="R46" s="78"/>
      <c r="S46" s="349"/>
      <c r="T46" s="78"/>
      <c r="U46" s="349"/>
      <c r="V46" s="78"/>
      <c r="W46" s="349"/>
    </row>
    <row r="47" spans="1:23" ht="17.2" customHeight="1" thickBot="1" x14ac:dyDescent="0.4">
      <c r="A47" s="353"/>
      <c r="B47" s="79"/>
      <c r="C47" s="80"/>
      <c r="D47" s="69"/>
      <c r="E47" s="350"/>
      <c r="F47" s="69"/>
      <c r="G47" s="350"/>
      <c r="H47" s="69"/>
      <c r="I47" s="350"/>
      <c r="J47" s="69"/>
      <c r="K47" s="350"/>
      <c r="L47" s="69"/>
      <c r="M47" s="350"/>
      <c r="N47" s="69"/>
      <c r="O47" s="350"/>
      <c r="P47" s="69"/>
      <c r="Q47" s="350"/>
      <c r="R47" s="69"/>
      <c r="S47" s="350"/>
      <c r="T47" s="69"/>
      <c r="U47" s="350"/>
      <c r="V47" s="69"/>
      <c r="W47" s="350"/>
    </row>
    <row r="48" spans="1:23" ht="27.75" customHeight="1" thickBot="1" x14ac:dyDescent="0.4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4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3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35">
      <c r="B51" s="88" t="s">
        <v>1797</v>
      </c>
      <c r="C51" s="89" t="s">
        <v>1798</v>
      </c>
      <c r="D51" s="370">
        <f>VLOOKUP(B31,Schlüssel!$A$5:$DZ$14,43)</f>
        <v>8</v>
      </c>
      <c r="E51" s="371"/>
      <c r="F51" s="370">
        <f>VLOOKUP(B31,Schlüssel!$A$5:$DZ$14,44)</f>
        <v>10</v>
      </c>
      <c r="G51" s="371"/>
      <c r="H51" s="370">
        <f>VLOOKUP(B31,Schlüssel!$A$5:$DZ$14,45)</f>
        <v>3</v>
      </c>
      <c r="I51" s="371"/>
      <c r="J51" s="370">
        <f>VLOOKUP(B31,Schlüssel!$A$5:$DZ$14,46)</f>
        <v>1</v>
      </c>
      <c r="K51" s="371"/>
      <c r="L51" s="370">
        <f>VLOOKUP(B31,Schlüssel!$A$5:$DZ$14,47)</f>
        <v>7</v>
      </c>
      <c r="M51" s="371"/>
      <c r="N51" s="370">
        <f>VLOOKUP(B31,Schlüssel!$A$5:$DZ$14,48)</f>
        <v>6</v>
      </c>
      <c r="O51" s="371"/>
      <c r="P51" s="370">
        <f>VLOOKUP(B31,Schlüssel!$A$5:$DZ$14,49)</f>
        <v>9</v>
      </c>
      <c r="Q51" s="371"/>
      <c r="R51" s="370">
        <f>VLOOKUP(B31,Schlüssel!$A$5:$DZ$14,50)</f>
        <v>5</v>
      </c>
      <c r="S51" s="371"/>
      <c r="T51" s="370">
        <f>VLOOKUP(B31,Schlüssel!$A$5:$DZ$14,51)</f>
        <v>4</v>
      </c>
      <c r="U51" s="371"/>
      <c r="V51" s="347"/>
      <c r="W51" s="347"/>
    </row>
    <row r="52" spans="1:29" ht="28.5" customHeight="1" x14ac:dyDescent="0.35">
      <c r="B52" s="90"/>
      <c r="C52" s="86"/>
      <c r="D52" s="343" t="str">
        <f>VLOOKUP(D51,Schlüssel!$A$5:$K$14,2)</f>
        <v>EPA München 1</v>
      </c>
      <c r="E52" s="344"/>
      <c r="F52" s="343" t="str">
        <f>VLOOKUP(F51,Schlüssel!$A$5:$K$14,2)</f>
        <v>BK München 4</v>
      </c>
      <c r="G52" s="344"/>
      <c r="H52" s="343" t="str">
        <f>VLOOKUP(H51,Schlüssel!$A$5:$K$14,2)</f>
        <v>Highroller Rosenheim</v>
      </c>
      <c r="I52" s="344"/>
      <c r="J52" s="343" t="str">
        <f>VLOOKUP(J51,Schlüssel!$A$5:$K$14,2)</f>
        <v>Praetoria Regensburg</v>
      </c>
      <c r="K52" s="344"/>
      <c r="L52" s="343" t="str">
        <f>VLOOKUP(L51,Schlüssel!$A$5:$K$14,2)</f>
        <v>Frankenpower Nürnberg</v>
      </c>
      <c r="M52" s="344"/>
      <c r="N52" s="343" t="str">
        <f>VLOOKUP(N51,Schlüssel!$A$5:$K$14,2)</f>
        <v>Phönix 03 Lauf</v>
      </c>
      <c r="O52" s="344"/>
      <c r="P52" s="343" t="str">
        <f>VLOOKUP(P51,Schlüssel!$A$5:$K$14,2)</f>
        <v>RW Lichtenhof 69 Stein 2</v>
      </c>
      <c r="Q52" s="344"/>
      <c r="R52" s="343" t="str">
        <f>VLOOKUP(R51,Schlüssel!$A$5:$K$14,2)</f>
        <v xml:space="preserve">Weiß Blau Unterföhring </v>
      </c>
      <c r="S52" s="344"/>
      <c r="T52" s="343" t="str">
        <f>VLOOKUP(T51,Schlüssel!$A$5:$K$14,2)</f>
        <v>BK München 3</v>
      </c>
      <c r="U52" s="344"/>
      <c r="V52" s="345"/>
      <c r="W52" s="345"/>
    </row>
    <row r="53" spans="1:29" ht="12" customHeight="1" x14ac:dyDescent="0.35">
      <c r="B53" s="90"/>
      <c r="C53" s="86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2"/>
      <c r="V53" s="301"/>
      <c r="W53" s="301"/>
    </row>
    <row r="54" spans="1:29" ht="16.05" customHeight="1" x14ac:dyDescent="0.35">
      <c r="B54" s="91" t="s">
        <v>0</v>
      </c>
      <c r="C54" s="92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40"/>
      <c r="W54" s="340"/>
    </row>
    <row r="55" spans="1:29" ht="16.05" customHeight="1" x14ac:dyDescent="0.35">
      <c r="B55" s="91" t="s">
        <v>2</v>
      </c>
      <c r="C55" s="92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40"/>
      <c r="W55" s="340"/>
    </row>
    <row r="56" spans="1:29" ht="16.05" customHeight="1" x14ac:dyDescent="0.35">
      <c r="B56" s="91" t="s">
        <v>3</v>
      </c>
      <c r="C56" s="92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  <c r="S56" s="339"/>
      <c r="T56" s="339"/>
      <c r="U56" s="339"/>
      <c r="V56" s="340"/>
      <c r="W56" s="340"/>
    </row>
    <row r="57" spans="1:29" ht="16.05" customHeight="1" x14ac:dyDescent="0.35">
      <c r="B57" s="91" t="s">
        <v>11</v>
      </c>
      <c r="C57" s="92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39"/>
      <c r="V57" s="340"/>
      <c r="W57" s="340"/>
    </row>
    <row r="58" spans="1:29" ht="16.05" customHeight="1" x14ac:dyDescent="0.35">
      <c r="B58" s="93" t="s">
        <v>1799</v>
      </c>
      <c r="C58" s="94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38"/>
      <c r="R58" s="338"/>
      <c r="S58" s="338"/>
      <c r="T58" s="338"/>
      <c r="U58" s="338"/>
      <c r="V58" s="290"/>
      <c r="W58" s="290"/>
    </row>
    <row r="59" spans="1:29" ht="21" customHeight="1" x14ac:dyDescent="0.7">
      <c r="B59" s="44" t="s">
        <v>1813</v>
      </c>
      <c r="C59" s="45"/>
      <c r="D59" s="46" t="s">
        <v>1792</v>
      </c>
      <c r="E59" s="47"/>
      <c r="F59" s="359" t="str">
        <f>Schlüssel!$C$1</f>
        <v>Bayernliga Frauen</v>
      </c>
      <c r="G59" s="359"/>
      <c r="H59" s="359"/>
      <c r="I59" s="359"/>
      <c r="J59" s="359"/>
      <c r="K59" s="359"/>
      <c r="L59" s="359"/>
      <c r="M59" s="359"/>
      <c r="N59" s="359"/>
      <c r="O59" s="359"/>
      <c r="P59" s="45"/>
      <c r="Q59" s="45"/>
      <c r="R59" s="48"/>
      <c r="S59" s="49" t="s">
        <v>1794</v>
      </c>
      <c r="T59" s="50"/>
      <c r="U59" s="360" t="str">
        <f>Schlüssel!$BA$1</f>
        <v>01.02./02.02.</v>
      </c>
      <c r="V59" s="361"/>
      <c r="W59" s="362"/>
      <c r="AC59" s="51"/>
    </row>
    <row r="60" spans="1:29" ht="17.25" customHeight="1" thickBot="1" x14ac:dyDescent="0.65">
      <c r="A60" s="52"/>
      <c r="B60" s="96">
        <f>+B31+1</f>
        <v>3</v>
      </c>
      <c r="D60" s="46" t="s">
        <v>1793</v>
      </c>
      <c r="E60" s="54"/>
      <c r="F60" s="358" t="str">
        <f>Schlüssel!$AQ$2</f>
        <v>Unterföhring Dreambowl Palace</v>
      </c>
      <c r="G60" s="358"/>
      <c r="H60" s="358"/>
      <c r="I60" s="358"/>
      <c r="J60" s="358"/>
      <c r="K60" s="358"/>
      <c r="L60" s="358"/>
      <c r="M60" s="358"/>
      <c r="N60" s="358"/>
      <c r="O60" s="358"/>
      <c r="P60" s="55"/>
      <c r="Q60" s="55"/>
      <c r="S60" s="49" t="s">
        <v>1791</v>
      </c>
      <c r="T60" s="56">
        <v>3</v>
      </c>
      <c r="U60" s="50"/>
      <c r="V60" s="50"/>
      <c r="AC60" s="97"/>
    </row>
    <row r="61" spans="1:29" ht="15.75" customHeight="1" thickBot="1" x14ac:dyDescent="0.4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5" thickBot="1" x14ac:dyDescent="0.45">
      <c r="A62" s="2"/>
      <c r="B62" s="44"/>
      <c r="C62" s="63"/>
      <c r="D62" s="64" t="s">
        <v>10</v>
      </c>
      <c r="E62" s="44">
        <f>VLOOKUP(B60,Schlüssel!$A$5:$DZ$14,53)</f>
        <v>7</v>
      </c>
      <c r="F62" s="65" t="s">
        <v>10</v>
      </c>
      <c r="G62" s="44">
        <f>VLOOKUP(B60,Schlüssel!$A$5:$DZ$14,54)</f>
        <v>10</v>
      </c>
      <c r="H62" s="65" t="s">
        <v>10</v>
      </c>
      <c r="I62" s="44">
        <f>VLOOKUP(B60,Schlüssel!$A$5:$DZ$14,55)</f>
        <v>3</v>
      </c>
      <c r="J62" s="65" t="s">
        <v>10</v>
      </c>
      <c r="K62" s="44">
        <f>VLOOKUP(B60,Schlüssel!$A$5:$DZ$14,56)</f>
        <v>6</v>
      </c>
      <c r="L62" s="65" t="s">
        <v>10</v>
      </c>
      <c r="M62" s="44">
        <f>VLOOKUP(B60,Schlüssel!$A$5:$DZ$14,57)</f>
        <v>8</v>
      </c>
      <c r="N62" s="65" t="s">
        <v>10</v>
      </c>
      <c r="O62" s="44">
        <f>VLOOKUP(B60,Schlüssel!$A$5:$DZ$14,58)</f>
        <v>1</v>
      </c>
      <c r="P62" s="65" t="s">
        <v>10</v>
      </c>
      <c r="Q62" s="44">
        <f>VLOOKUP(B60,Schlüssel!$A$5:$DZ$14,59)</f>
        <v>4</v>
      </c>
      <c r="R62" s="65" t="s">
        <v>10</v>
      </c>
      <c r="S62" s="44">
        <f>VLOOKUP(B60,Schlüssel!$A$5:$DZ$14,60)</f>
        <v>9</v>
      </c>
      <c r="T62" s="65" t="s">
        <v>10</v>
      </c>
      <c r="U62" s="66">
        <f>VLOOKUP(B60,Schlüssel!$A$5:$DZ$14,61)</f>
        <v>2</v>
      </c>
    </row>
    <row r="63" spans="1:29" ht="20.25" customHeight="1" x14ac:dyDescent="0.35">
      <c r="B63" s="67" t="s">
        <v>1</v>
      </c>
      <c r="C63" s="68"/>
      <c r="D63" s="354" t="s">
        <v>1800</v>
      </c>
      <c r="E63" s="355"/>
      <c r="F63" s="354" t="s">
        <v>1801</v>
      </c>
      <c r="G63" s="355"/>
      <c r="H63" s="354" t="s">
        <v>1802</v>
      </c>
      <c r="I63" s="355"/>
      <c r="J63" s="354" t="s">
        <v>1803</v>
      </c>
      <c r="K63" s="355"/>
      <c r="L63" s="354" t="s">
        <v>1804</v>
      </c>
      <c r="M63" s="355"/>
      <c r="N63" s="354" t="s">
        <v>1805</v>
      </c>
      <c r="O63" s="355"/>
      <c r="P63" s="354" t="s">
        <v>1806</v>
      </c>
      <c r="Q63" s="355"/>
      <c r="R63" s="354" t="s">
        <v>1807</v>
      </c>
      <c r="S63" s="355"/>
      <c r="T63" s="354" t="s">
        <v>1808</v>
      </c>
      <c r="U63" s="355"/>
      <c r="V63" s="356" t="s">
        <v>1799</v>
      </c>
      <c r="W63" s="357"/>
    </row>
    <row r="64" spans="1:29" ht="15" customHeight="1" thickBot="1" x14ac:dyDescent="0.4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2" customHeight="1" x14ac:dyDescent="0.35">
      <c r="A65" s="351" t="s">
        <v>0</v>
      </c>
      <c r="B65" s="73"/>
      <c r="C65" s="74"/>
      <c r="D65" s="75"/>
      <c r="E65" s="348"/>
      <c r="F65" s="75"/>
      <c r="G65" s="348"/>
      <c r="H65" s="75"/>
      <c r="I65" s="348"/>
      <c r="J65" s="75"/>
      <c r="K65" s="348"/>
      <c r="L65" s="75"/>
      <c r="M65" s="348"/>
      <c r="N65" s="75"/>
      <c r="O65" s="348"/>
      <c r="P65" s="75"/>
      <c r="Q65" s="348"/>
      <c r="R65" s="75"/>
      <c r="S65" s="348"/>
      <c r="T65" s="75"/>
      <c r="U65" s="348"/>
      <c r="V65" s="75"/>
      <c r="W65" s="348"/>
    </row>
    <row r="66" spans="1:23" ht="17.2" customHeight="1" x14ac:dyDescent="0.35">
      <c r="A66" s="352"/>
      <c r="B66" s="76"/>
      <c r="C66" s="77"/>
      <c r="D66" s="78"/>
      <c r="E66" s="349"/>
      <c r="F66" s="78"/>
      <c r="G66" s="349"/>
      <c r="H66" s="78"/>
      <c r="I66" s="349"/>
      <c r="J66" s="78"/>
      <c r="K66" s="349"/>
      <c r="L66" s="78"/>
      <c r="M66" s="349"/>
      <c r="N66" s="78"/>
      <c r="O66" s="349"/>
      <c r="P66" s="78"/>
      <c r="Q66" s="349"/>
      <c r="R66" s="78"/>
      <c r="S66" s="349"/>
      <c r="T66" s="78"/>
      <c r="U66" s="349"/>
      <c r="V66" s="78"/>
      <c r="W66" s="349"/>
    </row>
    <row r="67" spans="1:23" ht="17.2" customHeight="1" thickBot="1" x14ac:dyDescent="0.4">
      <c r="A67" s="353"/>
      <c r="B67" s="79"/>
      <c r="C67" s="80"/>
      <c r="D67" s="69"/>
      <c r="E67" s="350"/>
      <c r="F67" s="69"/>
      <c r="G67" s="350"/>
      <c r="H67" s="69"/>
      <c r="I67" s="350"/>
      <c r="J67" s="69"/>
      <c r="K67" s="350"/>
      <c r="L67" s="69"/>
      <c r="M67" s="350"/>
      <c r="N67" s="69"/>
      <c r="O67" s="350"/>
      <c r="P67" s="69"/>
      <c r="Q67" s="350"/>
      <c r="R67" s="69"/>
      <c r="S67" s="350"/>
      <c r="T67" s="69"/>
      <c r="U67" s="350"/>
      <c r="V67" s="69"/>
      <c r="W67" s="350"/>
    </row>
    <row r="68" spans="1:23" ht="17.2" customHeight="1" x14ac:dyDescent="0.35">
      <c r="A68" s="351" t="s">
        <v>2</v>
      </c>
      <c r="B68" s="73"/>
      <c r="C68" s="74"/>
      <c r="D68" s="75"/>
      <c r="E68" s="348"/>
      <c r="F68" s="75"/>
      <c r="G68" s="348"/>
      <c r="H68" s="75"/>
      <c r="I68" s="348"/>
      <c r="J68" s="75"/>
      <c r="K68" s="348"/>
      <c r="L68" s="75"/>
      <c r="M68" s="348"/>
      <c r="N68" s="75"/>
      <c r="O68" s="348"/>
      <c r="P68" s="75"/>
      <c r="Q68" s="348"/>
      <c r="R68" s="75"/>
      <c r="S68" s="348"/>
      <c r="T68" s="75"/>
      <c r="U68" s="348"/>
      <c r="V68" s="75"/>
      <c r="W68" s="348"/>
    </row>
    <row r="69" spans="1:23" ht="17.2" customHeight="1" x14ac:dyDescent="0.35">
      <c r="A69" s="352"/>
      <c r="B69" s="76"/>
      <c r="C69" s="77"/>
      <c r="D69" s="78"/>
      <c r="E69" s="349"/>
      <c r="F69" s="78"/>
      <c r="G69" s="349"/>
      <c r="H69" s="78"/>
      <c r="I69" s="349"/>
      <c r="J69" s="78"/>
      <c r="K69" s="349"/>
      <c r="L69" s="78"/>
      <c r="M69" s="349"/>
      <c r="N69" s="78"/>
      <c r="O69" s="349"/>
      <c r="P69" s="78"/>
      <c r="Q69" s="349"/>
      <c r="R69" s="78"/>
      <c r="S69" s="349"/>
      <c r="T69" s="78"/>
      <c r="U69" s="349"/>
      <c r="V69" s="78"/>
      <c r="W69" s="349"/>
    </row>
    <row r="70" spans="1:23" ht="17.2" customHeight="1" thickBot="1" x14ac:dyDescent="0.4">
      <c r="A70" s="353"/>
      <c r="B70" s="79"/>
      <c r="C70" s="80"/>
      <c r="D70" s="69"/>
      <c r="E70" s="350"/>
      <c r="F70" s="69"/>
      <c r="G70" s="350"/>
      <c r="H70" s="69"/>
      <c r="I70" s="350"/>
      <c r="J70" s="69"/>
      <c r="K70" s="350"/>
      <c r="L70" s="69"/>
      <c r="M70" s="350"/>
      <c r="N70" s="69"/>
      <c r="O70" s="350"/>
      <c r="P70" s="69"/>
      <c r="Q70" s="350"/>
      <c r="R70" s="69"/>
      <c r="S70" s="350"/>
      <c r="T70" s="69"/>
      <c r="U70" s="350"/>
      <c r="V70" s="69"/>
      <c r="W70" s="350"/>
    </row>
    <row r="71" spans="1:23" ht="17.2" customHeight="1" x14ac:dyDescent="0.35">
      <c r="A71" s="351" t="s">
        <v>3</v>
      </c>
      <c r="B71" s="73"/>
      <c r="C71" s="74"/>
      <c r="D71" s="75"/>
      <c r="E71" s="348"/>
      <c r="F71" s="75"/>
      <c r="G71" s="348"/>
      <c r="H71" s="75"/>
      <c r="I71" s="348"/>
      <c r="J71" s="75"/>
      <c r="K71" s="348"/>
      <c r="L71" s="75"/>
      <c r="M71" s="348"/>
      <c r="N71" s="75"/>
      <c r="O71" s="348"/>
      <c r="P71" s="75"/>
      <c r="Q71" s="348"/>
      <c r="R71" s="75"/>
      <c r="S71" s="348"/>
      <c r="T71" s="75"/>
      <c r="U71" s="348"/>
      <c r="V71" s="75"/>
      <c r="W71" s="348"/>
    </row>
    <row r="72" spans="1:23" ht="17.2" customHeight="1" x14ac:dyDescent="0.35">
      <c r="A72" s="352"/>
      <c r="B72" s="76"/>
      <c r="C72" s="77"/>
      <c r="D72" s="78"/>
      <c r="E72" s="349"/>
      <c r="F72" s="78"/>
      <c r="G72" s="349"/>
      <c r="H72" s="78"/>
      <c r="I72" s="349"/>
      <c r="J72" s="78"/>
      <c r="K72" s="349"/>
      <c r="L72" s="78"/>
      <c r="M72" s="349"/>
      <c r="N72" s="78"/>
      <c r="O72" s="349"/>
      <c r="P72" s="78"/>
      <c r="Q72" s="349"/>
      <c r="R72" s="78"/>
      <c r="S72" s="349"/>
      <c r="T72" s="78"/>
      <c r="U72" s="349"/>
      <c r="V72" s="78"/>
      <c r="W72" s="349"/>
    </row>
    <row r="73" spans="1:23" ht="17.2" customHeight="1" thickBot="1" x14ac:dyDescent="0.4">
      <c r="A73" s="353"/>
      <c r="B73" s="79"/>
      <c r="C73" s="80"/>
      <c r="D73" s="69"/>
      <c r="E73" s="350"/>
      <c r="F73" s="69"/>
      <c r="G73" s="350"/>
      <c r="H73" s="69"/>
      <c r="I73" s="350"/>
      <c r="J73" s="69"/>
      <c r="K73" s="350"/>
      <c r="L73" s="69"/>
      <c r="M73" s="350"/>
      <c r="N73" s="69"/>
      <c r="O73" s="350"/>
      <c r="P73" s="69"/>
      <c r="Q73" s="350"/>
      <c r="R73" s="69"/>
      <c r="S73" s="350"/>
      <c r="T73" s="69"/>
      <c r="U73" s="350"/>
      <c r="V73" s="69"/>
      <c r="W73" s="350"/>
    </row>
    <row r="74" spans="1:23" ht="17.2" customHeight="1" x14ac:dyDescent="0.35">
      <c r="A74" s="351" t="s">
        <v>11</v>
      </c>
      <c r="B74" s="73"/>
      <c r="C74" s="74"/>
      <c r="D74" s="75"/>
      <c r="E74" s="348"/>
      <c r="F74" s="75"/>
      <c r="G74" s="348"/>
      <c r="H74" s="75"/>
      <c r="I74" s="348"/>
      <c r="J74" s="75"/>
      <c r="K74" s="348"/>
      <c r="L74" s="75"/>
      <c r="M74" s="348"/>
      <c r="N74" s="75"/>
      <c r="O74" s="348"/>
      <c r="P74" s="75"/>
      <c r="Q74" s="348"/>
      <c r="R74" s="75"/>
      <c r="S74" s="348"/>
      <c r="T74" s="75"/>
      <c r="U74" s="348"/>
      <c r="V74" s="75"/>
      <c r="W74" s="348"/>
    </row>
    <row r="75" spans="1:23" ht="17.2" customHeight="1" x14ac:dyDescent="0.35">
      <c r="A75" s="352"/>
      <c r="B75" s="76"/>
      <c r="C75" s="77"/>
      <c r="D75" s="78"/>
      <c r="E75" s="349"/>
      <c r="F75" s="78"/>
      <c r="G75" s="349"/>
      <c r="H75" s="78"/>
      <c r="I75" s="349"/>
      <c r="J75" s="78"/>
      <c r="K75" s="349"/>
      <c r="L75" s="78"/>
      <c r="M75" s="349"/>
      <c r="N75" s="78"/>
      <c r="O75" s="349"/>
      <c r="P75" s="78"/>
      <c r="Q75" s="349"/>
      <c r="R75" s="78"/>
      <c r="S75" s="349"/>
      <c r="T75" s="78"/>
      <c r="U75" s="349"/>
      <c r="V75" s="78"/>
      <c r="W75" s="349"/>
    </row>
    <row r="76" spans="1:23" ht="17.2" customHeight="1" thickBot="1" x14ac:dyDescent="0.4">
      <c r="A76" s="353"/>
      <c r="B76" s="79"/>
      <c r="C76" s="80"/>
      <c r="D76" s="69"/>
      <c r="E76" s="350"/>
      <c r="F76" s="69"/>
      <c r="G76" s="350"/>
      <c r="H76" s="69"/>
      <c r="I76" s="350"/>
      <c r="J76" s="69"/>
      <c r="K76" s="350"/>
      <c r="L76" s="69"/>
      <c r="M76" s="350"/>
      <c r="N76" s="69"/>
      <c r="O76" s="350"/>
      <c r="P76" s="69"/>
      <c r="Q76" s="350"/>
      <c r="R76" s="69"/>
      <c r="S76" s="350"/>
      <c r="T76" s="69"/>
      <c r="U76" s="350"/>
      <c r="V76" s="69"/>
      <c r="W76" s="350"/>
    </row>
    <row r="77" spans="1:23" ht="27.75" customHeight="1" thickBot="1" x14ac:dyDescent="0.4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4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3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35">
      <c r="B80" s="88" t="s">
        <v>1797</v>
      </c>
      <c r="C80" s="89" t="s">
        <v>1798</v>
      </c>
      <c r="D80" s="370">
        <f>VLOOKUP(B60,Schlüssel!$A$5:$DZ$14,43)</f>
        <v>10</v>
      </c>
      <c r="E80" s="371"/>
      <c r="F80" s="370">
        <f>VLOOKUP(B60,Schlüssel!$A$5:$DZ$14,44)</f>
        <v>1</v>
      </c>
      <c r="G80" s="371"/>
      <c r="H80" s="370">
        <f>VLOOKUP(B60,Schlüssel!$A$5:$DZ$14,45)</f>
        <v>2</v>
      </c>
      <c r="I80" s="371"/>
      <c r="J80" s="370">
        <f>VLOOKUP(B60,Schlüssel!$A$5:$DZ$14,46)</f>
        <v>6</v>
      </c>
      <c r="K80" s="371"/>
      <c r="L80" s="370">
        <f>VLOOKUP(B60,Schlüssel!$A$5:$DZ$14,47)</f>
        <v>9</v>
      </c>
      <c r="M80" s="371"/>
      <c r="N80" s="370">
        <f>VLOOKUP(B60,Schlüssel!$A$5:$DZ$14,48)</f>
        <v>7</v>
      </c>
      <c r="O80" s="371"/>
      <c r="P80" s="370">
        <f>VLOOKUP(B60,Schlüssel!$A$5:$DZ$14,49)</f>
        <v>5</v>
      </c>
      <c r="Q80" s="371"/>
      <c r="R80" s="370">
        <f>VLOOKUP(B60,Schlüssel!$A$5:$DZ$14,50)</f>
        <v>4</v>
      </c>
      <c r="S80" s="371"/>
      <c r="T80" s="370">
        <f>VLOOKUP(B60,Schlüssel!$A$5:$DZ$14,51)</f>
        <v>8</v>
      </c>
      <c r="U80" s="371"/>
      <c r="V80" s="347"/>
      <c r="W80" s="347"/>
    </row>
    <row r="81" spans="1:29" ht="28.5" customHeight="1" x14ac:dyDescent="0.35">
      <c r="B81" s="90"/>
      <c r="C81" s="86"/>
      <c r="D81" s="343" t="str">
        <f>VLOOKUP(D80,Schlüssel!$A$5:$K$14,2)</f>
        <v>BK München 4</v>
      </c>
      <c r="E81" s="344"/>
      <c r="F81" s="343" t="str">
        <f>VLOOKUP(F80,Schlüssel!$A$5:$K$14,2)</f>
        <v>Praetoria Regensburg</v>
      </c>
      <c r="G81" s="344"/>
      <c r="H81" s="343" t="str">
        <f>VLOOKUP(H80,Schlüssel!$A$5:$K$14,2)</f>
        <v>BK München 2</v>
      </c>
      <c r="I81" s="344"/>
      <c r="J81" s="343" t="str">
        <f>VLOOKUP(J80,Schlüssel!$A$5:$K$14,2)</f>
        <v>Phönix 03 Lauf</v>
      </c>
      <c r="K81" s="344"/>
      <c r="L81" s="343" t="str">
        <f>VLOOKUP(L80,Schlüssel!$A$5:$K$14,2)</f>
        <v>RW Lichtenhof 69 Stein 2</v>
      </c>
      <c r="M81" s="344"/>
      <c r="N81" s="343" t="str">
        <f>VLOOKUP(N80,Schlüssel!$A$5:$K$14,2)</f>
        <v>Frankenpower Nürnberg</v>
      </c>
      <c r="O81" s="344"/>
      <c r="P81" s="343" t="str">
        <f>VLOOKUP(P80,Schlüssel!$A$5:$K$14,2)</f>
        <v xml:space="preserve">Weiß Blau Unterföhring </v>
      </c>
      <c r="Q81" s="344"/>
      <c r="R81" s="343" t="str">
        <f>VLOOKUP(R80,Schlüssel!$A$5:$K$14,2)</f>
        <v>BK München 3</v>
      </c>
      <c r="S81" s="344"/>
      <c r="T81" s="343" t="str">
        <f>VLOOKUP(T80,Schlüssel!$A$5:$K$14,2)</f>
        <v>EPA München 1</v>
      </c>
      <c r="U81" s="344"/>
      <c r="V81" s="345"/>
      <c r="W81" s="345"/>
    </row>
    <row r="82" spans="1:29" ht="12" customHeight="1" x14ac:dyDescent="0.35">
      <c r="B82" s="90"/>
      <c r="C82" s="86"/>
      <c r="D82" s="341"/>
      <c r="E82" s="341"/>
      <c r="F82" s="341"/>
      <c r="G82" s="341"/>
      <c r="H82" s="341"/>
      <c r="I82" s="341"/>
      <c r="J82" s="341"/>
      <c r="K82" s="341"/>
      <c r="L82" s="341"/>
      <c r="M82" s="341"/>
      <c r="N82" s="341"/>
      <c r="O82" s="341"/>
      <c r="P82" s="341"/>
      <c r="Q82" s="341"/>
      <c r="R82" s="341"/>
      <c r="S82" s="341"/>
      <c r="T82" s="341"/>
      <c r="U82" s="342"/>
      <c r="V82" s="301"/>
      <c r="W82" s="301"/>
    </row>
    <row r="83" spans="1:29" ht="16.05" customHeight="1" x14ac:dyDescent="0.35">
      <c r="B83" s="91" t="s">
        <v>0</v>
      </c>
      <c r="C83" s="92"/>
      <c r="D83" s="339"/>
      <c r="E83" s="339"/>
      <c r="F83" s="339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39"/>
      <c r="S83" s="339"/>
      <c r="T83" s="339"/>
      <c r="U83" s="339"/>
      <c r="V83" s="340"/>
      <c r="W83" s="340"/>
    </row>
    <row r="84" spans="1:29" ht="16.05" customHeight="1" x14ac:dyDescent="0.35">
      <c r="B84" s="91" t="s">
        <v>2</v>
      </c>
      <c r="C84" s="92"/>
      <c r="D84" s="339"/>
      <c r="E84" s="339"/>
      <c r="F84" s="339"/>
      <c r="G84" s="339"/>
      <c r="H84" s="339"/>
      <c r="I84" s="339"/>
      <c r="J84" s="339"/>
      <c r="K84" s="339"/>
      <c r="L84" s="339"/>
      <c r="M84" s="339"/>
      <c r="N84" s="339"/>
      <c r="O84" s="339"/>
      <c r="P84" s="339"/>
      <c r="Q84" s="339"/>
      <c r="R84" s="339"/>
      <c r="S84" s="339"/>
      <c r="T84" s="339"/>
      <c r="U84" s="339"/>
      <c r="V84" s="340"/>
      <c r="W84" s="340"/>
    </row>
    <row r="85" spans="1:29" ht="16.05" customHeight="1" x14ac:dyDescent="0.35">
      <c r="B85" s="91" t="s">
        <v>3</v>
      </c>
      <c r="C85" s="92"/>
      <c r="D85" s="339"/>
      <c r="E85" s="339"/>
      <c r="F85" s="339"/>
      <c r="G85" s="339"/>
      <c r="H85" s="339"/>
      <c r="I85" s="339"/>
      <c r="J85" s="339"/>
      <c r="K85" s="339"/>
      <c r="L85" s="339"/>
      <c r="M85" s="339"/>
      <c r="N85" s="339"/>
      <c r="O85" s="339"/>
      <c r="P85" s="339"/>
      <c r="Q85" s="339"/>
      <c r="R85" s="339"/>
      <c r="S85" s="339"/>
      <c r="T85" s="339"/>
      <c r="U85" s="339"/>
      <c r="V85" s="340"/>
      <c r="W85" s="340"/>
    </row>
    <row r="86" spans="1:29" ht="16.05" customHeight="1" x14ac:dyDescent="0.35">
      <c r="B86" s="91" t="s">
        <v>11</v>
      </c>
      <c r="C86" s="92"/>
      <c r="D86" s="339"/>
      <c r="E86" s="339"/>
      <c r="F86" s="339"/>
      <c r="G86" s="339"/>
      <c r="H86" s="339"/>
      <c r="I86" s="339"/>
      <c r="J86" s="339"/>
      <c r="K86" s="339"/>
      <c r="L86" s="339"/>
      <c r="M86" s="339"/>
      <c r="N86" s="339"/>
      <c r="O86" s="339"/>
      <c r="P86" s="339"/>
      <c r="Q86" s="339"/>
      <c r="R86" s="339"/>
      <c r="S86" s="339"/>
      <c r="T86" s="339"/>
      <c r="U86" s="339"/>
      <c r="V86" s="340"/>
      <c r="W86" s="340"/>
    </row>
    <row r="87" spans="1:29" ht="16.05" customHeight="1" x14ac:dyDescent="0.35">
      <c r="B87" s="93" t="s">
        <v>1799</v>
      </c>
      <c r="C87" s="94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38"/>
      <c r="R87" s="338"/>
      <c r="S87" s="338"/>
      <c r="T87" s="338"/>
      <c r="U87" s="338"/>
      <c r="V87" s="290"/>
      <c r="W87" s="290"/>
    </row>
    <row r="88" spans="1:29" ht="21" customHeight="1" x14ac:dyDescent="0.7">
      <c r="B88" s="44" t="s">
        <v>1813</v>
      </c>
      <c r="C88" s="45"/>
      <c r="D88" s="46" t="s">
        <v>1792</v>
      </c>
      <c r="E88" s="47"/>
      <c r="F88" s="359" t="str">
        <f>Schlüssel!$C$1</f>
        <v>Bayernliga Frauen</v>
      </c>
      <c r="G88" s="359"/>
      <c r="H88" s="359"/>
      <c r="I88" s="359"/>
      <c r="J88" s="359"/>
      <c r="K88" s="359"/>
      <c r="L88" s="359"/>
      <c r="M88" s="359"/>
      <c r="N88" s="359"/>
      <c r="O88" s="359"/>
      <c r="P88" s="45"/>
      <c r="Q88" s="45"/>
      <c r="R88" s="48"/>
      <c r="S88" s="49" t="s">
        <v>1794</v>
      </c>
      <c r="T88" s="50"/>
      <c r="U88" s="360" t="str">
        <f>Schlüssel!$BA$1</f>
        <v>01.02./02.02.</v>
      </c>
      <c r="V88" s="361"/>
      <c r="W88" s="362"/>
      <c r="AC88" s="51"/>
    </row>
    <row r="89" spans="1:29" ht="17.25" customHeight="1" thickBot="1" x14ac:dyDescent="0.65">
      <c r="A89" s="52"/>
      <c r="B89" s="96">
        <f>+B60+1</f>
        <v>4</v>
      </c>
      <c r="D89" s="46" t="s">
        <v>1793</v>
      </c>
      <c r="E89" s="54"/>
      <c r="F89" s="358" t="str">
        <f>Schlüssel!$AQ$2</f>
        <v>Unterföhring Dreambowl Palace</v>
      </c>
      <c r="G89" s="358"/>
      <c r="H89" s="358"/>
      <c r="I89" s="358"/>
      <c r="J89" s="358"/>
      <c r="K89" s="358"/>
      <c r="L89" s="358"/>
      <c r="M89" s="358"/>
      <c r="N89" s="358"/>
      <c r="O89" s="358"/>
      <c r="P89" s="55"/>
      <c r="Q89" s="55"/>
      <c r="S89" s="49" t="s">
        <v>1791</v>
      </c>
      <c r="T89" s="56">
        <v>3</v>
      </c>
      <c r="U89" s="50"/>
      <c r="V89" s="50"/>
      <c r="AC89" s="97"/>
    </row>
    <row r="90" spans="1:29" ht="15.75" customHeight="1" thickBot="1" x14ac:dyDescent="0.4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5" thickBot="1" x14ac:dyDescent="0.45">
      <c r="A91" s="2"/>
      <c r="B91" s="44"/>
      <c r="C91" s="63"/>
      <c r="D91" s="64" t="s">
        <v>10</v>
      </c>
      <c r="E91" s="44">
        <f>VLOOKUP(B89,Schlüssel!$A$5:$DZ$14,53)</f>
        <v>5</v>
      </c>
      <c r="F91" s="65" t="s">
        <v>10</v>
      </c>
      <c r="G91" s="44">
        <f>VLOOKUP(B89,Schlüssel!$A$5:$DZ$14,54)</f>
        <v>3</v>
      </c>
      <c r="H91" s="65" t="s">
        <v>10</v>
      </c>
      <c r="I91" s="44">
        <f>VLOOKUP(B89,Schlüssel!$A$5:$DZ$14,55)</f>
        <v>2</v>
      </c>
      <c r="J91" s="65" t="s">
        <v>10</v>
      </c>
      <c r="K91" s="44">
        <f>VLOOKUP(B89,Schlüssel!$A$5:$DZ$14,56)</f>
        <v>7</v>
      </c>
      <c r="L91" s="65" t="s">
        <v>10</v>
      </c>
      <c r="M91" s="44">
        <f>VLOOKUP(B89,Schlüssel!$A$5:$DZ$14,57)</f>
        <v>9</v>
      </c>
      <c r="N91" s="65" t="s">
        <v>10</v>
      </c>
      <c r="O91" s="44">
        <f>VLOOKUP(B89,Schlüssel!$A$5:$DZ$14,58)</f>
        <v>8</v>
      </c>
      <c r="P91" s="65" t="s">
        <v>10</v>
      </c>
      <c r="Q91" s="44">
        <f>VLOOKUP(B89,Schlüssel!$A$5:$DZ$14,59)</f>
        <v>6</v>
      </c>
      <c r="R91" s="65" t="s">
        <v>10</v>
      </c>
      <c r="S91" s="44">
        <f>VLOOKUP(B89,Schlüssel!$A$5:$DZ$14,60)</f>
        <v>10</v>
      </c>
      <c r="T91" s="65" t="s">
        <v>10</v>
      </c>
      <c r="U91" s="66">
        <f>VLOOKUP(B89,Schlüssel!$A$5:$DZ$14,61)</f>
        <v>4</v>
      </c>
    </row>
    <row r="92" spans="1:29" ht="20.25" customHeight="1" x14ac:dyDescent="0.35">
      <c r="B92" s="67" t="s">
        <v>1</v>
      </c>
      <c r="C92" s="68"/>
      <c r="D92" s="354" t="s">
        <v>1800</v>
      </c>
      <c r="E92" s="355"/>
      <c r="F92" s="354" t="s">
        <v>1801</v>
      </c>
      <c r="G92" s="355"/>
      <c r="H92" s="354" t="s">
        <v>1802</v>
      </c>
      <c r="I92" s="355"/>
      <c r="J92" s="354" t="s">
        <v>1803</v>
      </c>
      <c r="K92" s="355"/>
      <c r="L92" s="354" t="s">
        <v>1804</v>
      </c>
      <c r="M92" s="355"/>
      <c r="N92" s="354" t="s">
        <v>1805</v>
      </c>
      <c r="O92" s="355"/>
      <c r="P92" s="354" t="s">
        <v>1806</v>
      </c>
      <c r="Q92" s="355"/>
      <c r="R92" s="354" t="s">
        <v>1807</v>
      </c>
      <c r="S92" s="355"/>
      <c r="T92" s="354" t="s">
        <v>1808</v>
      </c>
      <c r="U92" s="355"/>
      <c r="V92" s="356" t="s">
        <v>1799</v>
      </c>
      <c r="W92" s="357"/>
    </row>
    <row r="93" spans="1:29" ht="15" customHeight="1" thickBot="1" x14ac:dyDescent="0.4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2" customHeight="1" x14ac:dyDescent="0.35">
      <c r="A94" s="351" t="s">
        <v>0</v>
      </c>
      <c r="B94" s="73"/>
      <c r="C94" s="74"/>
      <c r="D94" s="75"/>
      <c r="E94" s="348"/>
      <c r="F94" s="75"/>
      <c r="G94" s="348"/>
      <c r="H94" s="75"/>
      <c r="I94" s="348"/>
      <c r="J94" s="75"/>
      <c r="K94" s="348"/>
      <c r="L94" s="75"/>
      <c r="M94" s="348"/>
      <c r="N94" s="75"/>
      <c r="O94" s="348"/>
      <c r="P94" s="75"/>
      <c r="Q94" s="348"/>
      <c r="R94" s="75"/>
      <c r="S94" s="348"/>
      <c r="T94" s="75"/>
      <c r="U94" s="348"/>
      <c r="V94" s="75"/>
      <c r="W94" s="348"/>
    </row>
    <row r="95" spans="1:29" ht="17.2" customHeight="1" x14ac:dyDescent="0.35">
      <c r="A95" s="352"/>
      <c r="B95" s="76"/>
      <c r="C95" s="77"/>
      <c r="D95" s="78"/>
      <c r="E95" s="349"/>
      <c r="F95" s="78"/>
      <c r="G95" s="349"/>
      <c r="H95" s="78"/>
      <c r="I95" s="349"/>
      <c r="J95" s="78"/>
      <c r="K95" s="349"/>
      <c r="L95" s="78"/>
      <c r="M95" s="349"/>
      <c r="N95" s="78"/>
      <c r="O95" s="349"/>
      <c r="P95" s="78"/>
      <c r="Q95" s="349"/>
      <c r="R95" s="78"/>
      <c r="S95" s="349"/>
      <c r="T95" s="78"/>
      <c r="U95" s="349"/>
      <c r="V95" s="78"/>
      <c r="W95" s="349"/>
    </row>
    <row r="96" spans="1:29" ht="17.2" customHeight="1" thickBot="1" x14ac:dyDescent="0.4">
      <c r="A96" s="353"/>
      <c r="B96" s="79"/>
      <c r="C96" s="80"/>
      <c r="D96" s="69"/>
      <c r="E96" s="350"/>
      <c r="F96" s="69"/>
      <c r="G96" s="350"/>
      <c r="H96" s="69"/>
      <c r="I96" s="350"/>
      <c r="J96" s="69"/>
      <c r="K96" s="350"/>
      <c r="L96" s="69"/>
      <c r="M96" s="350"/>
      <c r="N96" s="69"/>
      <c r="O96" s="350"/>
      <c r="P96" s="69"/>
      <c r="Q96" s="350"/>
      <c r="R96" s="69"/>
      <c r="S96" s="350"/>
      <c r="T96" s="69"/>
      <c r="U96" s="350"/>
      <c r="V96" s="69"/>
      <c r="W96" s="350"/>
    </row>
    <row r="97" spans="1:23" ht="17.2" customHeight="1" x14ac:dyDescent="0.35">
      <c r="A97" s="351" t="s">
        <v>2</v>
      </c>
      <c r="B97" s="73"/>
      <c r="C97" s="74"/>
      <c r="D97" s="75"/>
      <c r="E97" s="348"/>
      <c r="F97" s="75"/>
      <c r="G97" s="348"/>
      <c r="H97" s="75"/>
      <c r="I97" s="348"/>
      <c r="J97" s="75"/>
      <c r="K97" s="348"/>
      <c r="L97" s="75"/>
      <c r="M97" s="348"/>
      <c r="N97" s="75"/>
      <c r="O97" s="348"/>
      <c r="P97" s="75"/>
      <c r="Q97" s="348"/>
      <c r="R97" s="75"/>
      <c r="S97" s="348"/>
      <c r="T97" s="75"/>
      <c r="U97" s="348"/>
      <c r="V97" s="75"/>
      <c r="W97" s="348"/>
    </row>
    <row r="98" spans="1:23" ht="17.2" customHeight="1" x14ac:dyDescent="0.35">
      <c r="A98" s="352"/>
      <c r="B98" s="76"/>
      <c r="C98" s="77"/>
      <c r="D98" s="78"/>
      <c r="E98" s="349"/>
      <c r="F98" s="78"/>
      <c r="G98" s="349"/>
      <c r="H98" s="78"/>
      <c r="I98" s="349"/>
      <c r="J98" s="78"/>
      <c r="K98" s="349"/>
      <c r="L98" s="78"/>
      <c r="M98" s="349"/>
      <c r="N98" s="78"/>
      <c r="O98" s="349"/>
      <c r="P98" s="78"/>
      <c r="Q98" s="349"/>
      <c r="R98" s="78"/>
      <c r="S98" s="349"/>
      <c r="T98" s="78"/>
      <c r="U98" s="349"/>
      <c r="V98" s="78"/>
      <c r="W98" s="349"/>
    </row>
    <row r="99" spans="1:23" ht="17.2" customHeight="1" thickBot="1" x14ac:dyDescent="0.4">
      <c r="A99" s="353"/>
      <c r="B99" s="79"/>
      <c r="C99" s="80"/>
      <c r="D99" s="69"/>
      <c r="E99" s="350"/>
      <c r="F99" s="69"/>
      <c r="G99" s="350"/>
      <c r="H99" s="69"/>
      <c r="I99" s="350"/>
      <c r="J99" s="69"/>
      <c r="K99" s="350"/>
      <c r="L99" s="69"/>
      <c r="M99" s="350"/>
      <c r="N99" s="69"/>
      <c r="O99" s="350"/>
      <c r="P99" s="69"/>
      <c r="Q99" s="350"/>
      <c r="R99" s="69"/>
      <c r="S99" s="350"/>
      <c r="T99" s="69"/>
      <c r="U99" s="350"/>
      <c r="V99" s="69"/>
      <c r="W99" s="350"/>
    </row>
    <row r="100" spans="1:23" ht="17.2" customHeight="1" x14ac:dyDescent="0.35">
      <c r="A100" s="351" t="s">
        <v>3</v>
      </c>
      <c r="B100" s="73"/>
      <c r="C100" s="74"/>
      <c r="D100" s="75"/>
      <c r="E100" s="348"/>
      <c r="F100" s="75"/>
      <c r="G100" s="348"/>
      <c r="H100" s="75"/>
      <c r="I100" s="348"/>
      <c r="J100" s="75"/>
      <c r="K100" s="348"/>
      <c r="L100" s="75"/>
      <c r="M100" s="348"/>
      <c r="N100" s="75"/>
      <c r="O100" s="348"/>
      <c r="P100" s="75"/>
      <c r="Q100" s="348"/>
      <c r="R100" s="75"/>
      <c r="S100" s="348"/>
      <c r="T100" s="75"/>
      <c r="U100" s="348"/>
      <c r="V100" s="75"/>
      <c r="W100" s="348"/>
    </row>
    <row r="101" spans="1:23" ht="17.2" customHeight="1" x14ac:dyDescent="0.35">
      <c r="A101" s="352"/>
      <c r="B101" s="76"/>
      <c r="C101" s="77"/>
      <c r="D101" s="78"/>
      <c r="E101" s="349"/>
      <c r="F101" s="78"/>
      <c r="G101" s="349"/>
      <c r="H101" s="78"/>
      <c r="I101" s="349"/>
      <c r="J101" s="78"/>
      <c r="K101" s="349"/>
      <c r="L101" s="78"/>
      <c r="M101" s="349"/>
      <c r="N101" s="78"/>
      <c r="O101" s="349"/>
      <c r="P101" s="78"/>
      <c r="Q101" s="349"/>
      <c r="R101" s="78"/>
      <c r="S101" s="349"/>
      <c r="T101" s="78"/>
      <c r="U101" s="349"/>
      <c r="V101" s="78"/>
      <c r="W101" s="349"/>
    </row>
    <row r="102" spans="1:23" ht="17.2" customHeight="1" thickBot="1" x14ac:dyDescent="0.4">
      <c r="A102" s="353"/>
      <c r="B102" s="79"/>
      <c r="C102" s="80"/>
      <c r="D102" s="69"/>
      <c r="E102" s="350"/>
      <c r="F102" s="69"/>
      <c r="G102" s="350"/>
      <c r="H102" s="69"/>
      <c r="I102" s="350"/>
      <c r="J102" s="69"/>
      <c r="K102" s="350"/>
      <c r="L102" s="69"/>
      <c r="M102" s="350"/>
      <c r="N102" s="69"/>
      <c r="O102" s="350"/>
      <c r="P102" s="69"/>
      <c r="Q102" s="350"/>
      <c r="R102" s="69"/>
      <c r="S102" s="350"/>
      <c r="T102" s="69"/>
      <c r="U102" s="350"/>
      <c r="V102" s="69"/>
      <c r="W102" s="350"/>
    </row>
    <row r="103" spans="1:23" ht="17.2" customHeight="1" x14ac:dyDescent="0.35">
      <c r="A103" s="351" t="s">
        <v>11</v>
      </c>
      <c r="B103" s="73"/>
      <c r="C103" s="74"/>
      <c r="D103" s="75"/>
      <c r="E103" s="348"/>
      <c r="F103" s="75"/>
      <c r="G103" s="348"/>
      <c r="H103" s="75"/>
      <c r="I103" s="348"/>
      <c r="J103" s="75"/>
      <c r="K103" s="348"/>
      <c r="L103" s="75"/>
      <c r="M103" s="348"/>
      <c r="N103" s="75"/>
      <c r="O103" s="348"/>
      <c r="P103" s="75"/>
      <c r="Q103" s="348"/>
      <c r="R103" s="75"/>
      <c r="S103" s="348"/>
      <c r="T103" s="75"/>
      <c r="U103" s="348"/>
      <c r="V103" s="75"/>
      <c r="W103" s="348"/>
    </row>
    <row r="104" spans="1:23" ht="17.2" customHeight="1" x14ac:dyDescent="0.35">
      <c r="A104" s="352"/>
      <c r="B104" s="76"/>
      <c r="C104" s="77"/>
      <c r="D104" s="78"/>
      <c r="E104" s="349"/>
      <c r="F104" s="78"/>
      <c r="G104" s="349"/>
      <c r="H104" s="78"/>
      <c r="I104" s="349"/>
      <c r="J104" s="78"/>
      <c r="K104" s="349"/>
      <c r="L104" s="78"/>
      <c r="M104" s="349"/>
      <c r="N104" s="78"/>
      <c r="O104" s="349"/>
      <c r="P104" s="78"/>
      <c r="Q104" s="349"/>
      <c r="R104" s="78"/>
      <c r="S104" s="349"/>
      <c r="T104" s="78"/>
      <c r="U104" s="349"/>
      <c r="V104" s="78"/>
      <c r="W104" s="349"/>
    </row>
    <row r="105" spans="1:23" ht="17.2" customHeight="1" thickBot="1" x14ac:dyDescent="0.4">
      <c r="A105" s="353"/>
      <c r="B105" s="79"/>
      <c r="C105" s="80"/>
      <c r="D105" s="69"/>
      <c r="E105" s="350"/>
      <c r="F105" s="69"/>
      <c r="G105" s="350"/>
      <c r="H105" s="69"/>
      <c r="I105" s="350"/>
      <c r="J105" s="69"/>
      <c r="K105" s="350"/>
      <c r="L105" s="69"/>
      <c r="M105" s="350"/>
      <c r="N105" s="69"/>
      <c r="O105" s="350"/>
      <c r="P105" s="69"/>
      <c r="Q105" s="350"/>
      <c r="R105" s="69"/>
      <c r="S105" s="350"/>
      <c r="T105" s="69"/>
      <c r="U105" s="350"/>
      <c r="V105" s="69"/>
      <c r="W105" s="350"/>
    </row>
    <row r="106" spans="1:23" ht="27.75" customHeight="1" thickBot="1" x14ac:dyDescent="0.4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4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3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35">
      <c r="B109" s="88" t="s">
        <v>1797</v>
      </c>
      <c r="C109" s="89" t="s">
        <v>1798</v>
      </c>
      <c r="D109" s="370">
        <f>VLOOKUP(B89,Schlüssel!$A$5:$DZ$14,43)</f>
        <v>6</v>
      </c>
      <c r="E109" s="371"/>
      <c r="F109" s="370">
        <f>VLOOKUP(B89,Schlüssel!$A$5:$DZ$14,44)</f>
        <v>5</v>
      </c>
      <c r="G109" s="371"/>
      <c r="H109" s="370">
        <f>VLOOKUP(B89,Schlüssel!$A$5:$DZ$14,45)</f>
        <v>9</v>
      </c>
      <c r="I109" s="371"/>
      <c r="J109" s="370">
        <f>VLOOKUP(B89,Schlüssel!$A$5:$DZ$14,46)</f>
        <v>7</v>
      </c>
      <c r="K109" s="371"/>
      <c r="L109" s="370">
        <f>VLOOKUP(B89,Schlüssel!$A$5:$DZ$14,47)</f>
        <v>8</v>
      </c>
      <c r="M109" s="371"/>
      <c r="N109" s="370">
        <f>VLOOKUP(B89,Schlüssel!$A$5:$DZ$14,48)</f>
        <v>1</v>
      </c>
      <c r="O109" s="371"/>
      <c r="P109" s="370">
        <f>VLOOKUP(B89,Schlüssel!$A$5:$DZ$14,49)</f>
        <v>10</v>
      </c>
      <c r="Q109" s="371"/>
      <c r="R109" s="370">
        <f>VLOOKUP(B89,Schlüssel!$A$5:$DZ$14,50)</f>
        <v>3</v>
      </c>
      <c r="S109" s="371"/>
      <c r="T109" s="370">
        <f>VLOOKUP(B89,Schlüssel!$A$5:$DZ$14,51)</f>
        <v>2</v>
      </c>
      <c r="U109" s="371"/>
      <c r="V109" s="347"/>
      <c r="W109" s="347"/>
    </row>
    <row r="110" spans="1:23" ht="28.5" customHeight="1" x14ac:dyDescent="0.35">
      <c r="B110" s="90"/>
      <c r="C110" s="86"/>
      <c r="D110" s="343" t="str">
        <f>VLOOKUP(D109,Schlüssel!$A$5:$K$14,2)</f>
        <v>Phönix 03 Lauf</v>
      </c>
      <c r="E110" s="344"/>
      <c r="F110" s="343" t="str">
        <f>VLOOKUP(F109,Schlüssel!$A$5:$K$14,2)</f>
        <v xml:space="preserve">Weiß Blau Unterföhring </v>
      </c>
      <c r="G110" s="344"/>
      <c r="H110" s="343" t="str">
        <f>VLOOKUP(H109,Schlüssel!$A$5:$K$14,2)</f>
        <v>RW Lichtenhof 69 Stein 2</v>
      </c>
      <c r="I110" s="344"/>
      <c r="J110" s="343" t="str">
        <f>VLOOKUP(J109,Schlüssel!$A$5:$K$14,2)</f>
        <v>Frankenpower Nürnberg</v>
      </c>
      <c r="K110" s="344"/>
      <c r="L110" s="343" t="str">
        <f>VLOOKUP(L109,Schlüssel!$A$5:$K$14,2)</f>
        <v>EPA München 1</v>
      </c>
      <c r="M110" s="344"/>
      <c r="N110" s="343" t="str">
        <f>VLOOKUP(N109,Schlüssel!$A$5:$K$14,2)</f>
        <v>Praetoria Regensburg</v>
      </c>
      <c r="O110" s="344"/>
      <c r="P110" s="343" t="str">
        <f>VLOOKUP(P109,Schlüssel!$A$5:$K$14,2)</f>
        <v>BK München 4</v>
      </c>
      <c r="Q110" s="344"/>
      <c r="R110" s="343" t="str">
        <f>VLOOKUP(R109,Schlüssel!$A$5:$K$14,2)</f>
        <v>Highroller Rosenheim</v>
      </c>
      <c r="S110" s="344"/>
      <c r="T110" s="343" t="str">
        <f>VLOOKUP(T109,Schlüssel!$A$5:$K$14,2)</f>
        <v>BK München 2</v>
      </c>
      <c r="U110" s="344"/>
      <c r="V110" s="345"/>
      <c r="W110" s="345"/>
    </row>
    <row r="111" spans="1:23" ht="12" customHeight="1" x14ac:dyDescent="0.35">
      <c r="B111" s="90"/>
      <c r="C111" s="86"/>
      <c r="D111" s="341"/>
      <c r="E111" s="341"/>
      <c r="F111" s="341"/>
      <c r="G111" s="341"/>
      <c r="H111" s="341"/>
      <c r="I111" s="341"/>
      <c r="J111" s="341"/>
      <c r="K111" s="341"/>
      <c r="L111" s="341"/>
      <c r="M111" s="341"/>
      <c r="N111" s="341"/>
      <c r="O111" s="341"/>
      <c r="P111" s="341"/>
      <c r="Q111" s="341"/>
      <c r="R111" s="341"/>
      <c r="S111" s="341"/>
      <c r="T111" s="341"/>
      <c r="U111" s="342"/>
      <c r="V111" s="301"/>
      <c r="W111" s="301"/>
    </row>
    <row r="112" spans="1:23" ht="16.05" customHeight="1" x14ac:dyDescent="0.35">
      <c r="B112" s="91" t="s">
        <v>0</v>
      </c>
      <c r="C112" s="92"/>
      <c r="D112" s="339"/>
      <c r="E112" s="339"/>
      <c r="F112" s="339"/>
      <c r="G112" s="339"/>
      <c r="H112" s="339"/>
      <c r="I112" s="339"/>
      <c r="J112" s="339"/>
      <c r="K112" s="339"/>
      <c r="L112" s="339"/>
      <c r="M112" s="339"/>
      <c r="N112" s="339"/>
      <c r="O112" s="339"/>
      <c r="P112" s="339"/>
      <c r="Q112" s="339"/>
      <c r="R112" s="339"/>
      <c r="S112" s="339"/>
      <c r="T112" s="339"/>
      <c r="U112" s="339"/>
      <c r="V112" s="340"/>
      <c r="W112" s="340"/>
    </row>
    <row r="113" spans="1:29" ht="16.05" customHeight="1" x14ac:dyDescent="0.35">
      <c r="B113" s="91" t="s">
        <v>2</v>
      </c>
      <c r="C113" s="92"/>
      <c r="D113" s="339"/>
      <c r="E113" s="339"/>
      <c r="F113" s="339"/>
      <c r="G113" s="339"/>
      <c r="H113" s="339"/>
      <c r="I113" s="339"/>
      <c r="J113" s="339"/>
      <c r="K113" s="339"/>
      <c r="L113" s="339"/>
      <c r="M113" s="339"/>
      <c r="N113" s="339"/>
      <c r="O113" s="339"/>
      <c r="P113" s="339"/>
      <c r="Q113" s="339"/>
      <c r="R113" s="339"/>
      <c r="S113" s="339"/>
      <c r="T113" s="339"/>
      <c r="U113" s="339"/>
      <c r="V113" s="340"/>
      <c r="W113" s="340"/>
    </row>
    <row r="114" spans="1:29" ht="16.05" customHeight="1" x14ac:dyDescent="0.35">
      <c r="B114" s="91" t="s">
        <v>3</v>
      </c>
      <c r="C114" s="92"/>
      <c r="D114" s="339"/>
      <c r="E114" s="339"/>
      <c r="F114" s="339"/>
      <c r="G114" s="339"/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40"/>
      <c r="W114" s="340"/>
    </row>
    <row r="115" spans="1:29" ht="16.05" customHeight="1" x14ac:dyDescent="0.35">
      <c r="B115" s="91" t="s">
        <v>11</v>
      </c>
      <c r="C115" s="92"/>
      <c r="D115" s="339"/>
      <c r="E115" s="339"/>
      <c r="F115" s="339"/>
      <c r="G115" s="339"/>
      <c r="H115" s="339"/>
      <c r="I115" s="339"/>
      <c r="J115" s="339"/>
      <c r="K115" s="339"/>
      <c r="L115" s="339"/>
      <c r="M115" s="339"/>
      <c r="N115" s="339"/>
      <c r="O115" s="339"/>
      <c r="P115" s="339"/>
      <c r="Q115" s="339"/>
      <c r="R115" s="339"/>
      <c r="S115" s="339"/>
      <c r="T115" s="339"/>
      <c r="U115" s="339"/>
      <c r="V115" s="340"/>
      <c r="W115" s="340"/>
    </row>
    <row r="116" spans="1:29" ht="16.05" customHeight="1" x14ac:dyDescent="0.35">
      <c r="B116" s="93" t="s">
        <v>1799</v>
      </c>
      <c r="C116" s="94"/>
      <c r="D116" s="338"/>
      <c r="E116" s="338"/>
      <c r="F116" s="338"/>
      <c r="G116" s="338"/>
      <c r="H116" s="338"/>
      <c r="I116" s="338"/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  <c r="U116" s="338"/>
      <c r="V116" s="290"/>
      <c r="W116" s="290"/>
    </row>
    <row r="117" spans="1:29" ht="21" customHeight="1" x14ac:dyDescent="0.7">
      <c r="B117" s="44" t="s">
        <v>1813</v>
      </c>
      <c r="C117" s="45"/>
      <c r="D117" s="46" t="s">
        <v>1792</v>
      </c>
      <c r="E117" s="47"/>
      <c r="F117" s="359" t="str">
        <f>Schlüssel!$C$1</f>
        <v>Bayernliga Frauen</v>
      </c>
      <c r="G117" s="359"/>
      <c r="H117" s="359"/>
      <c r="I117" s="359"/>
      <c r="J117" s="359"/>
      <c r="K117" s="359"/>
      <c r="L117" s="359"/>
      <c r="M117" s="359"/>
      <c r="N117" s="359"/>
      <c r="O117" s="359"/>
      <c r="P117" s="45"/>
      <c r="Q117" s="45"/>
      <c r="R117" s="48"/>
      <c r="S117" s="49" t="s">
        <v>1794</v>
      </c>
      <c r="T117" s="50"/>
      <c r="U117" s="360" t="str">
        <f>Schlüssel!$BA$1</f>
        <v>01.02./02.02.</v>
      </c>
      <c r="V117" s="361"/>
      <c r="W117" s="362"/>
      <c r="AC117" s="51"/>
    </row>
    <row r="118" spans="1:29" ht="17.25" customHeight="1" thickBot="1" x14ac:dyDescent="0.65">
      <c r="A118" s="52"/>
      <c r="B118" s="96">
        <f>+B89+1</f>
        <v>5</v>
      </c>
      <c r="D118" s="46" t="s">
        <v>1793</v>
      </c>
      <c r="E118" s="54"/>
      <c r="F118" s="358" t="str">
        <f>Schlüssel!$AQ$2</f>
        <v>Unterföhring Dreambowl Palace</v>
      </c>
      <c r="G118" s="358"/>
      <c r="H118" s="358"/>
      <c r="I118" s="358"/>
      <c r="J118" s="358"/>
      <c r="K118" s="358"/>
      <c r="L118" s="358"/>
      <c r="M118" s="358"/>
      <c r="N118" s="358"/>
      <c r="O118" s="358"/>
      <c r="P118" s="55"/>
      <c r="Q118" s="55"/>
      <c r="S118" s="49" t="s">
        <v>1791</v>
      </c>
      <c r="T118" s="56">
        <v>3</v>
      </c>
      <c r="U118" s="50"/>
      <c r="V118" s="50"/>
      <c r="AC118" s="97"/>
    </row>
    <row r="119" spans="1:29" ht="15.75" customHeight="1" thickBot="1" x14ac:dyDescent="0.4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5" thickBot="1" x14ac:dyDescent="0.45">
      <c r="A120" s="2"/>
      <c r="B120" s="44"/>
      <c r="C120" s="63"/>
      <c r="D120" s="64" t="s">
        <v>10</v>
      </c>
      <c r="E120" s="44">
        <f>VLOOKUP(B118,Schlüssel!$A$5:$DZ$14,53)</f>
        <v>1</v>
      </c>
      <c r="F120" s="65" t="s">
        <v>10</v>
      </c>
      <c r="G120" s="44">
        <f>VLOOKUP(B118,Schlüssel!$A$5:$DZ$14,54)</f>
        <v>4</v>
      </c>
      <c r="H120" s="65" t="s">
        <v>10</v>
      </c>
      <c r="I120" s="44">
        <f>VLOOKUP(B118,Schlüssel!$A$5:$DZ$14,55)</f>
        <v>7</v>
      </c>
      <c r="J120" s="65" t="s">
        <v>10</v>
      </c>
      <c r="K120" s="44">
        <f>VLOOKUP(B118,Schlüssel!$A$5:$DZ$14,56)</f>
        <v>10</v>
      </c>
      <c r="L120" s="65" t="s">
        <v>10</v>
      </c>
      <c r="M120" s="44">
        <f>VLOOKUP(B118,Schlüssel!$A$5:$DZ$14,57)</f>
        <v>2</v>
      </c>
      <c r="N120" s="65" t="s">
        <v>10</v>
      </c>
      <c r="O120" s="44">
        <f>VLOOKUP(B118,Schlüssel!$A$5:$DZ$14,58)</f>
        <v>6</v>
      </c>
      <c r="P120" s="65" t="s">
        <v>10</v>
      </c>
      <c r="Q120" s="44">
        <f>VLOOKUP(B118,Schlüssel!$A$5:$DZ$14,59)</f>
        <v>3</v>
      </c>
      <c r="R120" s="65" t="s">
        <v>10</v>
      </c>
      <c r="S120" s="44">
        <f>VLOOKUP(B118,Schlüssel!$A$5:$DZ$14,60)</f>
        <v>8</v>
      </c>
      <c r="T120" s="65" t="s">
        <v>10</v>
      </c>
      <c r="U120" s="66">
        <f>VLOOKUP(B118,Schlüssel!$A$5:$DZ$14,61)</f>
        <v>5</v>
      </c>
    </row>
    <row r="121" spans="1:29" ht="20.25" customHeight="1" x14ac:dyDescent="0.35">
      <c r="B121" s="67" t="s">
        <v>1</v>
      </c>
      <c r="C121" s="68"/>
      <c r="D121" s="354" t="s">
        <v>1800</v>
      </c>
      <c r="E121" s="355"/>
      <c r="F121" s="354" t="s">
        <v>1801</v>
      </c>
      <c r="G121" s="355"/>
      <c r="H121" s="354" t="s">
        <v>1802</v>
      </c>
      <c r="I121" s="355"/>
      <c r="J121" s="354" t="s">
        <v>1803</v>
      </c>
      <c r="K121" s="355"/>
      <c r="L121" s="354" t="s">
        <v>1804</v>
      </c>
      <c r="M121" s="355"/>
      <c r="N121" s="354" t="s">
        <v>1805</v>
      </c>
      <c r="O121" s="355"/>
      <c r="P121" s="354" t="s">
        <v>1806</v>
      </c>
      <c r="Q121" s="355"/>
      <c r="R121" s="354" t="s">
        <v>1807</v>
      </c>
      <c r="S121" s="355"/>
      <c r="T121" s="354" t="s">
        <v>1808</v>
      </c>
      <c r="U121" s="355"/>
      <c r="V121" s="356" t="s">
        <v>1799</v>
      </c>
      <c r="W121" s="357"/>
    </row>
    <row r="122" spans="1:29" ht="15" customHeight="1" thickBot="1" x14ac:dyDescent="0.4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2" customHeight="1" x14ac:dyDescent="0.35">
      <c r="A123" s="351" t="s">
        <v>0</v>
      </c>
      <c r="B123" s="73"/>
      <c r="C123" s="74"/>
      <c r="D123" s="75"/>
      <c r="E123" s="348"/>
      <c r="F123" s="75"/>
      <c r="G123" s="348"/>
      <c r="H123" s="75"/>
      <c r="I123" s="348"/>
      <c r="J123" s="75"/>
      <c r="K123" s="348"/>
      <c r="L123" s="75"/>
      <c r="M123" s="348"/>
      <c r="N123" s="75"/>
      <c r="O123" s="348"/>
      <c r="P123" s="75"/>
      <c r="Q123" s="348"/>
      <c r="R123" s="75"/>
      <c r="S123" s="348"/>
      <c r="T123" s="75"/>
      <c r="U123" s="348"/>
      <c r="V123" s="75"/>
      <c r="W123" s="348"/>
    </row>
    <row r="124" spans="1:29" ht="17.2" customHeight="1" x14ac:dyDescent="0.35">
      <c r="A124" s="352"/>
      <c r="B124" s="76"/>
      <c r="C124" s="77"/>
      <c r="D124" s="78"/>
      <c r="E124" s="349"/>
      <c r="F124" s="78"/>
      <c r="G124" s="349"/>
      <c r="H124" s="78"/>
      <c r="I124" s="349"/>
      <c r="J124" s="78"/>
      <c r="K124" s="349"/>
      <c r="L124" s="78"/>
      <c r="M124" s="349"/>
      <c r="N124" s="78"/>
      <c r="O124" s="349"/>
      <c r="P124" s="78"/>
      <c r="Q124" s="349"/>
      <c r="R124" s="78"/>
      <c r="S124" s="349"/>
      <c r="T124" s="78"/>
      <c r="U124" s="349"/>
      <c r="V124" s="78"/>
      <c r="W124" s="349"/>
    </row>
    <row r="125" spans="1:29" ht="17.2" customHeight="1" thickBot="1" x14ac:dyDescent="0.4">
      <c r="A125" s="353"/>
      <c r="B125" s="79"/>
      <c r="C125" s="80"/>
      <c r="D125" s="69"/>
      <c r="E125" s="350"/>
      <c r="F125" s="69"/>
      <c r="G125" s="350"/>
      <c r="H125" s="69"/>
      <c r="I125" s="350"/>
      <c r="J125" s="69"/>
      <c r="K125" s="350"/>
      <c r="L125" s="69"/>
      <c r="M125" s="350"/>
      <c r="N125" s="69"/>
      <c r="O125" s="350"/>
      <c r="P125" s="69"/>
      <c r="Q125" s="350"/>
      <c r="R125" s="69"/>
      <c r="S125" s="350"/>
      <c r="T125" s="69"/>
      <c r="U125" s="350"/>
      <c r="V125" s="69"/>
      <c r="W125" s="350"/>
    </row>
    <row r="126" spans="1:29" ht="17.2" customHeight="1" x14ac:dyDescent="0.35">
      <c r="A126" s="351" t="s">
        <v>2</v>
      </c>
      <c r="B126" s="73"/>
      <c r="C126" s="74"/>
      <c r="D126" s="75"/>
      <c r="E126" s="348"/>
      <c r="F126" s="75"/>
      <c r="G126" s="348"/>
      <c r="H126" s="75"/>
      <c r="I126" s="348"/>
      <c r="J126" s="75"/>
      <c r="K126" s="348"/>
      <c r="L126" s="75"/>
      <c r="M126" s="348"/>
      <c r="N126" s="75"/>
      <c r="O126" s="348"/>
      <c r="P126" s="75"/>
      <c r="Q126" s="348"/>
      <c r="R126" s="75"/>
      <c r="S126" s="348"/>
      <c r="T126" s="75"/>
      <c r="U126" s="348"/>
      <c r="V126" s="75"/>
      <c r="W126" s="348"/>
    </row>
    <row r="127" spans="1:29" ht="17.2" customHeight="1" x14ac:dyDescent="0.35">
      <c r="A127" s="352"/>
      <c r="B127" s="76"/>
      <c r="C127" s="77"/>
      <c r="D127" s="78"/>
      <c r="E127" s="349"/>
      <c r="F127" s="78"/>
      <c r="G127" s="349"/>
      <c r="H127" s="78"/>
      <c r="I127" s="349"/>
      <c r="J127" s="78"/>
      <c r="K127" s="349"/>
      <c r="L127" s="78"/>
      <c r="M127" s="349"/>
      <c r="N127" s="78"/>
      <c r="O127" s="349"/>
      <c r="P127" s="78"/>
      <c r="Q127" s="349"/>
      <c r="R127" s="78"/>
      <c r="S127" s="349"/>
      <c r="T127" s="78"/>
      <c r="U127" s="349"/>
      <c r="V127" s="78"/>
      <c r="W127" s="349"/>
    </row>
    <row r="128" spans="1:29" ht="17.2" customHeight="1" thickBot="1" x14ac:dyDescent="0.4">
      <c r="A128" s="353"/>
      <c r="B128" s="79"/>
      <c r="C128" s="80"/>
      <c r="D128" s="69"/>
      <c r="E128" s="350"/>
      <c r="F128" s="69"/>
      <c r="G128" s="350"/>
      <c r="H128" s="69"/>
      <c r="I128" s="350"/>
      <c r="J128" s="69"/>
      <c r="K128" s="350"/>
      <c r="L128" s="69"/>
      <c r="M128" s="350"/>
      <c r="N128" s="69"/>
      <c r="O128" s="350"/>
      <c r="P128" s="69"/>
      <c r="Q128" s="350"/>
      <c r="R128" s="69"/>
      <c r="S128" s="350"/>
      <c r="T128" s="69"/>
      <c r="U128" s="350"/>
      <c r="V128" s="69"/>
      <c r="W128" s="350"/>
    </row>
    <row r="129" spans="1:23" ht="17.2" customHeight="1" x14ac:dyDescent="0.35">
      <c r="A129" s="351" t="s">
        <v>3</v>
      </c>
      <c r="B129" s="73"/>
      <c r="C129" s="74"/>
      <c r="D129" s="75"/>
      <c r="E129" s="348"/>
      <c r="F129" s="75"/>
      <c r="G129" s="348"/>
      <c r="H129" s="75"/>
      <c r="I129" s="348"/>
      <c r="J129" s="75"/>
      <c r="K129" s="348"/>
      <c r="L129" s="75"/>
      <c r="M129" s="348"/>
      <c r="N129" s="75"/>
      <c r="O129" s="348"/>
      <c r="P129" s="75"/>
      <c r="Q129" s="348"/>
      <c r="R129" s="75"/>
      <c r="S129" s="348"/>
      <c r="T129" s="75"/>
      <c r="U129" s="348"/>
      <c r="V129" s="75"/>
      <c r="W129" s="348"/>
    </row>
    <row r="130" spans="1:23" ht="17.2" customHeight="1" x14ac:dyDescent="0.35">
      <c r="A130" s="352"/>
      <c r="B130" s="76"/>
      <c r="C130" s="77"/>
      <c r="D130" s="78"/>
      <c r="E130" s="349"/>
      <c r="F130" s="78"/>
      <c r="G130" s="349"/>
      <c r="H130" s="78"/>
      <c r="I130" s="349"/>
      <c r="J130" s="78"/>
      <c r="K130" s="349"/>
      <c r="L130" s="78"/>
      <c r="M130" s="349"/>
      <c r="N130" s="78"/>
      <c r="O130" s="349"/>
      <c r="P130" s="78"/>
      <c r="Q130" s="349"/>
      <c r="R130" s="78"/>
      <c r="S130" s="349"/>
      <c r="T130" s="78"/>
      <c r="U130" s="349"/>
      <c r="V130" s="78"/>
      <c r="W130" s="349"/>
    </row>
    <row r="131" spans="1:23" ht="17.2" customHeight="1" thickBot="1" x14ac:dyDescent="0.4">
      <c r="A131" s="353"/>
      <c r="B131" s="79"/>
      <c r="C131" s="80"/>
      <c r="D131" s="69"/>
      <c r="E131" s="350"/>
      <c r="F131" s="69"/>
      <c r="G131" s="350"/>
      <c r="H131" s="69"/>
      <c r="I131" s="350"/>
      <c r="J131" s="69"/>
      <c r="K131" s="350"/>
      <c r="L131" s="69"/>
      <c r="M131" s="350"/>
      <c r="N131" s="69"/>
      <c r="O131" s="350"/>
      <c r="P131" s="69"/>
      <c r="Q131" s="350"/>
      <c r="R131" s="69"/>
      <c r="S131" s="350"/>
      <c r="T131" s="69"/>
      <c r="U131" s="350"/>
      <c r="V131" s="69"/>
      <c r="W131" s="350"/>
    </row>
    <row r="132" spans="1:23" ht="17.2" customHeight="1" x14ac:dyDescent="0.35">
      <c r="A132" s="351" t="s">
        <v>11</v>
      </c>
      <c r="B132" s="73"/>
      <c r="C132" s="74"/>
      <c r="D132" s="75"/>
      <c r="E132" s="348"/>
      <c r="F132" s="75"/>
      <c r="G132" s="348"/>
      <c r="H132" s="75"/>
      <c r="I132" s="348"/>
      <c r="J132" s="75"/>
      <c r="K132" s="348"/>
      <c r="L132" s="75"/>
      <c r="M132" s="348"/>
      <c r="N132" s="75"/>
      <c r="O132" s="348"/>
      <c r="P132" s="75"/>
      <c r="Q132" s="348"/>
      <c r="R132" s="75"/>
      <c r="S132" s="348"/>
      <c r="T132" s="75"/>
      <c r="U132" s="348"/>
      <c r="V132" s="75"/>
      <c r="W132" s="348"/>
    </row>
    <row r="133" spans="1:23" ht="17.2" customHeight="1" x14ac:dyDescent="0.35">
      <c r="A133" s="352"/>
      <c r="B133" s="76"/>
      <c r="C133" s="77"/>
      <c r="D133" s="78"/>
      <c r="E133" s="349"/>
      <c r="F133" s="78"/>
      <c r="G133" s="349"/>
      <c r="H133" s="78"/>
      <c r="I133" s="349"/>
      <c r="J133" s="78"/>
      <c r="K133" s="349"/>
      <c r="L133" s="78"/>
      <c r="M133" s="349"/>
      <c r="N133" s="78"/>
      <c r="O133" s="349"/>
      <c r="P133" s="78"/>
      <c r="Q133" s="349"/>
      <c r="R133" s="78"/>
      <c r="S133" s="349"/>
      <c r="T133" s="78"/>
      <c r="U133" s="349"/>
      <c r="V133" s="78"/>
      <c r="W133" s="349"/>
    </row>
    <row r="134" spans="1:23" ht="17.2" customHeight="1" thickBot="1" x14ac:dyDescent="0.4">
      <c r="A134" s="353"/>
      <c r="B134" s="79"/>
      <c r="C134" s="80"/>
      <c r="D134" s="69"/>
      <c r="E134" s="350"/>
      <c r="F134" s="69"/>
      <c r="G134" s="350"/>
      <c r="H134" s="69"/>
      <c r="I134" s="350"/>
      <c r="J134" s="69"/>
      <c r="K134" s="350"/>
      <c r="L134" s="69"/>
      <c r="M134" s="350"/>
      <c r="N134" s="69"/>
      <c r="O134" s="350"/>
      <c r="P134" s="69"/>
      <c r="Q134" s="350"/>
      <c r="R134" s="69"/>
      <c r="S134" s="350"/>
      <c r="T134" s="69"/>
      <c r="U134" s="350"/>
      <c r="V134" s="69"/>
      <c r="W134" s="350"/>
    </row>
    <row r="135" spans="1:23" ht="27.75" customHeight="1" thickBot="1" x14ac:dyDescent="0.4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4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3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35">
      <c r="B138" s="88" t="s">
        <v>1797</v>
      </c>
      <c r="C138" s="89" t="s">
        <v>1798</v>
      </c>
      <c r="D138" s="370">
        <f>VLOOKUP(B118,Schlüssel!$A$5:$DZ$14,43)</f>
        <v>1</v>
      </c>
      <c r="E138" s="371"/>
      <c r="F138" s="370">
        <f>VLOOKUP(B118,Schlüssel!$A$5:$DZ$14,44)</f>
        <v>4</v>
      </c>
      <c r="G138" s="371"/>
      <c r="H138" s="370">
        <f>VLOOKUP(B118,Schlüssel!$A$5:$DZ$14,45)</f>
        <v>6</v>
      </c>
      <c r="I138" s="371"/>
      <c r="J138" s="370">
        <f>VLOOKUP(B118,Schlüssel!$A$5:$DZ$14,46)</f>
        <v>9</v>
      </c>
      <c r="K138" s="371"/>
      <c r="L138" s="370">
        <f>VLOOKUP(B118,Schlüssel!$A$5:$DZ$14,47)</f>
        <v>10</v>
      </c>
      <c r="M138" s="371"/>
      <c r="N138" s="370">
        <f>VLOOKUP(B118,Schlüssel!$A$5:$DZ$14,48)</f>
        <v>8</v>
      </c>
      <c r="O138" s="371"/>
      <c r="P138" s="370">
        <f>VLOOKUP(B118,Schlüssel!$A$5:$DZ$14,49)</f>
        <v>3</v>
      </c>
      <c r="Q138" s="371"/>
      <c r="R138" s="370">
        <f>VLOOKUP(B118,Schlüssel!$A$5:$DZ$14,50)</f>
        <v>2</v>
      </c>
      <c r="S138" s="371"/>
      <c r="T138" s="370">
        <f>VLOOKUP(B118,Schlüssel!$A$5:$DZ$14,51)</f>
        <v>7</v>
      </c>
      <c r="U138" s="371"/>
      <c r="V138" s="347"/>
      <c r="W138" s="347"/>
    </row>
    <row r="139" spans="1:23" ht="28.5" customHeight="1" x14ac:dyDescent="0.35">
      <c r="B139" s="90"/>
      <c r="C139" s="86"/>
      <c r="D139" s="343" t="str">
        <f>VLOOKUP(D138,Schlüssel!$A$5:$K$14,2)</f>
        <v>Praetoria Regensburg</v>
      </c>
      <c r="E139" s="344"/>
      <c r="F139" s="343" t="str">
        <f>VLOOKUP(F138,Schlüssel!$A$5:$K$14,2)</f>
        <v>BK München 3</v>
      </c>
      <c r="G139" s="344"/>
      <c r="H139" s="343" t="str">
        <f>VLOOKUP(H138,Schlüssel!$A$5:$K$14,2)</f>
        <v>Phönix 03 Lauf</v>
      </c>
      <c r="I139" s="344"/>
      <c r="J139" s="343" t="str">
        <f>VLOOKUP(J138,Schlüssel!$A$5:$K$14,2)</f>
        <v>RW Lichtenhof 69 Stein 2</v>
      </c>
      <c r="K139" s="344"/>
      <c r="L139" s="343" t="str">
        <f>VLOOKUP(L138,Schlüssel!$A$5:$K$14,2)</f>
        <v>BK München 4</v>
      </c>
      <c r="M139" s="344"/>
      <c r="N139" s="343" t="str">
        <f>VLOOKUP(N138,Schlüssel!$A$5:$K$14,2)</f>
        <v>EPA München 1</v>
      </c>
      <c r="O139" s="344"/>
      <c r="P139" s="343" t="str">
        <f>VLOOKUP(P138,Schlüssel!$A$5:$K$14,2)</f>
        <v>Highroller Rosenheim</v>
      </c>
      <c r="Q139" s="344"/>
      <c r="R139" s="343" t="str">
        <f>VLOOKUP(R138,Schlüssel!$A$5:$K$14,2)</f>
        <v>BK München 2</v>
      </c>
      <c r="S139" s="344"/>
      <c r="T139" s="343" t="str">
        <f>VLOOKUP(T138,Schlüssel!$A$5:$K$14,2)</f>
        <v>Frankenpower Nürnberg</v>
      </c>
      <c r="U139" s="344"/>
      <c r="V139" s="345"/>
      <c r="W139" s="345"/>
    </row>
    <row r="140" spans="1:23" ht="12" customHeight="1" x14ac:dyDescent="0.35">
      <c r="B140" s="90"/>
      <c r="C140" s="86"/>
      <c r="D140" s="341"/>
      <c r="E140" s="341"/>
      <c r="F140" s="341"/>
      <c r="G140" s="341"/>
      <c r="H140" s="341"/>
      <c r="I140" s="341"/>
      <c r="J140" s="341"/>
      <c r="K140" s="341"/>
      <c r="L140" s="341"/>
      <c r="M140" s="341"/>
      <c r="N140" s="341"/>
      <c r="O140" s="341"/>
      <c r="P140" s="341"/>
      <c r="Q140" s="341"/>
      <c r="R140" s="341"/>
      <c r="S140" s="341"/>
      <c r="T140" s="341"/>
      <c r="U140" s="342"/>
      <c r="V140" s="301"/>
      <c r="W140" s="301"/>
    </row>
    <row r="141" spans="1:23" ht="16.05" customHeight="1" x14ac:dyDescent="0.35">
      <c r="B141" s="91" t="s">
        <v>0</v>
      </c>
      <c r="C141" s="92"/>
      <c r="D141" s="339"/>
      <c r="E141" s="339"/>
      <c r="F141" s="339"/>
      <c r="G141" s="339"/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40"/>
      <c r="W141" s="340"/>
    </row>
    <row r="142" spans="1:23" ht="16.05" customHeight="1" x14ac:dyDescent="0.35">
      <c r="B142" s="91" t="s">
        <v>2</v>
      </c>
      <c r="C142" s="92"/>
      <c r="D142" s="339"/>
      <c r="E142" s="339"/>
      <c r="F142" s="339"/>
      <c r="G142" s="339"/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40"/>
      <c r="W142" s="340"/>
    </row>
    <row r="143" spans="1:23" ht="16.05" customHeight="1" x14ac:dyDescent="0.35">
      <c r="B143" s="91" t="s">
        <v>3</v>
      </c>
      <c r="C143" s="92"/>
      <c r="D143" s="339"/>
      <c r="E143" s="339"/>
      <c r="F143" s="339"/>
      <c r="G143" s="339"/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40"/>
      <c r="W143" s="340"/>
    </row>
    <row r="144" spans="1:23" ht="16.05" customHeight="1" x14ac:dyDescent="0.35">
      <c r="B144" s="91" t="s">
        <v>11</v>
      </c>
      <c r="C144" s="92"/>
      <c r="D144" s="339"/>
      <c r="E144" s="339"/>
      <c r="F144" s="339"/>
      <c r="G144" s="339"/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40"/>
      <c r="W144" s="340"/>
    </row>
    <row r="145" spans="1:29" ht="16.05" customHeight="1" x14ac:dyDescent="0.35">
      <c r="B145" s="93" t="s">
        <v>1799</v>
      </c>
      <c r="C145" s="94"/>
      <c r="D145" s="338"/>
      <c r="E145" s="338"/>
      <c r="F145" s="338"/>
      <c r="G145" s="338"/>
      <c r="H145" s="338"/>
      <c r="I145" s="338"/>
      <c r="J145" s="338"/>
      <c r="K145" s="338"/>
      <c r="L145" s="338"/>
      <c r="M145" s="338"/>
      <c r="N145" s="338"/>
      <c r="O145" s="338"/>
      <c r="P145" s="338"/>
      <c r="Q145" s="338"/>
      <c r="R145" s="338"/>
      <c r="S145" s="338"/>
      <c r="T145" s="338"/>
      <c r="U145" s="338"/>
      <c r="V145" s="290"/>
      <c r="W145" s="290"/>
    </row>
    <row r="146" spans="1:29" ht="21" customHeight="1" x14ac:dyDescent="0.7">
      <c r="B146" s="44" t="s">
        <v>1813</v>
      </c>
      <c r="C146" s="45"/>
      <c r="D146" s="46" t="s">
        <v>1792</v>
      </c>
      <c r="E146" s="47"/>
      <c r="F146" s="359" t="str">
        <f>Schlüssel!$C$1</f>
        <v>Bayernliga Frauen</v>
      </c>
      <c r="G146" s="359"/>
      <c r="H146" s="359"/>
      <c r="I146" s="359"/>
      <c r="J146" s="359"/>
      <c r="K146" s="359"/>
      <c r="L146" s="359"/>
      <c r="M146" s="359"/>
      <c r="N146" s="359"/>
      <c r="O146" s="359"/>
      <c r="P146" s="45"/>
      <c r="Q146" s="45"/>
      <c r="R146" s="48"/>
      <c r="S146" s="49" t="s">
        <v>1794</v>
      </c>
      <c r="T146" s="50"/>
      <c r="U146" s="360" t="str">
        <f>Schlüssel!$BA$1</f>
        <v>01.02./02.02.</v>
      </c>
      <c r="V146" s="361"/>
      <c r="W146" s="362"/>
      <c r="AC146" s="51"/>
    </row>
    <row r="147" spans="1:29" ht="17.25" customHeight="1" thickBot="1" x14ac:dyDescent="0.65">
      <c r="A147" s="52"/>
      <c r="B147" s="96">
        <f>+B118+1</f>
        <v>6</v>
      </c>
      <c r="D147" s="46" t="s">
        <v>1793</v>
      </c>
      <c r="E147" s="54"/>
      <c r="F147" s="358" t="str">
        <f>Schlüssel!$AQ$2</f>
        <v>Unterföhring Dreambowl Palace</v>
      </c>
      <c r="G147" s="358"/>
      <c r="H147" s="358"/>
      <c r="I147" s="358"/>
      <c r="J147" s="358"/>
      <c r="K147" s="358"/>
      <c r="L147" s="358"/>
      <c r="M147" s="358"/>
      <c r="N147" s="358"/>
      <c r="O147" s="358"/>
      <c r="P147" s="55"/>
      <c r="Q147" s="55"/>
      <c r="S147" s="49" t="s">
        <v>1791</v>
      </c>
      <c r="T147" s="56">
        <v>3</v>
      </c>
      <c r="U147" s="50"/>
      <c r="V147" s="50"/>
      <c r="AC147" s="97"/>
    </row>
    <row r="148" spans="1:29" ht="15.75" customHeight="1" thickBot="1" x14ac:dyDescent="0.4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5" thickBot="1" x14ac:dyDescent="0.45">
      <c r="A149" s="2"/>
      <c r="B149" s="44"/>
      <c r="C149" s="63"/>
      <c r="D149" s="64" t="s">
        <v>10</v>
      </c>
      <c r="E149" s="44">
        <f>VLOOKUP(B147,Schlüssel!$A$5:$DZ$14,53)</f>
        <v>6</v>
      </c>
      <c r="F149" s="65" t="s">
        <v>10</v>
      </c>
      <c r="G149" s="44">
        <f>VLOOKUP(B147,Schlüssel!$A$5:$DZ$14,54)</f>
        <v>2</v>
      </c>
      <c r="H149" s="65" t="s">
        <v>10</v>
      </c>
      <c r="I149" s="44">
        <f>VLOOKUP(B147,Schlüssel!$A$5:$DZ$14,55)</f>
        <v>8</v>
      </c>
      <c r="J149" s="65" t="s">
        <v>10</v>
      </c>
      <c r="K149" s="44">
        <f>VLOOKUP(B147,Schlüssel!$A$5:$DZ$14,56)</f>
        <v>5</v>
      </c>
      <c r="L149" s="65" t="s">
        <v>10</v>
      </c>
      <c r="M149" s="44">
        <f>VLOOKUP(B147,Schlüssel!$A$5:$DZ$14,57)</f>
        <v>3</v>
      </c>
      <c r="N149" s="65" t="s">
        <v>10</v>
      </c>
      <c r="O149" s="44">
        <f>VLOOKUP(B147,Schlüssel!$A$5:$DZ$14,58)</f>
        <v>10</v>
      </c>
      <c r="P149" s="65" t="s">
        <v>10</v>
      </c>
      <c r="Q149" s="44">
        <f>VLOOKUP(B147,Schlüssel!$A$5:$DZ$14,59)</f>
        <v>7</v>
      </c>
      <c r="R149" s="65" t="s">
        <v>10</v>
      </c>
      <c r="S149" s="44">
        <f>VLOOKUP(B147,Schlüssel!$A$5:$DZ$14,60)</f>
        <v>1</v>
      </c>
      <c r="T149" s="65" t="s">
        <v>10</v>
      </c>
      <c r="U149" s="66">
        <f>VLOOKUP(B147,Schlüssel!$A$5:$DZ$14,61)</f>
        <v>9</v>
      </c>
    </row>
    <row r="150" spans="1:29" ht="20.25" customHeight="1" x14ac:dyDescent="0.35">
      <c r="B150" s="67" t="s">
        <v>1</v>
      </c>
      <c r="C150" s="68"/>
      <c r="D150" s="354" t="s">
        <v>1800</v>
      </c>
      <c r="E150" s="355"/>
      <c r="F150" s="354" t="s">
        <v>1801</v>
      </c>
      <c r="G150" s="355"/>
      <c r="H150" s="354" t="s">
        <v>1802</v>
      </c>
      <c r="I150" s="355"/>
      <c r="J150" s="354" t="s">
        <v>1803</v>
      </c>
      <c r="K150" s="355"/>
      <c r="L150" s="354" t="s">
        <v>1804</v>
      </c>
      <c r="M150" s="355"/>
      <c r="N150" s="354" t="s">
        <v>1805</v>
      </c>
      <c r="O150" s="355"/>
      <c r="P150" s="354" t="s">
        <v>1806</v>
      </c>
      <c r="Q150" s="355"/>
      <c r="R150" s="354" t="s">
        <v>1807</v>
      </c>
      <c r="S150" s="355"/>
      <c r="T150" s="354" t="s">
        <v>1808</v>
      </c>
      <c r="U150" s="355"/>
      <c r="V150" s="356" t="s">
        <v>1799</v>
      </c>
      <c r="W150" s="357"/>
    </row>
    <row r="151" spans="1:29" ht="15" customHeight="1" thickBot="1" x14ac:dyDescent="0.4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2" customHeight="1" x14ac:dyDescent="0.35">
      <c r="A152" s="351" t="s">
        <v>0</v>
      </c>
      <c r="B152" s="73"/>
      <c r="C152" s="74"/>
      <c r="D152" s="75"/>
      <c r="E152" s="348"/>
      <c r="F152" s="75"/>
      <c r="G152" s="348"/>
      <c r="H152" s="75"/>
      <c r="I152" s="348"/>
      <c r="J152" s="75"/>
      <c r="K152" s="348"/>
      <c r="L152" s="75"/>
      <c r="M152" s="348"/>
      <c r="N152" s="75"/>
      <c r="O152" s="348"/>
      <c r="P152" s="75"/>
      <c r="Q152" s="348"/>
      <c r="R152" s="75"/>
      <c r="S152" s="348"/>
      <c r="T152" s="75"/>
      <c r="U152" s="348"/>
      <c r="V152" s="75"/>
      <c r="W152" s="348"/>
    </row>
    <row r="153" spans="1:29" ht="17.2" customHeight="1" x14ac:dyDescent="0.35">
      <c r="A153" s="352"/>
      <c r="B153" s="76"/>
      <c r="C153" s="77"/>
      <c r="D153" s="78"/>
      <c r="E153" s="349"/>
      <c r="F153" s="78"/>
      <c r="G153" s="349"/>
      <c r="H153" s="78"/>
      <c r="I153" s="349"/>
      <c r="J153" s="78"/>
      <c r="K153" s="349"/>
      <c r="L153" s="78"/>
      <c r="M153" s="349"/>
      <c r="N153" s="78"/>
      <c r="O153" s="349"/>
      <c r="P153" s="78"/>
      <c r="Q153" s="349"/>
      <c r="R153" s="78"/>
      <c r="S153" s="349"/>
      <c r="T153" s="78"/>
      <c r="U153" s="349"/>
      <c r="V153" s="78"/>
      <c r="W153" s="349"/>
    </row>
    <row r="154" spans="1:29" ht="17.2" customHeight="1" thickBot="1" x14ac:dyDescent="0.4">
      <c r="A154" s="353"/>
      <c r="B154" s="79"/>
      <c r="C154" s="80"/>
      <c r="D154" s="69"/>
      <c r="E154" s="350"/>
      <c r="F154" s="69"/>
      <c r="G154" s="350"/>
      <c r="H154" s="69"/>
      <c r="I154" s="350"/>
      <c r="J154" s="69"/>
      <c r="K154" s="350"/>
      <c r="L154" s="69"/>
      <c r="M154" s="350"/>
      <c r="N154" s="69"/>
      <c r="O154" s="350"/>
      <c r="P154" s="69"/>
      <c r="Q154" s="350"/>
      <c r="R154" s="69"/>
      <c r="S154" s="350"/>
      <c r="T154" s="69"/>
      <c r="U154" s="350"/>
      <c r="V154" s="69"/>
      <c r="W154" s="350"/>
    </row>
    <row r="155" spans="1:29" ht="17.2" customHeight="1" x14ac:dyDescent="0.35">
      <c r="A155" s="351" t="s">
        <v>2</v>
      </c>
      <c r="B155" s="73"/>
      <c r="C155" s="74"/>
      <c r="D155" s="75"/>
      <c r="E155" s="348"/>
      <c r="F155" s="75"/>
      <c r="G155" s="348"/>
      <c r="H155" s="75"/>
      <c r="I155" s="348"/>
      <c r="J155" s="75"/>
      <c r="K155" s="348"/>
      <c r="L155" s="75"/>
      <c r="M155" s="348"/>
      <c r="N155" s="75"/>
      <c r="O155" s="348"/>
      <c r="P155" s="75"/>
      <c r="Q155" s="348"/>
      <c r="R155" s="75"/>
      <c r="S155" s="348"/>
      <c r="T155" s="75"/>
      <c r="U155" s="348"/>
      <c r="V155" s="75"/>
      <c r="W155" s="348"/>
    </row>
    <row r="156" spans="1:29" ht="17.2" customHeight="1" x14ac:dyDescent="0.35">
      <c r="A156" s="352"/>
      <c r="B156" s="76"/>
      <c r="C156" s="77"/>
      <c r="D156" s="78"/>
      <c r="E156" s="349"/>
      <c r="F156" s="78"/>
      <c r="G156" s="349"/>
      <c r="H156" s="78"/>
      <c r="I156" s="349"/>
      <c r="J156" s="78"/>
      <c r="K156" s="349"/>
      <c r="L156" s="78"/>
      <c r="M156" s="349"/>
      <c r="N156" s="78"/>
      <c r="O156" s="349"/>
      <c r="P156" s="78"/>
      <c r="Q156" s="349"/>
      <c r="R156" s="78"/>
      <c r="S156" s="349"/>
      <c r="T156" s="78"/>
      <c r="U156" s="349"/>
      <c r="V156" s="78"/>
      <c r="W156" s="349"/>
    </row>
    <row r="157" spans="1:29" ht="17.2" customHeight="1" thickBot="1" x14ac:dyDescent="0.4">
      <c r="A157" s="353"/>
      <c r="B157" s="79"/>
      <c r="C157" s="80"/>
      <c r="D157" s="69"/>
      <c r="E157" s="350"/>
      <c r="F157" s="69"/>
      <c r="G157" s="350"/>
      <c r="H157" s="69"/>
      <c r="I157" s="350"/>
      <c r="J157" s="69"/>
      <c r="K157" s="350"/>
      <c r="L157" s="69"/>
      <c r="M157" s="350"/>
      <c r="N157" s="69"/>
      <c r="O157" s="350"/>
      <c r="P157" s="69"/>
      <c r="Q157" s="350"/>
      <c r="R157" s="69"/>
      <c r="S157" s="350"/>
      <c r="T157" s="69"/>
      <c r="U157" s="350"/>
      <c r="V157" s="69"/>
      <c r="W157" s="350"/>
    </row>
    <row r="158" spans="1:29" ht="17.2" customHeight="1" x14ac:dyDescent="0.35">
      <c r="A158" s="351" t="s">
        <v>3</v>
      </c>
      <c r="B158" s="73"/>
      <c r="C158" s="74"/>
      <c r="D158" s="75"/>
      <c r="E158" s="348"/>
      <c r="F158" s="75"/>
      <c r="G158" s="348"/>
      <c r="H158" s="75"/>
      <c r="I158" s="348"/>
      <c r="J158" s="75"/>
      <c r="K158" s="348"/>
      <c r="L158" s="75"/>
      <c r="M158" s="348"/>
      <c r="N158" s="75"/>
      <c r="O158" s="348"/>
      <c r="P158" s="75"/>
      <c r="Q158" s="348"/>
      <c r="R158" s="75"/>
      <c r="S158" s="348"/>
      <c r="T158" s="75"/>
      <c r="U158" s="348"/>
      <c r="V158" s="75"/>
      <c r="W158" s="348"/>
    </row>
    <row r="159" spans="1:29" ht="17.2" customHeight="1" x14ac:dyDescent="0.35">
      <c r="A159" s="352"/>
      <c r="B159" s="76"/>
      <c r="C159" s="77"/>
      <c r="D159" s="78"/>
      <c r="E159" s="349"/>
      <c r="F159" s="78"/>
      <c r="G159" s="349"/>
      <c r="H159" s="78"/>
      <c r="I159" s="349"/>
      <c r="J159" s="78"/>
      <c r="K159" s="349"/>
      <c r="L159" s="78"/>
      <c r="M159" s="349"/>
      <c r="N159" s="78"/>
      <c r="O159" s="349"/>
      <c r="P159" s="78"/>
      <c r="Q159" s="349"/>
      <c r="R159" s="78"/>
      <c r="S159" s="349"/>
      <c r="T159" s="78"/>
      <c r="U159" s="349"/>
      <c r="V159" s="78"/>
      <c r="W159" s="349"/>
    </row>
    <row r="160" spans="1:29" ht="17.2" customHeight="1" thickBot="1" x14ac:dyDescent="0.4">
      <c r="A160" s="353"/>
      <c r="B160" s="79"/>
      <c r="C160" s="80"/>
      <c r="D160" s="69"/>
      <c r="E160" s="350"/>
      <c r="F160" s="69"/>
      <c r="G160" s="350"/>
      <c r="H160" s="69"/>
      <c r="I160" s="350"/>
      <c r="J160" s="69"/>
      <c r="K160" s="350"/>
      <c r="L160" s="69"/>
      <c r="M160" s="350"/>
      <c r="N160" s="69"/>
      <c r="O160" s="350"/>
      <c r="P160" s="69"/>
      <c r="Q160" s="350"/>
      <c r="R160" s="69"/>
      <c r="S160" s="350"/>
      <c r="T160" s="69"/>
      <c r="U160" s="350"/>
      <c r="V160" s="69"/>
      <c r="W160" s="350"/>
    </row>
    <row r="161" spans="1:29" ht="17.2" customHeight="1" x14ac:dyDescent="0.35">
      <c r="A161" s="351" t="s">
        <v>11</v>
      </c>
      <c r="B161" s="73"/>
      <c r="C161" s="74"/>
      <c r="D161" s="75"/>
      <c r="E161" s="348"/>
      <c r="F161" s="75"/>
      <c r="G161" s="348"/>
      <c r="H161" s="75"/>
      <c r="I161" s="348"/>
      <c r="J161" s="75"/>
      <c r="K161" s="348"/>
      <c r="L161" s="75"/>
      <c r="M161" s="348"/>
      <c r="N161" s="75"/>
      <c r="O161" s="348"/>
      <c r="P161" s="75"/>
      <c r="Q161" s="348"/>
      <c r="R161" s="75"/>
      <c r="S161" s="348"/>
      <c r="T161" s="75"/>
      <c r="U161" s="348"/>
      <c r="V161" s="75"/>
      <c r="W161" s="348"/>
    </row>
    <row r="162" spans="1:29" ht="17.2" customHeight="1" x14ac:dyDescent="0.35">
      <c r="A162" s="352"/>
      <c r="B162" s="76"/>
      <c r="C162" s="77"/>
      <c r="D162" s="78"/>
      <c r="E162" s="349"/>
      <c r="F162" s="78"/>
      <c r="G162" s="349"/>
      <c r="H162" s="78"/>
      <c r="I162" s="349"/>
      <c r="J162" s="78"/>
      <c r="K162" s="349"/>
      <c r="L162" s="78"/>
      <c r="M162" s="349"/>
      <c r="N162" s="78"/>
      <c r="O162" s="349"/>
      <c r="P162" s="78"/>
      <c r="Q162" s="349"/>
      <c r="R162" s="78"/>
      <c r="S162" s="349"/>
      <c r="T162" s="78"/>
      <c r="U162" s="349"/>
      <c r="V162" s="78"/>
      <c r="W162" s="349"/>
    </row>
    <row r="163" spans="1:29" ht="17.2" customHeight="1" thickBot="1" x14ac:dyDescent="0.4">
      <c r="A163" s="353"/>
      <c r="B163" s="79"/>
      <c r="C163" s="80"/>
      <c r="D163" s="69"/>
      <c r="E163" s="350"/>
      <c r="F163" s="69"/>
      <c r="G163" s="350"/>
      <c r="H163" s="69"/>
      <c r="I163" s="350"/>
      <c r="J163" s="69"/>
      <c r="K163" s="350"/>
      <c r="L163" s="69"/>
      <c r="M163" s="350"/>
      <c r="N163" s="69"/>
      <c r="O163" s="350"/>
      <c r="P163" s="69"/>
      <c r="Q163" s="350"/>
      <c r="R163" s="69"/>
      <c r="S163" s="350"/>
      <c r="T163" s="69"/>
      <c r="U163" s="350"/>
      <c r="V163" s="69"/>
      <c r="W163" s="350"/>
    </row>
    <row r="164" spans="1:29" ht="27.75" customHeight="1" thickBot="1" x14ac:dyDescent="0.4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4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3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35">
      <c r="B167" s="88" t="s">
        <v>1797</v>
      </c>
      <c r="C167" s="89" t="s">
        <v>1798</v>
      </c>
      <c r="D167" s="370">
        <f>VLOOKUP(B147,Schlüssel!$A$5:$DZ$14,43)</f>
        <v>4</v>
      </c>
      <c r="E167" s="371"/>
      <c r="F167" s="370">
        <f>VLOOKUP(B147,Schlüssel!$A$5:$DZ$14,44)</f>
        <v>7</v>
      </c>
      <c r="G167" s="371"/>
      <c r="H167" s="370">
        <f>VLOOKUP(B147,Schlüssel!$A$5:$DZ$14,45)</f>
        <v>5</v>
      </c>
      <c r="I167" s="371"/>
      <c r="J167" s="370">
        <f>VLOOKUP(B147,Schlüssel!$A$5:$DZ$14,46)</f>
        <v>3</v>
      </c>
      <c r="K167" s="371"/>
      <c r="L167" s="370">
        <f>VLOOKUP(B147,Schlüssel!$A$5:$DZ$14,47)</f>
        <v>1</v>
      </c>
      <c r="M167" s="371"/>
      <c r="N167" s="370">
        <f>VLOOKUP(B147,Schlüssel!$A$5:$DZ$14,48)</f>
        <v>2</v>
      </c>
      <c r="O167" s="371"/>
      <c r="P167" s="370">
        <f>VLOOKUP(B147,Schlüssel!$A$5:$DZ$14,49)</f>
        <v>8</v>
      </c>
      <c r="Q167" s="371"/>
      <c r="R167" s="370">
        <f>VLOOKUP(B147,Schlüssel!$A$5:$DZ$14,50)</f>
        <v>10</v>
      </c>
      <c r="S167" s="371"/>
      <c r="T167" s="370">
        <f>VLOOKUP(B147,Schlüssel!$A$5:$DZ$14,51)</f>
        <v>9</v>
      </c>
      <c r="U167" s="371"/>
      <c r="V167" s="347"/>
      <c r="W167" s="347"/>
    </row>
    <row r="168" spans="1:29" ht="28.5" customHeight="1" x14ac:dyDescent="0.35">
      <c r="B168" s="90"/>
      <c r="C168" s="86"/>
      <c r="D168" s="343" t="str">
        <f>VLOOKUP(D167,Schlüssel!$A$5:$K$14,2)</f>
        <v>BK München 3</v>
      </c>
      <c r="E168" s="344"/>
      <c r="F168" s="343" t="str">
        <f>VLOOKUP(F167,Schlüssel!$A$5:$K$14,2)</f>
        <v>Frankenpower Nürnberg</v>
      </c>
      <c r="G168" s="344"/>
      <c r="H168" s="343" t="str">
        <f>VLOOKUP(H167,Schlüssel!$A$5:$K$14,2)</f>
        <v xml:space="preserve">Weiß Blau Unterföhring </v>
      </c>
      <c r="I168" s="344"/>
      <c r="J168" s="343" t="str">
        <f>VLOOKUP(J167,Schlüssel!$A$5:$K$14,2)</f>
        <v>Highroller Rosenheim</v>
      </c>
      <c r="K168" s="344"/>
      <c r="L168" s="343" t="str">
        <f>VLOOKUP(L167,Schlüssel!$A$5:$K$14,2)</f>
        <v>Praetoria Regensburg</v>
      </c>
      <c r="M168" s="344"/>
      <c r="N168" s="343" t="str">
        <f>VLOOKUP(N167,Schlüssel!$A$5:$K$14,2)</f>
        <v>BK München 2</v>
      </c>
      <c r="O168" s="344"/>
      <c r="P168" s="343" t="str">
        <f>VLOOKUP(P167,Schlüssel!$A$5:$K$14,2)</f>
        <v>EPA München 1</v>
      </c>
      <c r="Q168" s="344"/>
      <c r="R168" s="343" t="str">
        <f>VLOOKUP(R167,Schlüssel!$A$5:$K$14,2)</f>
        <v>BK München 4</v>
      </c>
      <c r="S168" s="344"/>
      <c r="T168" s="343" t="str">
        <f>VLOOKUP(T167,Schlüssel!$A$5:$K$14,2)</f>
        <v>RW Lichtenhof 69 Stein 2</v>
      </c>
      <c r="U168" s="344"/>
      <c r="V168" s="345"/>
      <c r="W168" s="345"/>
    </row>
    <row r="169" spans="1:29" ht="12" customHeight="1" x14ac:dyDescent="0.35">
      <c r="B169" s="90"/>
      <c r="C169" s="86"/>
      <c r="D169" s="341"/>
      <c r="E169" s="341"/>
      <c r="F169" s="341"/>
      <c r="G169" s="341"/>
      <c r="H169" s="341"/>
      <c r="I169" s="341"/>
      <c r="J169" s="341"/>
      <c r="K169" s="341"/>
      <c r="L169" s="341"/>
      <c r="M169" s="341"/>
      <c r="N169" s="341"/>
      <c r="O169" s="341"/>
      <c r="P169" s="341"/>
      <c r="Q169" s="341"/>
      <c r="R169" s="341"/>
      <c r="S169" s="341"/>
      <c r="T169" s="341"/>
      <c r="U169" s="342"/>
      <c r="V169" s="301"/>
      <c r="W169" s="301"/>
    </row>
    <row r="170" spans="1:29" ht="16.05" customHeight="1" x14ac:dyDescent="0.35">
      <c r="B170" s="91" t="s">
        <v>0</v>
      </c>
      <c r="C170" s="92"/>
      <c r="D170" s="339"/>
      <c r="E170" s="339"/>
      <c r="F170" s="339"/>
      <c r="G170" s="339"/>
      <c r="H170" s="339"/>
      <c r="I170" s="339"/>
      <c r="J170" s="339"/>
      <c r="K170" s="339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40"/>
      <c r="W170" s="340"/>
    </row>
    <row r="171" spans="1:29" ht="16.05" customHeight="1" x14ac:dyDescent="0.35">
      <c r="B171" s="91" t="s">
        <v>2</v>
      </c>
      <c r="C171" s="92"/>
      <c r="D171" s="339"/>
      <c r="E171" s="339"/>
      <c r="F171" s="339"/>
      <c r="G171" s="339"/>
      <c r="H171" s="339"/>
      <c r="I171" s="339"/>
      <c r="J171" s="339"/>
      <c r="K171" s="33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40"/>
      <c r="W171" s="340"/>
    </row>
    <row r="172" spans="1:29" ht="16.05" customHeight="1" x14ac:dyDescent="0.35">
      <c r="B172" s="91" t="s">
        <v>3</v>
      </c>
      <c r="C172" s="92"/>
      <c r="D172" s="339"/>
      <c r="E172" s="339"/>
      <c r="F172" s="339"/>
      <c r="G172" s="339"/>
      <c r="H172" s="339"/>
      <c r="I172" s="339"/>
      <c r="J172" s="339"/>
      <c r="K172" s="339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40"/>
      <c r="W172" s="340"/>
    </row>
    <row r="173" spans="1:29" ht="16.05" customHeight="1" x14ac:dyDescent="0.35">
      <c r="B173" s="91" t="s">
        <v>11</v>
      </c>
      <c r="C173" s="92"/>
      <c r="D173" s="339"/>
      <c r="E173" s="339"/>
      <c r="F173" s="339"/>
      <c r="G173" s="339"/>
      <c r="H173" s="339"/>
      <c r="I173" s="339"/>
      <c r="J173" s="339"/>
      <c r="K173" s="339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40"/>
      <c r="W173" s="340"/>
    </row>
    <row r="174" spans="1:29" ht="16.05" customHeight="1" x14ac:dyDescent="0.35">
      <c r="B174" s="93" t="s">
        <v>1799</v>
      </c>
      <c r="C174" s="94"/>
      <c r="D174" s="338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290"/>
      <c r="W174" s="290"/>
    </row>
    <row r="175" spans="1:29" ht="21" customHeight="1" x14ac:dyDescent="0.7">
      <c r="B175" s="44" t="s">
        <v>1813</v>
      </c>
      <c r="C175" s="45"/>
      <c r="D175" s="46" t="s">
        <v>1792</v>
      </c>
      <c r="E175" s="47"/>
      <c r="F175" s="359" t="str">
        <f>Schlüssel!$C$1</f>
        <v>Bayernliga Frauen</v>
      </c>
      <c r="G175" s="359"/>
      <c r="H175" s="359"/>
      <c r="I175" s="359"/>
      <c r="J175" s="359"/>
      <c r="K175" s="359"/>
      <c r="L175" s="359"/>
      <c r="M175" s="359"/>
      <c r="N175" s="359"/>
      <c r="O175" s="359"/>
      <c r="P175" s="45"/>
      <c r="Q175" s="45"/>
      <c r="R175" s="48"/>
      <c r="S175" s="49" t="s">
        <v>1794</v>
      </c>
      <c r="T175" s="50"/>
      <c r="U175" s="360" t="str">
        <f>Schlüssel!$BA$1</f>
        <v>01.02./02.02.</v>
      </c>
      <c r="V175" s="361"/>
      <c r="W175" s="362"/>
      <c r="AC175" s="51"/>
    </row>
    <row r="176" spans="1:29" ht="17.25" customHeight="1" thickBot="1" x14ac:dyDescent="0.65">
      <c r="A176" s="52"/>
      <c r="B176" s="96">
        <f>+B147+1</f>
        <v>7</v>
      </c>
      <c r="D176" s="46" t="s">
        <v>1793</v>
      </c>
      <c r="E176" s="54"/>
      <c r="F176" s="358" t="str">
        <f>Schlüssel!$AQ$2</f>
        <v>Unterföhring Dreambowl Palace</v>
      </c>
      <c r="G176" s="358"/>
      <c r="H176" s="358"/>
      <c r="I176" s="358"/>
      <c r="J176" s="358"/>
      <c r="K176" s="358"/>
      <c r="L176" s="358"/>
      <c r="M176" s="358"/>
      <c r="N176" s="358"/>
      <c r="O176" s="358"/>
      <c r="P176" s="55"/>
      <c r="Q176" s="55"/>
      <c r="S176" s="49" t="s">
        <v>1791</v>
      </c>
      <c r="T176" s="56">
        <v>3</v>
      </c>
      <c r="U176" s="50"/>
      <c r="V176" s="50"/>
      <c r="AC176" s="97"/>
    </row>
    <row r="177" spans="1:23" ht="15.75" customHeight="1" thickBot="1" x14ac:dyDescent="0.4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5" thickBot="1" x14ac:dyDescent="0.45">
      <c r="A178" s="2"/>
      <c r="B178" s="44"/>
      <c r="C178" s="63"/>
      <c r="D178" s="64" t="s">
        <v>10</v>
      </c>
      <c r="E178" s="44">
        <f>VLOOKUP(B176,Schlüssel!$A$5:$DZ$14,53)</f>
        <v>3</v>
      </c>
      <c r="F178" s="65" t="s">
        <v>10</v>
      </c>
      <c r="G178" s="44">
        <f>VLOOKUP(B176,Schlüssel!$A$5:$DZ$14,54)</f>
        <v>1</v>
      </c>
      <c r="H178" s="65" t="s">
        <v>10</v>
      </c>
      <c r="I178" s="44">
        <f>VLOOKUP(B176,Schlüssel!$A$5:$DZ$14,55)</f>
        <v>10</v>
      </c>
      <c r="J178" s="65" t="s">
        <v>10</v>
      </c>
      <c r="K178" s="44">
        <f>VLOOKUP(B176,Schlüssel!$A$5:$DZ$14,56)</f>
        <v>8</v>
      </c>
      <c r="L178" s="65" t="s">
        <v>10</v>
      </c>
      <c r="M178" s="44">
        <f>VLOOKUP(B176,Schlüssel!$A$5:$DZ$14,57)</f>
        <v>5</v>
      </c>
      <c r="N178" s="65" t="s">
        <v>10</v>
      </c>
      <c r="O178" s="44">
        <f>VLOOKUP(B176,Schlüssel!$A$5:$DZ$14,58)</f>
        <v>2</v>
      </c>
      <c r="P178" s="65" t="s">
        <v>10</v>
      </c>
      <c r="Q178" s="44">
        <f>VLOOKUP(B176,Schlüssel!$A$5:$DZ$14,59)</f>
        <v>9</v>
      </c>
      <c r="R178" s="65" t="s">
        <v>10</v>
      </c>
      <c r="S178" s="44">
        <f>VLOOKUP(B176,Schlüssel!$A$5:$DZ$14,60)</f>
        <v>4</v>
      </c>
      <c r="T178" s="65" t="s">
        <v>10</v>
      </c>
      <c r="U178" s="66">
        <f>VLOOKUP(B176,Schlüssel!$A$5:$DZ$14,61)</f>
        <v>6</v>
      </c>
    </row>
    <row r="179" spans="1:23" ht="20.25" customHeight="1" x14ac:dyDescent="0.35">
      <c r="B179" s="67" t="s">
        <v>1</v>
      </c>
      <c r="C179" s="68"/>
      <c r="D179" s="354" t="s">
        <v>1800</v>
      </c>
      <c r="E179" s="355"/>
      <c r="F179" s="354" t="s">
        <v>1801</v>
      </c>
      <c r="G179" s="355"/>
      <c r="H179" s="354" t="s">
        <v>1802</v>
      </c>
      <c r="I179" s="355"/>
      <c r="J179" s="354" t="s">
        <v>1803</v>
      </c>
      <c r="K179" s="355"/>
      <c r="L179" s="354" t="s">
        <v>1804</v>
      </c>
      <c r="M179" s="355"/>
      <c r="N179" s="354" t="s">
        <v>1805</v>
      </c>
      <c r="O179" s="355"/>
      <c r="P179" s="354" t="s">
        <v>1806</v>
      </c>
      <c r="Q179" s="355"/>
      <c r="R179" s="354" t="s">
        <v>1807</v>
      </c>
      <c r="S179" s="355"/>
      <c r="T179" s="354" t="s">
        <v>1808</v>
      </c>
      <c r="U179" s="355"/>
      <c r="V179" s="356" t="s">
        <v>1799</v>
      </c>
      <c r="W179" s="357"/>
    </row>
    <row r="180" spans="1:23" ht="15" customHeight="1" thickBot="1" x14ac:dyDescent="0.4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2" customHeight="1" x14ac:dyDescent="0.35">
      <c r="A181" s="351" t="s">
        <v>0</v>
      </c>
      <c r="B181" s="73"/>
      <c r="C181" s="74"/>
      <c r="D181" s="75"/>
      <c r="E181" s="348"/>
      <c r="F181" s="75"/>
      <c r="G181" s="348"/>
      <c r="H181" s="75"/>
      <c r="I181" s="348"/>
      <c r="J181" s="75"/>
      <c r="K181" s="348"/>
      <c r="L181" s="75"/>
      <c r="M181" s="348"/>
      <c r="N181" s="75"/>
      <c r="O181" s="348"/>
      <c r="P181" s="75"/>
      <c r="Q181" s="348"/>
      <c r="R181" s="75"/>
      <c r="S181" s="348"/>
      <c r="T181" s="75"/>
      <c r="U181" s="348"/>
      <c r="V181" s="75"/>
      <c r="W181" s="348"/>
    </row>
    <row r="182" spans="1:23" ht="17.2" customHeight="1" x14ac:dyDescent="0.35">
      <c r="A182" s="352"/>
      <c r="B182" s="76"/>
      <c r="C182" s="77"/>
      <c r="D182" s="78"/>
      <c r="E182" s="349"/>
      <c r="F182" s="78"/>
      <c r="G182" s="349"/>
      <c r="H182" s="78"/>
      <c r="I182" s="349"/>
      <c r="J182" s="78"/>
      <c r="K182" s="349"/>
      <c r="L182" s="78"/>
      <c r="M182" s="349"/>
      <c r="N182" s="78"/>
      <c r="O182" s="349"/>
      <c r="P182" s="78"/>
      <c r="Q182" s="349"/>
      <c r="R182" s="78"/>
      <c r="S182" s="349"/>
      <c r="T182" s="78"/>
      <c r="U182" s="349"/>
      <c r="V182" s="78"/>
      <c r="W182" s="349"/>
    </row>
    <row r="183" spans="1:23" ht="17.2" customHeight="1" thickBot="1" x14ac:dyDescent="0.4">
      <c r="A183" s="353"/>
      <c r="B183" s="79"/>
      <c r="C183" s="80"/>
      <c r="D183" s="69"/>
      <c r="E183" s="350"/>
      <c r="F183" s="69"/>
      <c r="G183" s="350"/>
      <c r="H183" s="69"/>
      <c r="I183" s="350"/>
      <c r="J183" s="69"/>
      <c r="K183" s="350"/>
      <c r="L183" s="69"/>
      <c r="M183" s="350"/>
      <c r="N183" s="69"/>
      <c r="O183" s="350"/>
      <c r="P183" s="69"/>
      <c r="Q183" s="350"/>
      <c r="R183" s="69"/>
      <c r="S183" s="350"/>
      <c r="T183" s="69"/>
      <c r="U183" s="350"/>
      <c r="V183" s="69"/>
      <c r="W183" s="350"/>
    </row>
    <row r="184" spans="1:23" ht="17.2" customHeight="1" x14ac:dyDescent="0.35">
      <c r="A184" s="351" t="s">
        <v>2</v>
      </c>
      <c r="B184" s="73"/>
      <c r="C184" s="74"/>
      <c r="D184" s="75"/>
      <c r="E184" s="348"/>
      <c r="F184" s="75"/>
      <c r="G184" s="348"/>
      <c r="H184" s="75"/>
      <c r="I184" s="348"/>
      <c r="J184" s="75"/>
      <c r="K184" s="348"/>
      <c r="L184" s="75"/>
      <c r="M184" s="348"/>
      <c r="N184" s="75"/>
      <c r="O184" s="348"/>
      <c r="P184" s="75"/>
      <c r="Q184" s="348"/>
      <c r="R184" s="75"/>
      <c r="S184" s="348"/>
      <c r="T184" s="75"/>
      <c r="U184" s="348"/>
      <c r="V184" s="75"/>
      <c r="W184" s="348"/>
    </row>
    <row r="185" spans="1:23" ht="17.2" customHeight="1" x14ac:dyDescent="0.35">
      <c r="A185" s="352"/>
      <c r="B185" s="76"/>
      <c r="C185" s="77"/>
      <c r="D185" s="78"/>
      <c r="E185" s="349"/>
      <c r="F185" s="78"/>
      <c r="G185" s="349"/>
      <c r="H185" s="78"/>
      <c r="I185" s="349"/>
      <c r="J185" s="78"/>
      <c r="K185" s="349"/>
      <c r="L185" s="78"/>
      <c r="M185" s="349"/>
      <c r="N185" s="78"/>
      <c r="O185" s="349"/>
      <c r="P185" s="78"/>
      <c r="Q185" s="349"/>
      <c r="R185" s="78"/>
      <c r="S185" s="349"/>
      <c r="T185" s="78"/>
      <c r="U185" s="349"/>
      <c r="V185" s="78"/>
      <c r="W185" s="349"/>
    </row>
    <row r="186" spans="1:23" ht="17.2" customHeight="1" thickBot="1" x14ac:dyDescent="0.4">
      <c r="A186" s="353"/>
      <c r="B186" s="79"/>
      <c r="C186" s="80"/>
      <c r="D186" s="69"/>
      <c r="E186" s="350"/>
      <c r="F186" s="69"/>
      <c r="G186" s="350"/>
      <c r="H186" s="69"/>
      <c r="I186" s="350"/>
      <c r="J186" s="69"/>
      <c r="K186" s="350"/>
      <c r="L186" s="69"/>
      <c r="M186" s="350"/>
      <c r="N186" s="69"/>
      <c r="O186" s="350"/>
      <c r="P186" s="69"/>
      <c r="Q186" s="350"/>
      <c r="R186" s="69"/>
      <c r="S186" s="350"/>
      <c r="T186" s="69"/>
      <c r="U186" s="350"/>
      <c r="V186" s="69"/>
      <c r="W186" s="350"/>
    </row>
    <row r="187" spans="1:23" ht="17.2" customHeight="1" x14ac:dyDescent="0.35">
      <c r="A187" s="351" t="s">
        <v>3</v>
      </c>
      <c r="B187" s="73"/>
      <c r="C187" s="74"/>
      <c r="D187" s="75"/>
      <c r="E187" s="348"/>
      <c r="F187" s="75"/>
      <c r="G187" s="348"/>
      <c r="H187" s="75"/>
      <c r="I187" s="348"/>
      <c r="J187" s="75"/>
      <c r="K187" s="348"/>
      <c r="L187" s="75"/>
      <c r="M187" s="348"/>
      <c r="N187" s="75"/>
      <c r="O187" s="348"/>
      <c r="P187" s="75"/>
      <c r="Q187" s="348"/>
      <c r="R187" s="75"/>
      <c r="S187" s="348"/>
      <c r="T187" s="75"/>
      <c r="U187" s="348"/>
      <c r="V187" s="75"/>
      <c r="W187" s="348"/>
    </row>
    <row r="188" spans="1:23" ht="17.2" customHeight="1" x14ac:dyDescent="0.35">
      <c r="A188" s="352"/>
      <c r="B188" s="76"/>
      <c r="C188" s="77"/>
      <c r="D188" s="78"/>
      <c r="E188" s="349"/>
      <c r="F188" s="78"/>
      <c r="G188" s="349"/>
      <c r="H188" s="78"/>
      <c r="I188" s="349"/>
      <c r="J188" s="78"/>
      <c r="K188" s="349"/>
      <c r="L188" s="78"/>
      <c r="M188" s="349"/>
      <c r="N188" s="78"/>
      <c r="O188" s="349"/>
      <c r="P188" s="78"/>
      <c r="Q188" s="349"/>
      <c r="R188" s="78"/>
      <c r="S188" s="349"/>
      <c r="T188" s="78"/>
      <c r="U188" s="349"/>
      <c r="V188" s="78"/>
      <c r="W188" s="349"/>
    </row>
    <row r="189" spans="1:23" ht="17.2" customHeight="1" thickBot="1" x14ac:dyDescent="0.4">
      <c r="A189" s="353"/>
      <c r="B189" s="79"/>
      <c r="C189" s="80"/>
      <c r="D189" s="69"/>
      <c r="E189" s="350"/>
      <c r="F189" s="69"/>
      <c r="G189" s="350"/>
      <c r="H189" s="69"/>
      <c r="I189" s="350"/>
      <c r="J189" s="69"/>
      <c r="K189" s="350"/>
      <c r="L189" s="69"/>
      <c r="M189" s="350"/>
      <c r="N189" s="69"/>
      <c r="O189" s="350"/>
      <c r="P189" s="69"/>
      <c r="Q189" s="350"/>
      <c r="R189" s="69"/>
      <c r="S189" s="350"/>
      <c r="T189" s="69"/>
      <c r="U189" s="350"/>
      <c r="V189" s="69"/>
      <c r="W189" s="350"/>
    </row>
    <row r="190" spans="1:23" ht="17.2" customHeight="1" x14ac:dyDescent="0.35">
      <c r="A190" s="351" t="s">
        <v>11</v>
      </c>
      <c r="B190" s="73"/>
      <c r="C190" s="74"/>
      <c r="D190" s="75"/>
      <c r="E190" s="348"/>
      <c r="F190" s="75"/>
      <c r="G190" s="348"/>
      <c r="H190" s="75"/>
      <c r="I190" s="348"/>
      <c r="J190" s="75"/>
      <c r="K190" s="348"/>
      <c r="L190" s="75"/>
      <c r="M190" s="348"/>
      <c r="N190" s="75"/>
      <c r="O190" s="348"/>
      <c r="P190" s="75"/>
      <c r="Q190" s="348"/>
      <c r="R190" s="75"/>
      <c r="S190" s="348"/>
      <c r="T190" s="75"/>
      <c r="U190" s="348"/>
      <c r="V190" s="75"/>
      <c r="W190" s="348"/>
    </row>
    <row r="191" spans="1:23" ht="17.2" customHeight="1" x14ac:dyDescent="0.35">
      <c r="A191" s="352"/>
      <c r="B191" s="76"/>
      <c r="C191" s="77"/>
      <c r="D191" s="78"/>
      <c r="E191" s="349"/>
      <c r="F191" s="78"/>
      <c r="G191" s="349"/>
      <c r="H191" s="78"/>
      <c r="I191" s="349"/>
      <c r="J191" s="78"/>
      <c r="K191" s="349"/>
      <c r="L191" s="78"/>
      <c r="M191" s="349"/>
      <c r="N191" s="78"/>
      <c r="O191" s="349"/>
      <c r="P191" s="78"/>
      <c r="Q191" s="349"/>
      <c r="R191" s="78"/>
      <c r="S191" s="349"/>
      <c r="T191" s="78"/>
      <c r="U191" s="349"/>
      <c r="V191" s="78"/>
      <c r="W191" s="349"/>
    </row>
    <row r="192" spans="1:23" ht="17.2" customHeight="1" thickBot="1" x14ac:dyDescent="0.4">
      <c r="A192" s="353"/>
      <c r="B192" s="79"/>
      <c r="C192" s="80"/>
      <c r="D192" s="69"/>
      <c r="E192" s="350"/>
      <c r="F192" s="69"/>
      <c r="G192" s="350"/>
      <c r="H192" s="69"/>
      <c r="I192" s="350"/>
      <c r="J192" s="69"/>
      <c r="K192" s="350"/>
      <c r="L192" s="69"/>
      <c r="M192" s="350"/>
      <c r="N192" s="69"/>
      <c r="O192" s="350"/>
      <c r="P192" s="69"/>
      <c r="Q192" s="350"/>
      <c r="R192" s="69"/>
      <c r="S192" s="350"/>
      <c r="T192" s="69"/>
      <c r="U192" s="350"/>
      <c r="V192" s="69"/>
      <c r="W192" s="350"/>
    </row>
    <row r="193" spans="1:29" ht="27.75" customHeight="1" thickBot="1" x14ac:dyDescent="0.4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4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3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35">
      <c r="B196" s="88" t="s">
        <v>1797</v>
      </c>
      <c r="C196" s="89" t="s">
        <v>1798</v>
      </c>
      <c r="D196" s="370">
        <f>VLOOKUP(B176,Schlüssel!$A$5:$DZ$14,43)</f>
        <v>9</v>
      </c>
      <c r="E196" s="371"/>
      <c r="F196" s="370">
        <f>VLOOKUP(B176,Schlüssel!$A$5:$DZ$14,44)</f>
        <v>6</v>
      </c>
      <c r="G196" s="371"/>
      <c r="H196" s="370">
        <f>VLOOKUP(B176,Schlüssel!$A$5:$DZ$14,45)</f>
        <v>10</v>
      </c>
      <c r="I196" s="371"/>
      <c r="J196" s="370">
        <f>VLOOKUP(B176,Schlüssel!$A$5:$DZ$14,46)</f>
        <v>4</v>
      </c>
      <c r="K196" s="371"/>
      <c r="L196" s="370">
        <f>VLOOKUP(B176,Schlüssel!$A$5:$DZ$14,47)</f>
        <v>2</v>
      </c>
      <c r="M196" s="371"/>
      <c r="N196" s="370">
        <f>VLOOKUP(B176,Schlüssel!$A$5:$DZ$14,48)</f>
        <v>3</v>
      </c>
      <c r="O196" s="371"/>
      <c r="P196" s="370">
        <f>VLOOKUP(B176,Schlüssel!$A$5:$DZ$14,49)</f>
        <v>1</v>
      </c>
      <c r="Q196" s="371"/>
      <c r="R196" s="370">
        <f>VLOOKUP(B176,Schlüssel!$A$5:$DZ$14,50)</f>
        <v>8</v>
      </c>
      <c r="S196" s="371"/>
      <c r="T196" s="370">
        <f>VLOOKUP(B176,Schlüssel!$A$5:$DZ$14,51)</f>
        <v>5</v>
      </c>
      <c r="U196" s="371"/>
      <c r="V196" s="347"/>
      <c r="W196" s="347"/>
    </row>
    <row r="197" spans="1:29" ht="28.5" customHeight="1" x14ac:dyDescent="0.35">
      <c r="B197" s="90"/>
      <c r="C197" s="86"/>
      <c r="D197" s="343" t="str">
        <f>VLOOKUP(D196,Schlüssel!$A$5:$K$14,2)</f>
        <v>RW Lichtenhof 69 Stein 2</v>
      </c>
      <c r="E197" s="344"/>
      <c r="F197" s="343" t="str">
        <f>VLOOKUP(F196,Schlüssel!$A$5:$K$14,2)</f>
        <v>Phönix 03 Lauf</v>
      </c>
      <c r="G197" s="344"/>
      <c r="H197" s="343" t="str">
        <f>VLOOKUP(H196,Schlüssel!$A$5:$K$14,2)</f>
        <v>BK München 4</v>
      </c>
      <c r="I197" s="344"/>
      <c r="J197" s="343" t="str">
        <f>VLOOKUP(J196,Schlüssel!$A$5:$K$14,2)</f>
        <v>BK München 3</v>
      </c>
      <c r="K197" s="344"/>
      <c r="L197" s="343" t="str">
        <f>VLOOKUP(L196,Schlüssel!$A$5:$K$14,2)</f>
        <v>BK München 2</v>
      </c>
      <c r="M197" s="344"/>
      <c r="N197" s="343" t="str">
        <f>VLOOKUP(N196,Schlüssel!$A$5:$K$14,2)</f>
        <v>Highroller Rosenheim</v>
      </c>
      <c r="O197" s="344"/>
      <c r="P197" s="343" t="str">
        <f>VLOOKUP(P196,Schlüssel!$A$5:$K$14,2)</f>
        <v>Praetoria Regensburg</v>
      </c>
      <c r="Q197" s="344"/>
      <c r="R197" s="343" t="str">
        <f>VLOOKUP(R196,Schlüssel!$A$5:$K$14,2)</f>
        <v>EPA München 1</v>
      </c>
      <c r="S197" s="344"/>
      <c r="T197" s="343" t="str">
        <f>VLOOKUP(T196,Schlüssel!$A$5:$K$14,2)</f>
        <v xml:space="preserve">Weiß Blau Unterföhring </v>
      </c>
      <c r="U197" s="344"/>
      <c r="V197" s="345"/>
      <c r="W197" s="345"/>
    </row>
    <row r="198" spans="1:29" ht="12" customHeight="1" x14ac:dyDescent="0.35">
      <c r="B198" s="90"/>
      <c r="C198" s="86"/>
      <c r="D198" s="341"/>
      <c r="E198" s="341"/>
      <c r="F198" s="341"/>
      <c r="G198" s="341"/>
      <c r="H198" s="341"/>
      <c r="I198" s="341"/>
      <c r="J198" s="341"/>
      <c r="K198" s="341"/>
      <c r="L198" s="341"/>
      <c r="M198" s="341"/>
      <c r="N198" s="341"/>
      <c r="O198" s="341"/>
      <c r="P198" s="341"/>
      <c r="Q198" s="341"/>
      <c r="R198" s="341"/>
      <c r="S198" s="341"/>
      <c r="T198" s="341"/>
      <c r="U198" s="342"/>
      <c r="V198" s="301"/>
      <c r="W198" s="301"/>
    </row>
    <row r="199" spans="1:29" ht="16.05" customHeight="1" x14ac:dyDescent="0.35">
      <c r="B199" s="91" t="s">
        <v>0</v>
      </c>
      <c r="C199" s="92"/>
      <c r="D199" s="339"/>
      <c r="E199" s="339"/>
      <c r="F199" s="339"/>
      <c r="G199" s="339"/>
      <c r="H199" s="339"/>
      <c r="I199" s="339"/>
      <c r="J199" s="339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40"/>
      <c r="W199" s="340"/>
    </row>
    <row r="200" spans="1:29" ht="16.05" customHeight="1" x14ac:dyDescent="0.35">
      <c r="B200" s="91" t="s">
        <v>2</v>
      </c>
      <c r="C200" s="92"/>
      <c r="D200" s="339"/>
      <c r="E200" s="339"/>
      <c r="F200" s="339"/>
      <c r="G200" s="339"/>
      <c r="H200" s="339"/>
      <c r="I200" s="339"/>
      <c r="J200" s="339"/>
      <c r="K200" s="33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40"/>
      <c r="W200" s="340"/>
    </row>
    <row r="201" spans="1:29" ht="16.05" customHeight="1" x14ac:dyDescent="0.35">
      <c r="B201" s="91" t="s">
        <v>3</v>
      </c>
      <c r="C201" s="92"/>
      <c r="D201" s="339"/>
      <c r="E201" s="339"/>
      <c r="F201" s="339"/>
      <c r="G201" s="339"/>
      <c r="H201" s="339"/>
      <c r="I201" s="339"/>
      <c r="J201" s="339"/>
      <c r="K201" s="339"/>
      <c r="L201" s="339"/>
      <c r="M201" s="339"/>
      <c r="N201" s="339"/>
      <c r="O201" s="339"/>
      <c r="P201" s="339"/>
      <c r="Q201" s="339"/>
      <c r="R201" s="339"/>
      <c r="S201" s="339"/>
      <c r="T201" s="339"/>
      <c r="U201" s="339"/>
      <c r="V201" s="340"/>
      <c r="W201" s="340"/>
    </row>
    <row r="202" spans="1:29" ht="16.05" customHeight="1" x14ac:dyDescent="0.35">
      <c r="B202" s="91" t="s">
        <v>11</v>
      </c>
      <c r="C202" s="92"/>
      <c r="D202" s="339"/>
      <c r="E202" s="339"/>
      <c r="F202" s="339"/>
      <c r="G202" s="339"/>
      <c r="H202" s="339"/>
      <c r="I202" s="339"/>
      <c r="J202" s="339"/>
      <c r="K202" s="339"/>
      <c r="L202" s="339"/>
      <c r="M202" s="339"/>
      <c r="N202" s="339"/>
      <c r="O202" s="339"/>
      <c r="P202" s="339"/>
      <c r="Q202" s="339"/>
      <c r="R202" s="339"/>
      <c r="S202" s="339"/>
      <c r="T202" s="339"/>
      <c r="U202" s="339"/>
      <c r="V202" s="340"/>
      <c r="W202" s="340"/>
    </row>
    <row r="203" spans="1:29" ht="16.05" customHeight="1" x14ac:dyDescent="0.35">
      <c r="B203" s="93" t="s">
        <v>1799</v>
      </c>
      <c r="C203" s="94"/>
      <c r="D203" s="338"/>
      <c r="E203" s="338"/>
      <c r="F203" s="338"/>
      <c r="G203" s="338"/>
      <c r="H203" s="338"/>
      <c r="I203" s="338"/>
      <c r="J203" s="338"/>
      <c r="K203" s="338"/>
      <c r="L203" s="338"/>
      <c r="M203" s="338"/>
      <c r="N203" s="338"/>
      <c r="O203" s="338"/>
      <c r="P203" s="338"/>
      <c r="Q203" s="338"/>
      <c r="R203" s="338"/>
      <c r="S203" s="338"/>
      <c r="T203" s="338"/>
      <c r="U203" s="338"/>
      <c r="V203" s="290"/>
      <c r="W203" s="290"/>
    </row>
    <row r="204" spans="1:29" ht="21" customHeight="1" x14ac:dyDescent="0.7">
      <c r="B204" s="44" t="s">
        <v>1813</v>
      </c>
      <c r="C204" s="45"/>
      <c r="D204" s="46" t="s">
        <v>1792</v>
      </c>
      <c r="E204" s="47"/>
      <c r="F204" s="359" t="str">
        <f>Schlüssel!$C$1</f>
        <v>Bayernliga Frauen</v>
      </c>
      <c r="G204" s="359"/>
      <c r="H204" s="359"/>
      <c r="I204" s="359"/>
      <c r="J204" s="359"/>
      <c r="K204" s="359"/>
      <c r="L204" s="359"/>
      <c r="M204" s="359"/>
      <c r="N204" s="359"/>
      <c r="O204" s="359"/>
      <c r="P204" s="45"/>
      <c r="Q204" s="45"/>
      <c r="R204" s="48"/>
      <c r="S204" s="49" t="s">
        <v>1794</v>
      </c>
      <c r="T204" s="50"/>
      <c r="U204" s="360" t="str">
        <f>Schlüssel!$BA$1</f>
        <v>01.02./02.02.</v>
      </c>
      <c r="V204" s="361"/>
      <c r="W204" s="362"/>
      <c r="AC204" s="51"/>
    </row>
    <row r="205" spans="1:29" ht="17.25" customHeight="1" thickBot="1" x14ac:dyDescent="0.65">
      <c r="A205" s="52"/>
      <c r="B205" s="96">
        <f>+B176+1</f>
        <v>8</v>
      </c>
      <c r="D205" s="46" t="s">
        <v>1793</v>
      </c>
      <c r="E205" s="54"/>
      <c r="F205" s="358" t="str">
        <f>Schlüssel!$AQ$2</f>
        <v>Unterföhring Dreambowl Palace</v>
      </c>
      <c r="G205" s="358"/>
      <c r="H205" s="358"/>
      <c r="I205" s="358"/>
      <c r="J205" s="358"/>
      <c r="K205" s="358"/>
      <c r="L205" s="358"/>
      <c r="M205" s="358"/>
      <c r="N205" s="358"/>
      <c r="O205" s="358"/>
      <c r="P205" s="55"/>
      <c r="Q205" s="55"/>
      <c r="S205" s="49" t="s">
        <v>1791</v>
      </c>
      <c r="T205" s="56">
        <v>3</v>
      </c>
      <c r="U205" s="50"/>
      <c r="V205" s="50"/>
      <c r="AC205" s="97"/>
    </row>
    <row r="206" spans="1:29" ht="15.75" customHeight="1" thickBot="1" x14ac:dyDescent="0.4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5" thickBot="1" x14ac:dyDescent="0.45">
      <c r="A207" s="2"/>
      <c r="B207" s="44"/>
      <c r="C207" s="63"/>
      <c r="D207" s="64" t="s">
        <v>10</v>
      </c>
      <c r="E207" s="44">
        <f>VLOOKUP(B205,Schlüssel!$A$5:$DZ$14,53)</f>
        <v>9</v>
      </c>
      <c r="F207" s="65" t="s">
        <v>10</v>
      </c>
      <c r="G207" s="44">
        <f>VLOOKUP(B205,Schlüssel!$A$5:$DZ$14,54)</f>
        <v>7</v>
      </c>
      <c r="H207" s="65" t="s">
        <v>10</v>
      </c>
      <c r="I207" s="44">
        <f>VLOOKUP(B205,Schlüssel!$A$5:$DZ$14,55)</f>
        <v>6</v>
      </c>
      <c r="J207" s="65" t="s">
        <v>10</v>
      </c>
      <c r="K207" s="44">
        <f>VLOOKUP(B205,Schlüssel!$A$5:$DZ$14,56)</f>
        <v>4</v>
      </c>
      <c r="L207" s="65" t="s">
        <v>10</v>
      </c>
      <c r="M207" s="44">
        <f>VLOOKUP(B205,Schlüssel!$A$5:$DZ$14,57)</f>
        <v>10</v>
      </c>
      <c r="N207" s="65" t="s">
        <v>10</v>
      </c>
      <c r="O207" s="44">
        <f>VLOOKUP(B205,Schlüssel!$A$5:$DZ$14,58)</f>
        <v>5</v>
      </c>
      <c r="P207" s="65" t="s">
        <v>10</v>
      </c>
      <c r="Q207" s="44">
        <f>VLOOKUP(B205,Schlüssel!$A$5:$DZ$14,59)</f>
        <v>8</v>
      </c>
      <c r="R207" s="65" t="s">
        <v>10</v>
      </c>
      <c r="S207" s="44">
        <f>VLOOKUP(B205,Schlüssel!$A$5:$DZ$14,60)</f>
        <v>3</v>
      </c>
      <c r="T207" s="65" t="s">
        <v>10</v>
      </c>
      <c r="U207" s="66">
        <f>VLOOKUP(B205,Schlüssel!$A$5:$DZ$14,61)</f>
        <v>1</v>
      </c>
    </row>
    <row r="208" spans="1:29" ht="20.25" customHeight="1" x14ac:dyDescent="0.35">
      <c r="B208" s="67" t="s">
        <v>1</v>
      </c>
      <c r="C208" s="68"/>
      <c r="D208" s="354" t="s">
        <v>1800</v>
      </c>
      <c r="E208" s="355"/>
      <c r="F208" s="354" t="s">
        <v>1801</v>
      </c>
      <c r="G208" s="355"/>
      <c r="H208" s="354" t="s">
        <v>1802</v>
      </c>
      <c r="I208" s="355"/>
      <c r="J208" s="354" t="s">
        <v>1803</v>
      </c>
      <c r="K208" s="355"/>
      <c r="L208" s="354" t="s">
        <v>1804</v>
      </c>
      <c r="M208" s="355"/>
      <c r="N208" s="354" t="s">
        <v>1805</v>
      </c>
      <c r="O208" s="355"/>
      <c r="P208" s="354" t="s">
        <v>1806</v>
      </c>
      <c r="Q208" s="355"/>
      <c r="R208" s="354" t="s">
        <v>1807</v>
      </c>
      <c r="S208" s="355"/>
      <c r="T208" s="354" t="s">
        <v>1808</v>
      </c>
      <c r="U208" s="355"/>
      <c r="V208" s="356" t="s">
        <v>1799</v>
      </c>
      <c r="W208" s="357"/>
    </row>
    <row r="209" spans="1:23" ht="15" customHeight="1" thickBot="1" x14ac:dyDescent="0.4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2" customHeight="1" x14ac:dyDescent="0.35">
      <c r="A210" s="351" t="s">
        <v>0</v>
      </c>
      <c r="B210" s="73"/>
      <c r="C210" s="74"/>
      <c r="D210" s="75"/>
      <c r="E210" s="348"/>
      <c r="F210" s="75"/>
      <c r="G210" s="348"/>
      <c r="H210" s="75"/>
      <c r="I210" s="348"/>
      <c r="J210" s="75"/>
      <c r="K210" s="348"/>
      <c r="L210" s="75"/>
      <c r="M210" s="348"/>
      <c r="N210" s="75"/>
      <c r="O210" s="348"/>
      <c r="P210" s="75"/>
      <c r="Q210" s="348"/>
      <c r="R210" s="75"/>
      <c r="S210" s="348"/>
      <c r="T210" s="75"/>
      <c r="U210" s="348"/>
      <c r="V210" s="75"/>
      <c r="W210" s="348"/>
    </row>
    <row r="211" spans="1:23" ht="17.2" customHeight="1" x14ac:dyDescent="0.35">
      <c r="A211" s="352"/>
      <c r="B211" s="76"/>
      <c r="C211" s="77"/>
      <c r="D211" s="78"/>
      <c r="E211" s="349"/>
      <c r="F211" s="78"/>
      <c r="G211" s="349"/>
      <c r="H211" s="78"/>
      <c r="I211" s="349"/>
      <c r="J211" s="78"/>
      <c r="K211" s="349"/>
      <c r="L211" s="78"/>
      <c r="M211" s="349"/>
      <c r="N211" s="78"/>
      <c r="O211" s="349"/>
      <c r="P211" s="78"/>
      <c r="Q211" s="349"/>
      <c r="R211" s="78"/>
      <c r="S211" s="349"/>
      <c r="T211" s="78"/>
      <c r="U211" s="349"/>
      <c r="V211" s="78"/>
      <c r="W211" s="349"/>
    </row>
    <row r="212" spans="1:23" ht="17.2" customHeight="1" thickBot="1" x14ac:dyDescent="0.4">
      <c r="A212" s="353"/>
      <c r="B212" s="79"/>
      <c r="C212" s="80"/>
      <c r="D212" s="69"/>
      <c r="E212" s="350"/>
      <c r="F212" s="69"/>
      <c r="G212" s="350"/>
      <c r="H212" s="69"/>
      <c r="I212" s="350"/>
      <c r="J212" s="69"/>
      <c r="K212" s="350"/>
      <c r="L212" s="69"/>
      <c r="M212" s="350"/>
      <c r="N212" s="69"/>
      <c r="O212" s="350"/>
      <c r="P212" s="69"/>
      <c r="Q212" s="350"/>
      <c r="R212" s="69"/>
      <c r="S212" s="350"/>
      <c r="T212" s="69"/>
      <c r="U212" s="350"/>
      <c r="V212" s="69"/>
      <c r="W212" s="350"/>
    </row>
    <row r="213" spans="1:23" ht="17.2" customHeight="1" x14ac:dyDescent="0.35">
      <c r="A213" s="351" t="s">
        <v>2</v>
      </c>
      <c r="B213" s="73"/>
      <c r="C213" s="74"/>
      <c r="D213" s="75"/>
      <c r="E213" s="348"/>
      <c r="F213" s="75"/>
      <c r="G213" s="348"/>
      <c r="H213" s="75"/>
      <c r="I213" s="348"/>
      <c r="J213" s="75"/>
      <c r="K213" s="348"/>
      <c r="L213" s="75"/>
      <c r="M213" s="348"/>
      <c r="N213" s="75"/>
      <c r="O213" s="348"/>
      <c r="P213" s="75"/>
      <c r="Q213" s="348"/>
      <c r="R213" s="75"/>
      <c r="S213" s="348"/>
      <c r="T213" s="75"/>
      <c r="U213" s="348"/>
      <c r="V213" s="75"/>
      <c r="W213" s="348"/>
    </row>
    <row r="214" spans="1:23" ht="17.2" customHeight="1" x14ac:dyDescent="0.35">
      <c r="A214" s="352"/>
      <c r="B214" s="76"/>
      <c r="C214" s="77"/>
      <c r="D214" s="78"/>
      <c r="E214" s="349"/>
      <c r="F214" s="78"/>
      <c r="G214" s="349"/>
      <c r="H214" s="78"/>
      <c r="I214" s="349"/>
      <c r="J214" s="78"/>
      <c r="K214" s="349"/>
      <c r="L214" s="78"/>
      <c r="M214" s="349"/>
      <c r="N214" s="78"/>
      <c r="O214" s="349"/>
      <c r="P214" s="78"/>
      <c r="Q214" s="349"/>
      <c r="R214" s="78"/>
      <c r="S214" s="349"/>
      <c r="T214" s="78"/>
      <c r="U214" s="349"/>
      <c r="V214" s="78"/>
      <c r="W214" s="349"/>
    </row>
    <row r="215" spans="1:23" ht="17.2" customHeight="1" thickBot="1" x14ac:dyDescent="0.4">
      <c r="A215" s="353"/>
      <c r="B215" s="79"/>
      <c r="C215" s="80"/>
      <c r="D215" s="69"/>
      <c r="E215" s="350"/>
      <c r="F215" s="69"/>
      <c r="G215" s="350"/>
      <c r="H215" s="69"/>
      <c r="I215" s="350"/>
      <c r="J215" s="69"/>
      <c r="K215" s="350"/>
      <c r="L215" s="69"/>
      <c r="M215" s="350"/>
      <c r="N215" s="69"/>
      <c r="O215" s="350"/>
      <c r="P215" s="69"/>
      <c r="Q215" s="350"/>
      <c r="R215" s="69"/>
      <c r="S215" s="350"/>
      <c r="T215" s="69"/>
      <c r="U215" s="350"/>
      <c r="V215" s="69"/>
      <c r="W215" s="350"/>
    </row>
    <row r="216" spans="1:23" ht="17.2" customHeight="1" x14ac:dyDescent="0.35">
      <c r="A216" s="351" t="s">
        <v>3</v>
      </c>
      <c r="B216" s="73"/>
      <c r="C216" s="74"/>
      <c r="D216" s="75"/>
      <c r="E216" s="348"/>
      <c r="F216" s="75"/>
      <c r="G216" s="348"/>
      <c r="H216" s="75"/>
      <c r="I216" s="348"/>
      <c r="J216" s="75"/>
      <c r="K216" s="348"/>
      <c r="L216" s="75"/>
      <c r="M216" s="348"/>
      <c r="N216" s="75"/>
      <c r="O216" s="348"/>
      <c r="P216" s="75"/>
      <c r="Q216" s="348"/>
      <c r="R216" s="75"/>
      <c r="S216" s="348"/>
      <c r="T216" s="75"/>
      <c r="U216" s="348"/>
      <c r="V216" s="75"/>
      <c r="W216" s="348"/>
    </row>
    <row r="217" spans="1:23" ht="17.2" customHeight="1" x14ac:dyDescent="0.35">
      <c r="A217" s="352"/>
      <c r="B217" s="76"/>
      <c r="C217" s="77"/>
      <c r="D217" s="78"/>
      <c r="E217" s="349"/>
      <c r="F217" s="78"/>
      <c r="G217" s="349"/>
      <c r="H217" s="78"/>
      <c r="I217" s="349"/>
      <c r="J217" s="78"/>
      <c r="K217" s="349"/>
      <c r="L217" s="78"/>
      <c r="M217" s="349"/>
      <c r="N217" s="78"/>
      <c r="O217" s="349"/>
      <c r="P217" s="78"/>
      <c r="Q217" s="349"/>
      <c r="R217" s="78"/>
      <c r="S217" s="349"/>
      <c r="T217" s="78"/>
      <c r="U217" s="349"/>
      <c r="V217" s="78"/>
      <c r="W217" s="349"/>
    </row>
    <row r="218" spans="1:23" ht="17.2" customHeight="1" thickBot="1" x14ac:dyDescent="0.4">
      <c r="A218" s="353"/>
      <c r="B218" s="79"/>
      <c r="C218" s="80"/>
      <c r="D218" s="69"/>
      <c r="E218" s="350"/>
      <c r="F218" s="69"/>
      <c r="G218" s="350"/>
      <c r="H218" s="69"/>
      <c r="I218" s="350"/>
      <c r="J218" s="69"/>
      <c r="K218" s="350"/>
      <c r="L218" s="69"/>
      <c r="M218" s="350"/>
      <c r="N218" s="69"/>
      <c r="O218" s="350"/>
      <c r="P218" s="69"/>
      <c r="Q218" s="350"/>
      <c r="R218" s="69"/>
      <c r="S218" s="350"/>
      <c r="T218" s="69"/>
      <c r="U218" s="350"/>
      <c r="V218" s="69"/>
      <c r="W218" s="350"/>
    </row>
    <row r="219" spans="1:23" ht="17.2" customHeight="1" x14ac:dyDescent="0.35">
      <c r="A219" s="351" t="s">
        <v>11</v>
      </c>
      <c r="B219" s="73"/>
      <c r="C219" s="74"/>
      <c r="D219" s="75"/>
      <c r="E219" s="348"/>
      <c r="F219" s="75"/>
      <c r="G219" s="348"/>
      <c r="H219" s="75"/>
      <c r="I219" s="348"/>
      <c r="J219" s="75"/>
      <c r="K219" s="348"/>
      <c r="L219" s="75"/>
      <c r="M219" s="348"/>
      <c r="N219" s="75"/>
      <c r="O219" s="348"/>
      <c r="P219" s="75"/>
      <c r="Q219" s="348"/>
      <c r="R219" s="75"/>
      <c r="S219" s="348"/>
      <c r="T219" s="75"/>
      <c r="U219" s="348"/>
      <c r="V219" s="75"/>
      <c r="W219" s="348"/>
    </row>
    <row r="220" spans="1:23" ht="17.2" customHeight="1" x14ac:dyDescent="0.35">
      <c r="A220" s="352"/>
      <c r="B220" s="76"/>
      <c r="C220" s="77"/>
      <c r="D220" s="78"/>
      <c r="E220" s="349"/>
      <c r="F220" s="78"/>
      <c r="G220" s="349"/>
      <c r="H220" s="78"/>
      <c r="I220" s="349"/>
      <c r="J220" s="78"/>
      <c r="K220" s="349"/>
      <c r="L220" s="78"/>
      <c r="M220" s="349"/>
      <c r="N220" s="78"/>
      <c r="O220" s="349"/>
      <c r="P220" s="78"/>
      <c r="Q220" s="349"/>
      <c r="R220" s="78"/>
      <c r="S220" s="349"/>
      <c r="T220" s="78"/>
      <c r="U220" s="349"/>
      <c r="V220" s="78"/>
      <c r="W220" s="349"/>
    </row>
    <row r="221" spans="1:23" ht="17.2" customHeight="1" thickBot="1" x14ac:dyDescent="0.4">
      <c r="A221" s="353"/>
      <c r="B221" s="79"/>
      <c r="C221" s="80"/>
      <c r="D221" s="69"/>
      <c r="E221" s="350"/>
      <c r="F221" s="69"/>
      <c r="G221" s="350"/>
      <c r="H221" s="69"/>
      <c r="I221" s="350"/>
      <c r="J221" s="69"/>
      <c r="K221" s="350"/>
      <c r="L221" s="69"/>
      <c r="M221" s="350"/>
      <c r="N221" s="69"/>
      <c r="O221" s="350"/>
      <c r="P221" s="69"/>
      <c r="Q221" s="350"/>
      <c r="R221" s="69"/>
      <c r="S221" s="350"/>
      <c r="T221" s="69"/>
      <c r="U221" s="350"/>
      <c r="V221" s="69"/>
      <c r="W221" s="350"/>
    </row>
    <row r="222" spans="1:23" ht="27.75" customHeight="1" thickBot="1" x14ac:dyDescent="0.4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4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3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35">
      <c r="B225" s="88" t="s">
        <v>1797</v>
      </c>
      <c r="C225" s="89" t="s">
        <v>1798</v>
      </c>
      <c r="D225" s="370">
        <f>VLOOKUP(B205,Schlüssel!$A$5:$DZ$14,43)</f>
        <v>2</v>
      </c>
      <c r="E225" s="371"/>
      <c r="F225" s="370">
        <f>VLOOKUP(B205,Schlüssel!$A$5:$DZ$14,44)</f>
        <v>9</v>
      </c>
      <c r="G225" s="371"/>
      <c r="H225" s="370">
        <f>VLOOKUP(B205,Schlüssel!$A$5:$DZ$14,45)</f>
        <v>1</v>
      </c>
      <c r="I225" s="371"/>
      <c r="J225" s="370">
        <f>VLOOKUP(B205,Schlüssel!$A$5:$DZ$14,46)</f>
        <v>10</v>
      </c>
      <c r="K225" s="371"/>
      <c r="L225" s="370">
        <f>VLOOKUP(B205,Schlüssel!$A$5:$DZ$14,47)</f>
        <v>4</v>
      </c>
      <c r="M225" s="371"/>
      <c r="N225" s="370">
        <f>VLOOKUP(B205,Schlüssel!$A$5:$DZ$14,48)</f>
        <v>5</v>
      </c>
      <c r="O225" s="371"/>
      <c r="P225" s="370">
        <f>VLOOKUP(B205,Schlüssel!$A$5:$DZ$14,49)</f>
        <v>6</v>
      </c>
      <c r="Q225" s="371"/>
      <c r="R225" s="370">
        <f>VLOOKUP(B205,Schlüssel!$A$5:$DZ$14,50)</f>
        <v>7</v>
      </c>
      <c r="S225" s="371"/>
      <c r="T225" s="370">
        <f>VLOOKUP(B205,Schlüssel!$A$5:$DZ$14,51)</f>
        <v>3</v>
      </c>
      <c r="U225" s="371"/>
      <c r="V225" s="347"/>
      <c r="W225" s="347"/>
    </row>
    <row r="226" spans="1:29" ht="28.5" customHeight="1" x14ac:dyDescent="0.35">
      <c r="B226" s="90"/>
      <c r="C226" s="86"/>
      <c r="D226" s="343" t="str">
        <f>VLOOKUP(D225,Schlüssel!$A$5:$K$14,2)</f>
        <v>BK München 2</v>
      </c>
      <c r="E226" s="344"/>
      <c r="F226" s="343" t="str">
        <f>VLOOKUP(F225,Schlüssel!$A$5:$K$14,2)</f>
        <v>RW Lichtenhof 69 Stein 2</v>
      </c>
      <c r="G226" s="344"/>
      <c r="H226" s="343" t="str">
        <f>VLOOKUP(H225,Schlüssel!$A$5:$K$14,2)</f>
        <v>Praetoria Regensburg</v>
      </c>
      <c r="I226" s="344"/>
      <c r="J226" s="343" t="str">
        <f>VLOOKUP(J225,Schlüssel!$A$5:$K$14,2)</f>
        <v>BK München 4</v>
      </c>
      <c r="K226" s="344"/>
      <c r="L226" s="343" t="str">
        <f>VLOOKUP(L225,Schlüssel!$A$5:$K$14,2)</f>
        <v>BK München 3</v>
      </c>
      <c r="M226" s="344"/>
      <c r="N226" s="343" t="str">
        <f>VLOOKUP(N225,Schlüssel!$A$5:$K$14,2)</f>
        <v xml:space="preserve">Weiß Blau Unterföhring </v>
      </c>
      <c r="O226" s="344"/>
      <c r="P226" s="343" t="str">
        <f>VLOOKUP(P225,Schlüssel!$A$5:$K$14,2)</f>
        <v>Phönix 03 Lauf</v>
      </c>
      <c r="Q226" s="344"/>
      <c r="R226" s="343" t="str">
        <f>VLOOKUP(R225,Schlüssel!$A$5:$K$14,2)</f>
        <v>Frankenpower Nürnberg</v>
      </c>
      <c r="S226" s="344"/>
      <c r="T226" s="343" t="str">
        <f>VLOOKUP(T225,Schlüssel!$A$5:$K$14,2)</f>
        <v>Highroller Rosenheim</v>
      </c>
      <c r="U226" s="344"/>
      <c r="V226" s="345"/>
      <c r="W226" s="345"/>
    </row>
    <row r="227" spans="1:29" ht="12" customHeight="1" x14ac:dyDescent="0.35">
      <c r="B227" s="90"/>
      <c r="C227" s="86"/>
      <c r="D227" s="341"/>
      <c r="E227" s="341"/>
      <c r="F227" s="341"/>
      <c r="G227" s="341"/>
      <c r="H227" s="341"/>
      <c r="I227" s="341"/>
      <c r="J227" s="341"/>
      <c r="K227" s="341"/>
      <c r="L227" s="341"/>
      <c r="M227" s="341"/>
      <c r="N227" s="341"/>
      <c r="O227" s="341"/>
      <c r="P227" s="341"/>
      <c r="Q227" s="341"/>
      <c r="R227" s="341"/>
      <c r="S227" s="341"/>
      <c r="T227" s="341"/>
      <c r="U227" s="342"/>
      <c r="V227" s="301"/>
      <c r="W227" s="301"/>
    </row>
    <row r="228" spans="1:29" ht="16.05" customHeight="1" x14ac:dyDescent="0.35">
      <c r="B228" s="91" t="s">
        <v>0</v>
      </c>
      <c r="C228" s="92"/>
      <c r="D228" s="339"/>
      <c r="E228" s="339"/>
      <c r="F228" s="339"/>
      <c r="G228" s="339"/>
      <c r="H228" s="339"/>
      <c r="I228" s="339"/>
      <c r="J228" s="339"/>
      <c r="K228" s="339"/>
      <c r="L228" s="339"/>
      <c r="M228" s="339"/>
      <c r="N228" s="339"/>
      <c r="O228" s="339"/>
      <c r="P228" s="339"/>
      <c r="Q228" s="339"/>
      <c r="R228" s="339"/>
      <c r="S228" s="339"/>
      <c r="T228" s="339"/>
      <c r="U228" s="339"/>
      <c r="V228" s="340"/>
      <c r="W228" s="340"/>
    </row>
    <row r="229" spans="1:29" ht="16.05" customHeight="1" x14ac:dyDescent="0.35">
      <c r="B229" s="91" t="s">
        <v>2</v>
      </c>
      <c r="C229" s="92"/>
      <c r="D229" s="339"/>
      <c r="E229" s="339"/>
      <c r="F229" s="339"/>
      <c r="G229" s="339"/>
      <c r="H229" s="339"/>
      <c r="I229" s="339"/>
      <c r="J229" s="339"/>
      <c r="K229" s="339"/>
      <c r="L229" s="339"/>
      <c r="M229" s="339"/>
      <c r="N229" s="339"/>
      <c r="O229" s="339"/>
      <c r="P229" s="339"/>
      <c r="Q229" s="339"/>
      <c r="R229" s="339"/>
      <c r="S229" s="339"/>
      <c r="T229" s="339"/>
      <c r="U229" s="339"/>
      <c r="V229" s="340"/>
      <c r="W229" s="340"/>
    </row>
    <row r="230" spans="1:29" ht="16.05" customHeight="1" x14ac:dyDescent="0.35">
      <c r="B230" s="91" t="s">
        <v>3</v>
      </c>
      <c r="C230" s="92"/>
      <c r="D230" s="339"/>
      <c r="E230" s="339"/>
      <c r="F230" s="339"/>
      <c r="G230" s="339"/>
      <c r="H230" s="339"/>
      <c r="I230" s="339"/>
      <c r="J230" s="339"/>
      <c r="K230" s="339"/>
      <c r="L230" s="339"/>
      <c r="M230" s="339"/>
      <c r="N230" s="339"/>
      <c r="O230" s="339"/>
      <c r="P230" s="339"/>
      <c r="Q230" s="339"/>
      <c r="R230" s="339"/>
      <c r="S230" s="339"/>
      <c r="T230" s="339"/>
      <c r="U230" s="339"/>
      <c r="V230" s="340"/>
      <c r="W230" s="340"/>
    </row>
    <row r="231" spans="1:29" ht="16.05" customHeight="1" x14ac:dyDescent="0.35">
      <c r="B231" s="91" t="s">
        <v>11</v>
      </c>
      <c r="C231" s="92"/>
      <c r="D231" s="339"/>
      <c r="E231" s="339"/>
      <c r="F231" s="339"/>
      <c r="G231" s="339"/>
      <c r="H231" s="339"/>
      <c r="I231" s="339"/>
      <c r="J231" s="339"/>
      <c r="K231" s="339"/>
      <c r="L231" s="339"/>
      <c r="M231" s="339"/>
      <c r="N231" s="339"/>
      <c r="O231" s="339"/>
      <c r="P231" s="339"/>
      <c r="Q231" s="339"/>
      <c r="R231" s="339"/>
      <c r="S231" s="339"/>
      <c r="T231" s="339"/>
      <c r="U231" s="339"/>
      <c r="V231" s="340"/>
      <c r="W231" s="340"/>
    </row>
    <row r="232" spans="1:29" ht="16.05" customHeight="1" x14ac:dyDescent="0.35">
      <c r="B232" s="93" t="s">
        <v>1799</v>
      </c>
      <c r="C232" s="94"/>
      <c r="D232" s="338"/>
      <c r="E232" s="338"/>
      <c r="F232" s="338"/>
      <c r="G232" s="338"/>
      <c r="H232" s="338"/>
      <c r="I232" s="338"/>
      <c r="J232" s="338"/>
      <c r="K232" s="338"/>
      <c r="L232" s="338"/>
      <c r="M232" s="338"/>
      <c r="N232" s="338"/>
      <c r="O232" s="338"/>
      <c r="P232" s="338"/>
      <c r="Q232" s="338"/>
      <c r="R232" s="338"/>
      <c r="S232" s="338"/>
      <c r="T232" s="338"/>
      <c r="U232" s="338"/>
      <c r="V232" s="290"/>
      <c r="W232" s="290"/>
    </row>
    <row r="233" spans="1:29" ht="21" customHeight="1" x14ac:dyDescent="0.7">
      <c r="B233" s="44" t="s">
        <v>1813</v>
      </c>
      <c r="C233" s="45"/>
      <c r="D233" s="46" t="s">
        <v>1792</v>
      </c>
      <c r="E233" s="47"/>
      <c r="F233" s="359" t="str">
        <f>Schlüssel!$C$1</f>
        <v>Bayernliga Frauen</v>
      </c>
      <c r="G233" s="359"/>
      <c r="H233" s="359"/>
      <c r="I233" s="359"/>
      <c r="J233" s="359"/>
      <c r="K233" s="359"/>
      <c r="L233" s="359"/>
      <c r="M233" s="359"/>
      <c r="N233" s="359"/>
      <c r="O233" s="359"/>
      <c r="P233" s="45"/>
      <c r="Q233" s="45"/>
      <c r="R233" s="48"/>
      <c r="S233" s="49" t="s">
        <v>1794</v>
      </c>
      <c r="T233" s="50"/>
      <c r="U233" s="360" t="str">
        <f>Schlüssel!$BA$1</f>
        <v>01.02./02.02.</v>
      </c>
      <c r="V233" s="361"/>
      <c r="W233" s="362"/>
      <c r="AC233" s="51"/>
    </row>
    <row r="234" spans="1:29" ht="17.25" customHeight="1" thickBot="1" x14ac:dyDescent="0.65">
      <c r="A234" s="52"/>
      <c r="B234" s="96">
        <f>+B205+1</f>
        <v>9</v>
      </c>
      <c r="D234" s="46" t="s">
        <v>1793</v>
      </c>
      <c r="E234" s="54"/>
      <c r="F234" s="358" t="str">
        <f>Schlüssel!$AQ$2</f>
        <v>Unterföhring Dreambowl Palace</v>
      </c>
      <c r="G234" s="358"/>
      <c r="H234" s="358"/>
      <c r="I234" s="358"/>
      <c r="J234" s="358"/>
      <c r="K234" s="358"/>
      <c r="L234" s="358"/>
      <c r="M234" s="358"/>
      <c r="N234" s="358"/>
      <c r="O234" s="358"/>
      <c r="P234" s="55"/>
      <c r="Q234" s="55"/>
      <c r="S234" s="49" t="s">
        <v>1791</v>
      </c>
      <c r="T234" s="56">
        <v>3</v>
      </c>
      <c r="U234" s="50"/>
      <c r="V234" s="50"/>
      <c r="AC234" s="97"/>
    </row>
    <row r="235" spans="1:29" ht="15.75" customHeight="1" thickBot="1" x14ac:dyDescent="0.4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5" thickBot="1" x14ac:dyDescent="0.45">
      <c r="A236" s="2"/>
      <c r="B236" s="44"/>
      <c r="C236" s="63"/>
      <c r="D236" s="64" t="s">
        <v>10</v>
      </c>
      <c r="E236" s="44">
        <f>VLOOKUP(B234,Schlüssel!$A$5:$DZ$14,53)</f>
        <v>4</v>
      </c>
      <c r="F236" s="65" t="s">
        <v>10</v>
      </c>
      <c r="G236" s="44">
        <f>VLOOKUP(B234,Schlüssel!$A$5:$DZ$14,54)</f>
        <v>8</v>
      </c>
      <c r="H236" s="65" t="s">
        <v>10</v>
      </c>
      <c r="I236" s="44">
        <f>VLOOKUP(B234,Schlüssel!$A$5:$DZ$14,55)</f>
        <v>1</v>
      </c>
      <c r="J236" s="65" t="s">
        <v>10</v>
      </c>
      <c r="K236" s="44">
        <f>VLOOKUP(B234,Schlüssel!$A$5:$DZ$14,56)</f>
        <v>9</v>
      </c>
      <c r="L236" s="65" t="s">
        <v>10</v>
      </c>
      <c r="M236" s="44">
        <f>VLOOKUP(B234,Schlüssel!$A$5:$DZ$14,57)</f>
        <v>7</v>
      </c>
      <c r="N236" s="65" t="s">
        <v>10</v>
      </c>
      <c r="O236" s="44">
        <f>VLOOKUP(B234,Schlüssel!$A$5:$DZ$14,58)</f>
        <v>3</v>
      </c>
      <c r="P236" s="65" t="s">
        <v>10</v>
      </c>
      <c r="Q236" s="44">
        <f>VLOOKUP(B234,Schlüssel!$A$5:$DZ$14,59)</f>
        <v>2</v>
      </c>
      <c r="R236" s="65" t="s">
        <v>10</v>
      </c>
      <c r="S236" s="44">
        <f>VLOOKUP(B234,Schlüssel!$A$5:$DZ$14,60)</f>
        <v>5</v>
      </c>
      <c r="T236" s="65" t="s">
        <v>10</v>
      </c>
      <c r="U236" s="66">
        <f>VLOOKUP(B234,Schlüssel!$A$5:$DZ$14,61)</f>
        <v>10</v>
      </c>
    </row>
    <row r="237" spans="1:29" ht="20.25" customHeight="1" x14ac:dyDescent="0.35">
      <c r="B237" s="67" t="s">
        <v>1</v>
      </c>
      <c r="C237" s="68"/>
      <c r="D237" s="354" t="s">
        <v>1800</v>
      </c>
      <c r="E237" s="355"/>
      <c r="F237" s="354" t="s">
        <v>1801</v>
      </c>
      <c r="G237" s="355"/>
      <c r="H237" s="354" t="s">
        <v>1802</v>
      </c>
      <c r="I237" s="355"/>
      <c r="J237" s="354" t="s">
        <v>1803</v>
      </c>
      <c r="K237" s="355"/>
      <c r="L237" s="354" t="s">
        <v>1804</v>
      </c>
      <c r="M237" s="355"/>
      <c r="N237" s="354" t="s">
        <v>1805</v>
      </c>
      <c r="O237" s="355"/>
      <c r="P237" s="354" t="s">
        <v>1806</v>
      </c>
      <c r="Q237" s="355"/>
      <c r="R237" s="354" t="s">
        <v>1807</v>
      </c>
      <c r="S237" s="355"/>
      <c r="T237" s="354" t="s">
        <v>1808</v>
      </c>
      <c r="U237" s="355"/>
      <c r="V237" s="356" t="s">
        <v>1799</v>
      </c>
      <c r="W237" s="357"/>
    </row>
    <row r="238" spans="1:29" ht="15" customHeight="1" thickBot="1" x14ac:dyDescent="0.4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2" customHeight="1" x14ac:dyDescent="0.35">
      <c r="A239" s="351" t="s">
        <v>0</v>
      </c>
      <c r="B239" s="73"/>
      <c r="C239" s="74"/>
      <c r="D239" s="75"/>
      <c r="E239" s="348"/>
      <c r="F239" s="75"/>
      <c r="G239" s="348"/>
      <c r="H239" s="75"/>
      <c r="I239" s="348"/>
      <c r="J239" s="75"/>
      <c r="K239" s="348"/>
      <c r="L239" s="75"/>
      <c r="M239" s="348"/>
      <c r="N239" s="75"/>
      <c r="O239" s="348"/>
      <c r="P239" s="75"/>
      <c r="Q239" s="348"/>
      <c r="R239" s="75"/>
      <c r="S239" s="348"/>
      <c r="T239" s="75"/>
      <c r="U239" s="348"/>
      <c r="V239" s="75"/>
      <c r="W239" s="348"/>
    </row>
    <row r="240" spans="1:29" ht="17.2" customHeight="1" x14ac:dyDescent="0.35">
      <c r="A240" s="352"/>
      <c r="B240" s="76"/>
      <c r="C240" s="77"/>
      <c r="D240" s="78"/>
      <c r="E240" s="349"/>
      <c r="F240" s="78"/>
      <c r="G240" s="349"/>
      <c r="H240" s="78"/>
      <c r="I240" s="349"/>
      <c r="J240" s="78"/>
      <c r="K240" s="349"/>
      <c r="L240" s="78"/>
      <c r="M240" s="349"/>
      <c r="N240" s="78"/>
      <c r="O240" s="349"/>
      <c r="P240" s="78"/>
      <c r="Q240" s="349"/>
      <c r="R240" s="78"/>
      <c r="S240" s="349"/>
      <c r="T240" s="78"/>
      <c r="U240" s="349"/>
      <c r="V240" s="78"/>
      <c r="W240" s="349"/>
    </row>
    <row r="241" spans="1:23" ht="17.2" customHeight="1" thickBot="1" x14ac:dyDescent="0.4">
      <c r="A241" s="353"/>
      <c r="B241" s="79"/>
      <c r="C241" s="80"/>
      <c r="D241" s="69"/>
      <c r="E241" s="350"/>
      <c r="F241" s="69"/>
      <c r="G241" s="350"/>
      <c r="H241" s="69"/>
      <c r="I241" s="350"/>
      <c r="J241" s="69"/>
      <c r="K241" s="350"/>
      <c r="L241" s="69"/>
      <c r="M241" s="350"/>
      <c r="N241" s="69"/>
      <c r="O241" s="350"/>
      <c r="P241" s="69"/>
      <c r="Q241" s="350"/>
      <c r="R241" s="69"/>
      <c r="S241" s="350"/>
      <c r="T241" s="69"/>
      <c r="U241" s="350"/>
      <c r="V241" s="69"/>
      <c r="W241" s="350"/>
    </row>
    <row r="242" spans="1:23" ht="17.2" customHeight="1" x14ac:dyDescent="0.35">
      <c r="A242" s="351" t="s">
        <v>2</v>
      </c>
      <c r="B242" s="73"/>
      <c r="C242" s="74"/>
      <c r="D242" s="75"/>
      <c r="E242" s="348"/>
      <c r="F242" s="75"/>
      <c r="G242" s="348"/>
      <c r="H242" s="75"/>
      <c r="I242" s="348"/>
      <c r="J242" s="75"/>
      <c r="K242" s="348"/>
      <c r="L242" s="75"/>
      <c r="M242" s="348"/>
      <c r="N242" s="75"/>
      <c r="O242" s="348"/>
      <c r="P242" s="75"/>
      <c r="Q242" s="348"/>
      <c r="R242" s="75"/>
      <c r="S242" s="348"/>
      <c r="T242" s="75"/>
      <c r="U242" s="348"/>
      <c r="V242" s="75"/>
      <c r="W242" s="348"/>
    </row>
    <row r="243" spans="1:23" ht="17.2" customHeight="1" x14ac:dyDescent="0.35">
      <c r="A243" s="352"/>
      <c r="B243" s="76"/>
      <c r="C243" s="77"/>
      <c r="D243" s="78"/>
      <c r="E243" s="349"/>
      <c r="F243" s="78"/>
      <c r="G243" s="349"/>
      <c r="H243" s="78"/>
      <c r="I243" s="349"/>
      <c r="J243" s="78"/>
      <c r="K243" s="349"/>
      <c r="L243" s="78"/>
      <c r="M243" s="349"/>
      <c r="N243" s="78"/>
      <c r="O243" s="349"/>
      <c r="P243" s="78"/>
      <c r="Q243" s="349"/>
      <c r="R243" s="78"/>
      <c r="S243" s="349"/>
      <c r="T243" s="78"/>
      <c r="U243" s="349"/>
      <c r="V243" s="78"/>
      <c r="W243" s="349"/>
    </row>
    <row r="244" spans="1:23" ht="17.2" customHeight="1" thickBot="1" x14ac:dyDescent="0.4">
      <c r="A244" s="353"/>
      <c r="B244" s="79"/>
      <c r="C244" s="80"/>
      <c r="D244" s="69"/>
      <c r="E244" s="350"/>
      <c r="F244" s="69"/>
      <c r="G244" s="350"/>
      <c r="H244" s="69"/>
      <c r="I244" s="350"/>
      <c r="J244" s="69"/>
      <c r="K244" s="350"/>
      <c r="L244" s="69"/>
      <c r="M244" s="350"/>
      <c r="N244" s="69"/>
      <c r="O244" s="350"/>
      <c r="P244" s="69"/>
      <c r="Q244" s="350"/>
      <c r="R244" s="69"/>
      <c r="S244" s="350"/>
      <c r="T244" s="69"/>
      <c r="U244" s="350"/>
      <c r="V244" s="69"/>
      <c r="W244" s="350"/>
    </row>
    <row r="245" spans="1:23" ht="17.2" customHeight="1" x14ac:dyDescent="0.35">
      <c r="A245" s="351" t="s">
        <v>3</v>
      </c>
      <c r="B245" s="73"/>
      <c r="C245" s="74"/>
      <c r="D245" s="75"/>
      <c r="E245" s="348"/>
      <c r="F245" s="75"/>
      <c r="G245" s="348"/>
      <c r="H245" s="75"/>
      <c r="I245" s="348"/>
      <c r="J245" s="75"/>
      <c r="K245" s="348"/>
      <c r="L245" s="75"/>
      <c r="M245" s="348"/>
      <c r="N245" s="75"/>
      <c r="O245" s="348"/>
      <c r="P245" s="75"/>
      <c r="Q245" s="348"/>
      <c r="R245" s="75"/>
      <c r="S245" s="348"/>
      <c r="T245" s="75"/>
      <c r="U245" s="348"/>
      <c r="V245" s="75"/>
      <c r="W245" s="348"/>
    </row>
    <row r="246" spans="1:23" ht="17.2" customHeight="1" x14ac:dyDescent="0.35">
      <c r="A246" s="352"/>
      <c r="B246" s="76"/>
      <c r="C246" s="77"/>
      <c r="D246" s="78"/>
      <c r="E246" s="349"/>
      <c r="F246" s="78"/>
      <c r="G246" s="349"/>
      <c r="H246" s="78"/>
      <c r="I246" s="349"/>
      <c r="J246" s="78"/>
      <c r="K246" s="349"/>
      <c r="L246" s="78"/>
      <c r="M246" s="349"/>
      <c r="N246" s="78"/>
      <c r="O246" s="349"/>
      <c r="P246" s="78"/>
      <c r="Q246" s="349"/>
      <c r="R246" s="78"/>
      <c r="S246" s="349"/>
      <c r="T246" s="78"/>
      <c r="U246" s="349"/>
      <c r="V246" s="78"/>
      <c r="W246" s="349"/>
    </row>
    <row r="247" spans="1:23" ht="17.2" customHeight="1" thickBot="1" x14ac:dyDescent="0.4">
      <c r="A247" s="353"/>
      <c r="B247" s="79"/>
      <c r="C247" s="80"/>
      <c r="D247" s="69"/>
      <c r="E247" s="350"/>
      <c r="F247" s="69"/>
      <c r="G247" s="350"/>
      <c r="H247" s="69"/>
      <c r="I247" s="350"/>
      <c r="J247" s="69"/>
      <c r="K247" s="350"/>
      <c r="L247" s="69"/>
      <c r="M247" s="350"/>
      <c r="N247" s="69"/>
      <c r="O247" s="350"/>
      <c r="P247" s="69"/>
      <c r="Q247" s="350"/>
      <c r="R247" s="69"/>
      <c r="S247" s="350"/>
      <c r="T247" s="69"/>
      <c r="U247" s="350"/>
      <c r="V247" s="69"/>
      <c r="W247" s="350"/>
    </row>
    <row r="248" spans="1:23" ht="17.2" customHeight="1" x14ac:dyDescent="0.35">
      <c r="A248" s="351" t="s">
        <v>11</v>
      </c>
      <c r="B248" s="73"/>
      <c r="C248" s="74"/>
      <c r="D248" s="75"/>
      <c r="E248" s="348"/>
      <c r="F248" s="75"/>
      <c r="G248" s="348"/>
      <c r="H248" s="75"/>
      <c r="I248" s="348"/>
      <c r="J248" s="75"/>
      <c r="K248" s="348"/>
      <c r="L248" s="75"/>
      <c r="M248" s="348"/>
      <c r="N248" s="75"/>
      <c r="O248" s="348"/>
      <c r="P248" s="75"/>
      <c r="Q248" s="348"/>
      <c r="R248" s="75"/>
      <c r="S248" s="348"/>
      <c r="T248" s="75"/>
      <c r="U248" s="348"/>
      <c r="V248" s="75"/>
      <c r="W248" s="348"/>
    </row>
    <row r="249" spans="1:23" ht="17.2" customHeight="1" x14ac:dyDescent="0.35">
      <c r="A249" s="352"/>
      <c r="B249" s="76"/>
      <c r="C249" s="77"/>
      <c r="D249" s="78"/>
      <c r="E249" s="349"/>
      <c r="F249" s="78"/>
      <c r="G249" s="349"/>
      <c r="H249" s="78"/>
      <c r="I249" s="349"/>
      <c r="J249" s="78"/>
      <c r="K249" s="349"/>
      <c r="L249" s="78"/>
      <c r="M249" s="349"/>
      <c r="N249" s="78"/>
      <c r="O249" s="349"/>
      <c r="P249" s="78"/>
      <c r="Q249" s="349"/>
      <c r="R249" s="78"/>
      <c r="S249" s="349"/>
      <c r="T249" s="78"/>
      <c r="U249" s="349"/>
      <c r="V249" s="78"/>
      <c r="W249" s="349"/>
    </row>
    <row r="250" spans="1:23" ht="17.2" customHeight="1" thickBot="1" x14ac:dyDescent="0.4">
      <c r="A250" s="353"/>
      <c r="B250" s="79"/>
      <c r="C250" s="80"/>
      <c r="D250" s="69"/>
      <c r="E250" s="350"/>
      <c r="F250" s="69"/>
      <c r="G250" s="350"/>
      <c r="H250" s="69"/>
      <c r="I250" s="350"/>
      <c r="J250" s="69"/>
      <c r="K250" s="350"/>
      <c r="L250" s="69"/>
      <c r="M250" s="350"/>
      <c r="N250" s="69"/>
      <c r="O250" s="350"/>
      <c r="P250" s="69"/>
      <c r="Q250" s="350"/>
      <c r="R250" s="69"/>
      <c r="S250" s="350"/>
      <c r="T250" s="69"/>
      <c r="U250" s="350"/>
      <c r="V250" s="69"/>
      <c r="W250" s="350"/>
    </row>
    <row r="251" spans="1:23" ht="27.75" customHeight="1" thickBot="1" x14ac:dyDescent="0.4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4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3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35">
      <c r="B254" s="88" t="s">
        <v>1797</v>
      </c>
      <c r="C254" s="89" t="s">
        <v>1798</v>
      </c>
      <c r="D254" s="370">
        <f>VLOOKUP(B234,Schlüssel!$A$5:$DZ$14,43)</f>
        <v>7</v>
      </c>
      <c r="E254" s="371"/>
      <c r="F254" s="370">
        <f>VLOOKUP(B234,Schlüssel!$A$5:$DZ$14,44)</f>
        <v>8</v>
      </c>
      <c r="G254" s="371"/>
      <c r="H254" s="370">
        <f>VLOOKUP(B234,Schlüssel!$A$5:$DZ$14,45)</f>
        <v>4</v>
      </c>
      <c r="I254" s="371"/>
      <c r="J254" s="370">
        <f>VLOOKUP(B234,Schlüssel!$A$5:$DZ$14,46)</f>
        <v>5</v>
      </c>
      <c r="K254" s="371"/>
      <c r="L254" s="370">
        <f>VLOOKUP(B234,Schlüssel!$A$5:$DZ$14,47)</f>
        <v>3</v>
      </c>
      <c r="M254" s="371"/>
      <c r="N254" s="370">
        <f>VLOOKUP(B234,Schlüssel!$A$5:$DZ$14,48)</f>
        <v>10</v>
      </c>
      <c r="O254" s="371"/>
      <c r="P254" s="370">
        <f>VLOOKUP(B234,Schlüssel!$A$5:$DZ$14,49)</f>
        <v>2</v>
      </c>
      <c r="Q254" s="371"/>
      <c r="R254" s="370">
        <f>VLOOKUP(B234,Schlüssel!$A$5:$DZ$14,50)</f>
        <v>1</v>
      </c>
      <c r="S254" s="371"/>
      <c r="T254" s="370">
        <f>VLOOKUP(B234,Schlüssel!$A$5:$DZ$14,51)</f>
        <v>6</v>
      </c>
      <c r="U254" s="371"/>
      <c r="V254" s="347"/>
      <c r="W254" s="347"/>
    </row>
    <row r="255" spans="1:23" ht="28.5" customHeight="1" x14ac:dyDescent="0.35">
      <c r="B255" s="90"/>
      <c r="C255" s="86"/>
      <c r="D255" s="343" t="str">
        <f>VLOOKUP(D254,Schlüssel!$A$5:$K$14,2)</f>
        <v>Frankenpower Nürnberg</v>
      </c>
      <c r="E255" s="344"/>
      <c r="F255" s="343" t="str">
        <f>VLOOKUP(F254,Schlüssel!$A$5:$K$14,2)</f>
        <v>EPA München 1</v>
      </c>
      <c r="G255" s="344"/>
      <c r="H255" s="343" t="str">
        <f>VLOOKUP(H254,Schlüssel!$A$5:$K$14,2)</f>
        <v>BK München 3</v>
      </c>
      <c r="I255" s="344"/>
      <c r="J255" s="343" t="str">
        <f>VLOOKUP(J254,Schlüssel!$A$5:$K$14,2)</f>
        <v xml:space="preserve">Weiß Blau Unterföhring </v>
      </c>
      <c r="K255" s="344"/>
      <c r="L255" s="343" t="str">
        <f>VLOOKUP(L254,Schlüssel!$A$5:$K$14,2)</f>
        <v>Highroller Rosenheim</v>
      </c>
      <c r="M255" s="344"/>
      <c r="N255" s="343" t="str">
        <f>VLOOKUP(N254,Schlüssel!$A$5:$K$14,2)</f>
        <v>BK München 4</v>
      </c>
      <c r="O255" s="344"/>
      <c r="P255" s="343" t="str">
        <f>VLOOKUP(P254,Schlüssel!$A$5:$K$14,2)</f>
        <v>BK München 2</v>
      </c>
      <c r="Q255" s="344"/>
      <c r="R255" s="343" t="str">
        <f>VLOOKUP(R254,Schlüssel!$A$5:$K$14,2)</f>
        <v>Praetoria Regensburg</v>
      </c>
      <c r="S255" s="344"/>
      <c r="T255" s="343" t="str">
        <f>VLOOKUP(T254,Schlüssel!$A$5:$K$14,2)</f>
        <v>Phönix 03 Lauf</v>
      </c>
      <c r="U255" s="344"/>
      <c r="V255" s="345"/>
      <c r="W255" s="345"/>
    </row>
    <row r="256" spans="1:23" ht="12" customHeight="1" x14ac:dyDescent="0.35">
      <c r="B256" s="90"/>
      <c r="C256" s="86"/>
      <c r="D256" s="341"/>
      <c r="E256" s="341"/>
      <c r="F256" s="341"/>
      <c r="G256" s="341"/>
      <c r="H256" s="341"/>
      <c r="I256" s="341"/>
      <c r="J256" s="341"/>
      <c r="K256" s="341"/>
      <c r="L256" s="341"/>
      <c r="M256" s="341"/>
      <c r="N256" s="341"/>
      <c r="O256" s="341"/>
      <c r="P256" s="341"/>
      <c r="Q256" s="341"/>
      <c r="R256" s="341"/>
      <c r="S256" s="341"/>
      <c r="T256" s="341"/>
      <c r="U256" s="342"/>
      <c r="V256" s="301"/>
      <c r="W256" s="301"/>
    </row>
    <row r="257" spans="1:29" ht="16.05" customHeight="1" x14ac:dyDescent="0.35">
      <c r="B257" s="91" t="s">
        <v>0</v>
      </c>
      <c r="C257" s="92"/>
      <c r="D257" s="339"/>
      <c r="E257" s="339"/>
      <c r="F257" s="339"/>
      <c r="G257" s="339"/>
      <c r="H257" s="339"/>
      <c r="I257" s="339"/>
      <c r="J257" s="339"/>
      <c r="K257" s="339"/>
      <c r="L257" s="339"/>
      <c r="M257" s="339"/>
      <c r="N257" s="339"/>
      <c r="O257" s="339"/>
      <c r="P257" s="339"/>
      <c r="Q257" s="339"/>
      <c r="R257" s="339"/>
      <c r="S257" s="339"/>
      <c r="T257" s="339"/>
      <c r="U257" s="339"/>
      <c r="V257" s="340"/>
      <c r="W257" s="340"/>
    </row>
    <row r="258" spans="1:29" ht="16.05" customHeight="1" x14ac:dyDescent="0.35">
      <c r="B258" s="91" t="s">
        <v>2</v>
      </c>
      <c r="C258" s="92"/>
      <c r="D258" s="339"/>
      <c r="E258" s="339"/>
      <c r="F258" s="339"/>
      <c r="G258" s="339"/>
      <c r="H258" s="339"/>
      <c r="I258" s="339"/>
      <c r="J258" s="339"/>
      <c r="K258" s="339"/>
      <c r="L258" s="339"/>
      <c r="M258" s="339"/>
      <c r="N258" s="339"/>
      <c r="O258" s="339"/>
      <c r="P258" s="339"/>
      <c r="Q258" s="339"/>
      <c r="R258" s="339"/>
      <c r="S258" s="339"/>
      <c r="T258" s="339"/>
      <c r="U258" s="339"/>
      <c r="V258" s="340"/>
      <c r="W258" s="340"/>
    </row>
    <row r="259" spans="1:29" ht="16.05" customHeight="1" x14ac:dyDescent="0.35">
      <c r="B259" s="91" t="s">
        <v>3</v>
      </c>
      <c r="C259" s="92"/>
      <c r="D259" s="339"/>
      <c r="E259" s="339"/>
      <c r="F259" s="339"/>
      <c r="G259" s="339"/>
      <c r="H259" s="339"/>
      <c r="I259" s="339"/>
      <c r="J259" s="339"/>
      <c r="K259" s="339"/>
      <c r="L259" s="339"/>
      <c r="M259" s="339"/>
      <c r="N259" s="339"/>
      <c r="O259" s="339"/>
      <c r="P259" s="339"/>
      <c r="Q259" s="339"/>
      <c r="R259" s="339"/>
      <c r="S259" s="339"/>
      <c r="T259" s="339"/>
      <c r="U259" s="339"/>
      <c r="V259" s="340"/>
      <c r="W259" s="340"/>
    </row>
    <row r="260" spans="1:29" ht="16.05" customHeight="1" x14ac:dyDescent="0.35">
      <c r="B260" s="91" t="s">
        <v>11</v>
      </c>
      <c r="C260" s="92"/>
      <c r="D260" s="339"/>
      <c r="E260" s="339"/>
      <c r="F260" s="339"/>
      <c r="G260" s="339"/>
      <c r="H260" s="339"/>
      <c r="I260" s="339"/>
      <c r="J260" s="339"/>
      <c r="K260" s="339"/>
      <c r="L260" s="339"/>
      <c r="M260" s="339"/>
      <c r="N260" s="339"/>
      <c r="O260" s="339"/>
      <c r="P260" s="339"/>
      <c r="Q260" s="339"/>
      <c r="R260" s="339"/>
      <c r="S260" s="339"/>
      <c r="T260" s="339"/>
      <c r="U260" s="339"/>
      <c r="V260" s="340"/>
      <c r="W260" s="340"/>
    </row>
    <row r="261" spans="1:29" ht="16.05" customHeight="1" x14ac:dyDescent="0.35">
      <c r="B261" s="93" t="s">
        <v>1799</v>
      </c>
      <c r="C261" s="94"/>
      <c r="D261" s="338"/>
      <c r="E261" s="338"/>
      <c r="F261" s="338"/>
      <c r="G261" s="338"/>
      <c r="H261" s="338"/>
      <c r="I261" s="338"/>
      <c r="J261" s="338"/>
      <c r="K261" s="338"/>
      <c r="L261" s="338"/>
      <c r="M261" s="338"/>
      <c r="N261" s="338"/>
      <c r="O261" s="338"/>
      <c r="P261" s="338"/>
      <c r="Q261" s="338"/>
      <c r="R261" s="338"/>
      <c r="S261" s="338"/>
      <c r="T261" s="338"/>
      <c r="U261" s="338"/>
      <c r="V261" s="290"/>
      <c r="W261" s="290"/>
    </row>
    <row r="262" spans="1:29" ht="21" customHeight="1" x14ac:dyDescent="0.7">
      <c r="B262" s="44" t="s">
        <v>1813</v>
      </c>
      <c r="C262" s="45"/>
      <c r="D262" s="46" t="s">
        <v>1792</v>
      </c>
      <c r="E262" s="47"/>
      <c r="F262" s="359" t="str">
        <f>Schlüssel!$C$1</f>
        <v>Bayernliga Frauen</v>
      </c>
      <c r="G262" s="359"/>
      <c r="H262" s="359"/>
      <c r="I262" s="359"/>
      <c r="J262" s="359"/>
      <c r="K262" s="359"/>
      <c r="L262" s="359"/>
      <c r="M262" s="359"/>
      <c r="N262" s="359"/>
      <c r="O262" s="359"/>
      <c r="P262" s="45"/>
      <c r="Q262" s="45"/>
      <c r="R262" s="48"/>
      <c r="S262" s="49" t="s">
        <v>1794</v>
      </c>
      <c r="T262" s="50"/>
      <c r="U262" s="360" t="str">
        <f>Schlüssel!$BA$1</f>
        <v>01.02./02.02.</v>
      </c>
      <c r="V262" s="361"/>
      <c r="W262" s="362"/>
      <c r="AC262" s="51"/>
    </row>
    <row r="263" spans="1:29" ht="17.25" customHeight="1" thickBot="1" x14ac:dyDescent="0.65">
      <c r="A263" s="52"/>
      <c r="B263" s="96">
        <f>+B234+1</f>
        <v>10</v>
      </c>
      <c r="D263" s="46" t="s">
        <v>1793</v>
      </c>
      <c r="E263" s="54"/>
      <c r="F263" s="358" t="str">
        <f>Schlüssel!$AQ$2</f>
        <v>Unterföhring Dreambowl Palace</v>
      </c>
      <c r="G263" s="358"/>
      <c r="H263" s="358"/>
      <c r="I263" s="358"/>
      <c r="J263" s="358"/>
      <c r="K263" s="358"/>
      <c r="L263" s="358"/>
      <c r="M263" s="358"/>
      <c r="N263" s="358"/>
      <c r="O263" s="358"/>
      <c r="P263" s="55"/>
      <c r="Q263" s="55"/>
      <c r="S263" s="49" t="s">
        <v>1791</v>
      </c>
      <c r="T263" s="56">
        <v>3</v>
      </c>
      <c r="U263" s="50"/>
      <c r="V263" s="50"/>
      <c r="AC263" s="97"/>
    </row>
    <row r="264" spans="1:29" ht="15.75" customHeight="1" thickBot="1" x14ac:dyDescent="0.4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5" thickBot="1" x14ac:dyDescent="0.45">
      <c r="A265" s="2"/>
      <c r="B265" s="44"/>
      <c r="C265" s="63"/>
      <c r="D265" s="64" t="s">
        <v>10</v>
      </c>
      <c r="E265" s="44">
        <f>VLOOKUP(B263,Schlüssel!$A$5:$DZ$14,53)</f>
        <v>8</v>
      </c>
      <c r="F265" s="65" t="s">
        <v>10</v>
      </c>
      <c r="G265" s="44">
        <f>VLOOKUP(B263,Schlüssel!$A$5:$DZ$14,54)</f>
        <v>6</v>
      </c>
      <c r="H265" s="65" t="s">
        <v>10</v>
      </c>
      <c r="I265" s="44">
        <f>VLOOKUP(B263,Schlüssel!$A$5:$DZ$14,55)</f>
        <v>9</v>
      </c>
      <c r="J265" s="65" t="s">
        <v>10</v>
      </c>
      <c r="K265" s="44">
        <f>VLOOKUP(B263,Schlüssel!$A$5:$DZ$14,56)</f>
        <v>3</v>
      </c>
      <c r="L265" s="65" t="s">
        <v>10</v>
      </c>
      <c r="M265" s="44">
        <f>VLOOKUP(B263,Schlüssel!$A$5:$DZ$14,57)</f>
        <v>1</v>
      </c>
      <c r="N265" s="65" t="s">
        <v>10</v>
      </c>
      <c r="O265" s="44">
        <f>VLOOKUP(B263,Schlüssel!$A$5:$DZ$14,58)</f>
        <v>4</v>
      </c>
      <c r="P265" s="65" t="s">
        <v>10</v>
      </c>
      <c r="Q265" s="44">
        <f>VLOOKUP(B263,Schlüssel!$A$5:$DZ$14,59)</f>
        <v>5</v>
      </c>
      <c r="R265" s="65" t="s">
        <v>10</v>
      </c>
      <c r="S265" s="44">
        <f>VLOOKUP(B263,Schlüssel!$A$5:$DZ$14,60)</f>
        <v>2</v>
      </c>
      <c r="T265" s="65" t="s">
        <v>10</v>
      </c>
      <c r="U265" s="66">
        <f>VLOOKUP(B263,Schlüssel!$A$5:$DZ$14,61)</f>
        <v>7</v>
      </c>
    </row>
    <row r="266" spans="1:29" ht="20.25" customHeight="1" x14ac:dyDescent="0.35">
      <c r="B266" s="67" t="s">
        <v>1</v>
      </c>
      <c r="C266" s="68"/>
      <c r="D266" s="354" t="s">
        <v>1800</v>
      </c>
      <c r="E266" s="355"/>
      <c r="F266" s="354" t="s">
        <v>1801</v>
      </c>
      <c r="G266" s="355"/>
      <c r="H266" s="354" t="s">
        <v>1802</v>
      </c>
      <c r="I266" s="355"/>
      <c r="J266" s="354" t="s">
        <v>1803</v>
      </c>
      <c r="K266" s="355"/>
      <c r="L266" s="354" t="s">
        <v>1804</v>
      </c>
      <c r="M266" s="355"/>
      <c r="N266" s="354" t="s">
        <v>1805</v>
      </c>
      <c r="O266" s="355"/>
      <c r="P266" s="354" t="s">
        <v>1806</v>
      </c>
      <c r="Q266" s="355"/>
      <c r="R266" s="354" t="s">
        <v>1807</v>
      </c>
      <c r="S266" s="355"/>
      <c r="T266" s="354" t="s">
        <v>1808</v>
      </c>
      <c r="U266" s="355"/>
      <c r="V266" s="356" t="s">
        <v>1799</v>
      </c>
      <c r="W266" s="357"/>
    </row>
    <row r="267" spans="1:29" ht="15" customHeight="1" thickBot="1" x14ac:dyDescent="0.4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2" customHeight="1" x14ac:dyDescent="0.35">
      <c r="A268" s="351" t="s">
        <v>0</v>
      </c>
      <c r="B268" s="73"/>
      <c r="C268" s="74"/>
      <c r="D268" s="75"/>
      <c r="E268" s="348"/>
      <c r="F268" s="75"/>
      <c r="G268" s="348"/>
      <c r="H268" s="75"/>
      <c r="I268" s="348"/>
      <c r="J268" s="75"/>
      <c r="K268" s="348"/>
      <c r="L268" s="75"/>
      <c r="M268" s="348"/>
      <c r="N268" s="75"/>
      <c r="O268" s="348"/>
      <c r="P268" s="75"/>
      <c r="Q268" s="348"/>
      <c r="R268" s="75"/>
      <c r="S268" s="348"/>
      <c r="T268" s="75"/>
      <c r="U268" s="348"/>
      <c r="V268" s="75"/>
      <c r="W268" s="348"/>
    </row>
    <row r="269" spans="1:29" ht="17.2" customHeight="1" x14ac:dyDescent="0.35">
      <c r="A269" s="352"/>
      <c r="B269" s="76"/>
      <c r="C269" s="77"/>
      <c r="D269" s="78"/>
      <c r="E269" s="349"/>
      <c r="F269" s="78"/>
      <c r="G269" s="349"/>
      <c r="H269" s="78"/>
      <c r="I269" s="349"/>
      <c r="J269" s="78"/>
      <c r="K269" s="349"/>
      <c r="L269" s="78"/>
      <c r="M269" s="349"/>
      <c r="N269" s="78"/>
      <c r="O269" s="349"/>
      <c r="P269" s="78"/>
      <c r="Q269" s="349"/>
      <c r="R269" s="78"/>
      <c r="S269" s="349"/>
      <c r="T269" s="78"/>
      <c r="U269" s="349"/>
      <c r="V269" s="78"/>
      <c r="W269" s="349"/>
    </row>
    <row r="270" spans="1:29" ht="17.2" customHeight="1" thickBot="1" x14ac:dyDescent="0.4">
      <c r="A270" s="353"/>
      <c r="B270" s="79"/>
      <c r="C270" s="80"/>
      <c r="D270" s="69"/>
      <c r="E270" s="350"/>
      <c r="F270" s="69"/>
      <c r="G270" s="350"/>
      <c r="H270" s="69"/>
      <c r="I270" s="350"/>
      <c r="J270" s="69"/>
      <c r="K270" s="350"/>
      <c r="L270" s="69"/>
      <c r="M270" s="350"/>
      <c r="N270" s="69"/>
      <c r="O270" s="350"/>
      <c r="P270" s="69"/>
      <c r="Q270" s="350"/>
      <c r="R270" s="69"/>
      <c r="S270" s="350"/>
      <c r="T270" s="69"/>
      <c r="U270" s="350"/>
      <c r="V270" s="69"/>
      <c r="W270" s="350"/>
    </row>
    <row r="271" spans="1:29" ht="17.2" customHeight="1" x14ac:dyDescent="0.35">
      <c r="A271" s="351" t="s">
        <v>2</v>
      </c>
      <c r="B271" s="73"/>
      <c r="C271" s="74"/>
      <c r="D271" s="75"/>
      <c r="E271" s="348"/>
      <c r="F271" s="75"/>
      <c r="G271" s="348"/>
      <c r="H271" s="75"/>
      <c r="I271" s="348"/>
      <c r="J271" s="75"/>
      <c r="K271" s="348"/>
      <c r="L271" s="75"/>
      <c r="M271" s="348"/>
      <c r="N271" s="75"/>
      <c r="O271" s="348"/>
      <c r="P271" s="75"/>
      <c r="Q271" s="348"/>
      <c r="R271" s="75"/>
      <c r="S271" s="348"/>
      <c r="T271" s="75"/>
      <c r="U271" s="348"/>
      <c r="V271" s="75"/>
      <c r="W271" s="348"/>
    </row>
    <row r="272" spans="1:29" ht="17.2" customHeight="1" x14ac:dyDescent="0.35">
      <c r="A272" s="352"/>
      <c r="B272" s="76"/>
      <c r="C272" s="77"/>
      <c r="D272" s="78"/>
      <c r="E272" s="349"/>
      <c r="F272" s="78"/>
      <c r="G272" s="349"/>
      <c r="H272" s="78"/>
      <c r="I272" s="349"/>
      <c r="J272" s="78"/>
      <c r="K272" s="349"/>
      <c r="L272" s="78"/>
      <c r="M272" s="349"/>
      <c r="N272" s="78"/>
      <c r="O272" s="349"/>
      <c r="P272" s="78"/>
      <c r="Q272" s="349"/>
      <c r="R272" s="78"/>
      <c r="S272" s="349"/>
      <c r="T272" s="78"/>
      <c r="U272" s="349"/>
      <c r="V272" s="78"/>
      <c r="W272" s="349"/>
    </row>
    <row r="273" spans="1:23" ht="17.2" customHeight="1" thickBot="1" x14ac:dyDescent="0.4">
      <c r="A273" s="353"/>
      <c r="B273" s="79"/>
      <c r="C273" s="80"/>
      <c r="D273" s="69"/>
      <c r="E273" s="350"/>
      <c r="F273" s="69"/>
      <c r="G273" s="350"/>
      <c r="H273" s="69"/>
      <c r="I273" s="350"/>
      <c r="J273" s="69"/>
      <c r="K273" s="350"/>
      <c r="L273" s="69"/>
      <c r="M273" s="350"/>
      <c r="N273" s="69"/>
      <c r="O273" s="350"/>
      <c r="P273" s="69"/>
      <c r="Q273" s="350"/>
      <c r="R273" s="69"/>
      <c r="S273" s="350"/>
      <c r="T273" s="69"/>
      <c r="U273" s="350"/>
      <c r="V273" s="69"/>
      <c r="W273" s="350"/>
    </row>
    <row r="274" spans="1:23" ht="17.2" customHeight="1" x14ac:dyDescent="0.35">
      <c r="A274" s="351" t="s">
        <v>3</v>
      </c>
      <c r="B274" s="73"/>
      <c r="C274" s="74"/>
      <c r="D274" s="75"/>
      <c r="E274" s="348"/>
      <c r="F274" s="75"/>
      <c r="G274" s="348"/>
      <c r="H274" s="75"/>
      <c r="I274" s="348"/>
      <c r="J274" s="75"/>
      <c r="K274" s="348"/>
      <c r="L274" s="75"/>
      <c r="M274" s="348"/>
      <c r="N274" s="75"/>
      <c r="O274" s="348"/>
      <c r="P274" s="75"/>
      <c r="Q274" s="348"/>
      <c r="R274" s="75"/>
      <c r="S274" s="348"/>
      <c r="T274" s="75"/>
      <c r="U274" s="348"/>
      <c r="V274" s="75"/>
      <c r="W274" s="348"/>
    </row>
    <row r="275" spans="1:23" ht="17.2" customHeight="1" x14ac:dyDescent="0.35">
      <c r="A275" s="352"/>
      <c r="B275" s="76"/>
      <c r="C275" s="77"/>
      <c r="D275" s="78"/>
      <c r="E275" s="349"/>
      <c r="F275" s="78"/>
      <c r="G275" s="349"/>
      <c r="H275" s="78"/>
      <c r="I275" s="349"/>
      <c r="J275" s="78"/>
      <c r="K275" s="349"/>
      <c r="L275" s="78"/>
      <c r="M275" s="349"/>
      <c r="N275" s="78"/>
      <c r="O275" s="349"/>
      <c r="P275" s="78"/>
      <c r="Q275" s="349"/>
      <c r="R275" s="78"/>
      <c r="S275" s="349"/>
      <c r="T275" s="78"/>
      <c r="U275" s="349"/>
      <c r="V275" s="78"/>
      <c r="W275" s="349"/>
    </row>
    <row r="276" spans="1:23" ht="17.2" customHeight="1" thickBot="1" x14ac:dyDescent="0.4">
      <c r="A276" s="353"/>
      <c r="B276" s="79"/>
      <c r="C276" s="80"/>
      <c r="D276" s="69"/>
      <c r="E276" s="350"/>
      <c r="F276" s="69"/>
      <c r="G276" s="350"/>
      <c r="H276" s="69"/>
      <c r="I276" s="350"/>
      <c r="J276" s="69"/>
      <c r="K276" s="350"/>
      <c r="L276" s="69"/>
      <c r="M276" s="350"/>
      <c r="N276" s="69"/>
      <c r="O276" s="350"/>
      <c r="P276" s="69"/>
      <c r="Q276" s="350"/>
      <c r="R276" s="69"/>
      <c r="S276" s="350"/>
      <c r="T276" s="69"/>
      <c r="U276" s="350"/>
      <c r="V276" s="69"/>
      <c r="W276" s="350"/>
    </row>
    <row r="277" spans="1:23" ht="17.2" customHeight="1" x14ac:dyDescent="0.35">
      <c r="A277" s="351" t="s">
        <v>11</v>
      </c>
      <c r="B277" s="73"/>
      <c r="C277" s="74"/>
      <c r="D277" s="75"/>
      <c r="E277" s="348"/>
      <c r="F277" s="75"/>
      <c r="G277" s="348"/>
      <c r="H277" s="75"/>
      <c r="I277" s="348"/>
      <c r="J277" s="75"/>
      <c r="K277" s="348"/>
      <c r="L277" s="75"/>
      <c r="M277" s="348"/>
      <c r="N277" s="75"/>
      <c r="O277" s="348"/>
      <c r="P277" s="75"/>
      <c r="Q277" s="348"/>
      <c r="R277" s="75"/>
      <c r="S277" s="348"/>
      <c r="T277" s="75"/>
      <c r="U277" s="348"/>
      <c r="V277" s="75"/>
      <c r="W277" s="348"/>
    </row>
    <row r="278" spans="1:23" ht="17.2" customHeight="1" x14ac:dyDescent="0.35">
      <c r="A278" s="352"/>
      <c r="B278" s="76"/>
      <c r="C278" s="77"/>
      <c r="D278" s="78"/>
      <c r="E278" s="349"/>
      <c r="F278" s="78"/>
      <c r="G278" s="349"/>
      <c r="H278" s="78"/>
      <c r="I278" s="349"/>
      <c r="J278" s="78"/>
      <c r="K278" s="349"/>
      <c r="L278" s="78"/>
      <c r="M278" s="349"/>
      <c r="N278" s="78"/>
      <c r="O278" s="349"/>
      <c r="P278" s="78"/>
      <c r="Q278" s="349"/>
      <c r="R278" s="78"/>
      <c r="S278" s="349"/>
      <c r="T278" s="78"/>
      <c r="U278" s="349"/>
      <c r="V278" s="78"/>
      <c r="W278" s="349"/>
    </row>
    <row r="279" spans="1:23" ht="17.2" customHeight="1" thickBot="1" x14ac:dyDescent="0.4">
      <c r="A279" s="353"/>
      <c r="B279" s="79"/>
      <c r="C279" s="80"/>
      <c r="D279" s="69"/>
      <c r="E279" s="350"/>
      <c r="F279" s="69"/>
      <c r="G279" s="350"/>
      <c r="H279" s="69"/>
      <c r="I279" s="350"/>
      <c r="J279" s="69"/>
      <c r="K279" s="350"/>
      <c r="L279" s="69"/>
      <c r="M279" s="350"/>
      <c r="N279" s="69"/>
      <c r="O279" s="350"/>
      <c r="P279" s="69"/>
      <c r="Q279" s="350"/>
      <c r="R279" s="69"/>
      <c r="S279" s="350"/>
      <c r="T279" s="69"/>
      <c r="U279" s="350"/>
      <c r="V279" s="69"/>
      <c r="W279" s="350"/>
    </row>
    <row r="280" spans="1:23" ht="27.75" customHeight="1" thickBot="1" x14ac:dyDescent="0.4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4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3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35">
      <c r="B283" s="88" t="s">
        <v>1797</v>
      </c>
      <c r="C283" s="89" t="s">
        <v>1798</v>
      </c>
      <c r="D283" s="370">
        <f>VLOOKUP(B263,Schlüssel!$A$5:$DZ$14,43)</f>
        <v>3</v>
      </c>
      <c r="E283" s="371"/>
      <c r="F283" s="370">
        <f>VLOOKUP(B263,Schlüssel!$A$5:$DZ$14,44)</f>
        <v>2</v>
      </c>
      <c r="G283" s="371"/>
      <c r="H283" s="370">
        <f>VLOOKUP(B263,Schlüssel!$A$5:$DZ$14,45)</f>
        <v>7</v>
      </c>
      <c r="I283" s="371"/>
      <c r="J283" s="370">
        <f>VLOOKUP(B263,Schlüssel!$A$5:$DZ$14,46)</f>
        <v>8</v>
      </c>
      <c r="K283" s="371"/>
      <c r="L283" s="370">
        <f>VLOOKUP(B263,Schlüssel!$A$5:$DZ$14,47)</f>
        <v>5</v>
      </c>
      <c r="M283" s="371"/>
      <c r="N283" s="370">
        <f>VLOOKUP(B263,Schlüssel!$A$5:$DZ$14,48)</f>
        <v>9</v>
      </c>
      <c r="O283" s="371"/>
      <c r="P283" s="370">
        <f>VLOOKUP(B263,Schlüssel!$A$5:$DZ$14,49)</f>
        <v>4</v>
      </c>
      <c r="Q283" s="371"/>
      <c r="R283" s="370">
        <f>VLOOKUP(B263,Schlüssel!$A$5:$DZ$14,50)</f>
        <v>6</v>
      </c>
      <c r="S283" s="371"/>
      <c r="T283" s="370">
        <f>VLOOKUP(B263,Schlüssel!$A$5:$DZ$14,51)</f>
        <v>1</v>
      </c>
      <c r="U283" s="371"/>
      <c r="V283" s="347"/>
      <c r="W283" s="347"/>
    </row>
    <row r="284" spans="1:23" ht="28.5" customHeight="1" x14ac:dyDescent="0.35">
      <c r="B284" s="90"/>
      <c r="C284" s="86"/>
      <c r="D284" s="343" t="str">
        <f>VLOOKUP(D283,Schlüssel!$A$5:$K$14,2)</f>
        <v>Highroller Rosenheim</v>
      </c>
      <c r="E284" s="344"/>
      <c r="F284" s="343" t="str">
        <f>VLOOKUP(F283,Schlüssel!$A$5:$K$14,2)</f>
        <v>BK München 2</v>
      </c>
      <c r="G284" s="344"/>
      <c r="H284" s="343" t="str">
        <f>VLOOKUP(H283,Schlüssel!$A$5:$K$14,2)</f>
        <v>Frankenpower Nürnberg</v>
      </c>
      <c r="I284" s="344"/>
      <c r="J284" s="343" t="str">
        <f>VLOOKUP(J283,Schlüssel!$A$5:$K$14,2)</f>
        <v>EPA München 1</v>
      </c>
      <c r="K284" s="344"/>
      <c r="L284" s="343" t="str">
        <f>VLOOKUP(L283,Schlüssel!$A$5:$K$14,2)</f>
        <v xml:space="preserve">Weiß Blau Unterföhring </v>
      </c>
      <c r="M284" s="344"/>
      <c r="N284" s="343" t="str">
        <f>VLOOKUP(N283,Schlüssel!$A$5:$K$14,2)</f>
        <v>RW Lichtenhof 69 Stein 2</v>
      </c>
      <c r="O284" s="344"/>
      <c r="P284" s="343" t="str">
        <f>VLOOKUP(P283,Schlüssel!$A$5:$K$14,2)</f>
        <v>BK München 3</v>
      </c>
      <c r="Q284" s="344"/>
      <c r="R284" s="343" t="str">
        <f>VLOOKUP(R283,Schlüssel!$A$5:$K$14,2)</f>
        <v>Phönix 03 Lauf</v>
      </c>
      <c r="S284" s="344"/>
      <c r="T284" s="343" t="str">
        <f>VLOOKUP(T283,Schlüssel!$A$5:$K$14,2)</f>
        <v>Praetoria Regensburg</v>
      </c>
      <c r="U284" s="344"/>
      <c r="V284" s="345"/>
      <c r="W284" s="345"/>
    </row>
    <row r="285" spans="1:23" ht="12" customHeight="1" x14ac:dyDescent="0.35">
      <c r="B285" s="90"/>
      <c r="C285" s="86"/>
      <c r="D285" s="341"/>
      <c r="E285" s="341"/>
      <c r="F285" s="341"/>
      <c r="G285" s="341"/>
      <c r="H285" s="341"/>
      <c r="I285" s="341"/>
      <c r="J285" s="341"/>
      <c r="K285" s="341"/>
      <c r="L285" s="341"/>
      <c r="M285" s="341"/>
      <c r="N285" s="341"/>
      <c r="O285" s="341"/>
      <c r="P285" s="341"/>
      <c r="Q285" s="341"/>
      <c r="R285" s="341"/>
      <c r="S285" s="341"/>
      <c r="T285" s="341"/>
      <c r="U285" s="342"/>
      <c r="V285" s="301"/>
      <c r="W285" s="301"/>
    </row>
    <row r="286" spans="1:23" ht="16.05" customHeight="1" x14ac:dyDescent="0.35">
      <c r="B286" s="91" t="s">
        <v>0</v>
      </c>
      <c r="C286" s="92"/>
      <c r="D286" s="339"/>
      <c r="E286" s="339"/>
      <c r="F286" s="339"/>
      <c r="G286" s="339"/>
      <c r="H286" s="339"/>
      <c r="I286" s="339"/>
      <c r="J286" s="339"/>
      <c r="K286" s="339"/>
      <c r="L286" s="339"/>
      <c r="M286" s="339"/>
      <c r="N286" s="339"/>
      <c r="O286" s="339"/>
      <c r="P286" s="339"/>
      <c r="Q286" s="339"/>
      <c r="R286" s="339"/>
      <c r="S286" s="339"/>
      <c r="T286" s="339"/>
      <c r="U286" s="339"/>
      <c r="V286" s="340"/>
      <c r="W286" s="340"/>
    </row>
    <row r="287" spans="1:23" ht="16.05" customHeight="1" x14ac:dyDescent="0.35">
      <c r="B287" s="91" t="s">
        <v>2</v>
      </c>
      <c r="C287" s="92"/>
      <c r="D287" s="339"/>
      <c r="E287" s="339"/>
      <c r="F287" s="339"/>
      <c r="G287" s="339"/>
      <c r="H287" s="339"/>
      <c r="I287" s="339"/>
      <c r="J287" s="339"/>
      <c r="K287" s="339"/>
      <c r="L287" s="339"/>
      <c r="M287" s="339"/>
      <c r="N287" s="339"/>
      <c r="O287" s="339"/>
      <c r="P287" s="339"/>
      <c r="Q287" s="339"/>
      <c r="R287" s="339"/>
      <c r="S287" s="339"/>
      <c r="T287" s="339"/>
      <c r="U287" s="339"/>
      <c r="V287" s="340"/>
      <c r="W287" s="340"/>
    </row>
    <row r="288" spans="1:23" ht="16.05" customHeight="1" x14ac:dyDescent="0.35">
      <c r="B288" s="91" t="s">
        <v>3</v>
      </c>
      <c r="C288" s="92"/>
      <c r="D288" s="339"/>
      <c r="E288" s="339"/>
      <c r="F288" s="339"/>
      <c r="G288" s="339"/>
      <c r="H288" s="339"/>
      <c r="I288" s="339"/>
      <c r="J288" s="339"/>
      <c r="K288" s="33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40"/>
      <c r="W288" s="340"/>
    </row>
    <row r="289" spans="2:23" ht="16.05" customHeight="1" x14ac:dyDescent="0.35">
      <c r="B289" s="91" t="s">
        <v>11</v>
      </c>
      <c r="C289" s="92"/>
      <c r="D289" s="339"/>
      <c r="E289" s="339"/>
      <c r="F289" s="339"/>
      <c r="G289" s="339"/>
      <c r="H289" s="339"/>
      <c r="I289" s="339"/>
      <c r="J289" s="339"/>
      <c r="K289" s="339"/>
      <c r="L289" s="339"/>
      <c r="M289" s="339"/>
      <c r="N289" s="339"/>
      <c r="O289" s="339"/>
      <c r="P289" s="339"/>
      <c r="Q289" s="339"/>
      <c r="R289" s="339"/>
      <c r="S289" s="339"/>
      <c r="T289" s="339"/>
      <c r="U289" s="339"/>
      <c r="V289" s="340"/>
      <c r="W289" s="340"/>
    </row>
    <row r="290" spans="2:23" ht="16.05" customHeight="1" x14ac:dyDescent="0.35">
      <c r="B290" s="93" t="s">
        <v>1799</v>
      </c>
      <c r="C290" s="94"/>
      <c r="D290" s="338"/>
      <c r="E290" s="338"/>
      <c r="F290" s="338"/>
      <c r="G290" s="338"/>
      <c r="H290" s="338"/>
      <c r="I290" s="338"/>
      <c r="J290" s="338"/>
      <c r="K290" s="338"/>
      <c r="L290" s="338"/>
      <c r="M290" s="338"/>
      <c r="N290" s="338"/>
      <c r="O290" s="338"/>
      <c r="P290" s="338"/>
      <c r="Q290" s="338"/>
      <c r="R290" s="338"/>
      <c r="S290" s="338"/>
      <c r="T290" s="338"/>
      <c r="U290" s="338"/>
      <c r="V290" s="290"/>
      <c r="W290" s="290"/>
    </row>
  </sheetData>
  <sheetProtection password="D19C" sheet="1" formatCells="0" formatColumns="0" formatRows="0"/>
  <mergeCells count="1370">
    <mergeCell ref="D27:E27"/>
    <mergeCell ref="F27:G27"/>
    <mergeCell ref="H27:I27"/>
    <mergeCell ref="J27:K27"/>
    <mergeCell ref="L27:M27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L29:M29"/>
    <mergeCell ref="N27:O27"/>
    <mergeCell ref="N29:O29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Q7:Q9"/>
    <mergeCell ref="S7:S9"/>
    <mergeCell ref="U7:U9"/>
    <mergeCell ref="W7:W9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>
    <tabColor rgb="FF92D050"/>
    <pageSetUpPr fitToPage="1"/>
  </sheetPr>
  <dimension ref="A1:BZ300"/>
  <sheetViews>
    <sheetView view="pageBreakPreview" topLeftCell="Z91" zoomScaleNormal="100" zoomScaleSheetLayoutView="100" workbookViewId="0">
      <selection activeCell="AC106" sqref="AC106"/>
    </sheetView>
  </sheetViews>
  <sheetFormatPr baseColWidth="10" defaultColWidth="11.33203125" defaultRowHeight="12.75" x14ac:dyDescent="0.35"/>
  <cols>
    <col min="1" max="1" width="4.33203125" style="5" hidden="1" customWidth="1"/>
    <col min="2" max="2" width="18.06640625" hidden="1" customWidth="1"/>
    <col min="3" max="3" width="6.33203125" hidden="1" customWidth="1"/>
    <col min="4" max="21" width="5.73046875" hidden="1" customWidth="1"/>
    <col min="22" max="22" width="8.33203125" hidden="1" customWidth="1"/>
    <col min="23" max="23" width="6.73046875" hidden="1" customWidth="1"/>
    <col min="24" max="25" width="0" hidden="1" customWidth="1"/>
    <col min="26" max="26" width="4.33203125" customWidth="1"/>
    <col min="27" max="27" width="18.06640625" customWidth="1"/>
    <col min="28" max="28" width="6.33203125" customWidth="1"/>
    <col min="29" max="46" width="5.73046875" customWidth="1"/>
    <col min="47" max="47" width="8.33203125" customWidth="1"/>
    <col min="48" max="48" width="6.73046875" customWidth="1"/>
    <col min="49" max="50" width="11.33203125" customWidth="1"/>
    <col min="51" max="51" width="9.59765625" customWidth="1"/>
    <col min="52" max="52" width="11.33203125" customWidth="1"/>
    <col min="53" max="53" width="6.33203125" style="215" hidden="1" customWidth="1"/>
    <col min="54" max="54" width="5.33203125" style="215" hidden="1" customWidth="1"/>
    <col min="55" max="55" width="5.59765625" style="215" hidden="1" customWidth="1"/>
    <col min="56" max="56" width="6.265625" style="215" hidden="1" customWidth="1"/>
    <col min="57" max="57" width="5.33203125" style="215" hidden="1" customWidth="1"/>
    <col min="58" max="58" width="6" style="215" hidden="1" customWidth="1"/>
    <col min="59" max="59" width="8.33203125" style="215" hidden="1" customWidth="1"/>
    <col min="60" max="68" width="4.265625" style="215" hidden="1" customWidth="1"/>
    <col min="69" max="69" width="14.73046875" style="215" hidden="1" customWidth="1"/>
    <col min="70" max="70" width="5.265625" style="215" hidden="1" customWidth="1"/>
    <col min="71" max="71" width="9.33203125" style="215" hidden="1" customWidth="1"/>
    <col min="72" max="72" width="11" style="215" hidden="1" customWidth="1"/>
    <col min="73" max="73" width="17.265625" style="215" hidden="1" customWidth="1"/>
    <col min="74" max="75" width="5.265625" style="215" hidden="1" customWidth="1"/>
    <col min="76" max="76" width="7.73046875" style="215" hidden="1" customWidth="1"/>
    <col min="77" max="77" width="11.33203125" style="215" hidden="1" customWidth="1"/>
    <col min="78" max="78" width="5.265625" style="215" hidden="1" customWidth="1"/>
    <col min="79" max="99" width="11.33203125" customWidth="1"/>
  </cols>
  <sheetData>
    <row r="1" spans="1:78" ht="21" customHeight="1" x14ac:dyDescent="0.7">
      <c r="B1" s="44" t="str">
        <f>AA1</f>
        <v>Team-Nr.</v>
      </c>
      <c r="C1" s="45"/>
      <c r="D1" s="44" t="str">
        <f>AC1</f>
        <v>Liga:</v>
      </c>
      <c r="E1" s="47"/>
      <c r="F1" s="359" t="str">
        <f>AE1</f>
        <v>Bayernliga Frauen</v>
      </c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48"/>
      <c r="S1" s="49" t="s">
        <v>1794</v>
      </c>
      <c r="T1" s="50"/>
      <c r="U1" s="360" t="str">
        <f>AT1</f>
        <v>01.02./02.02.</v>
      </c>
      <c r="V1" s="361"/>
      <c r="W1" s="362"/>
      <c r="X1" s="363"/>
      <c r="Y1" s="364"/>
      <c r="Z1" s="364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0" t="str">
        <f>VLOOKUP(AS2,Spielorte!$A$1:$C$6,2)</f>
        <v>01.02./02.02.</v>
      </c>
      <c r="AU1" s="361"/>
      <c r="AV1" s="362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65">
      <c r="B2" s="53">
        <f>AA2</f>
        <v>1</v>
      </c>
      <c r="D2" s="46" t="s">
        <v>1793</v>
      </c>
      <c r="E2" s="54"/>
      <c r="F2" s="358" t="str">
        <f>AE2</f>
        <v>Unterföhring Dreambowl Palace</v>
      </c>
      <c r="G2" s="358"/>
      <c r="H2" s="358"/>
      <c r="I2" s="358"/>
      <c r="J2" s="358"/>
      <c r="K2" s="358"/>
      <c r="L2" s="358"/>
      <c r="M2" s="358"/>
      <c r="N2" s="358"/>
      <c r="O2" s="358"/>
      <c r="P2" s="55"/>
      <c r="Q2" s="55"/>
      <c r="S2" s="49" t="s">
        <v>1791</v>
      </c>
      <c r="T2" s="56">
        <f>AS2</f>
        <v>3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Unterföhring Dreambowl Palace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3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4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5" thickBot="1" x14ac:dyDescent="0.45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VLOOKUP(AA2,Schlüssel!$A$5:$DZ$14,53)</f>
        <v>2</v>
      </c>
      <c r="AE4" s="65" t="s">
        <v>10</v>
      </c>
      <c r="AF4" s="44">
        <f>VLOOKUP(AA2,Schlüssel!$A$5:$DZ$14,54)</f>
        <v>9</v>
      </c>
      <c r="AG4" s="65" t="s">
        <v>10</v>
      </c>
      <c r="AH4" s="44">
        <f>VLOOKUP(AA2,Schlüssel!$A$5:$DZ$14,55)</f>
        <v>5</v>
      </c>
      <c r="AI4" s="65" t="s">
        <v>10</v>
      </c>
      <c r="AJ4" s="44">
        <f>VLOOKUP(AA2,Schlüssel!$A$5:$DZ$14,56)</f>
        <v>1</v>
      </c>
      <c r="AK4" s="65" t="s">
        <v>10</v>
      </c>
      <c r="AL4" s="44">
        <f>VLOOKUP(AA2,Schlüssel!$A$5:$DZ$14,57)</f>
        <v>4</v>
      </c>
      <c r="AM4" s="65" t="s">
        <v>10</v>
      </c>
      <c r="AN4" s="44">
        <f>VLOOKUP(AA2,Schlüssel!$A$5:$DZ$14,58)</f>
        <v>7</v>
      </c>
      <c r="AO4" s="65" t="s">
        <v>10</v>
      </c>
      <c r="AP4" s="44">
        <f>VLOOKUP(AA2,Schlüssel!$A$5:$DZ$14,59)</f>
        <v>10</v>
      </c>
      <c r="AQ4" s="65" t="s">
        <v>10</v>
      </c>
      <c r="AR4" s="44">
        <f>VLOOKUP(AA2,Schlüssel!$A$5:$DZ$14,60)</f>
        <v>6</v>
      </c>
      <c r="AS4" s="65" t="s">
        <v>10</v>
      </c>
      <c r="AT4" s="44">
        <f>VLOOKUP(AA2,Schlüssel!$A$5:$DZ$14,61)</f>
        <v>8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35">
      <c r="B5" s="67" t="s">
        <v>1</v>
      </c>
      <c r="C5" s="68"/>
      <c r="D5" s="354" t="s">
        <v>1800</v>
      </c>
      <c r="E5" s="355"/>
      <c r="F5" s="354" t="s">
        <v>1801</v>
      </c>
      <c r="G5" s="355"/>
      <c r="H5" s="354" t="s">
        <v>1802</v>
      </c>
      <c r="I5" s="355"/>
      <c r="J5" s="354" t="s">
        <v>1803</v>
      </c>
      <c r="K5" s="355"/>
      <c r="L5" s="354" t="s">
        <v>1804</v>
      </c>
      <c r="M5" s="355"/>
      <c r="N5" s="354" t="s">
        <v>1805</v>
      </c>
      <c r="O5" s="355"/>
      <c r="P5" s="354" t="s">
        <v>1806</v>
      </c>
      <c r="Q5" s="355"/>
      <c r="R5" s="354" t="s">
        <v>1807</v>
      </c>
      <c r="S5" s="355"/>
      <c r="T5" s="354" t="s">
        <v>1808</v>
      </c>
      <c r="U5" s="355"/>
      <c r="V5" s="356" t="s">
        <v>1799</v>
      </c>
      <c r="W5" s="357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4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2" customHeight="1" x14ac:dyDescent="0.35">
      <c r="A7" s="367" t="s">
        <v>0</v>
      </c>
      <c r="B7" s="73" t="str">
        <f>IF(AA7=0,"",AA7)</f>
        <v>Kicker-Mihatsch, Elvira</v>
      </c>
      <c r="C7" s="74">
        <f>IF(AB7=0,"",AB7)</f>
        <v>25798</v>
      </c>
      <c r="D7" s="75">
        <f>IF(AC7=0,"",AC7)</f>
        <v>195</v>
      </c>
      <c r="E7" s="348">
        <f>IF(AD7="","",AD7)</f>
        <v>1</v>
      </c>
      <c r="F7" s="75">
        <f t="shared" ref="F7:F20" si="0">IF(AE7=0,"",AE7)</f>
        <v>186</v>
      </c>
      <c r="G7" s="348">
        <f>IF(AF7="","",AF7)</f>
        <v>1</v>
      </c>
      <c r="H7" s="75">
        <f t="shared" ref="H7:H20" si="1">IF(AG7=0,"",AG7)</f>
        <v>166</v>
      </c>
      <c r="I7" s="348">
        <f>IF(AH7="","",AH7)</f>
        <v>0</v>
      </c>
      <c r="J7" s="75">
        <f t="shared" ref="J7:J20" si="2">IF(AI7=0,"",AI7)</f>
        <v>135</v>
      </c>
      <c r="K7" s="348">
        <f>IF(AJ7="","",AJ7)</f>
        <v>0</v>
      </c>
      <c r="L7" s="75">
        <f t="shared" ref="L7:L20" si="3">IF(AK7=0,"",AK7)</f>
        <v>174</v>
      </c>
      <c r="M7" s="348">
        <f>IF(AL7="","",AL7)</f>
        <v>1</v>
      </c>
      <c r="N7" s="75">
        <f>IF(AM7=0,"",AM7)</f>
        <v>187</v>
      </c>
      <c r="O7" s="348">
        <f>IF(AN7="","",AN7)</f>
        <v>1</v>
      </c>
      <c r="P7" s="75">
        <f t="shared" ref="P7:P20" si="4">IF(AO7=0,"",AO7)</f>
        <v>191</v>
      </c>
      <c r="Q7" s="348">
        <f>IF(AP7="","",AP7)</f>
        <v>1</v>
      </c>
      <c r="R7" s="75">
        <f t="shared" ref="R7:R20" si="5">IF(AQ7=0,"",AQ7)</f>
        <v>168</v>
      </c>
      <c r="S7" s="348">
        <f>IF(AR7="","",AR7)</f>
        <v>0.5</v>
      </c>
      <c r="T7" s="75">
        <f t="shared" ref="T7:T20" si="6">IF(AS7=0,"",AS7)</f>
        <v>202</v>
      </c>
      <c r="U7" s="348">
        <f>IF(AT7="","",AT7)</f>
        <v>1</v>
      </c>
      <c r="V7" s="75">
        <f t="shared" ref="V7:V20" si="7">IF(AU7=0,"",AU7)</f>
        <v>1604</v>
      </c>
      <c r="W7" s="348">
        <f>IF(AV7="","",AV7)</f>
        <v>6.5</v>
      </c>
      <c r="Z7" s="351" t="s">
        <v>0</v>
      </c>
      <c r="AA7" s="108" t="str">
        <f>IF(AB7=0,"",VLOOKUP(AB7,Starter!$A$1:$D$199,2,FALSE))</f>
        <v>Kicker-Mihatsch, Elvira</v>
      </c>
      <c r="AB7" s="99">
        <v>25798</v>
      </c>
      <c r="AC7" s="185">
        <v>195</v>
      </c>
      <c r="AD7" s="109">
        <f>IF(SUM(AC7:AC9)+AC25=0,0,IF(SUM(AC7:AC9)=AC25,0.5,IF(SUM(AC7:AC9)&gt;AC25,1,0)))</f>
        <v>1</v>
      </c>
      <c r="AE7" s="185">
        <v>186</v>
      </c>
      <c r="AF7" s="109">
        <f>IF(SUM(AE7:AE9)+AE25=0,0,IF(SUM(AE7:AE9)=AE25,0.5,IF(SUM(AE7:AE9)&gt;AE25,1,0)))</f>
        <v>1</v>
      </c>
      <c r="AG7" s="185">
        <v>166</v>
      </c>
      <c r="AH7" s="109">
        <f>IF(SUM(AG7:AG9)+AG25=0,0,IF(SUM(AG7:AG9)=AG25,0.5,IF(SUM(AG7:AG9)&gt;AG25,1,0)))</f>
        <v>0</v>
      </c>
      <c r="AI7" s="185">
        <v>135</v>
      </c>
      <c r="AJ7" s="109">
        <f>IF(SUM(AI7:AI9)+AI25=0,0,IF(SUM(AI7:AI9)=AI25,0.5,IF(SUM(AI7:AI9)&gt;AI25,1,0)))</f>
        <v>0</v>
      </c>
      <c r="AK7" s="185">
        <v>174</v>
      </c>
      <c r="AL7" s="109">
        <f>IF(SUM(AK7:AK9)+AK25=0,0,IF(SUM(AK7:AK9)=AK25,0.5,IF(SUM(AK7:AK9)&gt;AK25,1,0)))</f>
        <v>1</v>
      </c>
      <c r="AM7" s="185">
        <v>187</v>
      </c>
      <c r="AN7" s="109">
        <f>IF(SUM(AM7:AM9)+AM25=0,0,IF(SUM(AM7:AM9)=AM25,0.5,IF(SUM(AM7:AM9)&gt;AM25,1,0)))</f>
        <v>1</v>
      </c>
      <c r="AO7" s="185">
        <v>191</v>
      </c>
      <c r="AP7" s="109">
        <f>IF(SUM(AO7:AO9)+AO25=0,0,IF(SUM(AO7:AO9)=AO25,0.5,IF(SUM(AO7:AO9)&gt;AO25,1,0)))</f>
        <v>1</v>
      </c>
      <c r="AQ7" s="185">
        <v>168</v>
      </c>
      <c r="AR7" s="109">
        <f>IF(SUM(AQ7:AQ9)+AQ25=0,0,IF(SUM(AQ7:AQ9)=AQ25,0.5,IF(SUM(AQ7:AQ9)&gt;AQ25,1,0)))</f>
        <v>0.5</v>
      </c>
      <c r="AS7" s="185">
        <v>202</v>
      </c>
      <c r="AT7" s="109">
        <f>IF(SUM(AS7:AS9)+AS25=0,0,IF(SUM(AS7:AS9)=AS25,0.5,IF(SUM(AS7:AS9)&gt;AS25,1,0)))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1604</v>
      </c>
      <c r="AV7" s="111">
        <f>SUM(AD7+AF7+AH7+AJ7+AL7+AN7+AP7+AR7+AT7)</f>
        <v>6.5</v>
      </c>
      <c r="AW7" s="101"/>
      <c r="AX7" s="102"/>
      <c r="AZ7" s="63"/>
      <c r="BA7" s="212"/>
      <c r="BB7" s="213"/>
      <c r="BC7" s="214"/>
      <c r="BD7" s="217">
        <f>+AB7</f>
        <v>25798</v>
      </c>
      <c r="BE7" s="213">
        <f>+AU7</f>
        <v>1604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195</v>
      </c>
      <c r="BI7" s="215">
        <f t="shared" ref="BI7:BI18" si="10">IF(AE7=0,"",AE7)</f>
        <v>186</v>
      </c>
      <c r="BJ7" s="215">
        <f t="shared" ref="BJ7:BJ18" si="11">IF(AG7=0,"",AG7)</f>
        <v>166</v>
      </c>
      <c r="BK7" s="215">
        <f t="shared" ref="BK7:BK18" si="12">IF(AI7=0,"",AI7)</f>
        <v>135</v>
      </c>
      <c r="BL7" s="215">
        <f t="shared" ref="BL7:BL18" si="13">IF(AK7=0,"",AK7)</f>
        <v>174</v>
      </c>
      <c r="BM7" s="215">
        <f t="shared" ref="BM7:BM18" si="14">IF(AM7=0,"",AM7)</f>
        <v>187</v>
      </c>
      <c r="BN7" s="215">
        <f t="shared" ref="BN7:BN18" si="15">IF(AO7=0,"",AO7)</f>
        <v>191</v>
      </c>
      <c r="BO7" s="215">
        <f t="shared" ref="BO7:BO18" si="16">IF(AQ7=0,"",AQ7)</f>
        <v>168</v>
      </c>
      <c r="BP7" s="215">
        <f t="shared" ref="BP7:BP18" si="17">IF(AS7=0,"",AS7)</f>
        <v>202</v>
      </c>
      <c r="BQ7" s="216"/>
      <c r="BR7" s="214"/>
      <c r="BS7" s="215">
        <f>MAX(BH7:BP7)</f>
        <v>202</v>
      </c>
      <c r="BT7" s="215">
        <f>IF(BS7&lt;MAX(BS:BS),0,BS7+ROW()/1000000000)</f>
        <v>0</v>
      </c>
      <c r="BU7" s="215" t="str">
        <f>+AA3</f>
        <v>Praetoria Regensburg</v>
      </c>
      <c r="BV7" s="214">
        <f>RANK(BT7,BT:BT)</f>
        <v>2</v>
      </c>
      <c r="BW7" s="215">
        <f>SUMIF(BH7:BP7,"&gt;0")</f>
        <v>1604</v>
      </c>
      <c r="BX7" s="215">
        <f>IF(COUNTIF(BH7:BP7,"&gt;0")&lt;Spielorte!$A$23,0,BE7/Spielorte!$A$23)</f>
        <v>178.22222222222223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2" customHeight="1" x14ac:dyDescent="0.35">
      <c r="A8" s="368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9"/>
      <c r="F8" s="78" t="str">
        <f t="shared" si="0"/>
        <v/>
      </c>
      <c r="G8" s="349"/>
      <c r="H8" s="78" t="str">
        <f t="shared" si="1"/>
        <v/>
      </c>
      <c r="I8" s="349"/>
      <c r="J8" s="78" t="str">
        <f t="shared" si="2"/>
        <v/>
      </c>
      <c r="K8" s="349"/>
      <c r="L8" s="78" t="str">
        <f t="shared" si="3"/>
        <v/>
      </c>
      <c r="M8" s="349"/>
      <c r="N8" s="78" t="str">
        <f t="shared" ref="N8:N20" si="20">IF(AM8=0,"",AM8)</f>
        <v/>
      </c>
      <c r="O8" s="349"/>
      <c r="P8" s="78" t="str">
        <f t="shared" si="4"/>
        <v/>
      </c>
      <c r="Q8" s="349"/>
      <c r="R8" s="78" t="str">
        <f t="shared" si="5"/>
        <v/>
      </c>
      <c r="S8" s="349"/>
      <c r="T8" s="78" t="str">
        <f t="shared" si="6"/>
        <v/>
      </c>
      <c r="U8" s="349"/>
      <c r="V8" s="78" t="str">
        <f t="shared" si="7"/>
        <v/>
      </c>
      <c r="W8" s="349"/>
      <c r="Z8" s="352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Praetoria Regensburg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2" customHeight="1" thickBot="1" x14ac:dyDescent="0.4">
      <c r="A9" s="369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0"/>
      <c r="F9" s="69" t="str">
        <f t="shared" si="0"/>
        <v/>
      </c>
      <c r="G9" s="350"/>
      <c r="H9" s="69" t="str">
        <f t="shared" si="1"/>
        <v/>
      </c>
      <c r="I9" s="350"/>
      <c r="J9" s="69" t="str">
        <f t="shared" si="2"/>
        <v/>
      </c>
      <c r="K9" s="350"/>
      <c r="L9" s="69" t="str">
        <f t="shared" si="3"/>
        <v/>
      </c>
      <c r="M9" s="350"/>
      <c r="N9" s="69" t="str">
        <f t="shared" si="20"/>
        <v/>
      </c>
      <c r="O9" s="350"/>
      <c r="P9" s="69" t="str">
        <f t="shared" si="4"/>
        <v/>
      </c>
      <c r="Q9" s="350"/>
      <c r="R9" s="69" t="str">
        <f t="shared" si="5"/>
        <v/>
      </c>
      <c r="S9" s="350"/>
      <c r="T9" s="69" t="str">
        <f t="shared" si="6"/>
        <v/>
      </c>
      <c r="U9" s="350"/>
      <c r="V9" s="69" t="str">
        <f t="shared" si="7"/>
        <v/>
      </c>
      <c r="W9" s="350"/>
      <c r="Z9" s="353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Praetoria Regensburg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2" customHeight="1" x14ac:dyDescent="0.35">
      <c r="A10" s="367" t="s">
        <v>2</v>
      </c>
      <c r="B10" s="73" t="str">
        <f t="shared" si="19"/>
        <v>Zahner, Barbara</v>
      </c>
      <c r="C10" s="74">
        <f t="shared" si="19"/>
        <v>7889</v>
      </c>
      <c r="D10" s="75">
        <f t="shared" si="19"/>
        <v>190</v>
      </c>
      <c r="E10" s="348">
        <f>IF(AD10="","",AD10)</f>
        <v>1</v>
      </c>
      <c r="F10" s="75">
        <f t="shared" si="0"/>
        <v>166</v>
      </c>
      <c r="G10" s="348">
        <f>IF(AF10="","",AF10)</f>
        <v>1</v>
      </c>
      <c r="H10" s="75">
        <f t="shared" si="1"/>
        <v>163</v>
      </c>
      <c r="I10" s="348">
        <f>IF(AH10="","",AH10)</f>
        <v>1</v>
      </c>
      <c r="J10" s="75">
        <f t="shared" si="2"/>
        <v>156</v>
      </c>
      <c r="K10" s="348">
        <f>IF(AJ10="","",AJ10)</f>
        <v>1</v>
      </c>
      <c r="L10" s="75">
        <f t="shared" si="3"/>
        <v>179</v>
      </c>
      <c r="M10" s="348">
        <f>IF(AL10="","",AL10)</f>
        <v>0</v>
      </c>
      <c r="N10" s="75">
        <f t="shared" si="20"/>
        <v>169</v>
      </c>
      <c r="O10" s="348">
        <f>IF(AN10="","",AN10)</f>
        <v>1</v>
      </c>
      <c r="P10" s="75">
        <f t="shared" si="4"/>
        <v>170</v>
      </c>
      <c r="Q10" s="348">
        <f>IF(AP10="","",AP10)</f>
        <v>1</v>
      </c>
      <c r="R10" s="75">
        <f t="shared" si="5"/>
        <v>193</v>
      </c>
      <c r="S10" s="348">
        <f>IF(AR10="","",AR10)</f>
        <v>1</v>
      </c>
      <c r="T10" s="75">
        <f t="shared" si="6"/>
        <v>156</v>
      </c>
      <c r="U10" s="348">
        <f>IF(AT10="","",AT10)</f>
        <v>1</v>
      </c>
      <c r="V10" s="75">
        <f t="shared" si="7"/>
        <v>1542</v>
      </c>
      <c r="W10" s="348">
        <f>IF(AV10="","",AV10)</f>
        <v>8</v>
      </c>
      <c r="Z10" s="351" t="s">
        <v>2</v>
      </c>
      <c r="AA10" s="108" t="str">
        <f>IF(AB10=0,"",VLOOKUP(AB10,Starter!$A$1:$D$199,2,FALSE))</f>
        <v>Zahner, Barbara</v>
      </c>
      <c r="AB10" s="99">
        <v>7889</v>
      </c>
      <c r="AC10" s="188">
        <v>190</v>
      </c>
      <c r="AD10" s="109">
        <f>IF(SUM(AC10:AC12)+AC26=0,0,IF(SUM(AC10:AC12)=AC26,0.5,IF(SUM(AC10:AC12)&gt;AC26,1,0)))</f>
        <v>1</v>
      </c>
      <c r="AE10" s="188">
        <v>166</v>
      </c>
      <c r="AF10" s="109">
        <f>IF(SUM(AE10:AE12)+AE26=0,0,IF(SUM(AE10:AE12)=AE26,0.5,IF(SUM(AE10:AE12)&gt;AE26,1,0)))</f>
        <v>1</v>
      </c>
      <c r="AG10" s="188">
        <v>163</v>
      </c>
      <c r="AH10" s="109">
        <f>IF(SUM(AG10:AG12)+AG26=0,0,IF(SUM(AG10:AG12)=AG26,0.5,IF(SUM(AG10:AG12)&gt;AG26,1,0)))</f>
        <v>1</v>
      </c>
      <c r="AI10" s="188">
        <v>156</v>
      </c>
      <c r="AJ10" s="109">
        <f>IF(SUM(AI10:AI12)+AI26=0,0,IF(SUM(AI10:AI12)=AI26,0.5,IF(SUM(AI10:AI12)&gt;AI26,1,0)))</f>
        <v>1</v>
      </c>
      <c r="AK10" s="188">
        <v>179</v>
      </c>
      <c r="AL10" s="109">
        <f>IF(SUM(AK10:AK12)+AK26=0,0,IF(SUM(AK10:AK12)=AK26,0.5,IF(SUM(AK10:AK12)&gt;AK26,1,0)))</f>
        <v>0</v>
      </c>
      <c r="AM10" s="188">
        <v>169</v>
      </c>
      <c r="AN10" s="109">
        <f>IF(SUM(AM10:AM12)+AM26=0,0,IF(SUM(AM10:AM12)=AM26,0.5,IF(SUM(AM10:AM12)&gt;AM26,1,0)))</f>
        <v>1</v>
      </c>
      <c r="AO10" s="188">
        <v>170</v>
      </c>
      <c r="AP10" s="109">
        <f>IF(SUM(AO10:AO12)+AO26=0,0,IF(SUM(AO10:AO12)=AO26,0.5,IF(SUM(AO10:AO12)&gt;AO26,1,0)))</f>
        <v>1</v>
      </c>
      <c r="AQ10" s="188">
        <v>193</v>
      </c>
      <c r="AR10" s="109">
        <f>IF(SUM(AQ10:AQ12)+AQ26=0,0,IF(SUM(AQ10:AQ12)=AQ26,0.5,IF(SUM(AQ10:AQ12)&gt;AQ26,1,0)))</f>
        <v>1</v>
      </c>
      <c r="AS10" s="188">
        <v>156</v>
      </c>
      <c r="AT10" s="109">
        <f>IF(SUM(AS10:AS12)+AS26=0,0,IF(SUM(AS10:AS12)=AS26,0.5,IF(SUM(AS10:AS12)&gt;AS26,1,0)))</f>
        <v>1</v>
      </c>
      <c r="AU10" s="110">
        <f t="shared" si="8"/>
        <v>1542</v>
      </c>
      <c r="AV10" s="111">
        <f>SUM(AD10+AF10+AH10+AJ10+AL10+AN10+AP10+AR10+AT10)</f>
        <v>8</v>
      </c>
      <c r="AW10" s="101"/>
      <c r="AX10" s="102"/>
      <c r="AZ10" s="63"/>
      <c r="BA10" s="212"/>
      <c r="BB10" s="213"/>
      <c r="BC10" s="214"/>
      <c r="BD10" s="217">
        <f t="shared" si="21"/>
        <v>7889</v>
      </c>
      <c r="BE10" s="213">
        <f t="shared" si="22"/>
        <v>1542</v>
      </c>
      <c r="BF10" s="215">
        <f t="shared" si="23"/>
        <v>9</v>
      </c>
      <c r="BG10" s="215">
        <f t="shared" si="24"/>
        <v>9</v>
      </c>
      <c r="BH10" s="215">
        <f t="shared" si="9"/>
        <v>190</v>
      </c>
      <c r="BI10" s="215">
        <f t="shared" si="10"/>
        <v>166</v>
      </c>
      <c r="BJ10" s="215">
        <f t="shared" si="11"/>
        <v>163</v>
      </c>
      <c r="BK10" s="215">
        <f t="shared" si="12"/>
        <v>156</v>
      </c>
      <c r="BL10" s="215">
        <f t="shared" si="13"/>
        <v>179</v>
      </c>
      <c r="BM10" s="215">
        <f t="shared" si="14"/>
        <v>169</v>
      </c>
      <c r="BN10" s="215">
        <f t="shared" si="15"/>
        <v>170</v>
      </c>
      <c r="BO10" s="215">
        <f t="shared" si="16"/>
        <v>193</v>
      </c>
      <c r="BP10" s="215">
        <f t="shared" si="17"/>
        <v>156</v>
      </c>
      <c r="BQ10" s="216"/>
      <c r="BR10" s="214"/>
      <c r="BS10" s="215">
        <f t="shared" si="25"/>
        <v>193</v>
      </c>
      <c r="BT10" s="215">
        <f t="shared" si="26"/>
        <v>0</v>
      </c>
      <c r="BU10" s="215" t="str">
        <f t="shared" si="27"/>
        <v>Praetoria Regensburg</v>
      </c>
      <c r="BV10" s="214">
        <f t="shared" si="28"/>
        <v>2</v>
      </c>
      <c r="BW10" s="215">
        <f t="shared" si="29"/>
        <v>1542</v>
      </c>
      <c r="BX10" s="215">
        <f>IF(COUNTIF(BH10:BP10,"&gt;0")&lt;Spielorte!$A$23,0,BE10/Spielorte!$A$23)</f>
        <v>171.33333333333334</v>
      </c>
      <c r="BY10" s="215">
        <f t="shared" si="30"/>
        <v>0</v>
      </c>
      <c r="BZ10" s="214">
        <f t="shared" si="18"/>
        <v>0</v>
      </c>
    </row>
    <row r="11" spans="1:78" ht="17.2" customHeight="1" x14ac:dyDescent="0.35">
      <c r="A11" s="368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9"/>
      <c r="F11" s="78" t="str">
        <f t="shared" si="0"/>
        <v/>
      </c>
      <c r="G11" s="349"/>
      <c r="H11" s="78" t="str">
        <f t="shared" si="1"/>
        <v/>
      </c>
      <c r="I11" s="349"/>
      <c r="J11" s="78" t="str">
        <f t="shared" si="2"/>
        <v/>
      </c>
      <c r="K11" s="349"/>
      <c r="L11" s="78" t="str">
        <f t="shared" si="3"/>
        <v/>
      </c>
      <c r="M11" s="349"/>
      <c r="N11" s="78" t="str">
        <f t="shared" si="20"/>
        <v/>
      </c>
      <c r="O11" s="349"/>
      <c r="P11" s="78" t="str">
        <f t="shared" si="4"/>
        <v/>
      </c>
      <c r="Q11" s="349"/>
      <c r="R11" s="78" t="str">
        <f t="shared" si="5"/>
        <v/>
      </c>
      <c r="S11" s="349"/>
      <c r="T11" s="78" t="str">
        <f t="shared" si="6"/>
        <v/>
      </c>
      <c r="U11" s="349"/>
      <c r="V11" s="78" t="str">
        <f t="shared" si="7"/>
        <v/>
      </c>
      <c r="W11" s="349"/>
      <c r="Z11" s="352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Praetoria Regensburg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2" customHeight="1" thickBot="1" x14ac:dyDescent="0.4">
      <c r="A12" s="369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0"/>
      <c r="F12" s="69" t="str">
        <f t="shared" si="0"/>
        <v/>
      </c>
      <c r="G12" s="350"/>
      <c r="H12" s="69" t="str">
        <f t="shared" si="1"/>
        <v/>
      </c>
      <c r="I12" s="350"/>
      <c r="J12" s="69" t="str">
        <f t="shared" si="2"/>
        <v/>
      </c>
      <c r="K12" s="350"/>
      <c r="L12" s="69" t="str">
        <f t="shared" si="3"/>
        <v/>
      </c>
      <c r="M12" s="350"/>
      <c r="N12" s="69" t="str">
        <f t="shared" si="20"/>
        <v/>
      </c>
      <c r="O12" s="350"/>
      <c r="P12" s="69" t="str">
        <f t="shared" si="4"/>
        <v/>
      </c>
      <c r="Q12" s="350"/>
      <c r="R12" s="69" t="str">
        <f t="shared" si="5"/>
        <v/>
      </c>
      <c r="S12" s="350"/>
      <c r="T12" s="69" t="str">
        <f t="shared" si="6"/>
        <v/>
      </c>
      <c r="U12" s="350"/>
      <c r="V12" s="69" t="str">
        <f t="shared" si="7"/>
        <v/>
      </c>
      <c r="W12" s="350"/>
      <c r="Z12" s="353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Praetoria Regensburg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2" customHeight="1" x14ac:dyDescent="0.35">
      <c r="A13" s="367" t="s">
        <v>3</v>
      </c>
      <c r="B13" s="73" t="str">
        <f t="shared" si="19"/>
        <v>Bösl, Anna</v>
      </c>
      <c r="C13" s="74">
        <f t="shared" si="19"/>
        <v>38258</v>
      </c>
      <c r="D13" s="75">
        <f t="shared" si="19"/>
        <v>177</v>
      </c>
      <c r="E13" s="348">
        <f>IF(AD13="","",AD13)</f>
        <v>1</v>
      </c>
      <c r="F13" s="75">
        <f t="shared" si="0"/>
        <v>170</v>
      </c>
      <c r="G13" s="348">
        <f>IF(AF13="","",AF13)</f>
        <v>1</v>
      </c>
      <c r="H13" s="75">
        <f t="shared" si="1"/>
        <v>150</v>
      </c>
      <c r="I13" s="348">
        <f>IF(AH13="","",AH13)</f>
        <v>0</v>
      </c>
      <c r="J13" s="75">
        <f t="shared" si="2"/>
        <v>145</v>
      </c>
      <c r="K13" s="348">
        <f>IF(AJ13="","",AJ13)</f>
        <v>0</v>
      </c>
      <c r="L13" s="75" t="str">
        <f t="shared" si="3"/>
        <v/>
      </c>
      <c r="M13" s="348">
        <f>IF(AL13="","",AL13)</f>
        <v>0</v>
      </c>
      <c r="N13" s="75">
        <f t="shared" si="20"/>
        <v>179</v>
      </c>
      <c r="O13" s="348">
        <f>IF(AN13="","",AN13)</f>
        <v>1</v>
      </c>
      <c r="P13" s="75">
        <f t="shared" si="4"/>
        <v>167</v>
      </c>
      <c r="Q13" s="348">
        <f>IF(AP13="","",AP13)</f>
        <v>0</v>
      </c>
      <c r="R13" s="75">
        <f t="shared" si="5"/>
        <v>157</v>
      </c>
      <c r="S13" s="348">
        <f>IF(AR13="","",AR13)</f>
        <v>1</v>
      </c>
      <c r="T13" s="75" t="str">
        <f t="shared" si="6"/>
        <v/>
      </c>
      <c r="U13" s="348">
        <f>IF(AT13="","",AT13)</f>
        <v>0</v>
      </c>
      <c r="V13" s="75">
        <f t="shared" si="7"/>
        <v>1145</v>
      </c>
      <c r="W13" s="348">
        <f>IF(AV13="","",AV13)</f>
        <v>4</v>
      </c>
      <c r="Z13" s="351" t="s">
        <v>3</v>
      </c>
      <c r="AA13" s="108" t="str">
        <f>IF(AB13=0,"",VLOOKUP(AB13,Starter!$A$1:$D$199,2,FALSE))</f>
        <v>Bösl, Anna</v>
      </c>
      <c r="AB13" s="99">
        <v>38258</v>
      </c>
      <c r="AC13" s="188">
        <v>177</v>
      </c>
      <c r="AD13" s="109">
        <f>IF(SUM(AC13:AC15)+AC27=0,0,IF(SUM(AC13:AC15)=AC27,0.5,IF(SUM(AC13:AC15)&gt;AC27,1,0)))</f>
        <v>1</v>
      </c>
      <c r="AE13" s="188">
        <v>170</v>
      </c>
      <c r="AF13" s="109">
        <f>IF(SUM(AE13:AE15)+AE27=0,0,IF(SUM(AE13:AE15)=AE27,0.5,IF(SUM(AE13:AE15)&gt;AE27,1,0)))</f>
        <v>1</v>
      </c>
      <c r="AG13" s="188">
        <v>150</v>
      </c>
      <c r="AH13" s="109">
        <f>IF(SUM(AG13:AG15)+AG27=0,0,IF(SUM(AG13:AG15)=AG27,0.5,IF(SUM(AG13:AG15)&gt;AG27,1,0)))</f>
        <v>0</v>
      </c>
      <c r="AI13" s="188">
        <v>145</v>
      </c>
      <c r="AJ13" s="109">
        <f>IF(SUM(AI13:AI15)+AI27=0,0,IF(SUM(AI13:AI15)=AI27,0.5,IF(SUM(AI13:AI15)&gt;AI27,1,0)))</f>
        <v>0</v>
      </c>
      <c r="AK13" s="188"/>
      <c r="AL13" s="109">
        <f>IF(SUM(AK13:AK15)+AK27=0,0,IF(SUM(AK13:AK15)=AK27,0.5,IF(SUM(AK13:AK15)&gt;AK27,1,0)))</f>
        <v>0</v>
      </c>
      <c r="AM13" s="188">
        <v>179</v>
      </c>
      <c r="AN13" s="109">
        <f>IF(SUM(AM13:AM15)+AM27=0,0,IF(SUM(AM13:AM15)=AM27,0.5,IF(SUM(AM13:AM15)&gt;AM27,1,0)))</f>
        <v>1</v>
      </c>
      <c r="AO13" s="188">
        <v>167</v>
      </c>
      <c r="AP13" s="109">
        <f>IF(SUM(AO13:AO15)+AO27=0,0,IF(SUM(AO13:AO15)=AO27,0.5,IF(SUM(AO13:AO15)&gt;AO27,1,0)))</f>
        <v>0</v>
      </c>
      <c r="AQ13" s="188">
        <v>157</v>
      </c>
      <c r="AR13" s="109">
        <f>IF(SUM(AQ13:AQ15)+AQ27=0,0,IF(SUM(AQ13:AQ15)=AQ27,0.5,IF(SUM(AQ13:AQ15)&gt;AQ27,1,0)))</f>
        <v>1</v>
      </c>
      <c r="AS13" s="188"/>
      <c r="AT13" s="109">
        <f>IF(SUM(AS13:AS15)+AS27=0,0,IF(SUM(AS13:AS15)=AS27,0.5,IF(SUM(AS13:AS15)&gt;AS27,1,0)))</f>
        <v>0</v>
      </c>
      <c r="AU13" s="110">
        <f t="shared" si="8"/>
        <v>1145</v>
      </c>
      <c r="AV13" s="111">
        <f>SUM(AD13+AF13+AH13+AJ13+AL13+AN13+AP13+AR13+AT13)</f>
        <v>4</v>
      </c>
      <c r="AW13" s="101"/>
      <c r="AX13" s="102"/>
      <c r="AZ13" s="63"/>
      <c r="BA13" s="212"/>
      <c r="BB13" s="213"/>
      <c r="BC13" s="214"/>
      <c r="BD13" s="217">
        <f t="shared" si="21"/>
        <v>38258</v>
      </c>
      <c r="BE13" s="213">
        <f t="shared" si="22"/>
        <v>1145</v>
      </c>
      <c r="BF13" s="215">
        <f t="shared" si="23"/>
        <v>7</v>
      </c>
      <c r="BG13" s="215">
        <f t="shared" si="24"/>
        <v>7</v>
      </c>
      <c r="BH13" s="215">
        <f t="shared" si="9"/>
        <v>177</v>
      </c>
      <c r="BI13" s="215">
        <f t="shared" si="10"/>
        <v>170</v>
      </c>
      <c r="BJ13" s="215">
        <f t="shared" si="11"/>
        <v>150</v>
      </c>
      <c r="BK13" s="215">
        <f t="shared" si="12"/>
        <v>145</v>
      </c>
      <c r="BL13" s="215" t="str">
        <f t="shared" si="13"/>
        <v/>
      </c>
      <c r="BM13" s="215">
        <f t="shared" si="14"/>
        <v>179</v>
      </c>
      <c r="BN13" s="215">
        <f t="shared" si="15"/>
        <v>167</v>
      </c>
      <c r="BO13" s="215">
        <f t="shared" si="16"/>
        <v>157</v>
      </c>
      <c r="BP13" s="215" t="str">
        <f t="shared" si="17"/>
        <v/>
      </c>
      <c r="BQ13" s="216"/>
      <c r="BR13" s="214"/>
      <c r="BS13" s="215">
        <f t="shared" si="25"/>
        <v>179</v>
      </c>
      <c r="BT13" s="215">
        <f t="shared" si="26"/>
        <v>0</v>
      </c>
      <c r="BU13" s="215" t="str">
        <f t="shared" si="27"/>
        <v>Praetoria Regensburg</v>
      </c>
      <c r="BV13" s="214">
        <f t="shared" si="28"/>
        <v>2</v>
      </c>
      <c r="BW13" s="215">
        <f t="shared" si="29"/>
        <v>1145</v>
      </c>
      <c r="BX13" s="215">
        <f>IF(COUNTIF(BH13:BP13,"&gt;0")&lt;Spielorte!$A$23,0,BE13/Spielorte!$A$23)</f>
        <v>0</v>
      </c>
      <c r="BY13" s="215">
        <f t="shared" si="30"/>
        <v>0</v>
      </c>
      <c r="BZ13" s="214">
        <f t="shared" si="18"/>
        <v>0</v>
      </c>
    </row>
    <row r="14" spans="1:78" ht="17.2" customHeight="1" x14ac:dyDescent="0.35">
      <c r="A14" s="368"/>
      <c r="B14" s="76" t="str">
        <f t="shared" si="19"/>
        <v>Spieler, Regina</v>
      </c>
      <c r="C14" s="77">
        <f t="shared" si="19"/>
        <v>7903</v>
      </c>
      <c r="D14" s="78" t="str">
        <f t="shared" si="19"/>
        <v/>
      </c>
      <c r="E14" s="349"/>
      <c r="F14" s="78" t="str">
        <f t="shared" si="0"/>
        <v/>
      </c>
      <c r="G14" s="349"/>
      <c r="H14" s="78" t="str">
        <f t="shared" si="1"/>
        <v/>
      </c>
      <c r="I14" s="349"/>
      <c r="J14" s="78" t="str">
        <f t="shared" si="2"/>
        <v/>
      </c>
      <c r="K14" s="349"/>
      <c r="L14" s="78">
        <f t="shared" si="3"/>
        <v>157</v>
      </c>
      <c r="M14" s="349"/>
      <c r="N14" s="78" t="str">
        <f t="shared" si="20"/>
        <v/>
      </c>
      <c r="O14" s="349"/>
      <c r="P14" s="78" t="str">
        <f t="shared" si="4"/>
        <v/>
      </c>
      <c r="Q14" s="349"/>
      <c r="R14" s="78" t="str">
        <f t="shared" si="5"/>
        <v/>
      </c>
      <c r="S14" s="349"/>
      <c r="T14" s="78">
        <f t="shared" si="6"/>
        <v>152</v>
      </c>
      <c r="U14" s="349"/>
      <c r="V14" s="78">
        <f t="shared" si="7"/>
        <v>309</v>
      </c>
      <c r="W14" s="349"/>
      <c r="Z14" s="352"/>
      <c r="AA14" s="108" t="str">
        <f>IF(AB14=0,"",VLOOKUP(AB14,Starter!$A$1:$D$199,2,FALSE))</f>
        <v>Spieler, Regina</v>
      </c>
      <c r="AB14" s="98">
        <v>7903</v>
      </c>
      <c r="AC14" s="186"/>
      <c r="AD14" s="112"/>
      <c r="AE14" s="186"/>
      <c r="AF14" s="112"/>
      <c r="AG14" s="186"/>
      <c r="AH14" s="112"/>
      <c r="AI14" s="186"/>
      <c r="AJ14" s="112"/>
      <c r="AK14" s="186">
        <v>157</v>
      </c>
      <c r="AL14" s="112"/>
      <c r="AM14" s="186"/>
      <c r="AN14" s="112"/>
      <c r="AO14" s="186"/>
      <c r="AP14" s="112"/>
      <c r="AQ14" s="186"/>
      <c r="AR14" s="112"/>
      <c r="AS14" s="186">
        <v>152</v>
      </c>
      <c r="AT14" s="112"/>
      <c r="AU14" s="113">
        <f t="shared" si="8"/>
        <v>309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7903</v>
      </c>
      <c r="BE14" s="213">
        <f t="shared" si="22"/>
        <v>309</v>
      </c>
      <c r="BF14" s="215">
        <f t="shared" si="23"/>
        <v>2</v>
      </c>
      <c r="BG14" s="215">
        <f t="shared" si="24"/>
        <v>2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>
        <f t="shared" si="13"/>
        <v>157</v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>
        <f t="shared" si="17"/>
        <v>152</v>
      </c>
      <c r="BQ14" s="216"/>
      <c r="BR14" s="214"/>
      <c r="BS14" s="215">
        <f t="shared" si="25"/>
        <v>157</v>
      </c>
      <c r="BT14" s="215">
        <f t="shared" si="26"/>
        <v>0</v>
      </c>
      <c r="BU14" s="215" t="str">
        <f t="shared" si="27"/>
        <v>Praetoria Regensburg</v>
      </c>
      <c r="BV14" s="214">
        <f t="shared" si="28"/>
        <v>2</v>
      </c>
      <c r="BW14" s="215">
        <f t="shared" si="29"/>
        <v>309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2" customHeight="1" thickBot="1" x14ac:dyDescent="0.4">
      <c r="A15" s="369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0"/>
      <c r="F15" s="69" t="str">
        <f t="shared" si="0"/>
        <v/>
      </c>
      <c r="G15" s="350"/>
      <c r="H15" s="69" t="str">
        <f t="shared" si="1"/>
        <v/>
      </c>
      <c r="I15" s="350"/>
      <c r="J15" s="69" t="str">
        <f t="shared" si="2"/>
        <v/>
      </c>
      <c r="K15" s="350"/>
      <c r="L15" s="69" t="str">
        <f t="shared" si="3"/>
        <v/>
      </c>
      <c r="M15" s="350"/>
      <c r="N15" s="69" t="str">
        <f t="shared" si="20"/>
        <v/>
      </c>
      <c r="O15" s="350"/>
      <c r="P15" s="69" t="str">
        <f t="shared" si="4"/>
        <v/>
      </c>
      <c r="Q15" s="350"/>
      <c r="R15" s="69" t="str">
        <f t="shared" si="5"/>
        <v/>
      </c>
      <c r="S15" s="350"/>
      <c r="T15" s="69" t="str">
        <f t="shared" si="6"/>
        <v/>
      </c>
      <c r="U15" s="350"/>
      <c r="V15" s="69" t="str">
        <f t="shared" si="7"/>
        <v/>
      </c>
      <c r="W15" s="350"/>
      <c r="Z15" s="353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Praetoria Regensburg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2" customHeight="1" x14ac:dyDescent="0.35">
      <c r="A16" s="367" t="s">
        <v>11</v>
      </c>
      <c r="B16" s="73" t="str">
        <f>IF(AA16=0,"",AA16)</f>
        <v>Schlundt, Sabrina</v>
      </c>
      <c r="C16" s="74">
        <f t="shared" si="19"/>
        <v>25751</v>
      </c>
      <c r="D16" s="75">
        <f t="shared" si="19"/>
        <v>214</v>
      </c>
      <c r="E16" s="348">
        <f>IF(AD16="","",AD16)</f>
        <v>1</v>
      </c>
      <c r="F16" s="75">
        <f t="shared" si="0"/>
        <v>194</v>
      </c>
      <c r="G16" s="348">
        <f>IF(AF16="","",AF16)</f>
        <v>1</v>
      </c>
      <c r="H16" s="75">
        <f t="shared" si="1"/>
        <v>164</v>
      </c>
      <c r="I16" s="348">
        <f>IF(AH16="","",AH16)</f>
        <v>1</v>
      </c>
      <c r="J16" s="75">
        <f t="shared" si="2"/>
        <v>211</v>
      </c>
      <c r="K16" s="348">
        <f>IF(AJ16="","",AJ16)</f>
        <v>1</v>
      </c>
      <c r="L16" s="75">
        <f t="shared" si="3"/>
        <v>198</v>
      </c>
      <c r="M16" s="348">
        <f>IF(AL16="","",AL16)</f>
        <v>0</v>
      </c>
      <c r="N16" s="75">
        <f t="shared" si="20"/>
        <v>212</v>
      </c>
      <c r="O16" s="348">
        <f>IF(AN16="","",AN16)</f>
        <v>1</v>
      </c>
      <c r="P16" s="75">
        <f t="shared" si="4"/>
        <v>171</v>
      </c>
      <c r="Q16" s="348">
        <f>IF(AP16="","",AP16)</f>
        <v>0</v>
      </c>
      <c r="R16" s="75">
        <f t="shared" si="5"/>
        <v>169</v>
      </c>
      <c r="S16" s="348">
        <f>IF(AR16="","",AR16)</f>
        <v>0</v>
      </c>
      <c r="T16" s="75">
        <f t="shared" si="6"/>
        <v>155</v>
      </c>
      <c r="U16" s="348">
        <f>IF(AT16="","",AT16)</f>
        <v>0</v>
      </c>
      <c r="V16" s="75">
        <f t="shared" si="7"/>
        <v>1688</v>
      </c>
      <c r="W16" s="348">
        <f>IF(AV16="","",AV16)</f>
        <v>5</v>
      </c>
      <c r="Z16" s="351" t="s">
        <v>11</v>
      </c>
      <c r="AA16" s="108" t="str">
        <f>IF(AB16=0,"",VLOOKUP(AB16,Starter!$A$1:$D$199,2,FALSE))</f>
        <v>Schlundt, Sabrina</v>
      </c>
      <c r="AB16" s="99">
        <v>25751</v>
      </c>
      <c r="AC16" s="188">
        <v>214</v>
      </c>
      <c r="AD16" s="109">
        <f>IF(SUM(AC16:AC18)+AC28=0,0,IF(SUM(AC16:AC18)=AC28,0.5,IF(SUM(AC16:AC18)&gt;AC28,1,0)))</f>
        <v>1</v>
      </c>
      <c r="AE16" s="188">
        <v>194</v>
      </c>
      <c r="AF16" s="109">
        <f>IF(SUM(AE16:AE18)+AE28=0,0,IF(SUM(AE16:AE18)=AE28,0.5,IF(SUM(AE16:AE18)&gt;AE28,1,0)))</f>
        <v>1</v>
      </c>
      <c r="AG16" s="188">
        <v>164</v>
      </c>
      <c r="AH16" s="109">
        <f>IF(SUM(AG16:AG18)+AG28=0,0,IF(SUM(AG16:AG18)=AG28,0.5,IF(SUM(AG16:AG18)&gt;AG28,1,0)))</f>
        <v>1</v>
      </c>
      <c r="AI16" s="188">
        <v>211</v>
      </c>
      <c r="AJ16" s="109">
        <f>IF(SUM(AI16:AI18)+AI28=0,0,IF(SUM(AI16:AI18)=AI28,0.5,IF(SUM(AI16:AI18)&gt;AI28,1,0)))</f>
        <v>1</v>
      </c>
      <c r="AK16" s="188">
        <v>198</v>
      </c>
      <c r="AL16" s="109">
        <f>IF(SUM(AK16:AK18)+AK28=0,0,IF(SUM(AK16:AK18)=AK28,0.5,IF(SUM(AK16:AK18)&gt;AK28,1,0)))</f>
        <v>0</v>
      </c>
      <c r="AM16" s="188">
        <v>212</v>
      </c>
      <c r="AN16" s="109">
        <f>IF(SUM(AM16:AM18)+AM28=0,0,IF(SUM(AM16:AM18)=AM28,0.5,IF(SUM(AM16:AM18)&gt;AM28,1,0)))</f>
        <v>1</v>
      </c>
      <c r="AO16" s="188">
        <v>171</v>
      </c>
      <c r="AP16" s="109">
        <f>IF(SUM(AO16:AO18)+AO28=0,0,IF(SUM(AO16:AO18)=AO28,0.5,IF(SUM(AO16:AO18)&gt;AO28,1,0)))</f>
        <v>0</v>
      </c>
      <c r="AQ16" s="188">
        <v>169</v>
      </c>
      <c r="AR16" s="109">
        <f>IF(SUM(AQ16:AQ18)+AQ28=0,0,IF(SUM(AQ16:AQ18)=AQ28,0.5,IF(SUM(AQ16:AQ18)&gt;AQ28,1,0)))</f>
        <v>0</v>
      </c>
      <c r="AS16" s="188">
        <v>155</v>
      </c>
      <c r="AT16" s="109">
        <f>IF(SUM(AS16:AS18)+AS28=0,0,IF(SUM(AS16:AS18)=AS28,0.5,IF(SUM(AS16:AS18)&gt;AS28,1,0)))</f>
        <v>0</v>
      </c>
      <c r="AU16" s="110">
        <f t="shared" si="8"/>
        <v>1688</v>
      </c>
      <c r="AV16" s="111">
        <f>SUM(AD16+AF16+AH16+AJ16+AL16+AN16+AP16+AR16+AT16)</f>
        <v>5</v>
      </c>
      <c r="AW16" s="101"/>
      <c r="AX16" s="102"/>
      <c r="AZ16" s="63"/>
      <c r="BA16" s="212"/>
      <c r="BB16" s="213"/>
      <c r="BC16" s="214"/>
      <c r="BD16" s="217">
        <f t="shared" si="21"/>
        <v>25751</v>
      </c>
      <c r="BE16" s="213">
        <f t="shared" si="22"/>
        <v>1688</v>
      </c>
      <c r="BF16" s="215">
        <f t="shared" si="23"/>
        <v>9</v>
      </c>
      <c r="BG16" s="215">
        <f t="shared" si="24"/>
        <v>9</v>
      </c>
      <c r="BH16" s="215">
        <f t="shared" si="9"/>
        <v>214</v>
      </c>
      <c r="BI16" s="215">
        <f t="shared" si="10"/>
        <v>194</v>
      </c>
      <c r="BJ16" s="215">
        <f t="shared" si="11"/>
        <v>164</v>
      </c>
      <c r="BK16" s="215">
        <f t="shared" si="12"/>
        <v>211</v>
      </c>
      <c r="BL16" s="215">
        <f t="shared" si="13"/>
        <v>198</v>
      </c>
      <c r="BM16" s="215">
        <f t="shared" si="14"/>
        <v>212</v>
      </c>
      <c r="BN16" s="215">
        <f t="shared" si="15"/>
        <v>171</v>
      </c>
      <c r="BO16" s="215">
        <f t="shared" si="16"/>
        <v>169</v>
      </c>
      <c r="BP16" s="215">
        <f t="shared" si="17"/>
        <v>155</v>
      </c>
      <c r="BQ16" s="216"/>
      <c r="BR16" s="214"/>
      <c r="BS16" s="215">
        <f t="shared" si="25"/>
        <v>214</v>
      </c>
      <c r="BT16" s="215">
        <f t="shared" si="26"/>
        <v>0</v>
      </c>
      <c r="BU16" s="215" t="str">
        <f t="shared" si="27"/>
        <v>Praetoria Regensburg</v>
      </c>
      <c r="BV16" s="214">
        <f t="shared" si="28"/>
        <v>2</v>
      </c>
      <c r="BW16" s="215">
        <f t="shared" si="29"/>
        <v>1688</v>
      </c>
      <c r="BX16" s="215">
        <f>IF(COUNTIF(BH16:BP16,"&gt;0")&lt;Spielorte!$A$23,0,BE16/Spielorte!$A$23)</f>
        <v>187.55555555555554</v>
      </c>
      <c r="BY16" s="215">
        <f t="shared" si="30"/>
        <v>187.55555557155554</v>
      </c>
      <c r="BZ16" s="214">
        <f t="shared" si="18"/>
        <v>1</v>
      </c>
    </row>
    <row r="17" spans="1:78" ht="17.2" customHeight="1" x14ac:dyDescent="0.35">
      <c r="A17" s="368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9"/>
      <c r="F17" s="78" t="str">
        <f t="shared" si="0"/>
        <v/>
      </c>
      <c r="G17" s="349"/>
      <c r="H17" s="78" t="str">
        <f t="shared" si="1"/>
        <v/>
      </c>
      <c r="I17" s="349"/>
      <c r="J17" s="78" t="str">
        <f t="shared" si="2"/>
        <v/>
      </c>
      <c r="K17" s="349"/>
      <c r="L17" s="78" t="str">
        <f t="shared" si="3"/>
        <v/>
      </c>
      <c r="M17" s="349"/>
      <c r="N17" s="78" t="str">
        <f t="shared" si="20"/>
        <v/>
      </c>
      <c r="O17" s="349"/>
      <c r="P17" s="78" t="str">
        <f t="shared" si="4"/>
        <v/>
      </c>
      <c r="Q17" s="349"/>
      <c r="R17" s="78" t="str">
        <f t="shared" si="5"/>
        <v/>
      </c>
      <c r="S17" s="349"/>
      <c r="T17" s="78" t="str">
        <f t="shared" si="6"/>
        <v/>
      </c>
      <c r="U17" s="349"/>
      <c r="V17" s="78" t="str">
        <f t="shared" si="7"/>
        <v/>
      </c>
      <c r="W17" s="349"/>
      <c r="Z17" s="352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Praetoria Regensburg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2" customHeight="1" thickBot="1" x14ac:dyDescent="0.4">
      <c r="A18" s="369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0"/>
      <c r="F18" s="69" t="str">
        <f t="shared" si="0"/>
        <v/>
      </c>
      <c r="G18" s="350"/>
      <c r="H18" s="69" t="str">
        <f t="shared" si="1"/>
        <v/>
      </c>
      <c r="I18" s="350"/>
      <c r="J18" s="69" t="str">
        <f t="shared" si="2"/>
        <v/>
      </c>
      <c r="K18" s="350"/>
      <c r="L18" s="69" t="str">
        <f t="shared" si="3"/>
        <v/>
      </c>
      <c r="M18" s="350"/>
      <c r="N18" s="69" t="str">
        <f t="shared" si="20"/>
        <v/>
      </c>
      <c r="O18" s="350"/>
      <c r="P18" s="69" t="str">
        <f t="shared" si="4"/>
        <v/>
      </c>
      <c r="Q18" s="350"/>
      <c r="R18" s="69" t="str">
        <f t="shared" si="5"/>
        <v/>
      </c>
      <c r="S18" s="350"/>
      <c r="T18" s="69" t="str">
        <f t="shared" si="6"/>
        <v/>
      </c>
      <c r="U18" s="350"/>
      <c r="V18" s="69" t="str">
        <f t="shared" si="7"/>
        <v/>
      </c>
      <c r="W18" s="350"/>
      <c r="Z18" s="353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Praetoria Regensburg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4">
      <c r="B19" s="81" t="str">
        <f>IF(AA19=0,"",AA19)</f>
        <v>Gesamt</v>
      </c>
      <c r="C19" s="82" t="str">
        <f t="shared" si="19"/>
        <v/>
      </c>
      <c r="D19" s="83">
        <f t="shared" si="19"/>
        <v>776</v>
      </c>
      <c r="E19" s="84">
        <f>IF(AD19="","",AD19)</f>
        <v>2</v>
      </c>
      <c r="F19" s="83">
        <f t="shared" si="0"/>
        <v>716</v>
      </c>
      <c r="G19" s="84">
        <f>IF(AF19="","",AF19)</f>
        <v>2</v>
      </c>
      <c r="H19" s="83">
        <f t="shared" si="1"/>
        <v>643</v>
      </c>
      <c r="I19" s="84">
        <f>IF(AH19="","",AH19)</f>
        <v>2</v>
      </c>
      <c r="J19" s="83">
        <f t="shared" si="2"/>
        <v>647</v>
      </c>
      <c r="K19" s="84">
        <f>IF(AJ19="","",AJ19)</f>
        <v>2</v>
      </c>
      <c r="L19" s="83">
        <f t="shared" si="3"/>
        <v>708</v>
      </c>
      <c r="M19" s="84">
        <f>IF(AL19="","",AL19)</f>
        <v>0</v>
      </c>
      <c r="N19" s="83">
        <f t="shared" si="20"/>
        <v>747</v>
      </c>
      <c r="O19" s="84">
        <f>IF(AN19="","",AN19)</f>
        <v>2</v>
      </c>
      <c r="P19" s="83">
        <f t="shared" si="4"/>
        <v>699</v>
      </c>
      <c r="Q19" s="84">
        <f>IF(AP19="","",AP19)</f>
        <v>2</v>
      </c>
      <c r="R19" s="83">
        <f t="shared" si="5"/>
        <v>687</v>
      </c>
      <c r="S19" s="84">
        <f>IF(AR19="","",AR19)</f>
        <v>2</v>
      </c>
      <c r="T19" s="83">
        <f t="shared" si="6"/>
        <v>665</v>
      </c>
      <c r="U19" s="84">
        <f>IF(AT19="","",AT19)</f>
        <v>0</v>
      </c>
      <c r="V19" s="83">
        <f t="shared" si="7"/>
        <v>6288</v>
      </c>
      <c r="W19" s="84">
        <f>IF(AV19="","",AV19)</f>
        <v>14</v>
      </c>
      <c r="AA19" s="81" t="s">
        <v>1799</v>
      </c>
      <c r="AB19" s="120"/>
      <c r="AC19" s="211">
        <f>ABS(SUM(AC7:AC9))+ABS(SUM(AC10:AC12))+ABS(SUM(AC13:AC15))+ABS(SUM(AC16:AC18))</f>
        <v>776</v>
      </c>
      <c r="AD19" s="121">
        <f>IF(AC19+AC29=0,0,IF(AC19=AC29,1,IF(AC19&gt;AC29,2,0)))</f>
        <v>2</v>
      </c>
      <c r="AE19" s="211">
        <f>ABS(SUM(AE7:AE9))+ABS(SUM(AE10:AE12))+ABS(SUM(AE13:AE15))+ABS(SUM(AE16:AE18))</f>
        <v>716</v>
      </c>
      <c r="AF19" s="121">
        <f>IF(AE19+AE29=0,0,IF(AE19=AE29,1,IF(AE19&gt;AE29,2,0)))</f>
        <v>2</v>
      </c>
      <c r="AG19" s="211">
        <f>ABS(SUM(AG7:AG9))+ABS(SUM(AG10:AG12))+ABS(SUM(AG13:AG15))+ABS(SUM(AG16:AG18))</f>
        <v>643</v>
      </c>
      <c r="AH19" s="121">
        <f>IF(AG19+AG29=0,0,IF(AG19=AG29,1,IF(AG19&gt;AG29,2,0)))</f>
        <v>2</v>
      </c>
      <c r="AI19" s="211">
        <f>ABS(SUM(AI7:AI9))+ABS(SUM(AI10:AI12))+ABS(SUM(AI13:AI15))+ABS(SUM(AI16:AI18))</f>
        <v>647</v>
      </c>
      <c r="AJ19" s="121">
        <f>IF(AI19+AI29=0,0,IF(AI19=AI29,1,IF(AI19&gt;AI29,2,0)))</f>
        <v>2</v>
      </c>
      <c r="AK19" s="211">
        <f>ABS(SUM(AK7:AK9))+ABS(SUM(AK10:AK12))+ABS(SUM(AK13:AK15))+ABS(SUM(AK16:AK18))</f>
        <v>708</v>
      </c>
      <c r="AL19" s="121">
        <f>IF(AK19+AK29=0,0,IF(AK19=AK29,1,IF(AK19&gt;AK29,2,0)))</f>
        <v>0</v>
      </c>
      <c r="AM19" s="211">
        <f>ABS(SUM(AM7:AM9))+ABS(SUM(AM10:AM12))+ABS(SUM(AM13:AM15))+ABS(SUM(AM16:AM18))</f>
        <v>747</v>
      </c>
      <c r="AN19" s="121">
        <f>IF(AM19+AM29=0,0,IF(AM19=AM29,1,IF(AM19&gt;AM29,2,0)))</f>
        <v>2</v>
      </c>
      <c r="AO19" s="211">
        <f>ABS(SUM(AO7:AO9))+ABS(SUM(AO10:AO12))+ABS(SUM(AO13:AO15))+ABS(SUM(AO16:AO18))</f>
        <v>699</v>
      </c>
      <c r="AP19" s="121">
        <f>IF(AO19+AO29=0,0,IF(AO19=AO29,1,IF(AO19&gt;AO29,2,0)))</f>
        <v>2</v>
      </c>
      <c r="AQ19" s="211">
        <f>ABS(SUM(AQ7:AQ9))+ABS(SUM(AQ10:AQ12))+ABS(SUM(AQ13:AQ15))+ABS(SUM(AQ16:AQ18))</f>
        <v>687</v>
      </c>
      <c r="AR19" s="121">
        <f>IF(AQ19+AQ29=0,0,IF(AQ19=AQ29,1,IF(AQ19&gt;AQ29,2,0)))</f>
        <v>2</v>
      </c>
      <c r="AS19" s="211">
        <f>ABS(SUM(AS7:AS9))+ABS(SUM(AS10:AS12))+ABS(SUM(AS13:AS15))+ABS(SUM(AS16:AS18))</f>
        <v>665</v>
      </c>
      <c r="AT19" s="121">
        <f>IF(AS19+AS29=0,0,IF(AS19=AS29,1,IF(AS19&gt;AS29,2,0)))</f>
        <v>0</v>
      </c>
      <c r="AU19" s="122">
        <f>SUM(AC19+AE19+AG19+AI19+AK19+AM19+AO19+AQ19+AS19)</f>
        <v>6288</v>
      </c>
      <c r="AV19" s="123">
        <f>SUM(AD19+AF19+AH19+AJ19+AL19+AN19+AP19+AR19+AT19)</f>
        <v>14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4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6</v>
      </c>
      <c r="F20" s="86" t="str">
        <f t="shared" si="0"/>
        <v/>
      </c>
      <c r="G20" s="87">
        <f>IF(AF20="","",AF20)</f>
        <v>6</v>
      </c>
      <c r="H20" s="86" t="str">
        <f t="shared" si="1"/>
        <v/>
      </c>
      <c r="I20" s="87">
        <f>IF(AH20="","",AH20)</f>
        <v>4</v>
      </c>
      <c r="J20" s="86" t="str">
        <f t="shared" si="2"/>
        <v/>
      </c>
      <c r="K20" s="87">
        <f>IF(AJ20="","",AJ20)</f>
        <v>4</v>
      </c>
      <c r="L20" s="86" t="str">
        <f t="shared" si="3"/>
        <v/>
      </c>
      <c r="M20" s="87">
        <f>IF(AL20="","",AL20)</f>
        <v>1</v>
      </c>
      <c r="N20" s="86" t="str">
        <f t="shared" si="20"/>
        <v/>
      </c>
      <c r="O20" s="87">
        <f>IF(AN20="","",AN20)</f>
        <v>6</v>
      </c>
      <c r="P20" s="86" t="str">
        <f t="shared" si="4"/>
        <v/>
      </c>
      <c r="Q20" s="87">
        <f>IF(AP20="","",AP20)</f>
        <v>4</v>
      </c>
      <c r="R20" s="86" t="str">
        <f t="shared" si="5"/>
        <v/>
      </c>
      <c r="S20" s="87">
        <f>IF(AR20="","",AR20)</f>
        <v>4.5</v>
      </c>
      <c r="T20" s="86" t="str">
        <f t="shared" si="6"/>
        <v/>
      </c>
      <c r="U20" s="87">
        <f>IF(AT20="","",AT20)</f>
        <v>2</v>
      </c>
      <c r="V20" s="86" t="str">
        <f t="shared" si="7"/>
        <v/>
      </c>
      <c r="W20" s="87">
        <f>IF(AV20="","",AV20)</f>
        <v>37.5</v>
      </c>
      <c r="AA20" s="85" t="s">
        <v>1814</v>
      </c>
      <c r="AB20" s="86"/>
      <c r="AC20" s="86"/>
      <c r="AD20" s="124">
        <f>SUM(AD7:AD19)</f>
        <v>6</v>
      </c>
      <c r="AE20" s="86"/>
      <c r="AF20" s="124">
        <f>SUM(AF7:AF19)</f>
        <v>6</v>
      </c>
      <c r="AG20" s="86"/>
      <c r="AH20" s="124">
        <f>SUM(AH7:AH19)</f>
        <v>4</v>
      </c>
      <c r="AI20" s="86"/>
      <c r="AJ20" s="124">
        <f>SUM(AJ7:AJ19)</f>
        <v>4</v>
      </c>
      <c r="AK20" s="86"/>
      <c r="AL20" s="124">
        <f>SUM(AL7:AL19)</f>
        <v>1</v>
      </c>
      <c r="AM20" s="86"/>
      <c r="AN20" s="124">
        <f>SUM(AN7:AN19)</f>
        <v>6</v>
      </c>
      <c r="AO20" s="86"/>
      <c r="AP20" s="124">
        <f>SUM(AP7:AP19)</f>
        <v>4</v>
      </c>
      <c r="AQ20" s="86"/>
      <c r="AR20" s="124">
        <f>SUM(AR7:AR19)</f>
        <v>4.5</v>
      </c>
      <c r="AS20" s="86"/>
      <c r="AT20" s="124">
        <f>SUM(AT7:AT19)</f>
        <v>2</v>
      </c>
      <c r="AU20" s="86"/>
      <c r="AV20" s="125">
        <f>SUM(AV7:AV19)</f>
        <v>37.5</v>
      </c>
      <c r="AW20" s="101"/>
      <c r="AX20" s="102"/>
      <c r="BA20" s="212">
        <f>+AV20</f>
        <v>37.5</v>
      </c>
      <c r="BB20" s="213">
        <f>+AU19</f>
        <v>6288</v>
      </c>
      <c r="BC20" s="214">
        <f>+AA2</f>
        <v>1</v>
      </c>
      <c r="BF20" s="215">
        <f>SUM(BF1:BF19)</f>
        <v>36</v>
      </c>
      <c r="BQ20" s="212">
        <f>+BB20/1000000+BA20</f>
        <v>37.506287999999998</v>
      </c>
      <c r="BR20" s="214">
        <f>RANK(BQ20,BQ:BQ)</f>
        <v>2</v>
      </c>
      <c r="BV20" s="214"/>
      <c r="BZ20" s="214"/>
    </row>
    <row r="21" spans="1:78" ht="11.25" customHeight="1" x14ac:dyDescent="0.3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35">
      <c r="B22" s="88" t="str">
        <f t="shared" ref="B22:Q22" si="31">IF(AA22=0,"",AA22)</f>
        <v>Gegner-Nr.:</v>
      </c>
      <c r="C22" s="89" t="str">
        <f t="shared" si="31"/>
        <v>&gt;&gt;&gt;&gt;</v>
      </c>
      <c r="D22" s="346">
        <f t="shared" si="31"/>
        <v>5</v>
      </c>
      <c r="E22" s="346" t="str">
        <f t="shared" si="31"/>
        <v/>
      </c>
      <c r="F22" s="346">
        <f t="shared" si="31"/>
        <v>3</v>
      </c>
      <c r="G22" s="346" t="str">
        <f t="shared" si="31"/>
        <v/>
      </c>
      <c r="H22" s="346">
        <f t="shared" si="31"/>
        <v>8</v>
      </c>
      <c r="I22" s="346" t="str">
        <f t="shared" si="31"/>
        <v/>
      </c>
      <c r="J22" s="346">
        <f t="shared" si="31"/>
        <v>2</v>
      </c>
      <c r="K22" s="346" t="str">
        <f t="shared" si="31"/>
        <v/>
      </c>
      <c r="L22" s="346">
        <f t="shared" si="31"/>
        <v>6</v>
      </c>
      <c r="M22" s="346" t="str">
        <f t="shared" si="31"/>
        <v/>
      </c>
      <c r="N22" s="346">
        <f t="shared" si="31"/>
        <v>4</v>
      </c>
      <c r="O22" s="346" t="str">
        <f t="shared" si="31"/>
        <v/>
      </c>
      <c r="P22" s="346">
        <f t="shared" si="31"/>
        <v>7</v>
      </c>
      <c r="Q22" s="346" t="str">
        <f t="shared" si="31"/>
        <v/>
      </c>
      <c r="R22" s="346">
        <f t="shared" ref="L22:U24" si="32">IF(AQ22=0,"",AQ22)</f>
        <v>9</v>
      </c>
      <c r="S22" s="346" t="str">
        <f t="shared" si="32"/>
        <v/>
      </c>
      <c r="T22" s="346">
        <f t="shared" si="32"/>
        <v>10</v>
      </c>
      <c r="U22" s="346" t="str">
        <f t="shared" si="32"/>
        <v/>
      </c>
      <c r="V22" s="347"/>
      <c r="W22" s="347"/>
      <c r="AA22" s="88" t="s">
        <v>1797</v>
      </c>
      <c r="AB22" s="89" t="s">
        <v>1798</v>
      </c>
      <c r="AC22" s="370">
        <f>VLOOKUP($AA2,Schlüssel!$A$5:$DG$14,43)</f>
        <v>5</v>
      </c>
      <c r="AD22" s="371"/>
      <c r="AE22" s="370">
        <f>VLOOKUP($AA2,Schlüssel!$A$5:$EK$14,44)</f>
        <v>3</v>
      </c>
      <c r="AF22" s="371"/>
      <c r="AG22" s="370">
        <f>VLOOKUP($AA2,Schlüssel!$A$5:$EK$14,45)</f>
        <v>8</v>
      </c>
      <c r="AH22" s="371"/>
      <c r="AI22" s="370">
        <f>VLOOKUP($AA2,Schlüssel!$A$5:$EK$14,46)</f>
        <v>2</v>
      </c>
      <c r="AJ22" s="371"/>
      <c r="AK22" s="370">
        <f>VLOOKUP($AA2,Schlüssel!$A$5:$EK$14,47)</f>
        <v>6</v>
      </c>
      <c r="AL22" s="371"/>
      <c r="AM22" s="370">
        <f>VLOOKUP($AA2,Schlüssel!$A$5:$EK$14,48)</f>
        <v>4</v>
      </c>
      <c r="AN22" s="371"/>
      <c r="AO22" s="370">
        <f>VLOOKUP($AA2,Schlüssel!$A$5:$EK$14,49)</f>
        <v>7</v>
      </c>
      <c r="AP22" s="371"/>
      <c r="AQ22" s="370">
        <f>VLOOKUP($AA2,Schlüssel!$A$5:$EK$14,50)</f>
        <v>9</v>
      </c>
      <c r="AR22" s="371"/>
      <c r="AS22" s="370">
        <f>VLOOKUP($AA2,Schlüssel!$A$5:$EK$14,51)</f>
        <v>10</v>
      </c>
      <c r="AT22" s="371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35">
      <c r="B23" s="90" t="str">
        <f t="shared" ref="B23:K24" si="33">IF(AA23=0,"",AA23)</f>
        <v/>
      </c>
      <c r="C23" s="86" t="str">
        <f t="shared" si="33"/>
        <v/>
      </c>
      <c r="D23" s="343" t="str">
        <f t="shared" si="33"/>
        <v xml:space="preserve">Weiß Blau Unterföhring </v>
      </c>
      <c r="E23" s="344" t="str">
        <f t="shared" si="33"/>
        <v/>
      </c>
      <c r="F23" s="343" t="str">
        <f t="shared" si="33"/>
        <v>Highroller Rosenheim</v>
      </c>
      <c r="G23" s="344" t="str">
        <f t="shared" si="33"/>
        <v/>
      </c>
      <c r="H23" s="343" t="str">
        <f t="shared" si="33"/>
        <v>EPA München 1</v>
      </c>
      <c r="I23" s="344" t="str">
        <f t="shared" si="33"/>
        <v/>
      </c>
      <c r="J23" s="343" t="str">
        <f t="shared" si="33"/>
        <v>BK München 2</v>
      </c>
      <c r="K23" s="344" t="str">
        <f t="shared" si="33"/>
        <v/>
      </c>
      <c r="L23" s="343" t="str">
        <f t="shared" si="32"/>
        <v>Phönix 03 Lauf</v>
      </c>
      <c r="M23" s="344" t="str">
        <f t="shared" si="32"/>
        <v/>
      </c>
      <c r="N23" s="343" t="str">
        <f t="shared" si="32"/>
        <v>BK München 3</v>
      </c>
      <c r="O23" s="344" t="str">
        <f t="shared" si="32"/>
        <v/>
      </c>
      <c r="P23" s="343" t="str">
        <f t="shared" si="32"/>
        <v>Frankenpower Nürnberg</v>
      </c>
      <c r="Q23" s="344" t="str">
        <f t="shared" si="32"/>
        <v/>
      </c>
      <c r="R23" s="343" t="str">
        <f t="shared" si="32"/>
        <v>RW Lichtenhof 69 Stein 2</v>
      </c>
      <c r="S23" s="344" t="str">
        <f t="shared" si="32"/>
        <v/>
      </c>
      <c r="T23" s="343" t="str">
        <f t="shared" si="32"/>
        <v>BK München 4</v>
      </c>
      <c r="U23" s="344" t="str">
        <f t="shared" si="32"/>
        <v/>
      </c>
      <c r="V23" s="345"/>
      <c r="W23" s="345"/>
      <c r="AA23" s="90"/>
      <c r="AB23" s="86"/>
      <c r="AC23" s="343" t="str">
        <f>VLOOKUP(AC22,Schlüssel!$A$5:$K$14,2)</f>
        <v xml:space="preserve">Weiß Blau Unterföhring </v>
      </c>
      <c r="AD23" s="344"/>
      <c r="AE23" s="343" t="str">
        <f>VLOOKUP(AE22,Schlüssel!$A$5:$K$14,2)</f>
        <v>Highroller Rosenheim</v>
      </c>
      <c r="AF23" s="344"/>
      <c r="AG23" s="343" t="str">
        <f>VLOOKUP(AG22,Schlüssel!$A$5:$K$14,2)</f>
        <v>EPA München 1</v>
      </c>
      <c r="AH23" s="344"/>
      <c r="AI23" s="343" t="str">
        <f>VLOOKUP(AI22,Schlüssel!$A$5:$K$14,2)</f>
        <v>BK München 2</v>
      </c>
      <c r="AJ23" s="344"/>
      <c r="AK23" s="343" t="str">
        <f>VLOOKUP(AK22,Schlüssel!$A$5:$K$14,2)</f>
        <v>Phönix 03 Lauf</v>
      </c>
      <c r="AL23" s="344"/>
      <c r="AM23" s="343" t="str">
        <f>VLOOKUP(AM22,Schlüssel!$A$5:$K$14,2)</f>
        <v>BK München 3</v>
      </c>
      <c r="AN23" s="344"/>
      <c r="AO23" s="343" t="str">
        <f>VLOOKUP(AO22,Schlüssel!$A$5:$K$14,2)</f>
        <v>Frankenpower Nürnberg</v>
      </c>
      <c r="AP23" s="344"/>
      <c r="AQ23" s="343" t="str">
        <f>VLOOKUP(AQ22,Schlüssel!$A$5:$K$14,2)</f>
        <v>RW Lichtenhof 69 Stein 2</v>
      </c>
      <c r="AR23" s="344"/>
      <c r="AS23" s="343" t="str">
        <f>VLOOKUP(AS22,Schlüssel!$A$5:$K$14,2)</f>
        <v>BK München 4</v>
      </c>
      <c r="AT23" s="344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35">
      <c r="B24" s="90" t="str">
        <f t="shared" si="33"/>
        <v/>
      </c>
      <c r="C24" s="86" t="str">
        <f t="shared" si="33"/>
        <v/>
      </c>
      <c r="D24" s="341" t="str">
        <f t="shared" si="33"/>
        <v/>
      </c>
      <c r="E24" s="341" t="str">
        <f t="shared" si="33"/>
        <v/>
      </c>
      <c r="F24" s="341" t="str">
        <f t="shared" si="33"/>
        <v/>
      </c>
      <c r="G24" s="341" t="str">
        <f t="shared" si="33"/>
        <v/>
      </c>
      <c r="H24" s="341" t="str">
        <f t="shared" si="33"/>
        <v/>
      </c>
      <c r="I24" s="341" t="str">
        <f t="shared" si="33"/>
        <v/>
      </c>
      <c r="J24" s="341" t="str">
        <f t="shared" si="33"/>
        <v/>
      </c>
      <c r="K24" s="341" t="str">
        <f t="shared" si="33"/>
        <v/>
      </c>
      <c r="L24" s="341" t="str">
        <f t="shared" si="32"/>
        <v/>
      </c>
      <c r="M24" s="341" t="str">
        <f t="shared" si="32"/>
        <v/>
      </c>
      <c r="N24" s="341" t="str">
        <f t="shared" si="32"/>
        <v/>
      </c>
      <c r="O24" s="341" t="str">
        <f t="shared" si="32"/>
        <v/>
      </c>
      <c r="P24" s="341" t="str">
        <f t="shared" si="32"/>
        <v/>
      </c>
      <c r="Q24" s="341" t="str">
        <f t="shared" si="32"/>
        <v/>
      </c>
      <c r="R24" s="341" t="str">
        <f t="shared" si="32"/>
        <v/>
      </c>
      <c r="S24" s="341" t="str">
        <f t="shared" si="32"/>
        <v/>
      </c>
      <c r="T24" s="341" t="str">
        <f t="shared" si="32"/>
        <v/>
      </c>
      <c r="U24" s="342" t="str">
        <f t="shared" si="32"/>
        <v/>
      </c>
      <c r="V24" s="301"/>
      <c r="W24" s="301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6.05" customHeight="1" x14ac:dyDescent="0.35">
      <c r="B25" s="365" t="str">
        <f t="shared" ref="B25:C29" si="34">IF(AA25=0,"",AA25)</f>
        <v>Spieler 1</v>
      </c>
      <c r="C25" s="366" t="str">
        <f t="shared" si="34"/>
        <v/>
      </c>
      <c r="D25" s="339">
        <f>IF(AC25=301,"",AC25)</f>
        <v>167</v>
      </c>
      <c r="E25" s="339" t="str">
        <f>IF(AD25=0,"",AD25)</f>
        <v/>
      </c>
      <c r="F25" s="339">
        <f>IF(AE25=301,"",AE25)</f>
        <v>181</v>
      </c>
      <c r="G25" s="339" t="str">
        <f>IF(AF25=0,"",AF25)</f>
        <v/>
      </c>
      <c r="H25" s="339">
        <f>IF(AG25=301,"",AG25)</f>
        <v>170</v>
      </c>
      <c r="I25" s="339" t="str">
        <f>IF(AH25=0,"",AH25)</f>
        <v/>
      </c>
      <c r="J25" s="339">
        <f>IF(AI25=301,"",AI25)</f>
        <v>216</v>
      </c>
      <c r="K25" s="339" t="str">
        <f>IF(AJ25=0,"",AJ25)</f>
        <v/>
      </c>
      <c r="L25" s="339">
        <f>IF(AK25=301,"",AK25)</f>
        <v>162</v>
      </c>
      <c r="M25" s="339" t="str">
        <f>IF(AL25=0,"",AL25)</f>
        <v/>
      </c>
      <c r="N25" s="339">
        <f>IF(AM25=301,"",AM25)</f>
        <v>0</v>
      </c>
      <c r="O25" s="339" t="str">
        <f>IF(AN25=0,"",AN25)</f>
        <v/>
      </c>
      <c r="P25" s="339">
        <f>IF(AO25=301,"",AO25)</f>
        <v>141</v>
      </c>
      <c r="Q25" s="339" t="str">
        <f>IF(AP25=0,"",AP25)</f>
        <v/>
      </c>
      <c r="R25" s="339">
        <f>IF(AQ25=301,"",AQ25)</f>
        <v>168</v>
      </c>
      <c r="S25" s="339" t="str">
        <f>IF(AR25=0,"",AR25)</f>
        <v/>
      </c>
      <c r="T25" s="339">
        <f>IF(AS25=301,"",AS25)</f>
        <v>153</v>
      </c>
      <c r="U25" s="339" t="str">
        <f>IF(AT25=0,"",AT25)</f>
        <v/>
      </c>
      <c r="V25" s="340"/>
      <c r="W25" s="340"/>
      <c r="AA25" s="91" t="s">
        <v>0</v>
      </c>
      <c r="AB25" s="92"/>
      <c r="AC25" s="372">
        <f>ABS(INDEX(AC:AC,MATCH(AC22,$AA:$AA,0)+5)+INDEX(AC:AC,MATCH(AC22,$AA:$AA,0)+6)+INDEX(AC:AC,MATCH(AC22,$AA:$AA,0)+7))</f>
        <v>167</v>
      </c>
      <c r="AD25" s="373"/>
      <c r="AE25" s="372">
        <f>ABS(INDEX(AE:AE,MATCH(AE22,$AA:$AA,0)+5)+INDEX(AE:AE,MATCH(AE22,$AA:$AA,0)+6)+INDEX(AE:AE,MATCH(AE22,$AA:$AA,0)+7))</f>
        <v>181</v>
      </c>
      <c r="AF25" s="373"/>
      <c r="AG25" s="372">
        <f>ABS(INDEX(AG:AG,MATCH(AG22,$AA:$AA,0)+5)+INDEX(AG:AG,MATCH(AG22,$AA:$AA,0)+6)+INDEX(AG:AG,MATCH(AG22,$AA:$AA,0)+7))</f>
        <v>170</v>
      </c>
      <c r="AH25" s="373"/>
      <c r="AI25" s="372">
        <f>ABS(INDEX(AI:AI,MATCH(AI22,$AA:$AA,0)+5)+INDEX(AI:AI,MATCH(AI22,$AA:$AA,0)+6)+INDEX(AI:AI,MATCH(AI22,$AA:$AA,0)+7))</f>
        <v>216</v>
      </c>
      <c r="AJ25" s="373"/>
      <c r="AK25" s="372">
        <f>ABS(INDEX(AK:AK,MATCH(AK22,$AA:$AA,0)+5)+INDEX(AK:AK,MATCH(AK22,$AA:$AA,0)+6)+INDEX(AK:AK,MATCH(AK22,$AA:$AA,0)+7))</f>
        <v>162</v>
      </c>
      <c r="AL25" s="373"/>
      <c r="AM25" s="372">
        <f>ABS(INDEX(AM:AM,MATCH(AM22,$AA:$AA,0)+5)+INDEX(AM:AM,MATCH(AM22,$AA:$AA,0)+6)+INDEX(AM:AM,MATCH(AM22,$AA:$AA,0)+7))</f>
        <v>0</v>
      </c>
      <c r="AN25" s="373"/>
      <c r="AO25" s="372">
        <f>ABS(INDEX(AO:AO,MATCH(AO22,$AA:$AA,0)+5)+INDEX(AO:AO,MATCH(AO22,$AA:$AA,0)+6)+INDEX(AO:AO,MATCH(AO22,$AA:$AA,0)+7))</f>
        <v>141</v>
      </c>
      <c r="AP25" s="373"/>
      <c r="AQ25" s="372">
        <f>ABS(INDEX(AQ:AQ,MATCH(AQ22,$AA:$AA,0)+5)+INDEX(AQ:AQ,MATCH(AQ22,$AA:$AA,0)+6)+INDEX(AQ:AQ,MATCH(AQ22,$AA:$AA,0)+7))</f>
        <v>168</v>
      </c>
      <c r="AR25" s="373"/>
      <c r="AS25" s="372">
        <f>ABS(INDEX(AS:AS,MATCH(AS22,$AA:$AA,0)+5)+INDEX(AS:AS,MATCH(AS22,$AA:$AA,0)+6)+INDEX(AS:AS,MATCH(AS22,$AA:$AA,0)+7))</f>
        <v>153</v>
      </c>
      <c r="AT25" s="373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6.05" customHeight="1" x14ac:dyDescent="0.35">
      <c r="B26" s="365" t="str">
        <f t="shared" si="34"/>
        <v>Spieler 2</v>
      </c>
      <c r="C26" s="366" t="str">
        <f t="shared" si="34"/>
        <v/>
      </c>
      <c r="D26" s="339">
        <f>IF(AC26=301,"",AC26)</f>
        <v>162</v>
      </c>
      <c r="E26" s="339" t="str">
        <f>IF(AD26=0,"",AD26)</f>
        <v/>
      </c>
      <c r="F26" s="339">
        <f>IF(AE26=301,"",AE26)</f>
        <v>136</v>
      </c>
      <c r="G26" s="339" t="str">
        <f>IF(AF26=0,"",AF26)</f>
        <v/>
      </c>
      <c r="H26" s="339">
        <f>IF(AG26=301,"",AG26)</f>
        <v>160</v>
      </c>
      <c r="I26" s="339" t="str">
        <f>IF(AH26=0,"",AH26)</f>
        <v/>
      </c>
      <c r="J26" s="339">
        <f>IF(AI26=301,"",AI26)</f>
        <v>0</v>
      </c>
      <c r="K26" s="339" t="str">
        <f>IF(AJ26=0,"",AJ26)</f>
        <v/>
      </c>
      <c r="L26" s="339">
        <f>IF(AK26=301,"",AK26)</f>
        <v>180</v>
      </c>
      <c r="M26" s="339" t="str">
        <f>IF(AL26=0,"",AL26)</f>
        <v/>
      </c>
      <c r="N26" s="339">
        <f>IF(AM26=301,"",AM26)</f>
        <v>0</v>
      </c>
      <c r="O26" s="339" t="str">
        <f>IF(AN26=0,"",AN26)</f>
        <v/>
      </c>
      <c r="P26" s="339">
        <f>IF(AO26=301,"",AO26)</f>
        <v>157</v>
      </c>
      <c r="Q26" s="339" t="str">
        <f>IF(AP26=0,"",AP26)</f>
        <v/>
      </c>
      <c r="R26" s="339">
        <f>IF(AQ26=301,"",AQ26)</f>
        <v>111</v>
      </c>
      <c r="S26" s="339" t="str">
        <f>IF(AR26=0,"",AR26)</f>
        <v/>
      </c>
      <c r="T26" s="339">
        <f>IF(AS26=301,"",AS26)</f>
        <v>153</v>
      </c>
      <c r="U26" s="339" t="str">
        <f>IF(AT26=0,"",AT26)</f>
        <v/>
      </c>
      <c r="V26" s="340"/>
      <c r="W26" s="340"/>
      <c r="AA26" s="91" t="s">
        <v>2</v>
      </c>
      <c r="AB26" s="92"/>
      <c r="AC26" s="374">
        <f>ABS(INDEX(AC:AC,MATCH(AC22,$AA:$AA,0)+8)+INDEX(AC:AC,MATCH(AC22,$AA:$AA,0)+9)+INDEX(AC:AC,MATCH(AC22,$AA:$AA,0)+10))</f>
        <v>162</v>
      </c>
      <c r="AD26" s="375"/>
      <c r="AE26" s="374">
        <f>ABS(INDEX(AE:AE,MATCH(AE22,$AA:$AA,0)+8)+INDEX(AE:AE,MATCH(AE22,$AA:$AA,0)+9)+INDEX(AE:AE,MATCH(AE22,$AA:$AA,0)+10))</f>
        <v>136</v>
      </c>
      <c r="AF26" s="375"/>
      <c r="AG26" s="374">
        <f>ABS(INDEX(AG:AG,MATCH(AG22,$AA:$AA,0)+8)+INDEX(AG:AG,MATCH(AG22,$AA:$AA,0)+9)+INDEX(AG:AG,MATCH(AG22,$AA:$AA,0)+10))</f>
        <v>160</v>
      </c>
      <c r="AH26" s="375"/>
      <c r="AI26" s="374">
        <f>ABS(INDEX(AI:AI,MATCH(AI22,$AA:$AA,0)+8)+INDEX(AI:AI,MATCH(AI22,$AA:$AA,0)+9)+INDEX(AI:AI,MATCH(AI22,$AA:$AA,0)+10))</f>
        <v>0</v>
      </c>
      <c r="AJ26" s="375"/>
      <c r="AK26" s="374">
        <f>ABS(INDEX(AK:AK,MATCH(AK22,$AA:$AA,0)+8)+INDEX(AK:AK,MATCH(AK22,$AA:$AA,0)+9)+INDEX(AK:AK,MATCH(AK22,$AA:$AA,0)+10))</f>
        <v>180</v>
      </c>
      <c r="AL26" s="375"/>
      <c r="AM26" s="374">
        <f>ABS(INDEX(AM:AM,MATCH(AM22,$AA:$AA,0)+8)+INDEX(AM:AM,MATCH(AM22,$AA:$AA,0)+9)+INDEX(AM:AM,MATCH(AM22,$AA:$AA,0)+10))</f>
        <v>0</v>
      </c>
      <c r="AN26" s="375"/>
      <c r="AO26" s="374">
        <f>ABS(INDEX(AO:AO,MATCH(AO22,$AA:$AA,0)+8)+INDEX(AO:AO,MATCH(AO22,$AA:$AA,0)+9)+INDEX(AO:AO,MATCH(AO22,$AA:$AA,0)+10))</f>
        <v>157</v>
      </c>
      <c r="AP26" s="375"/>
      <c r="AQ26" s="374">
        <f>ABS(INDEX(AQ:AQ,MATCH(AQ22,$AA:$AA,0)+8)+INDEX(AQ:AQ,MATCH(AQ22,$AA:$AA,0)+9)+INDEX(AQ:AQ,MATCH(AQ22,$AA:$AA,0)+10))</f>
        <v>111</v>
      </c>
      <c r="AR26" s="375"/>
      <c r="AS26" s="374">
        <f>ABS(INDEX(AS:AS,MATCH(AS22,$AA:$AA,0)+8)+INDEX(AS:AS,MATCH(AS22,$AA:$AA,0)+9)+INDEX(AS:AS,MATCH(AS22,$AA:$AA,0)+10))</f>
        <v>153</v>
      </c>
      <c r="AT26" s="37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6.05" customHeight="1" x14ac:dyDescent="0.35">
      <c r="B27" s="365" t="str">
        <f t="shared" si="34"/>
        <v>Spieler 3</v>
      </c>
      <c r="C27" s="366" t="str">
        <f t="shared" si="34"/>
        <v/>
      </c>
      <c r="D27" s="339">
        <f>IF(AC27=301,"",AC27)</f>
        <v>150</v>
      </c>
      <c r="E27" s="339" t="str">
        <f>IF(AD27=0,"",AD27)</f>
        <v/>
      </c>
      <c r="F27" s="339">
        <f>IF(AE27=301,"",AE27)</f>
        <v>167</v>
      </c>
      <c r="G27" s="339" t="str">
        <f>IF(AF27=0,"",AF27)</f>
        <v/>
      </c>
      <c r="H27" s="339">
        <f>IF(AG27=301,"",AG27)</f>
        <v>167</v>
      </c>
      <c r="I27" s="339" t="str">
        <f>IF(AH27=0,"",AH27)</f>
        <v/>
      </c>
      <c r="J27" s="339">
        <f>IF(AI27=301,"",AI27)</f>
        <v>183</v>
      </c>
      <c r="K27" s="339" t="str">
        <f>IF(AJ27=0,"",AJ27)</f>
        <v/>
      </c>
      <c r="L27" s="339">
        <f>IF(AK27=301,"",AK27)</f>
        <v>179</v>
      </c>
      <c r="M27" s="339" t="str">
        <f>IF(AL27=0,"",AL27)</f>
        <v/>
      </c>
      <c r="N27" s="339">
        <f>IF(AM27=301,"",AM27)</f>
        <v>0</v>
      </c>
      <c r="O27" s="339" t="str">
        <f>IF(AN27=0,"",AN27)</f>
        <v/>
      </c>
      <c r="P27" s="339">
        <f>IF(AO27=301,"",AO27)</f>
        <v>172</v>
      </c>
      <c r="Q27" s="339" t="str">
        <f>IF(AP27=0,"",AP27)</f>
        <v/>
      </c>
      <c r="R27" s="339">
        <f>IF(AQ27=301,"",AQ27)</f>
        <v>138</v>
      </c>
      <c r="S27" s="339" t="str">
        <f>IF(AR27=0,"",AR27)</f>
        <v/>
      </c>
      <c r="T27" s="339">
        <f>IF(AS27=301,"",AS27)</f>
        <v>172</v>
      </c>
      <c r="U27" s="339" t="str">
        <f>IF(AT27=0,"",AT27)</f>
        <v/>
      </c>
      <c r="V27" s="340"/>
      <c r="W27" s="340"/>
      <c r="AA27" s="91" t="s">
        <v>3</v>
      </c>
      <c r="AB27" s="92"/>
      <c r="AC27" s="374">
        <f>ABS(INDEX(AC:AC,MATCH(AC22,$AA:$AA,0)+11)+INDEX(AC:AC,MATCH(AC22,$AA:$AA,0)+12)+INDEX(AC:AC,MATCH(AC22,$AA:$AA,0)+13))</f>
        <v>150</v>
      </c>
      <c r="AD27" s="375"/>
      <c r="AE27" s="374">
        <f>ABS(INDEX(AE:AE,MATCH(AE22,$AA:$AA,0)+11)+INDEX(AE:AE,MATCH(AE22,$AA:$AA,0)+12)+INDEX(AE:AE,MATCH(AE22,$AA:$AA,0)+13))</f>
        <v>167</v>
      </c>
      <c r="AF27" s="375"/>
      <c r="AG27" s="374">
        <f>ABS(INDEX(AG:AG,MATCH(AG22,$AA:$AA,0)+11)+INDEX(AG:AG,MATCH(AG22,$AA:$AA,0)+12)+INDEX(AG:AG,MATCH(AG22,$AA:$AA,0)+13))</f>
        <v>167</v>
      </c>
      <c r="AH27" s="375"/>
      <c r="AI27" s="374">
        <f>ABS(INDEX(AI:AI,MATCH(AI22,$AA:$AA,0)+11)+INDEX(AI:AI,MATCH(AI22,$AA:$AA,0)+12)+INDEX(AI:AI,MATCH(AI22,$AA:$AA,0)+13))</f>
        <v>183</v>
      </c>
      <c r="AJ27" s="375"/>
      <c r="AK27" s="374">
        <f>ABS(INDEX(AK:AK,MATCH(AK22,$AA:$AA,0)+11)+INDEX(AK:AK,MATCH(AK22,$AA:$AA,0)+12)+INDEX(AK:AK,MATCH(AK22,$AA:$AA,0)+13))</f>
        <v>179</v>
      </c>
      <c r="AL27" s="375"/>
      <c r="AM27" s="374">
        <f>ABS(INDEX(AM:AM,MATCH(AM22,$AA:$AA,0)+11)+INDEX(AM:AM,MATCH(AM22,$AA:$AA,0)+12)+INDEX(AM:AM,MATCH(AM22,$AA:$AA,0)+13))</f>
        <v>0</v>
      </c>
      <c r="AN27" s="375"/>
      <c r="AO27" s="374">
        <f>ABS(INDEX(AO:AO,MATCH(AO22,$AA:$AA,0)+11)+INDEX(AO:AO,MATCH(AO22,$AA:$AA,0)+12)+INDEX(AO:AO,MATCH(AO22,$AA:$AA,0)+13))</f>
        <v>172</v>
      </c>
      <c r="AP27" s="375"/>
      <c r="AQ27" s="374">
        <f>ABS(INDEX(AQ:AQ,MATCH(AQ22,$AA:$AA,0)+11)+INDEX(AQ:AQ,MATCH(AQ22,$AA:$AA,0)+12)+INDEX(AQ:AQ,MATCH(AQ22,$AA:$AA,0)+13))</f>
        <v>138</v>
      </c>
      <c r="AR27" s="375"/>
      <c r="AS27" s="374">
        <f>ABS(INDEX(AS:AS,MATCH(AS22,$AA:$AA,0)+11)+INDEX(AS:AS,MATCH(AS22,$AA:$AA,0)+12)+INDEX(AS:AS,MATCH(AS22,$AA:$AA,0)+13))</f>
        <v>172</v>
      </c>
      <c r="AT27" s="37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6.05" customHeight="1" x14ac:dyDescent="0.35">
      <c r="B28" s="365" t="str">
        <f t="shared" si="34"/>
        <v>Spieler 4</v>
      </c>
      <c r="C28" s="366" t="str">
        <f t="shared" si="34"/>
        <v/>
      </c>
      <c r="D28" s="339">
        <f>IF(AC28=301,"",AC28)</f>
        <v>182</v>
      </c>
      <c r="E28" s="339" t="str">
        <f>IF(AD28=0,"",AD28)</f>
        <v/>
      </c>
      <c r="F28" s="339">
        <f>IF(AE28=301,"",AE28)</f>
        <v>180</v>
      </c>
      <c r="G28" s="339" t="str">
        <f>IF(AF28=0,"",AF28)</f>
        <v/>
      </c>
      <c r="H28" s="339">
        <f>IF(AG28=301,"",AG28)</f>
        <v>135</v>
      </c>
      <c r="I28" s="339" t="str">
        <f>IF(AH28=0,"",AH28)</f>
        <v/>
      </c>
      <c r="J28" s="339">
        <f>IF(AI28=301,"",AI28)</f>
        <v>168</v>
      </c>
      <c r="K28" s="339" t="str">
        <f>IF(AJ28=0,"",AJ28)</f>
        <v/>
      </c>
      <c r="L28" s="339">
        <f>IF(AK28=301,"",AK28)</f>
        <v>203</v>
      </c>
      <c r="M28" s="339" t="str">
        <f>IF(AL28=0,"",AL28)</f>
        <v/>
      </c>
      <c r="N28" s="339">
        <f>IF(AM28=301,"",AM28)</f>
        <v>0</v>
      </c>
      <c r="O28" s="339" t="str">
        <f>IF(AN28=0,"",AN28)</f>
        <v/>
      </c>
      <c r="P28" s="339">
        <f>IF(AO28=301,"",AO28)</f>
        <v>173</v>
      </c>
      <c r="Q28" s="339" t="str">
        <f>IF(AP28=0,"",AP28)</f>
        <v/>
      </c>
      <c r="R28" s="339">
        <f>IF(AQ28=301,"",AQ28)</f>
        <v>171</v>
      </c>
      <c r="S28" s="339" t="str">
        <f>IF(AR28=0,"",AR28)</f>
        <v/>
      </c>
      <c r="T28" s="339">
        <f>IF(AS28=301,"",AS28)</f>
        <v>207</v>
      </c>
      <c r="U28" s="339" t="str">
        <f>IF(AT28=0,"",AT28)</f>
        <v/>
      </c>
      <c r="V28" s="340"/>
      <c r="W28" s="340"/>
      <c r="AA28" s="91" t="s">
        <v>11</v>
      </c>
      <c r="AB28" s="92"/>
      <c r="AC28" s="374">
        <f>ABS(INDEX(AC:AC,MATCH(AC22,$AA:$AA,0)+14)+INDEX(AC:AC,MATCH(AC22,$AA:$AA,0)+15)+INDEX(AC:AC,MATCH(AC22,$AA:$AA,0)+16))</f>
        <v>182</v>
      </c>
      <c r="AD28" s="375"/>
      <c r="AE28" s="374">
        <f>ABS(INDEX(AE:AE,MATCH(AE22,$AA:$AA,0)+14)+INDEX(AE:AE,MATCH(AE22,$AA:$AA,0)+15)+INDEX(AE:AE,MATCH(AE22,$AA:$AA,0)+16))</f>
        <v>180</v>
      </c>
      <c r="AF28" s="375"/>
      <c r="AG28" s="374">
        <f>ABS(INDEX(AG:AG,MATCH(AG22,$AA:$AA,0)+14)+INDEX(AG:AG,MATCH(AG22,$AA:$AA,0)+15)+INDEX(AG:AG,MATCH(AG22,$AA:$AA,0)+16))</f>
        <v>135</v>
      </c>
      <c r="AH28" s="375"/>
      <c r="AI28" s="374">
        <f>ABS(INDEX(AI:AI,MATCH(AI22,$AA:$AA,0)+14)+INDEX(AI:AI,MATCH(AI22,$AA:$AA,0)+15)+INDEX(AI:AI,MATCH(AI22,$AA:$AA,0)+16))</f>
        <v>168</v>
      </c>
      <c r="AJ28" s="375"/>
      <c r="AK28" s="374">
        <f>ABS(INDEX(AK:AK,MATCH(AK22,$AA:$AA,0)+14)+INDEX(AK:AK,MATCH(AK22,$AA:$AA,0)+15)+INDEX(AK:AK,MATCH(AK22,$AA:$AA,0)+16))</f>
        <v>203</v>
      </c>
      <c r="AL28" s="375"/>
      <c r="AM28" s="374">
        <f>ABS(INDEX(AM:AM,MATCH(AM22,$AA:$AA,0)+14)+INDEX(AM:AM,MATCH(AM22,$AA:$AA,0)+15)+INDEX(AM:AM,MATCH(AM22,$AA:$AA,0)+16))</f>
        <v>0</v>
      </c>
      <c r="AN28" s="375"/>
      <c r="AO28" s="374">
        <f>ABS(INDEX(AO:AO,MATCH(AO22,$AA:$AA,0)+14)+INDEX(AO:AO,MATCH(AO22,$AA:$AA,0)+15)+INDEX(AO:AO,MATCH(AO22,$AA:$AA,0)+16))</f>
        <v>173</v>
      </c>
      <c r="AP28" s="375"/>
      <c r="AQ28" s="374">
        <f>ABS(INDEX(AQ:AQ,MATCH(AQ22,$AA:$AA,0)+14)+INDEX(AQ:AQ,MATCH(AQ22,$AA:$AA,0)+15)+INDEX(AQ:AQ,MATCH(AQ22,$AA:$AA,0)+16))</f>
        <v>171</v>
      </c>
      <c r="AR28" s="375"/>
      <c r="AS28" s="374">
        <f>ABS(INDEX(AS:AS,MATCH(AS22,$AA:$AA,0)+14)+INDEX(AS:AS,MATCH(AS22,$AA:$AA,0)+15)+INDEX(AS:AS,MATCH(AS22,$AA:$AA,0)+16))</f>
        <v>207</v>
      </c>
      <c r="AT28" s="37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6.05" customHeight="1" x14ac:dyDescent="0.35">
      <c r="B29" s="354" t="str">
        <f t="shared" si="34"/>
        <v>Gesamt</v>
      </c>
      <c r="C29" s="355" t="str">
        <f t="shared" si="34"/>
        <v/>
      </c>
      <c r="D29" s="338">
        <f>IF(AC29=1505,"",AC29)</f>
        <v>661</v>
      </c>
      <c r="E29" s="338" t="str">
        <f>IF(AD29=0,"",AD29)</f>
        <v/>
      </c>
      <c r="F29" s="338">
        <f>IF(AE29=1505,"",AE29)</f>
        <v>664</v>
      </c>
      <c r="G29" s="338" t="str">
        <f>IF(AF29=0,"",AF29)</f>
        <v/>
      </c>
      <c r="H29" s="338">
        <f>IF(AG29=1505,"",AG29)</f>
        <v>632</v>
      </c>
      <c r="I29" s="338" t="str">
        <f>IF(AH29=0,"",AH29)</f>
        <v/>
      </c>
      <c r="J29" s="338">
        <f>IF(AI29=1505,"",AI29)</f>
        <v>567</v>
      </c>
      <c r="K29" s="338" t="str">
        <f>IF(AJ29=0,"",AJ29)</f>
        <v/>
      </c>
      <c r="L29" s="338">
        <f>IF(AK29=1505,"",AK29)</f>
        <v>724</v>
      </c>
      <c r="M29" s="338" t="str">
        <f>IF(AL29=0,"",AL29)</f>
        <v/>
      </c>
      <c r="N29" s="338">
        <f>IF(AM29=1505,"",AM29)</f>
        <v>0</v>
      </c>
      <c r="O29" s="338" t="str">
        <f>IF(AN29=0,"",AN29)</f>
        <v/>
      </c>
      <c r="P29" s="338">
        <f>IF(AO29=1505,"",AO29)</f>
        <v>643</v>
      </c>
      <c r="Q29" s="338" t="str">
        <f>IF(AP29=0,"",AP29)</f>
        <v/>
      </c>
      <c r="R29" s="338">
        <f>IF(AQ29=1505,"",AQ29)</f>
        <v>588</v>
      </c>
      <c r="S29" s="338" t="str">
        <f>IF(AR29=0,"",AR29)</f>
        <v/>
      </c>
      <c r="T29" s="338">
        <f>IF(AS29=1505,"",AS29)</f>
        <v>685</v>
      </c>
      <c r="U29" s="338" t="str">
        <f>IF(AT29=0,"",AT29)</f>
        <v/>
      </c>
      <c r="V29" s="290"/>
      <c r="W29" s="290"/>
      <c r="AA29" s="93" t="s">
        <v>1799</v>
      </c>
      <c r="AB29" s="94"/>
      <c r="AC29" s="354">
        <f>SUM(AC25:AC28)</f>
        <v>661</v>
      </c>
      <c r="AD29" s="355"/>
      <c r="AE29" s="354">
        <f>SUM(AE25:AE28)</f>
        <v>664</v>
      </c>
      <c r="AF29" s="355"/>
      <c r="AG29" s="354">
        <f>SUM(AG25:AG28)</f>
        <v>632</v>
      </c>
      <c r="AH29" s="355"/>
      <c r="AI29" s="354">
        <f>SUM(AI25:AI28)</f>
        <v>567</v>
      </c>
      <c r="AJ29" s="355"/>
      <c r="AK29" s="354">
        <f>SUM(AK25:AK28)</f>
        <v>724</v>
      </c>
      <c r="AL29" s="355"/>
      <c r="AM29" s="354">
        <f>SUM(AM25:AM28)</f>
        <v>0</v>
      </c>
      <c r="AN29" s="355"/>
      <c r="AO29" s="354">
        <f>SUM(AO25:AO28)</f>
        <v>643</v>
      </c>
      <c r="AP29" s="355"/>
      <c r="AQ29" s="354">
        <f>SUM(AQ25:AQ28)</f>
        <v>588</v>
      </c>
      <c r="AR29" s="355"/>
      <c r="AS29" s="354">
        <f>SUM(AS25:AS28)</f>
        <v>685</v>
      </c>
      <c r="AT29" s="35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3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7">
      <c r="B31" s="44" t="str">
        <f>AA31</f>
        <v>Team-Nr.</v>
      </c>
      <c r="C31" s="45"/>
      <c r="D31" s="44" t="str">
        <f>AC31</f>
        <v>Liga:</v>
      </c>
      <c r="E31" s="47"/>
      <c r="F31" s="359" t="str">
        <f>AE31</f>
        <v>Bayernliga Frauen</v>
      </c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48"/>
      <c r="S31" s="49" t="s">
        <v>1794</v>
      </c>
      <c r="T31" s="50"/>
      <c r="U31" s="360" t="str">
        <f>AT31</f>
        <v>01.02./02.02.</v>
      </c>
      <c r="V31" s="361"/>
      <c r="W31" s="362"/>
      <c r="X31" s="363"/>
      <c r="Y31" s="364"/>
      <c r="Z31" s="364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0" t="str">
        <f>VLOOKUP(AS32,Spielorte!$A$1:$C$6,2)</f>
        <v>01.02./02.02.</v>
      </c>
      <c r="AU31" s="361"/>
      <c r="AV31" s="362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65">
      <c r="B32" s="53">
        <f>AA32</f>
        <v>2</v>
      </c>
      <c r="D32" s="46" t="s">
        <v>1793</v>
      </c>
      <c r="E32" s="54"/>
      <c r="F32" s="358" t="str">
        <f>AE32</f>
        <v>Unterföhring Dreambowl Palace</v>
      </c>
      <c r="G32" s="358"/>
      <c r="H32" s="358"/>
      <c r="I32" s="358"/>
      <c r="J32" s="358"/>
      <c r="K32" s="358"/>
      <c r="L32" s="358"/>
      <c r="M32" s="358"/>
      <c r="N32" s="358"/>
      <c r="O32" s="358"/>
      <c r="P32" s="55"/>
      <c r="Q32" s="55"/>
      <c r="S32" s="49" t="s">
        <v>1791</v>
      </c>
      <c r="T32" s="56">
        <f>AS32</f>
        <v>3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Unterföhring Dreambowl Palace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3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4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5" thickBot="1" x14ac:dyDescent="0.45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VLOOKUP(AA32,Schlüssel!$A$5:$DZ$14,53)</f>
        <v>10</v>
      </c>
      <c r="AE34" s="65" t="s">
        <v>10</v>
      </c>
      <c r="AF34" s="44">
        <f>VLOOKUP(AA32,Schlüssel!$A$5:$DZ$14,54)</f>
        <v>5</v>
      </c>
      <c r="AG34" s="65" t="s">
        <v>10</v>
      </c>
      <c r="AH34" s="44">
        <f>VLOOKUP(AA32,Schlüssel!$A$5:$DZ$14,55)</f>
        <v>4</v>
      </c>
      <c r="AI34" s="65" t="s">
        <v>10</v>
      </c>
      <c r="AJ34" s="44">
        <f>VLOOKUP(AA32,Schlüssel!$A$5:$DZ$14,56)</f>
        <v>2</v>
      </c>
      <c r="AK34" s="65" t="s">
        <v>10</v>
      </c>
      <c r="AL34" s="44">
        <f>VLOOKUP(AA32,Schlüssel!$A$5:$DZ$14,57)</f>
        <v>6</v>
      </c>
      <c r="AM34" s="65" t="s">
        <v>10</v>
      </c>
      <c r="AN34" s="44">
        <f>VLOOKUP(AA32,Schlüssel!$A$5:$DZ$14,58)</f>
        <v>9</v>
      </c>
      <c r="AO34" s="65" t="s">
        <v>10</v>
      </c>
      <c r="AP34" s="44">
        <f>VLOOKUP(AA32,Schlüssel!$A$5:$DZ$14,59)</f>
        <v>1</v>
      </c>
      <c r="AQ34" s="65" t="s">
        <v>10</v>
      </c>
      <c r="AR34" s="44">
        <f>VLOOKUP(AA32,Schlüssel!$A$5:$DZ$14,60)</f>
        <v>7</v>
      </c>
      <c r="AS34" s="65" t="s">
        <v>10</v>
      </c>
      <c r="AT34" s="44">
        <f>VLOOKUP(AA32,Schlüssel!$A$5:$DZ$14,61)</f>
        <v>3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35">
      <c r="B35" s="67" t="s">
        <v>1</v>
      </c>
      <c r="C35" s="68"/>
      <c r="D35" s="354" t="s">
        <v>1800</v>
      </c>
      <c r="E35" s="355"/>
      <c r="F35" s="354" t="s">
        <v>1801</v>
      </c>
      <c r="G35" s="355"/>
      <c r="H35" s="354" t="s">
        <v>1802</v>
      </c>
      <c r="I35" s="355"/>
      <c r="J35" s="354" t="s">
        <v>1803</v>
      </c>
      <c r="K35" s="355"/>
      <c r="L35" s="354" t="s">
        <v>1804</v>
      </c>
      <c r="M35" s="355"/>
      <c r="N35" s="354" t="s">
        <v>1805</v>
      </c>
      <c r="O35" s="355"/>
      <c r="P35" s="354" t="s">
        <v>1806</v>
      </c>
      <c r="Q35" s="355"/>
      <c r="R35" s="354" t="s">
        <v>1807</v>
      </c>
      <c r="S35" s="355"/>
      <c r="T35" s="354" t="s">
        <v>1808</v>
      </c>
      <c r="U35" s="355"/>
      <c r="V35" s="356" t="s">
        <v>1799</v>
      </c>
      <c r="W35" s="357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4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2" customHeight="1" x14ac:dyDescent="0.35">
      <c r="A37" s="367" t="s">
        <v>0</v>
      </c>
      <c r="B37" s="73" t="str">
        <f>IF(AA37=0,"",AA37)</f>
        <v>Hassforth, Lea</v>
      </c>
      <c r="C37" s="74">
        <f>IF(AB37=0,"",AB37)</f>
        <v>38438</v>
      </c>
      <c r="D37" s="75">
        <f>IF(AC37=0,"",AC37)</f>
        <v>165</v>
      </c>
      <c r="E37" s="348">
        <f>IF(AD37="","",AD37)</f>
        <v>1</v>
      </c>
      <c r="F37" s="75">
        <f t="shared" ref="F37:F50" si="35">IF(AE37=0,"",AE37)</f>
        <v>125</v>
      </c>
      <c r="G37" s="348">
        <f>IF(AF37="","",AF37)</f>
        <v>0</v>
      </c>
      <c r="H37" s="75">
        <f t="shared" ref="H37:H50" si="36">IF(AG37=0,"",AG37)</f>
        <v>234</v>
      </c>
      <c r="I37" s="348">
        <f>IF(AH37="","",AH37)</f>
        <v>1</v>
      </c>
      <c r="J37" s="75">
        <f t="shared" ref="J37:J50" si="37">IF(AI37=0,"",AI37)</f>
        <v>216</v>
      </c>
      <c r="K37" s="348">
        <f>IF(AJ37="","",AJ37)</f>
        <v>1</v>
      </c>
      <c r="L37" s="75">
        <f t="shared" ref="L37:L50" si="38">IF(AK37=0,"",AK37)</f>
        <v>173</v>
      </c>
      <c r="M37" s="348">
        <f>IF(AL37="","",AL37)</f>
        <v>1</v>
      </c>
      <c r="N37" s="75">
        <f>IF(AM37=0,"",AM37)</f>
        <v>134</v>
      </c>
      <c r="O37" s="348">
        <f>IF(AN37="","",AN37)</f>
        <v>0</v>
      </c>
      <c r="P37" s="75">
        <f t="shared" ref="P37:P50" si="39">IF(AO37=0,"",AO37)</f>
        <v>142</v>
      </c>
      <c r="Q37" s="348">
        <f>IF(AP37="","",AP37)</f>
        <v>0</v>
      </c>
      <c r="R37" s="75">
        <f t="shared" ref="R37:R50" si="40">IF(AQ37=0,"",AQ37)</f>
        <v>141</v>
      </c>
      <c r="S37" s="348">
        <f>IF(AR37="","",AR37)</f>
        <v>0</v>
      </c>
      <c r="T37" s="75">
        <f t="shared" ref="T37:T50" si="41">IF(AS37=0,"",AS37)</f>
        <v>188</v>
      </c>
      <c r="U37" s="348">
        <f>IF(AT37="","",AT37)</f>
        <v>1</v>
      </c>
      <c r="V37" s="75">
        <f t="shared" ref="V37:V50" si="42">IF(AU37=0,"",AU37)</f>
        <v>1518</v>
      </c>
      <c r="W37" s="348">
        <f>IF(AV37="","",AV37)</f>
        <v>5</v>
      </c>
      <c r="Z37" s="351" t="s">
        <v>0</v>
      </c>
      <c r="AA37" s="108" t="str">
        <f>IF(AB37=0,"",VLOOKUP(AB37,Starter!$A$1:$D$199,2,FALSE))</f>
        <v>Hassforth, Lea</v>
      </c>
      <c r="AB37" s="99">
        <v>38438</v>
      </c>
      <c r="AC37" s="185">
        <v>165</v>
      </c>
      <c r="AD37" s="109">
        <f>IF(SUM(AC37:AC39)+AC55=0,0,IF(SUM(AC37:AC39)=AC55,0.5,IF(SUM(AC37:AC39)&gt;AC55,1,0)))</f>
        <v>1</v>
      </c>
      <c r="AE37" s="185">
        <v>125</v>
      </c>
      <c r="AF37" s="109">
        <f>IF(SUM(AE37:AE39)+AE55=0,0,IF(SUM(AE37:AE39)=AE55,0.5,IF(SUM(AE37:AE39)&gt;AE55,1,0)))</f>
        <v>0</v>
      </c>
      <c r="AG37" s="185">
        <v>234</v>
      </c>
      <c r="AH37" s="109">
        <f>IF(SUM(AG37:AG39)+AG55=0,0,IF(SUM(AG37:AG39)=AG55,0.5,IF(SUM(AG37:AG39)&gt;AG55,1,0)))</f>
        <v>1</v>
      </c>
      <c r="AI37" s="185">
        <v>216</v>
      </c>
      <c r="AJ37" s="109">
        <f>IF(SUM(AI37:AI39)+AI55=0,0,IF(SUM(AI37:AI39)=AI55,0.5,IF(SUM(AI37:AI39)&gt;AI55,1,0)))</f>
        <v>1</v>
      </c>
      <c r="AK37" s="185">
        <v>173</v>
      </c>
      <c r="AL37" s="109">
        <f>IF(SUM(AK37:AK39)+AK55=0,0,IF(SUM(AK37:AK39)=AK55,0.5,IF(SUM(AK37:AK39)&gt;AK55,1,0)))</f>
        <v>1</v>
      </c>
      <c r="AM37" s="185">
        <v>134</v>
      </c>
      <c r="AN37" s="109">
        <f>IF(SUM(AM37:AM39)+AM55=0,0,IF(SUM(AM37:AM39)=AM55,0.5,IF(SUM(AM37:AM39)&gt;AM55,1,0)))</f>
        <v>0</v>
      </c>
      <c r="AO37" s="185">
        <v>142</v>
      </c>
      <c r="AP37" s="109">
        <f>IF(SUM(AO37:AO39)+AO55=0,0,IF(SUM(AO37:AO39)=AO55,0.5,IF(SUM(AO37:AO39)&gt;AO55,1,0)))</f>
        <v>0</v>
      </c>
      <c r="AQ37" s="185">
        <v>141</v>
      </c>
      <c r="AR37" s="109">
        <f>IF(SUM(AQ37:AQ39)+AQ55=0,0,IF(SUM(AQ37:AQ39)=AQ55,0.5,IF(SUM(AQ37:AQ39)&gt;AQ55,1,0)))</f>
        <v>0</v>
      </c>
      <c r="AS37" s="185">
        <v>188</v>
      </c>
      <c r="AT37" s="109">
        <f>IF(SUM(AS37:AS39)+AS55=0,0,IF(SUM(AS37:AS39)=AS55,0.5,IF(SUM(AS37:AS39)&gt;AS55,1,0)))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1518</v>
      </c>
      <c r="AV37" s="111">
        <f>SUM(AD37+AF37+AH37+AJ37+AL37+AN37+AP37+AR37+AT37)</f>
        <v>5</v>
      </c>
      <c r="AW37" s="101"/>
      <c r="AX37" s="102"/>
      <c r="AZ37" s="63"/>
      <c r="BA37" s="212"/>
      <c r="BB37" s="213"/>
      <c r="BC37" s="214"/>
      <c r="BD37" s="217">
        <f>+AB37</f>
        <v>38438</v>
      </c>
      <c r="BE37" s="213">
        <f>+AU37</f>
        <v>1518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165</v>
      </c>
      <c r="BI37" s="215">
        <f t="shared" ref="BI37:BI48" si="45">IF(AE37=0,"",AE37)</f>
        <v>125</v>
      </c>
      <c r="BJ37" s="215">
        <f t="shared" ref="BJ37:BJ48" si="46">IF(AG37=0,"",AG37)</f>
        <v>234</v>
      </c>
      <c r="BK37" s="215">
        <f t="shared" ref="BK37:BK48" si="47">IF(AI37=0,"",AI37)</f>
        <v>216</v>
      </c>
      <c r="BL37" s="215">
        <f t="shared" ref="BL37:BL48" si="48">IF(AK37=0,"",AK37)</f>
        <v>173</v>
      </c>
      <c r="BM37" s="215">
        <f t="shared" ref="BM37:BM48" si="49">IF(AM37=0,"",AM37)</f>
        <v>134</v>
      </c>
      <c r="BN37" s="215">
        <f t="shared" ref="BN37:BN48" si="50">IF(AO37=0,"",AO37)</f>
        <v>142</v>
      </c>
      <c r="BO37" s="215">
        <f t="shared" ref="BO37:BO48" si="51">IF(AQ37=0,"",AQ37)</f>
        <v>141</v>
      </c>
      <c r="BP37" s="215">
        <f t="shared" ref="BP37:BP48" si="52">IF(AS37=0,"",AS37)</f>
        <v>188</v>
      </c>
      <c r="BQ37" s="216"/>
      <c r="BR37" s="214"/>
      <c r="BS37" s="215">
        <f>MAX(BH37:BP37)</f>
        <v>234</v>
      </c>
      <c r="BT37" s="215">
        <f>IF(BS37&lt;MAX(BS:BS),0,BS37+ROW()/1000000000)</f>
        <v>234.00000003700001</v>
      </c>
      <c r="BU37" s="215" t="str">
        <f>+AA33</f>
        <v>BK München 2</v>
      </c>
      <c r="BV37" s="214">
        <f>RANK(BT37,BT:BT)</f>
        <v>1</v>
      </c>
      <c r="BW37" s="215">
        <f>SUMIF(BH37:BP37,"&gt;0")</f>
        <v>1518</v>
      </c>
      <c r="BX37" s="215">
        <f>IF(COUNTIF(BH37:BP37,"&gt;0")&lt;Spielorte!$A$23,0,BE37/Spielorte!$A$23)</f>
        <v>168.66666666666666</v>
      </c>
      <c r="BY37" s="215">
        <f>IF(BX37&lt;MAX(BX:BX),0,BX37+ROW()/1000000000)</f>
        <v>0</v>
      </c>
      <c r="BZ37" s="214">
        <f t="shared" ref="BZ37:BZ48" si="53">IF(BY37=0,0,RANK(BY37,BY:BY))</f>
        <v>0</v>
      </c>
    </row>
    <row r="38" spans="1:78" ht="17.2" customHeight="1" x14ac:dyDescent="0.35">
      <c r="A38" s="368"/>
      <c r="B38" s="76" t="str">
        <f t="shared" ref="B38:D50" si="54">IF(AA38=0,"",AA38)</f>
        <v/>
      </c>
      <c r="C38" s="77" t="str">
        <f t="shared" si="54"/>
        <v/>
      </c>
      <c r="D38" s="78" t="str">
        <f t="shared" si="54"/>
        <v/>
      </c>
      <c r="E38" s="349"/>
      <c r="F38" s="78" t="str">
        <f t="shared" si="35"/>
        <v/>
      </c>
      <c r="G38" s="349"/>
      <c r="H38" s="78" t="str">
        <f t="shared" si="36"/>
        <v/>
      </c>
      <c r="I38" s="349"/>
      <c r="J38" s="78" t="str">
        <f t="shared" si="37"/>
        <v/>
      </c>
      <c r="K38" s="349"/>
      <c r="L38" s="78" t="str">
        <f t="shared" si="38"/>
        <v/>
      </c>
      <c r="M38" s="349"/>
      <c r="N38" s="78" t="str">
        <f t="shared" ref="N38:N50" si="55">IF(AM38=0,"",AM38)</f>
        <v/>
      </c>
      <c r="O38" s="349"/>
      <c r="P38" s="78" t="str">
        <f t="shared" si="39"/>
        <v/>
      </c>
      <c r="Q38" s="349"/>
      <c r="R38" s="78" t="str">
        <f t="shared" si="40"/>
        <v/>
      </c>
      <c r="S38" s="349"/>
      <c r="T38" s="78" t="str">
        <f t="shared" si="41"/>
        <v/>
      </c>
      <c r="U38" s="349"/>
      <c r="V38" s="78" t="str">
        <f t="shared" si="42"/>
        <v/>
      </c>
      <c r="W38" s="349"/>
      <c r="Z38" s="352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6">+AB38</f>
        <v>0</v>
      </c>
      <c r="BE38" s="213">
        <f t="shared" ref="BE38:BE48" si="57">+AU38</f>
        <v>0</v>
      </c>
      <c r="BF38" s="215">
        <f t="shared" ref="BF38:BF48" si="58">COUNT(BH38:BP38)</f>
        <v>0</v>
      </c>
      <c r="BG38" s="215">
        <f t="shared" ref="BG38:BG48" si="59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0">MAX(BH38:BP38)</f>
        <v>0</v>
      </c>
      <c r="BT38" s="215">
        <f t="shared" ref="BT38:BT48" si="61">IF(BS38&lt;MAX(BS:BS),0,BS38+ROW()/1000000000)</f>
        <v>0</v>
      </c>
      <c r="BU38" s="215" t="str">
        <f t="shared" ref="BU38:BU48" si="62">+BU37</f>
        <v>BK München 2</v>
      </c>
      <c r="BV38" s="214">
        <f t="shared" ref="BV38:BV48" si="63">RANK(BT38,BT:BT)</f>
        <v>2</v>
      </c>
      <c r="BW38" s="215">
        <f t="shared" ref="BW38:BW48" si="64">SUMIF(BH38:BP38,"&gt;0")</f>
        <v>0</v>
      </c>
      <c r="BX38" s="215">
        <f>IF(COUNTIF(BH38:BP38,"&gt;0")&lt;Spielorte!$A$23,0,BE38/Spielorte!$A$23)</f>
        <v>0</v>
      </c>
      <c r="BY38" s="215">
        <f t="shared" ref="BY38:BY48" si="65">IF(BX38&lt;MAX(BX:BX),0,BX38+ROW()/1000000000)</f>
        <v>0</v>
      </c>
      <c r="BZ38" s="214">
        <f t="shared" si="53"/>
        <v>0</v>
      </c>
    </row>
    <row r="39" spans="1:78" ht="17.2" customHeight="1" thickBot="1" x14ac:dyDescent="0.4">
      <c r="A39" s="369"/>
      <c r="B39" s="79" t="str">
        <f t="shared" si="54"/>
        <v/>
      </c>
      <c r="C39" s="80" t="str">
        <f t="shared" si="54"/>
        <v/>
      </c>
      <c r="D39" s="69" t="str">
        <f t="shared" si="54"/>
        <v/>
      </c>
      <c r="E39" s="350"/>
      <c r="F39" s="69" t="str">
        <f t="shared" si="35"/>
        <v/>
      </c>
      <c r="G39" s="350"/>
      <c r="H39" s="69" t="str">
        <f t="shared" si="36"/>
        <v/>
      </c>
      <c r="I39" s="350"/>
      <c r="J39" s="69" t="str">
        <f t="shared" si="37"/>
        <v/>
      </c>
      <c r="K39" s="350"/>
      <c r="L39" s="69" t="str">
        <f t="shared" si="38"/>
        <v/>
      </c>
      <c r="M39" s="350"/>
      <c r="N39" s="69" t="str">
        <f t="shared" si="55"/>
        <v/>
      </c>
      <c r="O39" s="350"/>
      <c r="P39" s="69" t="str">
        <f t="shared" si="39"/>
        <v/>
      </c>
      <c r="Q39" s="350"/>
      <c r="R39" s="69" t="str">
        <f t="shared" si="40"/>
        <v/>
      </c>
      <c r="S39" s="350"/>
      <c r="T39" s="69" t="str">
        <f t="shared" si="41"/>
        <v/>
      </c>
      <c r="U39" s="350"/>
      <c r="V39" s="69" t="str">
        <f t="shared" si="42"/>
        <v/>
      </c>
      <c r="W39" s="350"/>
      <c r="Z39" s="353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6"/>
        <v>0</v>
      </c>
      <c r="BE39" s="213">
        <f t="shared" si="57"/>
        <v>0</v>
      </c>
      <c r="BF39" s="215">
        <f t="shared" si="58"/>
        <v>0</v>
      </c>
      <c r="BG39" s="215">
        <f t="shared" si="59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0"/>
        <v>0</v>
      </c>
      <c r="BT39" s="215">
        <f t="shared" si="61"/>
        <v>0</v>
      </c>
      <c r="BU39" s="215" t="str">
        <f t="shared" si="62"/>
        <v>BK München 2</v>
      </c>
      <c r="BV39" s="214">
        <f t="shared" si="63"/>
        <v>2</v>
      </c>
      <c r="BW39" s="215">
        <f t="shared" si="64"/>
        <v>0</v>
      </c>
      <c r="BX39" s="215">
        <f>IF(COUNTIF(BH39:BP39,"&gt;0")&lt;Spielorte!$A$23,0,BE39/Spielorte!$A$23)</f>
        <v>0</v>
      </c>
      <c r="BY39" s="215">
        <f t="shared" si="65"/>
        <v>0</v>
      </c>
      <c r="BZ39" s="214">
        <f t="shared" si="53"/>
        <v>0</v>
      </c>
    </row>
    <row r="40" spans="1:78" ht="17.2" customHeight="1" x14ac:dyDescent="0.35">
      <c r="A40" s="367" t="s">
        <v>2</v>
      </c>
      <c r="B40" s="73" t="str">
        <f t="shared" si="54"/>
        <v>Kirschke, Sandra</v>
      </c>
      <c r="C40" s="74">
        <f t="shared" si="54"/>
        <v>38289</v>
      </c>
      <c r="D40" s="75">
        <f t="shared" si="54"/>
        <v>161</v>
      </c>
      <c r="E40" s="348">
        <f>IF(AD40="","",AD40)</f>
        <v>0</v>
      </c>
      <c r="F40" s="75">
        <f t="shared" si="35"/>
        <v>167</v>
      </c>
      <c r="G40" s="348">
        <f>IF(AF40="","",AF40)</f>
        <v>0</v>
      </c>
      <c r="H40" s="75">
        <f t="shared" si="36"/>
        <v>122</v>
      </c>
      <c r="I40" s="348">
        <f>IF(AH40="","",AH40)</f>
        <v>0</v>
      </c>
      <c r="J40" s="75" t="str">
        <f t="shared" si="37"/>
        <v/>
      </c>
      <c r="K40" s="348">
        <f>IF(AJ40="","",AJ40)</f>
        <v>0</v>
      </c>
      <c r="L40" s="75" t="str">
        <f t="shared" si="38"/>
        <v/>
      </c>
      <c r="M40" s="348">
        <f>IF(AL40="","",AL40)</f>
        <v>0</v>
      </c>
      <c r="N40" s="75" t="str">
        <f t="shared" si="55"/>
        <v/>
      </c>
      <c r="O40" s="348">
        <f>IF(AN40="","",AN40)</f>
        <v>0</v>
      </c>
      <c r="P40" s="75" t="str">
        <f t="shared" si="39"/>
        <v/>
      </c>
      <c r="Q40" s="348">
        <f>IF(AP40="","",AP40)</f>
        <v>1</v>
      </c>
      <c r="R40" s="75" t="str">
        <f t="shared" si="40"/>
        <v/>
      </c>
      <c r="S40" s="348">
        <f>IF(AR40="","",AR40)</f>
        <v>0</v>
      </c>
      <c r="T40" s="75" t="str">
        <f t="shared" si="41"/>
        <v/>
      </c>
      <c r="U40" s="348">
        <f>IF(AT40="","",AT40)</f>
        <v>1</v>
      </c>
      <c r="V40" s="75">
        <f t="shared" si="42"/>
        <v>450</v>
      </c>
      <c r="W40" s="348">
        <f>IF(AV40="","",AV40)</f>
        <v>2</v>
      </c>
      <c r="Z40" s="351" t="s">
        <v>2</v>
      </c>
      <c r="AA40" s="108" t="str">
        <f>IF(AB40=0,"",VLOOKUP(AB40,Starter!$A$1:$D$199,2,FALSE))</f>
        <v>Kirschke, Sandra</v>
      </c>
      <c r="AB40" s="99">
        <v>38289</v>
      </c>
      <c r="AC40" s="188">
        <v>161</v>
      </c>
      <c r="AD40" s="109">
        <f>IF(SUM(AC40:AC42)+AC56=0,0,IF(SUM(AC40:AC42)=AC56,0.5,IF(SUM(AC40:AC42)&gt;AC56,1,0)))</f>
        <v>0</v>
      </c>
      <c r="AE40" s="188">
        <v>167</v>
      </c>
      <c r="AF40" s="109">
        <f>IF(SUM(AE40:AE42)+AE56=0,0,IF(SUM(AE40:AE42)=AE56,0.5,IF(SUM(AE40:AE42)&gt;AE56,1,0)))</f>
        <v>0</v>
      </c>
      <c r="AG40" s="188">
        <v>122</v>
      </c>
      <c r="AH40" s="109">
        <f>IF(SUM(AG40:AG42)+AG56=0,0,IF(SUM(AG40:AG42)=AG56,0.5,IF(SUM(AG40:AG42)&gt;AG56,1,0)))</f>
        <v>0</v>
      </c>
      <c r="AI40" s="188">
        <v>0</v>
      </c>
      <c r="AJ40" s="109">
        <f>IF(SUM(AI40:AI42)+AI56=0,0,IF(SUM(AI40:AI42)=AI56,0.5,IF(SUM(AI40:AI42)&gt;AI56,1,0)))</f>
        <v>0</v>
      </c>
      <c r="AK40" s="188"/>
      <c r="AL40" s="109">
        <f>IF(SUM(AK40:AK42)+AK56=0,0,IF(SUM(AK40:AK42)=AK56,0.5,IF(SUM(AK40:AK42)&gt;AK56,1,0)))</f>
        <v>0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1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1</v>
      </c>
      <c r="AU40" s="110">
        <f t="shared" si="43"/>
        <v>450</v>
      </c>
      <c r="AV40" s="111">
        <f>SUM(AD40+AF40+AH40+AJ40+AL40+AN40+AP40+AR40+AT40)</f>
        <v>2</v>
      </c>
      <c r="AW40" s="101"/>
      <c r="AX40" s="102"/>
      <c r="AZ40" s="63"/>
      <c r="BA40" s="212"/>
      <c r="BB40" s="213"/>
      <c r="BC40" s="214"/>
      <c r="BD40" s="217">
        <f t="shared" si="56"/>
        <v>38289</v>
      </c>
      <c r="BE40" s="213">
        <f t="shared" si="57"/>
        <v>450</v>
      </c>
      <c r="BF40" s="215">
        <f t="shared" si="58"/>
        <v>3</v>
      </c>
      <c r="BG40" s="215">
        <f t="shared" si="59"/>
        <v>3</v>
      </c>
      <c r="BH40" s="215">
        <f t="shared" si="44"/>
        <v>161</v>
      </c>
      <c r="BI40" s="215">
        <f t="shared" si="45"/>
        <v>167</v>
      </c>
      <c r="BJ40" s="215">
        <f t="shared" si="46"/>
        <v>122</v>
      </c>
      <c r="BK40" s="215" t="str">
        <f t="shared" si="47"/>
        <v/>
      </c>
      <c r="BL40" s="215" t="str">
        <f t="shared" si="48"/>
        <v/>
      </c>
      <c r="BM40" s="215" t="str">
        <f t="shared" si="49"/>
        <v/>
      </c>
      <c r="BN40" s="215" t="str">
        <f t="shared" si="50"/>
        <v/>
      </c>
      <c r="BO40" s="215" t="str">
        <f t="shared" si="51"/>
        <v/>
      </c>
      <c r="BP40" s="215" t="str">
        <f t="shared" si="52"/>
        <v/>
      </c>
      <c r="BQ40" s="216"/>
      <c r="BR40" s="214"/>
      <c r="BS40" s="215">
        <f t="shared" si="60"/>
        <v>167</v>
      </c>
      <c r="BT40" s="215">
        <f t="shared" si="61"/>
        <v>0</v>
      </c>
      <c r="BU40" s="215" t="str">
        <f t="shared" si="62"/>
        <v>BK München 2</v>
      </c>
      <c r="BV40" s="214">
        <f t="shared" si="63"/>
        <v>2</v>
      </c>
      <c r="BW40" s="215">
        <f t="shared" si="64"/>
        <v>450</v>
      </c>
      <c r="BX40" s="215">
        <f>IF(COUNTIF(BH40:BP40,"&gt;0")&lt;Spielorte!$A$23,0,BE40/Spielorte!$A$23)</f>
        <v>0</v>
      </c>
      <c r="BY40" s="215">
        <f t="shared" si="65"/>
        <v>0</v>
      </c>
      <c r="BZ40" s="214">
        <f t="shared" si="53"/>
        <v>0</v>
      </c>
    </row>
    <row r="41" spans="1:78" ht="17.2" customHeight="1" x14ac:dyDescent="0.35">
      <c r="A41" s="368"/>
      <c r="B41" s="76" t="str">
        <f t="shared" si="54"/>
        <v>Strahl, Pakwipa</v>
      </c>
      <c r="C41" s="77">
        <f t="shared" si="54"/>
        <v>7991</v>
      </c>
      <c r="D41" s="78" t="str">
        <f t="shared" si="54"/>
        <v/>
      </c>
      <c r="E41" s="349"/>
      <c r="F41" s="78" t="str">
        <f t="shared" si="35"/>
        <v/>
      </c>
      <c r="G41" s="349"/>
      <c r="H41" s="78" t="str">
        <f t="shared" si="36"/>
        <v/>
      </c>
      <c r="I41" s="349"/>
      <c r="J41" s="78" t="str">
        <f t="shared" si="37"/>
        <v/>
      </c>
      <c r="K41" s="349"/>
      <c r="L41" s="78">
        <f t="shared" si="38"/>
        <v>145</v>
      </c>
      <c r="M41" s="349"/>
      <c r="N41" s="78">
        <f t="shared" si="55"/>
        <v>169</v>
      </c>
      <c r="O41" s="349"/>
      <c r="P41" s="78">
        <f t="shared" si="39"/>
        <v>179</v>
      </c>
      <c r="Q41" s="349"/>
      <c r="R41" s="78">
        <f t="shared" si="40"/>
        <v>153</v>
      </c>
      <c r="S41" s="349"/>
      <c r="T41" s="78">
        <f t="shared" si="41"/>
        <v>146</v>
      </c>
      <c r="U41" s="349"/>
      <c r="V41" s="78">
        <f t="shared" si="42"/>
        <v>792</v>
      </c>
      <c r="W41" s="349"/>
      <c r="Z41" s="352"/>
      <c r="AA41" s="108" t="str">
        <f>IF(AB41=0,"",VLOOKUP(AB41,Starter!$A$1:$D$199,2,FALSE))</f>
        <v>Strahl, Pakwipa</v>
      </c>
      <c r="AB41" s="98">
        <v>7991</v>
      </c>
      <c r="AC41" s="186"/>
      <c r="AD41" s="112"/>
      <c r="AE41" s="186"/>
      <c r="AF41" s="112"/>
      <c r="AG41" s="186"/>
      <c r="AH41" s="112"/>
      <c r="AI41" s="186"/>
      <c r="AJ41" s="112"/>
      <c r="AK41" s="186">
        <v>145</v>
      </c>
      <c r="AL41" s="112"/>
      <c r="AM41" s="186">
        <v>169</v>
      </c>
      <c r="AN41" s="112"/>
      <c r="AO41" s="190">
        <v>179</v>
      </c>
      <c r="AP41" s="112"/>
      <c r="AQ41" s="190">
        <v>153</v>
      </c>
      <c r="AR41" s="112"/>
      <c r="AS41" s="190">
        <v>146</v>
      </c>
      <c r="AT41" s="112"/>
      <c r="AU41" s="113">
        <f t="shared" si="43"/>
        <v>792</v>
      </c>
      <c r="AV41" s="114"/>
      <c r="AW41" s="101"/>
      <c r="AX41" s="102"/>
      <c r="AZ41" s="63"/>
      <c r="BA41" s="212"/>
      <c r="BB41" s="213"/>
      <c r="BC41" s="214"/>
      <c r="BD41" s="217">
        <f t="shared" si="56"/>
        <v>7991</v>
      </c>
      <c r="BE41" s="213">
        <f t="shared" si="57"/>
        <v>792</v>
      </c>
      <c r="BF41" s="215">
        <f t="shared" si="58"/>
        <v>5</v>
      </c>
      <c r="BG41" s="215">
        <f t="shared" si="59"/>
        <v>5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>
        <f t="shared" si="48"/>
        <v>145</v>
      </c>
      <c r="BM41" s="215">
        <f t="shared" si="49"/>
        <v>169</v>
      </c>
      <c r="BN41" s="215">
        <f t="shared" si="50"/>
        <v>179</v>
      </c>
      <c r="BO41" s="215">
        <f t="shared" si="51"/>
        <v>153</v>
      </c>
      <c r="BP41" s="215">
        <f t="shared" si="52"/>
        <v>146</v>
      </c>
      <c r="BQ41" s="216"/>
      <c r="BR41" s="214"/>
      <c r="BS41" s="215">
        <f t="shared" si="60"/>
        <v>179</v>
      </c>
      <c r="BT41" s="215">
        <f t="shared" si="61"/>
        <v>0</v>
      </c>
      <c r="BU41" s="215" t="str">
        <f t="shared" si="62"/>
        <v>BK München 2</v>
      </c>
      <c r="BV41" s="214">
        <f t="shared" si="63"/>
        <v>2</v>
      </c>
      <c r="BW41" s="215">
        <f t="shared" si="64"/>
        <v>792</v>
      </c>
      <c r="BX41" s="215">
        <f>IF(COUNTIF(BH41:BP41,"&gt;0")&lt;Spielorte!$A$23,0,BE41/Spielorte!$A$23)</f>
        <v>0</v>
      </c>
      <c r="BY41" s="215">
        <f t="shared" si="65"/>
        <v>0</v>
      </c>
      <c r="BZ41" s="214">
        <f t="shared" si="53"/>
        <v>0</v>
      </c>
    </row>
    <row r="42" spans="1:78" ht="17.2" customHeight="1" thickBot="1" x14ac:dyDescent="0.4">
      <c r="A42" s="369"/>
      <c r="B42" s="79" t="str">
        <f t="shared" si="54"/>
        <v/>
      </c>
      <c r="C42" s="80" t="str">
        <f t="shared" si="54"/>
        <v/>
      </c>
      <c r="D42" s="69" t="str">
        <f t="shared" si="54"/>
        <v/>
      </c>
      <c r="E42" s="350"/>
      <c r="F42" s="69" t="str">
        <f t="shared" si="35"/>
        <v/>
      </c>
      <c r="G42" s="350"/>
      <c r="H42" s="69" t="str">
        <f t="shared" si="36"/>
        <v/>
      </c>
      <c r="I42" s="350"/>
      <c r="J42" s="69" t="str">
        <f t="shared" si="37"/>
        <v/>
      </c>
      <c r="K42" s="350"/>
      <c r="L42" s="69" t="str">
        <f t="shared" si="38"/>
        <v/>
      </c>
      <c r="M42" s="350"/>
      <c r="N42" s="69" t="str">
        <f t="shared" si="55"/>
        <v/>
      </c>
      <c r="O42" s="350"/>
      <c r="P42" s="69" t="str">
        <f t="shared" si="39"/>
        <v/>
      </c>
      <c r="Q42" s="350"/>
      <c r="R42" s="69" t="str">
        <f t="shared" si="40"/>
        <v/>
      </c>
      <c r="S42" s="350"/>
      <c r="T42" s="69" t="str">
        <f t="shared" si="41"/>
        <v/>
      </c>
      <c r="U42" s="350"/>
      <c r="V42" s="69" t="str">
        <f t="shared" si="42"/>
        <v/>
      </c>
      <c r="W42" s="350"/>
      <c r="Z42" s="353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6"/>
        <v>0</v>
      </c>
      <c r="BE42" s="213">
        <f t="shared" si="57"/>
        <v>0</v>
      </c>
      <c r="BF42" s="215">
        <f t="shared" si="58"/>
        <v>0</v>
      </c>
      <c r="BG42" s="215">
        <f t="shared" si="59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0"/>
        <v>0</v>
      </c>
      <c r="BT42" s="215">
        <f t="shared" si="61"/>
        <v>0</v>
      </c>
      <c r="BU42" s="215" t="str">
        <f t="shared" si="62"/>
        <v>BK München 2</v>
      </c>
      <c r="BV42" s="214">
        <f t="shared" si="63"/>
        <v>2</v>
      </c>
      <c r="BW42" s="215">
        <f t="shared" si="64"/>
        <v>0</v>
      </c>
      <c r="BX42" s="215">
        <f>IF(COUNTIF(BH42:BP42,"&gt;0")&lt;Spielorte!$A$23,0,BE42/Spielorte!$A$23)</f>
        <v>0</v>
      </c>
      <c r="BY42" s="215">
        <f t="shared" si="65"/>
        <v>0</v>
      </c>
      <c r="BZ42" s="214">
        <f t="shared" si="53"/>
        <v>0</v>
      </c>
    </row>
    <row r="43" spans="1:78" ht="17.2" customHeight="1" x14ac:dyDescent="0.35">
      <c r="A43" s="367" t="s">
        <v>3</v>
      </c>
      <c r="B43" s="73" t="str">
        <f t="shared" si="54"/>
        <v>Seeger, Melanie</v>
      </c>
      <c r="C43" s="74">
        <f t="shared" si="54"/>
        <v>38350</v>
      </c>
      <c r="D43" s="75">
        <f t="shared" si="54"/>
        <v>195</v>
      </c>
      <c r="E43" s="348">
        <f>IF(AD43="","",AD43)</f>
        <v>1</v>
      </c>
      <c r="F43" s="75">
        <f t="shared" si="35"/>
        <v>137</v>
      </c>
      <c r="G43" s="348">
        <f>IF(AF43="","",AF43)</f>
        <v>0</v>
      </c>
      <c r="H43" s="75">
        <f t="shared" si="36"/>
        <v>129</v>
      </c>
      <c r="I43" s="348">
        <f>IF(AH43="","",AH43)</f>
        <v>0</v>
      </c>
      <c r="J43" s="75">
        <f t="shared" si="37"/>
        <v>183</v>
      </c>
      <c r="K43" s="348">
        <f>IF(AJ43="","",AJ43)</f>
        <v>1</v>
      </c>
      <c r="L43" s="75">
        <f t="shared" si="38"/>
        <v>149</v>
      </c>
      <c r="M43" s="348">
        <f>IF(AL43="","",AL43)</f>
        <v>0</v>
      </c>
      <c r="N43" s="75">
        <f t="shared" si="55"/>
        <v>156</v>
      </c>
      <c r="O43" s="348">
        <f>IF(AN43="","",AN43)</f>
        <v>1</v>
      </c>
      <c r="P43" s="75">
        <f t="shared" si="39"/>
        <v>167</v>
      </c>
      <c r="Q43" s="348">
        <f>IF(AP43="","",AP43)</f>
        <v>1</v>
      </c>
      <c r="R43" s="75">
        <f t="shared" si="40"/>
        <v>164</v>
      </c>
      <c r="S43" s="348">
        <f>IF(AR43="","",AR43)</f>
        <v>0</v>
      </c>
      <c r="T43" s="75">
        <f t="shared" si="41"/>
        <v>130</v>
      </c>
      <c r="U43" s="348">
        <f>IF(AT43="","",AT43)</f>
        <v>1</v>
      </c>
      <c r="V43" s="75">
        <f t="shared" si="42"/>
        <v>1410</v>
      </c>
      <c r="W43" s="348">
        <f>IF(AV43="","",AV43)</f>
        <v>5</v>
      </c>
      <c r="Z43" s="351" t="s">
        <v>3</v>
      </c>
      <c r="AA43" s="108" t="str">
        <f>IF(AB43=0,"",VLOOKUP(AB43,Starter!$A$1:$D$199,2,FALSE))</f>
        <v>Seeger, Melanie</v>
      </c>
      <c r="AB43" s="99">
        <v>38350</v>
      </c>
      <c r="AC43" s="188">
        <v>195</v>
      </c>
      <c r="AD43" s="109">
        <f>IF(SUM(AC43:AC45)+AC57=0,0,IF(SUM(AC43:AC45)=AC57,0.5,IF(SUM(AC43:AC45)&gt;AC57,1,0)))</f>
        <v>1</v>
      </c>
      <c r="AE43" s="188">
        <v>137</v>
      </c>
      <c r="AF43" s="109">
        <f>IF(SUM(AE43:AE45)+AE57=0,0,IF(SUM(AE43:AE45)=AE57,0.5,IF(SUM(AE43:AE45)&gt;AE57,1,0)))</f>
        <v>0</v>
      </c>
      <c r="AG43" s="188">
        <v>129</v>
      </c>
      <c r="AH43" s="109">
        <f>IF(SUM(AG43:AG45)+AG57=0,0,IF(SUM(AG43:AG45)=AG57,0.5,IF(SUM(AG43:AG45)&gt;AG57,1,0)))</f>
        <v>0</v>
      </c>
      <c r="AI43" s="188">
        <v>183</v>
      </c>
      <c r="AJ43" s="109">
        <f>IF(SUM(AI43:AI45)+AI57=0,0,IF(SUM(AI43:AI45)=AI57,0.5,IF(SUM(AI43:AI45)&gt;AI57,1,0)))</f>
        <v>1</v>
      </c>
      <c r="AK43" s="188">
        <v>149</v>
      </c>
      <c r="AL43" s="109">
        <f>IF(SUM(AK43:AK45)+AK57=0,0,IF(SUM(AK43:AK45)=AK57,0.5,IF(SUM(AK43:AK45)&gt;AK57,1,0)))</f>
        <v>0</v>
      </c>
      <c r="AM43" s="188">
        <v>156</v>
      </c>
      <c r="AN43" s="109">
        <f>IF(SUM(AM43:AM45)+AM57=0,0,IF(SUM(AM43:AM45)=AM57,0.5,IF(SUM(AM43:AM45)&gt;AM57,1,0)))</f>
        <v>1</v>
      </c>
      <c r="AO43" s="188">
        <v>167</v>
      </c>
      <c r="AP43" s="109">
        <f>IF(SUM(AO43:AO45)+AO57=0,0,IF(SUM(AO43:AO45)=AO57,0.5,IF(SUM(AO43:AO45)&gt;AO57,1,0)))</f>
        <v>1</v>
      </c>
      <c r="AQ43" s="188">
        <v>164</v>
      </c>
      <c r="AR43" s="109">
        <f>IF(SUM(AQ43:AQ45)+AQ57=0,0,IF(SUM(AQ43:AQ45)=AQ57,0.5,IF(SUM(AQ43:AQ45)&gt;AQ57,1,0)))</f>
        <v>0</v>
      </c>
      <c r="AS43" s="188">
        <v>130</v>
      </c>
      <c r="AT43" s="109">
        <f>IF(SUM(AS43:AS45)+AS57=0,0,IF(SUM(AS43:AS45)=AS57,0.5,IF(SUM(AS43:AS45)&gt;AS57,1,0)))</f>
        <v>1</v>
      </c>
      <c r="AU43" s="110">
        <f t="shared" si="43"/>
        <v>1410</v>
      </c>
      <c r="AV43" s="111">
        <f>SUM(AD43+AF43+AH43+AJ43+AL43+AN43+AP43+AR43+AT43)</f>
        <v>5</v>
      </c>
      <c r="AW43" s="101"/>
      <c r="AX43" s="102"/>
      <c r="AZ43" s="63"/>
      <c r="BA43" s="212"/>
      <c r="BB43" s="213"/>
      <c r="BC43" s="214"/>
      <c r="BD43" s="217">
        <f t="shared" si="56"/>
        <v>38350</v>
      </c>
      <c r="BE43" s="213">
        <f t="shared" si="57"/>
        <v>1410</v>
      </c>
      <c r="BF43" s="215">
        <f t="shared" si="58"/>
        <v>9</v>
      </c>
      <c r="BG43" s="215">
        <f t="shared" si="59"/>
        <v>9</v>
      </c>
      <c r="BH43" s="215">
        <f t="shared" si="44"/>
        <v>195</v>
      </c>
      <c r="BI43" s="215">
        <f t="shared" si="45"/>
        <v>137</v>
      </c>
      <c r="BJ43" s="215">
        <f t="shared" si="46"/>
        <v>129</v>
      </c>
      <c r="BK43" s="215">
        <f t="shared" si="47"/>
        <v>183</v>
      </c>
      <c r="BL43" s="215">
        <f t="shared" si="48"/>
        <v>149</v>
      </c>
      <c r="BM43" s="215">
        <f t="shared" si="49"/>
        <v>156</v>
      </c>
      <c r="BN43" s="215">
        <f t="shared" si="50"/>
        <v>167</v>
      </c>
      <c r="BO43" s="215">
        <f t="shared" si="51"/>
        <v>164</v>
      </c>
      <c r="BP43" s="215">
        <f t="shared" si="52"/>
        <v>130</v>
      </c>
      <c r="BQ43" s="216"/>
      <c r="BR43" s="214"/>
      <c r="BS43" s="215">
        <f t="shared" si="60"/>
        <v>195</v>
      </c>
      <c r="BT43" s="215">
        <f t="shared" si="61"/>
        <v>0</v>
      </c>
      <c r="BU43" s="215" t="str">
        <f t="shared" si="62"/>
        <v>BK München 2</v>
      </c>
      <c r="BV43" s="214">
        <f t="shared" si="63"/>
        <v>2</v>
      </c>
      <c r="BW43" s="215">
        <f t="shared" si="64"/>
        <v>1410</v>
      </c>
      <c r="BX43" s="215">
        <f>IF(COUNTIF(BH43:BP43,"&gt;0")&lt;Spielorte!$A$23,0,BE43/Spielorte!$A$23)</f>
        <v>156.66666666666666</v>
      </c>
      <c r="BY43" s="215">
        <f t="shared" si="65"/>
        <v>0</v>
      </c>
      <c r="BZ43" s="214">
        <f t="shared" si="53"/>
        <v>0</v>
      </c>
    </row>
    <row r="44" spans="1:78" ht="17.2" customHeight="1" x14ac:dyDescent="0.35">
      <c r="A44" s="368"/>
      <c r="B44" s="76" t="str">
        <f t="shared" si="54"/>
        <v/>
      </c>
      <c r="C44" s="77" t="str">
        <f t="shared" si="54"/>
        <v/>
      </c>
      <c r="D44" s="78" t="str">
        <f t="shared" si="54"/>
        <v/>
      </c>
      <c r="E44" s="349"/>
      <c r="F44" s="78" t="str">
        <f t="shared" si="35"/>
        <v/>
      </c>
      <c r="G44" s="349"/>
      <c r="H44" s="78" t="str">
        <f t="shared" si="36"/>
        <v/>
      </c>
      <c r="I44" s="349"/>
      <c r="J44" s="78" t="str">
        <f t="shared" si="37"/>
        <v/>
      </c>
      <c r="K44" s="349"/>
      <c r="L44" s="78" t="str">
        <f t="shared" si="38"/>
        <v/>
      </c>
      <c r="M44" s="349"/>
      <c r="N44" s="78" t="str">
        <f t="shared" si="55"/>
        <v/>
      </c>
      <c r="O44" s="349"/>
      <c r="P44" s="78" t="str">
        <f t="shared" si="39"/>
        <v/>
      </c>
      <c r="Q44" s="349"/>
      <c r="R44" s="78" t="str">
        <f t="shared" si="40"/>
        <v/>
      </c>
      <c r="S44" s="349"/>
      <c r="T44" s="78" t="str">
        <f t="shared" si="41"/>
        <v/>
      </c>
      <c r="U44" s="349"/>
      <c r="V44" s="78" t="str">
        <f t="shared" si="42"/>
        <v/>
      </c>
      <c r="W44" s="349"/>
      <c r="Z44" s="352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6"/>
        <v>0</v>
      </c>
      <c r="BE44" s="213">
        <f t="shared" si="57"/>
        <v>0</v>
      </c>
      <c r="BF44" s="215">
        <f t="shared" si="58"/>
        <v>0</v>
      </c>
      <c r="BG44" s="215">
        <f t="shared" si="59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0"/>
        <v>0</v>
      </c>
      <c r="BT44" s="215">
        <f t="shared" si="61"/>
        <v>0</v>
      </c>
      <c r="BU44" s="215" t="str">
        <f t="shared" si="62"/>
        <v>BK München 2</v>
      </c>
      <c r="BV44" s="214">
        <f t="shared" si="63"/>
        <v>2</v>
      </c>
      <c r="BW44" s="215">
        <f t="shared" si="64"/>
        <v>0</v>
      </c>
      <c r="BX44" s="215">
        <f>IF(COUNTIF(BH44:BP44,"&gt;0")&lt;Spielorte!$A$23,0,BE44/Spielorte!$A$23)</f>
        <v>0</v>
      </c>
      <c r="BY44" s="215">
        <f t="shared" si="65"/>
        <v>0</v>
      </c>
      <c r="BZ44" s="214">
        <f t="shared" si="53"/>
        <v>0</v>
      </c>
    </row>
    <row r="45" spans="1:78" ht="17.2" customHeight="1" thickBot="1" x14ac:dyDescent="0.4">
      <c r="A45" s="369"/>
      <c r="B45" s="79" t="str">
        <f t="shared" si="54"/>
        <v/>
      </c>
      <c r="C45" s="80" t="str">
        <f t="shared" si="54"/>
        <v/>
      </c>
      <c r="D45" s="69" t="str">
        <f t="shared" si="54"/>
        <v/>
      </c>
      <c r="E45" s="350"/>
      <c r="F45" s="69" t="str">
        <f t="shared" si="35"/>
        <v/>
      </c>
      <c r="G45" s="350"/>
      <c r="H45" s="69" t="str">
        <f t="shared" si="36"/>
        <v/>
      </c>
      <c r="I45" s="350"/>
      <c r="J45" s="69" t="str">
        <f t="shared" si="37"/>
        <v/>
      </c>
      <c r="K45" s="350"/>
      <c r="L45" s="69" t="str">
        <f t="shared" si="38"/>
        <v/>
      </c>
      <c r="M45" s="350"/>
      <c r="N45" s="69" t="str">
        <f t="shared" si="55"/>
        <v/>
      </c>
      <c r="O45" s="350"/>
      <c r="P45" s="69" t="str">
        <f t="shared" si="39"/>
        <v/>
      </c>
      <c r="Q45" s="350"/>
      <c r="R45" s="69" t="str">
        <f t="shared" si="40"/>
        <v/>
      </c>
      <c r="S45" s="350"/>
      <c r="T45" s="69" t="str">
        <f t="shared" si="41"/>
        <v/>
      </c>
      <c r="U45" s="350"/>
      <c r="V45" s="69" t="str">
        <f t="shared" si="42"/>
        <v/>
      </c>
      <c r="W45" s="350"/>
      <c r="Z45" s="353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6"/>
        <v>0</v>
      </c>
      <c r="BE45" s="213">
        <f t="shared" si="57"/>
        <v>0</v>
      </c>
      <c r="BF45" s="215">
        <f t="shared" si="58"/>
        <v>0</v>
      </c>
      <c r="BG45" s="215">
        <f t="shared" si="59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0"/>
        <v>0</v>
      </c>
      <c r="BT45" s="215">
        <f t="shared" si="61"/>
        <v>0</v>
      </c>
      <c r="BU45" s="215" t="str">
        <f t="shared" si="62"/>
        <v>BK München 2</v>
      </c>
      <c r="BV45" s="214">
        <f t="shared" si="63"/>
        <v>2</v>
      </c>
      <c r="BW45" s="215">
        <f t="shared" si="64"/>
        <v>0</v>
      </c>
      <c r="BX45" s="215">
        <f>IF(COUNTIF(BH45:BP45,"&gt;0")&lt;Spielorte!$A$23,0,BE45/Spielorte!$A$23)</f>
        <v>0</v>
      </c>
      <c r="BY45" s="215">
        <f t="shared" si="65"/>
        <v>0</v>
      </c>
      <c r="BZ45" s="214">
        <f t="shared" si="53"/>
        <v>0</v>
      </c>
    </row>
    <row r="46" spans="1:78" ht="17.2" customHeight="1" x14ac:dyDescent="0.35">
      <c r="A46" s="367" t="s">
        <v>11</v>
      </c>
      <c r="B46" s="73" t="str">
        <f>IF(AA46=0,"",AA46)</f>
        <v>Kirschke, Saskia</v>
      </c>
      <c r="C46" s="74">
        <f t="shared" si="54"/>
        <v>38553</v>
      </c>
      <c r="D46" s="75">
        <f t="shared" si="54"/>
        <v>177</v>
      </c>
      <c r="E46" s="348">
        <f>IF(AD46="","",AD46)</f>
        <v>1</v>
      </c>
      <c r="F46" s="75">
        <f t="shared" si="35"/>
        <v>160</v>
      </c>
      <c r="G46" s="348">
        <f>IF(AF46="","",AF46)</f>
        <v>0</v>
      </c>
      <c r="H46" s="75">
        <f t="shared" si="36"/>
        <v>213</v>
      </c>
      <c r="I46" s="348">
        <f>IF(AH46="","",AH46)</f>
        <v>1</v>
      </c>
      <c r="J46" s="75">
        <f t="shared" si="37"/>
        <v>168</v>
      </c>
      <c r="K46" s="348">
        <f>IF(AJ46="","",AJ46)</f>
        <v>0</v>
      </c>
      <c r="L46" s="75">
        <f t="shared" si="38"/>
        <v>158</v>
      </c>
      <c r="M46" s="348">
        <f>IF(AL46="","",AL46)</f>
        <v>0</v>
      </c>
      <c r="N46" s="75">
        <f t="shared" si="55"/>
        <v>173</v>
      </c>
      <c r="O46" s="348">
        <f>IF(AN46="","",AN46)</f>
        <v>0</v>
      </c>
      <c r="P46" s="75">
        <f t="shared" si="39"/>
        <v>148</v>
      </c>
      <c r="Q46" s="348">
        <f>IF(AP46="","",AP46)</f>
        <v>0</v>
      </c>
      <c r="R46" s="75">
        <f t="shared" si="40"/>
        <v>154</v>
      </c>
      <c r="S46" s="348">
        <f>IF(AR46="","",AR46)</f>
        <v>0</v>
      </c>
      <c r="T46" s="75">
        <f t="shared" si="41"/>
        <v>162</v>
      </c>
      <c r="U46" s="348">
        <f>IF(AT46="","",AT46)</f>
        <v>1</v>
      </c>
      <c r="V46" s="75">
        <f t="shared" si="42"/>
        <v>1513</v>
      </c>
      <c r="W46" s="348">
        <f>IF(AV46="","",AV46)</f>
        <v>3</v>
      </c>
      <c r="Z46" s="351" t="s">
        <v>11</v>
      </c>
      <c r="AA46" s="108" t="str">
        <f>IF(AB46=0,"",VLOOKUP(AB46,Starter!$A$1:$D$199,2,FALSE))</f>
        <v>Kirschke, Saskia</v>
      </c>
      <c r="AB46" s="99">
        <v>38553</v>
      </c>
      <c r="AC46" s="188">
        <v>177</v>
      </c>
      <c r="AD46" s="109">
        <f>IF(SUM(AC46:AC48)+AC58=0,0,IF(SUM(AC46:AC48)=AC58,0.5,IF(SUM(AC46:AC48)&gt;AC58,1,0)))</f>
        <v>1</v>
      </c>
      <c r="AE46" s="188">
        <v>160</v>
      </c>
      <c r="AF46" s="109">
        <f>IF(SUM(AE46:AE48)+AE58=0,0,IF(SUM(AE46:AE48)=AE58,0.5,IF(SUM(AE46:AE48)&gt;AE58,1,0)))</f>
        <v>0</v>
      </c>
      <c r="AG46" s="188">
        <v>213</v>
      </c>
      <c r="AH46" s="109">
        <f>IF(SUM(AG46:AG48)+AG58=0,0,IF(SUM(AG46:AG48)=AG58,0.5,IF(SUM(AG46:AG48)&gt;AG58,1,0)))</f>
        <v>1</v>
      </c>
      <c r="AI46" s="188">
        <v>168</v>
      </c>
      <c r="AJ46" s="109">
        <f>IF(SUM(AI46:AI48)+AI58=0,0,IF(SUM(AI46:AI48)=AI58,0.5,IF(SUM(AI46:AI48)&gt;AI58,1,0)))</f>
        <v>0</v>
      </c>
      <c r="AK46" s="188">
        <v>158</v>
      </c>
      <c r="AL46" s="109">
        <f>IF(SUM(AK46:AK48)+AK58=0,0,IF(SUM(AK46:AK48)=AK58,0.5,IF(SUM(AK46:AK48)&gt;AK58,1,0)))</f>
        <v>0</v>
      </c>
      <c r="AM46" s="188">
        <v>173</v>
      </c>
      <c r="AN46" s="109">
        <f>IF(SUM(AM46:AM48)+AM58=0,0,IF(SUM(AM46:AM48)=AM58,0.5,IF(SUM(AM46:AM48)&gt;AM58,1,0)))</f>
        <v>0</v>
      </c>
      <c r="AO46" s="188">
        <v>148</v>
      </c>
      <c r="AP46" s="109">
        <f>IF(SUM(AO46:AO48)+AO58=0,0,IF(SUM(AO46:AO48)=AO58,0.5,IF(SUM(AO46:AO48)&gt;AO58,1,0)))</f>
        <v>0</v>
      </c>
      <c r="AQ46" s="188">
        <v>154</v>
      </c>
      <c r="AR46" s="109">
        <f>IF(SUM(AQ46:AQ48)+AQ58=0,0,IF(SUM(AQ46:AQ48)=AQ58,0.5,IF(SUM(AQ46:AQ48)&gt;AQ58,1,0)))</f>
        <v>0</v>
      </c>
      <c r="AS46" s="188">
        <v>162</v>
      </c>
      <c r="AT46" s="109">
        <f>IF(SUM(AS46:AS48)+AS58=0,0,IF(SUM(AS46:AS48)=AS58,0.5,IF(SUM(AS46:AS48)&gt;AS58,1,0)))</f>
        <v>1</v>
      </c>
      <c r="AU46" s="110">
        <f t="shared" si="43"/>
        <v>1513</v>
      </c>
      <c r="AV46" s="111">
        <f>SUM(AD46+AF46+AH46+AJ46+AL46+AN46+AP46+AR46+AT46)</f>
        <v>3</v>
      </c>
      <c r="AW46" s="101"/>
      <c r="AX46" s="102"/>
      <c r="AZ46" s="63"/>
      <c r="BA46" s="212"/>
      <c r="BB46" s="213"/>
      <c r="BC46" s="214"/>
      <c r="BD46" s="217">
        <f t="shared" si="56"/>
        <v>38553</v>
      </c>
      <c r="BE46" s="213">
        <f t="shared" si="57"/>
        <v>1513</v>
      </c>
      <c r="BF46" s="215">
        <f t="shared" si="58"/>
        <v>9</v>
      </c>
      <c r="BG46" s="215">
        <f t="shared" si="59"/>
        <v>9</v>
      </c>
      <c r="BH46" s="215">
        <f t="shared" si="44"/>
        <v>177</v>
      </c>
      <c r="BI46" s="215">
        <f t="shared" si="45"/>
        <v>160</v>
      </c>
      <c r="BJ46" s="215">
        <f t="shared" si="46"/>
        <v>213</v>
      </c>
      <c r="BK46" s="215">
        <f t="shared" si="47"/>
        <v>168</v>
      </c>
      <c r="BL46" s="215">
        <f t="shared" si="48"/>
        <v>158</v>
      </c>
      <c r="BM46" s="215">
        <f t="shared" si="49"/>
        <v>173</v>
      </c>
      <c r="BN46" s="215">
        <f t="shared" si="50"/>
        <v>148</v>
      </c>
      <c r="BO46" s="215">
        <f t="shared" si="51"/>
        <v>154</v>
      </c>
      <c r="BP46" s="215">
        <f t="shared" si="52"/>
        <v>162</v>
      </c>
      <c r="BQ46" s="216"/>
      <c r="BR46" s="214"/>
      <c r="BS46" s="215">
        <f t="shared" si="60"/>
        <v>213</v>
      </c>
      <c r="BT46" s="215">
        <f t="shared" si="61"/>
        <v>0</v>
      </c>
      <c r="BU46" s="215" t="str">
        <f t="shared" si="62"/>
        <v>BK München 2</v>
      </c>
      <c r="BV46" s="214">
        <f t="shared" si="63"/>
        <v>2</v>
      </c>
      <c r="BW46" s="215">
        <f t="shared" si="64"/>
        <v>1513</v>
      </c>
      <c r="BX46" s="215">
        <f>IF(COUNTIF(BH46:BP46,"&gt;0")&lt;Spielorte!$A$23,0,BE46/Spielorte!$A$23)</f>
        <v>168.11111111111111</v>
      </c>
      <c r="BY46" s="215">
        <f t="shared" si="65"/>
        <v>0</v>
      </c>
      <c r="BZ46" s="214">
        <f t="shared" si="53"/>
        <v>0</v>
      </c>
    </row>
    <row r="47" spans="1:78" ht="17.2" customHeight="1" x14ac:dyDescent="0.35">
      <c r="A47" s="368"/>
      <c r="B47" s="76" t="str">
        <f>IF(AA47=0,"",AA47)</f>
        <v/>
      </c>
      <c r="C47" s="77" t="str">
        <f t="shared" si="54"/>
        <v/>
      </c>
      <c r="D47" s="78" t="str">
        <f t="shared" si="54"/>
        <v/>
      </c>
      <c r="E47" s="349"/>
      <c r="F47" s="78" t="str">
        <f t="shared" si="35"/>
        <v/>
      </c>
      <c r="G47" s="349"/>
      <c r="H47" s="78" t="str">
        <f t="shared" si="36"/>
        <v/>
      </c>
      <c r="I47" s="349"/>
      <c r="J47" s="78" t="str">
        <f t="shared" si="37"/>
        <v/>
      </c>
      <c r="K47" s="349"/>
      <c r="L47" s="78" t="str">
        <f t="shared" si="38"/>
        <v/>
      </c>
      <c r="M47" s="349"/>
      <c r="N47" s="78" t="str">
        <f t="shared" si="55"/>
        <v/>
      </c>
      <c r="O47" s="349"/>
      <c r="P47" s="78" t="str">
        <f t="shared" si="39"/>
        <v/>
      </c>
      <c r="Q47" s="349"/>
      <c r="R47" s="78" t="str">
        <f t="shared" si="40"/>
        <v/>
      </c>
      <c r="S47" s="349"/>
      <c r="T47" s="78" t="str">
        <f t="shared" si="41"/>
        <v/>
      </c>
      <c r="U47" s="349"/>
      <c r="V47" s="78" t="str">
        <f t="shared" si="42"/>
        <v/>
      </c>
      <c r="W47" s="349"/>
      <c r="Z47" s="352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3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6"/>
        <v>0</v>
      </c>
      <c r="BE47" s="213">
        <f t="shared" si="57"/>
        <v>0</v>
      </c>
      <c r="BF47" s="215">
        <f t="shared" si="58"/>
        <v>0</v>
      </c>
      <c r="BG47" s="215">
        <f t="shared" si="59"/>
        <v>0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 t="str">
        <f t="shared" si="48"/>
        <v/>
      </c>
      <c r="BM47" s="215" t="str">
        <f t="shared" si="49"/>
        <v/>
      </c>
      <c r="BN47" s="215" t="str">
        <f t="shared" si="50"/>
        <v/>
      </c>
      <c r="BO47" s="215" t="str">
        <f t="shared" si="51"/>
        <v/>
      </c>
      <c r="BP47" s="215" t="str">
        <f t="shared" si="52"/>
        <v/>
      </c>
      <c r="BQ47" s="216"/>
      <c r="BR47" s="214"/>
      <c r="BS47" s="215">
        <f t="shared" si="60"/>
        <v>0</v>
      </c>
      <c r="BT47" s="215">
        <f t="shared" si="61"/>
        <v>0</v>
      </c>
      <c r="BU47" s="215" t="str">
        <f t="shared" si="62"/>
        <v>BK München 2</v>
      </c>
      <c r="BV47" s="214">
        <f t="shared" si="63"/>
        <v>2</v>
      </c>
      <c r="BW47" s="215">
        <f t="shared" si="64"/>
        <v>0</v>
      </c>
      <c r="BX47" s="215">
        <f>IF(COUNTIF(BH47:BP47,"&gt;0")&lt;Spielorte!$A$23,0,BE47/Spielorte!$A$23)</f>
        <v>0</v>
      </c>
      <c r="BY47" s="215">
        <f t="shared" si="65"/>
        <v>0</v>
      </c>
      <c r="BZ47" s="214">
        <f t="shared" si="53"/>
        <v>0</v>
      </c>
    </row>
    <row r="48" spans="1:78" ht="17.2" customHeight="1" thickBot="1" x14ac:dyDescent="0.4">
      <c r="A48" s="369"/>
      <c r="B48" s="79" t="str">
        <f>IF(AA48=0,"",AA48)</f>
        <v/>
      </c>
      <c r="C48" s="80" t="str">
        <f t="shared" si="54"/>
        <v/>
      </c>
      <c r="D48" s="69" t="str">
        <f t="shared" si="54"/>
        <v/>
      </c>
      <c r="E48" s="350"/>
      <c r="F48" s="69" t="str">
        <f t="shared" si="35"/>
        <v/>
      </c>
      <c r="G48" s="350"/>
      <c r="H48" s="69" t="str">
        <f t="shared" si="36"/>
        <v/>
      </c>
      <c r="I48" s="350"/>
      <c r="J48" s="69" t="str">
        <f t="shared" si="37"/>
        <v/>
      </c>
      <c r="K48" s="350"/>
      <c r="L48" s="69" t="str">
        <f t="shared" si="38"/>
        <v/>
      </c>
      <c r="M48" s="350"/>
      <c r="N48" s="69" t="str">
        <f t="shared" si="55"/>
        <v/>
      </c>
      <c r="O48" s="350"/>
      <c r="P48" s="69" t="str">
        <f t="shared" si="39"/>
        <v/>
      </c>
      <c r="Q48" s="350"/>
      <c r="R48" s="69" t="str">
        <f t="shared" si="40"/>
        <v/>
      </c>
      <c r="S48" s="350"/>
      <c r="T48" s="69" t="str">
        <f t="shared" si="41"/>
        <v/>
      </c>
      <c r="U48" s="350"/>
      <c r="V48" s="69" t="str">
        <f t="shared" si="42"/>
        <v/>
      </c>
      <c r="W48" s="350"/>
      <c r="Z48" s="353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6"/>
        <v>0</v>
      </c>
      <c r="BE48" s="213">
        <f t="shared" si="57"/>
        <v>0</v>
      </c>
      <c r="BF48" s="215">
        <f t="shared" si="58"/>
        <v>0</v>
      </c>
      <c r="BG48" s="215">
        <f t="shared" si="59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0"/>
        <v>0</v>
      </c>
      <c r="BT48" s="215">
        <f t="shared" si="61"/>
        <v>0</v>
      </c>
      <c r="BU48" s="215" t="str">
        <f t="shared" si="62"/>
        <v>BK München 2</v>
      </c>
      <c r="BV48" s="214">
        <f t="shared" si="63"/>
        <v>2</v>
      </c>
      <c r="BW48" s="215">
        <f t="shared" si="64"/>
        <v>0</v>
      </c>
      <c r="BX48" s="215">
        <f>IF(COUNTIF(BH48:BP48,"&gt;0")&lt;Spielorte!$A$23,0,BE48/Spielorte!$A$23)</f>
        <v>0</v>
      </c>
      <c r="BY48" s="215">
        <f t="shared" si="65"/>
        <v>0</v>
      </c>
      <c r="BZ48" s="214">
        <f t="shared" si="53"/>
        <v>0</v>
      </c>
    </row>
    <row r="49" spans="1:78" ht="27.75" customHeight="1" thickBot="1" x14ac:dyDescent="0.4">
      <c r="B49" s="81" t="str">
        <f>IF(AA49=0,"",AA49)</f>
        <v>Gesamt</v>
      </c>
      <c r="C49" s="82" t="str">
        <f t="shared" si="54"/>
        <v/>
      </c>
      <c r="D49" s="83">
        <f t="shared" si="54"/>
        <v>698</v>
      </c>
      <c r="E49" s="84">
        <f>IF(AD49="","",AD49)</f>
        <v>2</v>
      </c>
      <c r="F49" s="83">
        <f t="shared" si="35"/>
        <v>589</v>
      </c>
      <c r="G49" s="84">
        <f>IF(AF49="","",AF49)</f>
        <v>0</v>
      </c>
      <c r="H49" s="83">
        <f t="shared" si="36"/>
        <v>698</v>
      </c>
      <c r="I49" s="84">
        <f>IF(AH49="","",AH49)</f>
        <v>0</v>
      </c>
      <c r="J49" s="83">
        <f t="shared" si="37"/>
        <v>567</v>
      </c>
      <c r="K49" s="84">
        <f>IF(AJ49="","",AJ49)</f>
        <v>0</v>
      </c>
      <c r="L49" s="83">
        <f t="shared" si="38"/>
        <v>625</v>
      </c>
      <c r="M49" s="84">
        <f>IF(AL49="","",AL49)</f>
        <v>0</v>
      </c>
      <c r="N49" s="83">
        <f t="shared" si="55"/>
        <v>632</v>
      </c>
      <c r="O49" s="84">
        <f>IF(AN49="","",AN49)</f>
        <v>0</v>
      </c>
      <c r="P49" s="83">
        <f t="shared" si="39"/>
        <v>636</v>
      </c>
      <c r="Q49" s="84">
        <f>IF(AP49="","",AP49)</f>
        <v>0</v>
      </c>
      <c r="R49" s="83">
        <f t="shared" si="40"/>
        <v>612</v>
      </c>
      <c r="S49" s="84">
        <f>IF(AR49="","",AR49)</f>
        <v>0</v>
      </c>
      <c r="T49" s="83">
        <f t="shared" si="41"/>
        <v>626</v>
      </c>
      <c r="U49" s="84">
        <f>IF(AT49="","",AT49)</f>
        <v>2</v>
      </c>
      <c r="V49" s="83">
        <f t="shared" si="42"/>
        <v>5683</v>
      </c>
      <c r="W49" s="84">
        <f>IF(AV49="","",AV49)</f>
        <v>4</v>
      </c>
      <c r="AA49" s="81" t="s">
        <v>1799</v>
      </c>
      <c r="AB49" s="120"/>
      <c r="AC49" s="211">
        <f>ABS(SUM(AC37:AC39))+ABS(SUM(AC40:AC42))+ABS(SUM(AC43:AC45))+ABS(SUM(AC46:AC48))</f>
        <v>698</v>
      </c>
      <c r="AD49" s="121">
        <f>IF(AC49+AC59=0,0,IF(AC49=AC59,1,IF(AC49&gt;AC59,2,0)))</f>
        <v>2</v>
      </c>
      <c r="AE49" s="211">
        <f>ABS(SUM(AE37:AE39))+ABS(SUM(AE40:AE42))+ABS(SUM(AE43:AE45))+ABS(SUM(AE46:AE48))</f>
        <v>589</v>
      </c>
      <c r="AF49" s="121">
        <f>IF(AE49+AE59=0,0,IF(AE49=AE59,1,IF(AE49&gt;AE59,2,0)))</f>
        <v>0</v>
      </c>
      <c r="AG49" s="211">
        <f>ABS(SUM(AG37:AG39))+ABS(SUM(AG40:AG42))+ABS(SUM(AG43:AG45))+ABS(SUM(AG46:AG48))</f>
        <v>698</v>
      </c>
      <c r="AH49" s="121">
        <f>IF(AG49+AG59=0,0,IF(AG49=AG59,1,IF(AG49&gt;AG59,2,0)))</f>
        <v>0</v>
      </c>
      <c r="AI49" s="211">
        <f>ABS(SUM(AI37:AI39))+ABS(SUM(AI40:AI42))+ABS(SUM(AI43:AI45))+ABS(SUM(AI46:AI48))</f>
        <v>567</v>
      </c>
      <c r="AJ49" s="121">
        <f>IF(AI49+AI59=0,0,IF(AI49=AI59,1,IF(AI49&gt;AI59,2,0)))</f>
        <v>0</v>
      </c>
      <c r="AK49" s="211">
        <f>ABS(SUM(AK37:AK39))+ABS(SUM(AK40:AK42))+ABS(SUM(AK43:AK45))+ABS(SUM(AK46:AK48))</f>
        <v>625</v>
      </c>
      <c r="AL49" s="121">
        <f>IF(AK49+AK59=0,0,IF(AK49=AK59,1,IF(AK49&gt;AK59,2,0)))</f>
        <v>0</v>
      </c>
      <c r="AM49" s="211">
        <f>ABS(SUM(AM37:AM39))+ABS(SUM(AM40:AM42))+ABS(SUM(AM43:AM45))+ABS(SUM(AM46:AM48))</f>
        <v>632</v>
      </c>
      <c r="AN49" s="121">
        <f>IF(AM49+AM59=0,0,IF(AM49=AM59,1,IF(AM49&gt;AM59,2,0)))</f>
        <v>0</v>
      </c>
      <c r="AO49" s="211">
        <f>ABS(SUM(AO37:AO39))+ABS(SUM(AO40:AO42))+ABS(SUM(AO43:AO45))+ABS(SUM(AO46:AO48))</f>
        <v>636</v>
      </c>
      <c r="AP49" s="121">
        <f>IF(AO49+AO59=0,0,IF(AO49=AO59,1,IF(AO49&gt;AO59,2,0)))</f>
        <v>0</v>
      </c>
      <c r="AQ49" s="211">
        <f>ABS(SUM(AQ37:AQ39))+ABS(SUM(AQ40:AQ42))+ABS(SUM(AQ43:AQ45))+ABS(SUM(AQ46:AQ48))</f>
        <v>612</v>
      </c>
      <c r="AR49" s="121">
        <f>IF(AQ49+AQ59=0,0,IF(AQ49=AQ59,1,IF(AQ49&gt;AQ59,2,0)))</f>
        <v>0</v>
      </c>
      <c r="AS49" s="211">
        <f>ABS(SUM(AS37:AS39))+ABS(SUM(AS40:AS42))+ABS(SUM(AS43:AS45))+ABS(SUM(AS46:AS48))</f>
        <v>626</v>
      </c>
      <c r="AT49" s="121">
        <f>IF(AS49+AS59=0,0,IF(AS49=AS59,1,IF(AS49&gt;AS59,2,0)))</f>
        <v>2</v>
      </c>
      <c r="AU49" s="122">
        <f>SUM(AC49+AE49+AG49+AI49+AK49+AM49+AO49+AQ49+AS49)</f>
        <v>5683</v>
      </c>
      <c r="AV49" s="123">
        <f>SUM(AD49+AF49+AH49+AJ49+AL49+AN49+AP49+AR49+AT49)</f>
        <v>4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4">
      <c r="B50" s="85" t="str">
        <f>IF(AA50=0,"",AA50)</f>
        <v>Gesamt - Punkte</v>
      </c>
      <c r="C50" s="86" t="str">
        <f t="shared" si="54"/>
        <v/>
      </c>
      <c r="D50" s="86" t="str">
        <f t="shared" si="54"/>
        <v/>
      </c>
      <c r="E50" s="87">
        <f>IF(AD50="","",AD50)</f>
        <v>5</v>
      </c>
      <c r="F50" s="86" t="str">
        <f t="shared" si="35"/>
        <v/>
      </c>
      <c r="G50" s="87">
        <f>IF(AF50="","",AF50)</f>
        <v>0</v>
      </c>
      <c r="H50" s="86" t="str">
        <f t="shared" si="36"/>
        <v/>
      </c>
      <c r="I50" s="87">
        <f>IF(AH50="","",AH50)</f>
        <v>2</v>
      </c>
      <c r="J50" s="86" t="str">
        <f t="shared" si="37"/>
        <v/>
      </c>
      <c r="K50" s="87">
        <f>IF(AJ50="","",AJ50)</f>
        <v>2</v>
      </c>
      <c r="L50" s="86" t="str">
        <f t="shared" si="38"/>
        <v/>
      </c>
      <c r="M50" s="87">
        <f>IF(AL50="","",AL50)</f>
        <v>1</v>
      </c>
      <c r="N50" s="86" t="str">
        <f t="shared" si="55"/>
        <v/>
      </c>
      <c r="O50" s="87">
        <f>IF(AN50="","",AN50)</f>
        <v>1</v>
      </c>
      <c r="P50" s="86" t="str">
        <f t="shared" si="39"/>
        <v/>
      </c>
      <c r="Q50" s="87">
        <f>IF(AP50="","",AP50)</f>
        <v>2</v>
      </c>
      <c r="R50" s="86" t="str">
        <f t="shared" si="40"/>
        <v/>
      </c>
      <c r="S50" s="87">
        <f>IF(AR50="","",AR50)</f>
        <v>0</v>
      </c>
      <c r="T50" s="86" t="str">
        <f t="shared" si="41"/>
        <v/>
      </c>
      <c r="U50" s="87">
        <f>IF(AT50="","",AT50)</f>
        <v>6</v>
      </c>
      <c r="V50" s="86" t="str">
        <f t="shared" si="42"/>
        <v/>
      </c>
      <c r="W50" s="87">
        <f>IF(AV50="","",AV50)</f>
        <v>19</v>
      </c>
      <c r="AA50" s="85" t="s">
        <v>1814</v>
      </c>
      <c r="AB50" s="86"/>
      <c r="AC50" s="86"/>
      <c r="AD50" s="124">
        <f>SUM(AD37:AD49)</f>
        <v>5</v>
      </c>
      <c r="AE50" s="86"/>
      <c r="AF50" s="124">
        <f>SUM(AF37:AF49)</f>
        <v>0</v>
      </c>
      <c r="AG50" s="86"/>
      <c r="AH50" s="124">
        <f>SUM(AH37:AH49)</f>
        <v>2</v>
      </c>
      <c r="AI50" s="86"/>
      <c r="AJ50" s="124">
        <f>SUM(AJ37:AJ49)</f>
        <v>2</v>
      </c>
      <c r="AK50" s="86"/>
      <c r="AL50" s="124">
        <f>SUM(AL37:AL49)</f>
        <v>1</v>
      </c>
      <c r="AM50" s="86"/>
      <c r="AN50" s="124">
        <f>SUM(AN37:AN49)</f>
        <v>1</v>
      </c>
      <c r="AO50" s="86"/>
      <c r="AP50" s="124">
        <f>SUM(AP37:AP49)</f>
        <v>2</v>
      </c>
      <c r="AQ50" s="86"/>
      <c r="AR50" s="124">
        <f>SUM(AR37:AR49)</f>
        <v>0</v>
      </c>
      <c r="AS50" s="86"/>
      <c r="AT50" s="124">
        <f>SUM(AT37:AT49)</f>
        <v>6</v>
      </c>
      <c r="AU50" s="86"/>
      <c r="AV50" s="125">
        <f>SUM(AV37:AV49)</f>
        <v>19</v>
      </c>
      <c r="AW50" s="101"/>
      <c r="AX50" s="102"/>
      <c r="BA50" s="212">
        <f>+AV50</f>
        <v>19</v>
      </c>
      <c r="BB50" s="213">
        <f>+AU49</f>
        <v>5683</v>
      </c>
      <c r="BC50" s="214">
        <f>+AA32</f>
        <v>2</v>
      </c>
      <c r="BF50" s="215">
        <f>SUM(BF31:BF49)</f>
        <v>35</v>
      </c>
      <c r="BQ50" s="212">
        <f>+BB50/1000000+BA50</f>
        <v>19.005683000000001</v>
      </c>
      <c r="BR50" s="214">
        <f>RANK(BQ50,BQ:BQ)</f>
        <v>9</v>
      </c>
      <c r="BV50" s="214"/>
      <c r="BZ50" s="214"/>
    </row>
    <row r="51" spans="1:78" ht="11.25" customHeight="1" x14ac:dyDescent="0.3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35">
      <c r="B52" s="88" t="str">
        <f t="shared" ref="B52:K54" si="66">IF(AA52=0,"",AA52)</f>
        <v>Gegner-Nr.:</v>
      </c>
      <c r="C52" s="89" t="str">
        <f t="shared" si="66"/>
        <v>&gt;&gt;&gt;&gt;</v>
      </c>
      <c r="D52" s="346">
        <f t="shared" si="66"/>
        <v>8</v>
      </c>
      <c r="E52" s="346" t="str">
        <f t="shared" si="66"/>
        <v/>
      </c>
      <c r="F52" s="346">
        <f t="shared" si="66"/>
        <v>10</v>
      </c>
      <c r="G52" s="346" t="str">
        <f t="shared" si="66"/>
        <v/>
      </c>
      <c r="H52" s="346">
        <f t="shared" si="66"/>
        <v>3</v>
      </c>
      <c r="I52" s="346" t="str">
        <f t="shared" si="66"/>
        <v/>
      </c>
      <c r="J52" s="346">
        <f t="shared" si="66"/>
        <v>1</v>
      </c>
      <c r="K52" s="346" t="str">
        <f t="shared" si="66"/>
        <v/>
      </c>
      <c r="L52" s="346">
        <f t="shared" ref="L52:U54" si="67">IF(AK52=0,"",AK52)</f>
        <v>7</v>
      </c>
      <c r="M52" s="346" t="str">
        <f t="shared" si="67"/>
        <v/>
      </c>
      <c r="N52" s="346">
        <f t="shared" si="67"/>
        <v>6</v>
      </c>
      <c r="O52" s="346" t="str">
        <f t="shared" si="67"/>
        <v/>
      </c>
      <c r="P52" s="346">
        <f t="shared" si="67"/>
        <v>9</v>
      </c>
      <c r="Q52" s="346" t="str">
        <f t="shared" si="67"/>
        <v/>
      </c>
      <c r="R52" s="346">
        <f t="shared" si="67"/>
        <v>5</v>
      </c>
      <c r="S52" s="346" t="str">
        <f t="shared" si="67"/>
        <v/>
      </c>
      <c r="T52" s="346">
        <f t="shared" si="67"/>
        <v>4</v>
      </c>
      <c r="U52" s="346" t="str">
        <f t="shared" si="67"/>
        <v/>
      </c>
      <c r="V52" s="347"/>
      <c r="W52" s="347"/>
      <c r="AA52" s="88" t="s">
        <v>1797</v>
      </c>
      <c r="AB52" s="89" t="s">
        <v>1798</v>
      </c>
      <c r="AC52" s="370">
        <f>VLOOKUP($AA32,Schlüssel!$A$5:$DG$14,43)</f>
        <v>8</v>
      </c>
      <c r="AD52" s="371"/>
      <c r="AE52" s="370">
        <f>VLOOKUP($AA32,Schlüssel!$A$5:$EK$14,44)</f>
        <v>10</v>
      </c>
      <c r="AF52" s="371"/>
      <c r="AG52" s="370">
        <f>VLOOKUP($AA32,Schlüssel!$A$5:$EK$14,45)</f>
        <v>3</v>
      </c>
      <c r="AH52" s="371"/>
      <c r="AI52" s="370">
        <f>VLOOKUP($AA32,Schlüssel!$A$5:$EK$14,46)</f>
        <v>1</v>
      </c>
      <c r="AJ52" s="371"/>
      <c r="AK52" s="370">
        <f>VLOOKUP($AA32,Schlüssel!$A$5:$EK$14,47)</f>
        <v>7</v>
      </c>
      <c r="AL52" s="371"/>
      <c r="AM52" s="370">
        <f>VLOOKUP($AA32,Schlüssel!$A$5:$EK$14,48)</f>
        <v>6</v>
      </c>
      <c r="AN52" s="371"/>
      <c r="AO52" s="370">
        <f>VLOOKUP($AA32,Schlüssel!$A$5:$EK$14,49)</f>
        <v>9</v>
      </c>
      <c r="AP52" s="371"/>
      <c r="AQ52" s="370">
        <f>VLOOKUP($AA32,Schlüssel!$A$5:$EK$14,50)</f>
        <v>5</v>
      </c>
      <c r="AR52" s="371"/>
      <c r="AS52" s="370">
        <f>VLOOKUP($AA32,Schlüssel!$A$5:$EK$14,51)</f>
        <v>4</v>
      </c>
      <c r="AT52" s="371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35">
      <c r="B53" s="90" t="str">
        <f t="shared" si="66"/>
        <v/>
      </c>
      <c r="C53" s="86" t="str">
        <f t="shared" si="66"/>
        <v/>
      </c>
      <c r="D53" s="343" t="str">
        <f t="shared" si="66"/>
        <v>EPA München 1</v>
      </c>
      <c r="E53" s="344" t="str">
        <f t="shared" si="66"/>
        <v/>
      </c>
      <c r="F53" s="343" t="str">
        <f t="shared" si="66"/>
        <v>BK München 4</v>
      </c>
      <c r="G53" s="344" t="str">
        <f t="shared" si="66"/>
        <v/>
      </c>
      <c r="H53" s="343" t="str">
        <f t="shared" si="66"/>
        <v>Highroller Rosenheim</v>
      </c>
      <c r="I53" s="344" t="str">
        <f t="shared" si="66"/>
        <v/>
      </c>
      <c r="J53" s="343" t="str">
        <f t="shared" si="66"/>
        <v>Praetoria Regensburg</v>
      </c>
      <c r="K53" s="344" t="str">
        <f t="shared" si="66"/>
        <v/>
      </c>
      <c r="L53" s="343" t="str">
        <f t="shared" si="67"/>
        <v>Frankenpower Nürnberg</v>
      </c>
      <c r="M53" s="344" t="str">
        <f t="shared" si="67"/>
        <v/>
      </c>
      <c r="N53" s="343" t="str">
        <f t="shared" si="67"/>
        <v>Phönix 03 Lauf</v>
      </c>
      <c r="O53" s="344" t="str">
        <f t="shared" si="67"/>
        <v/>
      </c>
      <c r="P53" s="343" t="str">
        <f t="shared" si="67"/>
        <v>RW Lichtenhof 69 Stein 2</v>
      </c>
      <c r="Q53" s="344" t="str">
        <f t="shared" si="67"/>
        <v/>
      </c>
      <c r="R53" s="343" t="str">
        <f t="shared" si="67"/>
        <v xml:space="preserve">Weiß Blau Unterföhring </v>
      </c>
      <c r="S53" s="344" t="str">
        <f t="shared" si="67"/>
        <v/>
      </c>
      <c r="T53" s="343" t="str">
        <f t="shared" si="67"/>
        <v>BK München 3</v>
      </c>
      <c r="U53" s="344" t="str">
        <f t="shared" si="67"/>
        <v/>
      </c>
      <c r="V53" s="345"/>
      <c r="W53" s="345"/>
      <c r="AA53" s="90"/>
      <c r="AB53" s="86"/>
      <c r="AC53" s="343" t="str">
        <f>VLOOKUP(AC52,Schlüssel!$A$5:$K$14,2)</f>
        <v>EPA München 1</v>
      </c>
      <c r="AD53" s="344"/>
      <c r="AE53" s="343" t="str">
        <f>VLOOKUP(AE52,Schlüssel!$A$5:$K$14,2)</f>
        <v>BK München 4</v>
      </c>
      <c r="AF53" s="344"/>
      <c r="AG53" s="343" t="str">
        <f>VLOOKUP(AG52,Schlüssel!$A$5:$K$14,2)</f>
        <v>Highroller Rosenheim</v>
      </c>
      <c r="AH53" s="344"/>
      <c r="AI53" s="343" t="str">
        <f>VLOOKUP(AI52,Schlüssel!$A$5:$K$14,2)</f>
        <v>Praetoria Regensburg</v>
      </c>
      <c r="AJ53" s="344"/>
      <c r="AK53" s="343" t="str">
        <f>VLOOKUP(AK52,Schlüssel!$A$5:$K$14,2)</f>
        <v>Frankenpower Nürnberg</v>
      </c>
      <c r="AL53" s="344"/>
      <c r="AM53" s="343" t="str">
        <f>VLOOKUP(AM52,Schlüssel!$A$5:$K$14,2)</f>
        <v>Phönix 03 Lauf</v>
      </c>
      <c r="AN53" s="344"/>
      <c r="AO53" s="343" t="str">
        <f>VLOOKUP(AO52,Schlüssel!$A$5:$K$14,2)</f>
        <v>RW Lichtenhof 69 Stein 2</v>
      </c>
      <c r="AP53" s="344"/>
      <c r="AQ53" s="343" t="str">
        <f>VLOOKUP(AQ52,Schlüssel!$A$5:$K$14,2)</f>
        <v xml:space="preserve">Weiß Blau Unterföhring </v>
      </c>
      <c r="AR53" s="344"/>
      <c r="AS53" s="343" t="str">
        <f>VLOOKUP(AS52,Schlüssel!$A$5:$K$14,2)</f>
        <v>BK München 3</v>
      </c>
      <c r="AT53" s="344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35">
      <c r="B54" s="90" t="str">
        <f t="shared" si="66"/>
        <v/>
      </c>
      <c r="C54" s="86" t="str">
        <f t="shared" si="66"/>
        <v/>
      </c>
      <c r="D54" s="341" t="str">
        <f t="shared" si="66"/>
        <v/>
      </c>
      <c r="E54" s="341" t="str">
        <f t="shared" si="66"/>
        <v/>
      </c>
      <c r="F54" s="341" t="str">
        <f t="shared" si="66"/>
        <v/>
      </c>
      <c r="G54" s="341" t="str">
        <f t="shared" si="66"/>
        <v/>
      </c>
      <c r="H54" s="341" t="str">
        <f t="shared" si="66"/>
        <v/>
      </c>
      <c r="I54" s="341" t="str">
        <f t="shared" si="66"/>
        <v/>
      </c>
      <c r="J54" s="341" t="str">
        <f t="shared" si="66"/>
        <v/>
      </c>
      <c r="K54" s="341" t="str">
        <f t="shared" si="66"/>
        <v/>
      </c>
      <c r="L54" s="341" t="str">
        <f t="shared" si="67"/>
        <v/>
      </c>
      <c r="M54" s="341" t="str">
        <f t="shared" si="67"/>
        <v/>
      </c>
      <c r="N54" s="341" t="str">
        <f t="shared" si="67"/>
        <v/>
      </c>
      <c r="O54" s="341" t="str">
        <f t="shared" si="67"/>
        <v/>
      </c>
      <c r="P54" s="341" t="str">
        <f t="shared" si="67"/>
        <v/>
      </c>
      <c r="Q54" s="341" t="str">
        <f t="shared" si="67"/>
        <v/>
      </c>
      <c r="R54" s="341" t="str">
        <f t="shared" si="67"/>
        <v/>
      </c>
      <c r="S54" s="341" t="str">
        <f t="shared" si="67"/>
        <v/>
      </c>
      <c r="T54" s="341" t="str">
        <f t="shared" si="67"/>
        <v/>
      </c>
      <c r="U54" s="342" t="str">
        <f t="shared" si="67"/>
        <v/>
      </c>
      <c r="V54" s="301"/>
      <c r="W54" s="301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6.05" customHeight="1" x14ac:dyDescent="0.35">
      <c r="B55" s="365" t="str">
        <f t="shared" ref="B55:C59" si="68">IF(AA55=0,"",AA55)</f>
        <v>Spieler 1</v>
      </c>
      <c r="C55" s="366" t="str">
        <f t="shared" si="68"/>
        <v/>
      </c>
      <c r="D55" s="339">
        <f>IF(AC55=301,"",AC55)</f>
        <v>141</v>
      </c>
      <c r="E55" s="339" t="str">
        <f>IF(AD55=0,"",AD55)</f>
        <v/>
      </c>
      <c r="F55" s="339">
        <f>IF(AE55=301,"",AE55)</f>
        <v>128</v>
      </c>
      <c r="G55" s="339" t="str">
        <f>IF(AF55=0,"",AF55)</f>
        <v/>
      </c>
      <c r="H55" s="339">
        <f>IF(AG55=301,"",AG55)</f>
        <v>192</v>
      </c>
      <c r="I55" s="339" t="str">
        <f>IF(AH55=0,"",AH55)</f>
        <v/>
      </c>
      <c r="J55" s="339">
        <f>IF(AI55=301,"",AI55)</f>
        <v>135</v>
      </c>
      <c r="K55" s="339" t="str">
        <f>IF(AJ55=0,"",AJ55)</f>
        <v/>
      </c>
      <c r="L55" s="339">
        <f>IF(AK55=301,"",AK55)</f>
        <v>154</v>
      </c>
      <c r="M55" s="339" t="str">
        <f>IF(AL55=0,"",AL55)</f>
        <v/>
      </c>
      <c r="N55" s="339">
        <f>IF(AM55=301,"",AM55)</f>
        <v>157</v>
      </c>
      <c r="O55" s="339" t="str">
        <f>IF(AN55=0,"",AN55)</f>
        <v/>
      </c>
      <c r="P55" s="339">
        <f>IF(AO55=301,"",AO55)</f>
        <v>192</v>
      </c>
      <c r="Q55" s="339" t="str">
        <f>IF(AP55=0,"",AP55)</f>
        <v/>
      </c>
      <c r="R55" s="339">
        <f>IF(AQ55=301,"",AQ55)</f>
        <v>160</v>
      </c>
      <c r="S55" s="339" t="str">
        <f>IF(AR55=0,"",AR55)</f>
        <v/>
      </c>
      <c r="T55" s="339">
        <f>IF(AS55=301,"",AS55)</f>
        <v>0</v>
      </c>
      <c r="U55" s="339" t="str">
        <f>IF(AT55=0,"",AT55)</f>
        <v/>
      </c>
      <c r="V55" s="340"/>
      <c r="W55" s="340"/>
      <c r="AA55" s="91" t="s">
        <v>0</v>
      </c>
      <c r="AB55" s="92"/>
      <c r="AC55" s="372">
        <f>ABS(INDEX(AC:AC,MATCH(AC52,$AA:$AA,0)+5)+INDEX(AC:AC,MATCH(AC52,$AA:$AA,0)+6)+INDEX(AC:AC,MATCH(AC52,$AA:$AA,0)+7))</f>
        <v>141</v>
      </c>
      <c r="AD55" s="373"/>
      <c r="AE55" s="372">
        <f>ABS(INDEX(AE:AE,MATCH(AE52,$AA:$AA,0)+5)+INDEX(AE:AE,MATCH(AE52,$AA:$AA,0)+6)+INDEX(AE:AE,MATCH(AE52,$AA:$AA,0)+7))</f>
        <v>128</v>
      </c>
      <c r="AF55" s="373"/>
      <c r="AG55" s="372">
        <f>ABS(INDEX(AG:AG,MATCH(AG52,$AA:$AA,0)+5)+INDEX(AG:AG,MATCH(AG52,$AA:$AA,0)+6)+INDEX(AG:AG,MATCH(AG52,$AA:$AA,0)+7))</f>
        <v>192</v>
      </c>
      <c r="AH55" s="373"/>
      <c r="AI55" s="372">
        <f>ABS(INDEX(AI:AI,MATCH(AI52,$AA:$AA,0)+5)+INDEX(AI:AI,MATCH(AI52,$AA:$AA,0)+6)+INDEX(AI:AI,MATCH(AI52,$AA:$AA,0)+7))</f>
        <v>135</v>
      </c>
      <c r="AJ55" s="373"/>
      <c r="AK55" s="372">
        <f>ABS(INDEX(AK:AK,MATCH(AK52,$AA:$AA,0)+5)+INDEX(AK:AK,MATCH(AK52,$AA:$AA,0)+6)+INDEX(AK:AK,MATCH(AK52,$AA:$AA,0)+7))</f>
        <v>154</v>
      </c>
      <c r="AL55" s="373"/>
      <c r="AM55" s="372">
        <f>ABS(INDEX(AM:AM,MATCH(AM52,$AA:$AA,0)+5)+INDEX(AM:AM,MATCH(AM52,$AA:$AA,0)+6)+INDEX(AM:AM,MATCH(AM52,$AA:$AA,0)+7))</f>
        <v>157</v>
      </c>
      <c r="AN55" s="373"/>
      <c r="AO55" s="372">
        <f>ABS(INDEX(AO:AO,MATCH(AO52,$AA:$AA,0)+5)+INDEX(AO:AO,MATCH(AO52,$AA:$AA,0)+6)+INDEX(AO:AO,MATCH(AO52,$AA:$AA,0)+7))</f>
        <v>192</v>
      </c>
      <c r="AP55" s="373"/>
      <c r="AQ55" s="372">
        <f>ABS(INDEX(AQ:AQ,MATCH(AQ52,$AA:$AA,0)+5)+INDEX(AQ:AQ,MATCH(AQ52,$AA:$AA,0)+6)+INDEX(AQ:AQ,MATCH(AQ52,$AA:$AA,0)+7))</f>
        <v>160</v>
      </c>
      <c r="AR55" s="373"/>
      <c r="AS55" s="372">
        <f>ABS(INDEX(AS:AS,MATCH(AS52,$AA:$AA,0)+5)+INDEX(AS:AS,MATCH(AS52,$AA:$AA,0)+6)+INDEX(AS:AS,MATCH(AS52,$AA:$AA,0)+7))</f>
        <v>0</v>
      </c>
      <c r="AT55" s="373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6.05" customHeight="1" x14ac:dyDescent="0.35">
      <c r="B56" s="365" t="str">
        <f t="shared" si="68"/>
        <v>Spieler 2</v>
      </c>
      <c r="C56" s="366" t="str">
        <f t="shared" si="68"/>
        <v/>
      </c>
      <c r="D56" s="339">
        <f>IF(AC56=301,"",AC56)</f>
        <v>228</v>
      </c>
      <c r="E56" s="339" t="str">
        <f>IF(AD56=0,"",AD56)</f>
        <v/>
      </c>
      <c r="F56" s="339">
        <f>IF(AE56=301,"",AE56)</f>
        <v>212</v>
      </c>
      <c r="G56" s="339" t="str">
        <f>IF(AF56=0,"",AF56)</f>
        <v/>
      </c>
      <c r="H56" s="339">
        <f>IF(AG56=301,"",AG56)</f>
        <v>177</v>
      </c>
      <c r="I56" s="339" t="str">
        <f>IF(AH56=0,"",AH56)</f>
        <v/>
      </c>
      <c r="J56" s="339">
        <f>IF(AI56=301,"",AI56)</f>
        <v>156</v>
      </c>
      <c r="K56" s="339" t="str">
        <f>IF(AJ56=0,"",AJ56)</f>
        <v/>
      </c>
      <c r="L56" s="339">
        <f>IF(AK56=301,"",AK56)</f>
        <v>160</v>
      </c>
      <c r="M56" s="339" t="str">
        <f>IF(AL56=0,"",AL56)</f>
        <v/>
      </c>
      <c r="N56" s="339">
        <f>IF(AM56=301,"",AM56)</f>
        <v>191</v>
      </c>
      <c r="O56" s="339" t="str">
        <f>IF(AN56=0,"",AN56)</f>
        <v/>
      </c>
      <c r="P56" s="339">
        <f>IF(AO56=301,"",AO56)</f>
        <v>157</v>
      </c>
      <c r="Q56" s="339" t="str">
        <f>IF(AP56=0,"",AP56)</f>
        <v/>
      </c>
      <c r="R56" s="339">
        <f>IF(AQ56=301,"",AQ56)</f>
        <v>154</v>
      </c>
      <c r="S56" s="339" t="str">
        <f>IF(AR56=0,"",AR56)</f>
        <v/>
      </c>
      <c r="T56" s="339">
        <f>IF(AS56=301,"",AS56)</f>
        <v>0</v>
      </c>
      <c r="U56" s="339" t="str">
        <f>IF(AT56=0,"",AT56)</f>
        <v/>
      </c>
      <c r="V56" s="340"/>
      <c r="W56" s="340"/>
      <c r="AA56" s="91" t="s">
        <v>2</v>
      </c>
      <c r="AB56" s="92"/>
      <c r="AC56" s="374">
        <f>ABS(INDEX(AC:AC,MATCH(AC52,$AA:$AA,0)+8)+INDEX(AC:AC,MATCH(AC52,$AA:$AA,0)+9)+INDEX(AC:AC,MATCH(AC52,$AA:$AA,0)+10))</f>
        <v>228</v>
      </c>
      <c r="AD56" s="375"/>
      <c r="AE56" s="374">
        <f>ABS(INDEX(AE:AE,MATCH(AE52,$AA:$AA,0)+8)+INDEX(AE:AE,MATCH(AE52,$AA:$AA,0)+9)+INDEX(AE:AE,MATCH(AE52,$AA:$AA,0)+10))</f>
        <v>212</v>
      </c>
      <c r="AF56" s="375"/>
      <c r="AG56" s="374">
        <f>ABS(INDEX(AG:AG,MATCH(AG52,$AA:$AA,0)+8)+INDEX(AG:AG,MATCH(AG52,$AA:$AA,0)+9)+INDEX(AG:AG,MATCH(AG52,$AA:$AA,0)+10))</f>
        <v>177</v>
      </c>
      <c r="AH56" s="375"/>
      <c r="AI56" s="374">
        <f>ABS(INDEX(AI:AI,MATCH(AI52,$AA:$AA,0)+8)+INDEX(AI:AI,MATCH(AI52,$AA:$AA,0)+9)+INDEX(AI:AI,MATCH(AI52,$AA:$AA,0)+10))</f>
        <v>156</v>
      </c>
      <c r="AJ56" s="375"/>
      <c r="AK56" s="374">
        <f>ABS(INDEX(AK:AK,MATCH(AK52,$AA:$AA,0)+8)+INDEX(AK:AK,MATCH(AK52,$AA:$AA,0)+9)+INDEX(AK:AK,MATCH(AK52,$AA:$AA,0)+10))</f>
        <v>160</v>
      </c>
      <c r="AL56" s="375"/>
      <c r="AM56" s="374">
        <f>ABS(INDEX(AM:AM,MATCH(AM52,$AA:$AA,0)+8)+INDEX(AM:AM,MATCH(AM52,$AA:$AA,0)+9)+INDEX(AM:AM,MATCH(AM52,$AA:$AA,0)+10))</f>
        <v>191</v>
      </c>
      <c r="AN56" s="375"/>
      <c r="AO56" s="374">
        <f>ABS(INDEX(AO:AO,MATCH(AO52,$AA:$AA,0)+8)+INDEX(AO:AO,MATCH(AO52,$AA:$AA,0)+9)+INDEX(AO:AO,MATCH(AO52,$AA:$AA,0)+10))</f>
        <v>157</v>
      </c>
      <c r="AP56" s="375"/>
      <c r="AQ56" s="374">
        <f>ABS(INDEX(AQ:AQ,MATCH(AQ52,$AA:$AA,0)+8)+INDEX(AQ:AQ,MATCH(AQ52,$AA:$AA,0)+9)+INDEX(AQ:AQ,MATCH(AQ52,$AA:$AA,0)+10))</f>
        <v>154</v>
      </c>
      <c r="AR56" s="375"/>
      <c r="AS56" s="374">
        <f>ABS(INDEX(AS:AS,MATCH(AS52,$AA:$AA,0)+8)+INDEX(AS:AS,MATCH(AS52,$AA:$AA,0)+9)+INDEX(AS:AS,MATCH(AS52,$AA:$AA,0)+10))</f>
        <v>0</v>
      </c>
      <c r="AT56" s="37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6.05" customHeight="1" x14ac:dyDescent="0.35">
      <c r="B57" s="365" t="str">
        <f t="shared" si="68"/>
        <v>Spieler 3</v>
      </c>
      <c r="C57" s="366" t="str">
        <f t="shared" si="68"/>
        <v/>
      </c>
      <c r="D57" s="339">
        <f>IF(AC57=301,"",AC57)</f>
        <v>157</v>
      </c>
      <c r="E57" s="339" t="str">
        <f>IF(AD57=0,"",AD57)</f>
        <v/>
      </c>
      <c r="F57" s="339">
        <f>IF(AE57=301,"",AE57)</f>
        <v>190</v>
      </c>
      <c r="G57" s="339" t="str">
        <f>IF(AF57=0,"",AF57)</f>
        <v/>
      </c>
      <c r="H57" s="339">
        <f>IF(AG57=301,"",AG57)</f>
        <v>169</v>
      </c>
      <c r="I57" s="339" t="str">
        <f>IF(AH57=0,"",AH57)</f>
        <v/>
      </c>
      <c r="J57" s="339">
        <f>IF(AI57=301,"",AI57)</f>
        <v>145</v>
      </c>
      <c r="K57" s="339" t="str">
        <f>IF(AJ57=0,"",AJ57)</f>
        <v/>
      </c>
      <c r="L57" s="339">
        <f>IF(AK57=301,"",AK57)</f>
        <v>201</v>
      </c>
      <c r="M57" s="339" t="str">
        <f>IF(AL57=0,"",AL57)</f>
        <v/>
      </c>
      <c r="N57" s="339">
        <f>IF(AM57=301,"",AM57)</f>
        <v>144</v>
      </c>
      <c r="O57" s="339" t="str">
        <f>IF(AN57=0,"",AN57)</f>
        <v/>
      </c>
      <c r="P57" s="339">
        <f>IF(AO57=301,"",AO57)</f>
        <v>136</v>
      </c>
      <c r="Q57" s="339" t="str">
        <f>IF(AP57=0,"",AP57)</f>
        <v/>
      </c>
      <c r="R57" s="339">
        <f>IF(AQ57=301,"",AQ57)</f>
        <v>173</v>
      </c>
      <c r="S57" s="339" t="str">
        <f>IF(AR57=0,"",AR57)</f>
        <v/>
      </c>
      <c r="T57" s="339">
        <f>IF(AS57=301,"",AS57)</f>
        <v>0</v>
      </c>
      <c r="U57" s="339" t="str">
        <f>IF(AT57=0,"",AT57)</f>
        <v/>
      </c>
      <c r="V57" s="340"/>
      <c r="W57" s="340"/>
      <c r="AA57" s="91" t="s">
        <v>3</v>
      </c>
      <c r="AB57" s="92"/>
      <c r="AC57" s="374">
        <f>ABS(INDEX(AC:AC,MATCH(AC52,$AA:$AA,0)+11)+INDEX(AC:AC,MATCH(AC52,$AA:$AA,0)+12)+INDEX(AC:AC,MATCH(AC52,$AA:$AA,0)+13))</f>
        <v>157</v>
      </c>
      <c r="AD57" s="375"/>
      <c r="AE57" s="374">
        <f>ABS(INDEX(AE:AE,MATCH(AE52,$AA:$AA,0)+11)+INDEX(AE:AE,MATCH(AE52,$AA:$AA,0)+12)+INDEX(AE:AE,MATCH(AE52,$AA:$AA,0)+13))</f>
        <v>190</v>
      </c>
      <c r="AF57" s="375"/>
      <c r="AG57" s="374">
        <f>ABS(INDEX(AG:AG,MATCH(AG52,$AA:$AA,0)+11)+INDEX(AG:AG,MATCH(AG52,$AA:$AA,0)+12)+INDEX(AG:AG,MATCH(AG52,$AA:$AA,0)+13))</f>
        <v>169</v>
      </c>
      <c r="AH57" s="375"/>
      <c r="AI57" s="374">
        <f>ABS(INDEX(AI:AI,MATCH(AI52,$AA:$AA,0)+11)+INDEX(AI:AI,MATCH(AI52,$AA:$AA,0)+12)+INDEX(AI:AI,MATCH(AI52,$AA:$AA,0)+13))</f>
        <v>145</v>
      </c>
      <c r="AJ57" s="375"/>
      <c r="AK57" s="374">
        <f>ABS(INDEX(AK:AK,MATCH(AK52,$AA:$AA,0)+11)+INDEX(AK:AK,MATCH(AK52,$AA:$AA,0)+12)+INDEX(AK:AK,MATCH(AK52,$AA:$AA,0)+13))</f>
        <v>201</v>
      </c>
      <c r="AL57" s="375"/>
      <c r="AM57" s="374">
        <f>ABS(INDEX(AM:AM,MATCH(AM52,$AA:$AA,0)+11)+INDEX(AM:AM,MATCH(AM52,$AA:$AA,0)+12)+INDEX(AM:AM,MATCH(AM52,$AA:$AA,0)+13))</f>
        <v>144</v>
      </c>
      <c r="AN57" s="375"/>
      <c r="AO57" s="374">
        <f>ABS(INDEX(AO:AO,MATCH(AO52,$AA:$AA,0)+11)+INDEX(AO:AO,MATCH(AO52,$AA:$AA,0)+12)+INDEX(AO:AO,MATCH(AO52,$AA:$AA,0)+13))</f>
        <v>136</v>
      </c>
      <c r="AP57" s="375"/>
      <c r="AQ57" s="374">
        <f>ABS(INDEX(AQ:AQ,MATCH(AQ52,$AA:$AA,0)+11)+INDEX(AQ:AQ,MATCH(AQ52,$AA:$AA,0)+12)+INDEX(AQ:AQ,MATCH(AQ52,$AA:$AA,0)+13))</f>
        <v>173</v>
      </c>
      <c r="AR57" s="375"/>
      <c r="AS57" s="374">
        <f>ABS(INDEX(AS:AS,MATCH(AS52,$AA:$AA,0)+11)+INDEX(AS:AS,MATCH(AS52,$AA:$AA,0)+12)+INDEX(AS:AS,MATCH(AS52,$AA:$AA,0)+13))</f>
        <v>0</v>
      </c>
      <c r="AT57" s="37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6.05" customHeight="1" x14ac:dyDescent="0.35">
      <c r="B58" s="365" t="str">
        <f t="shared" si="68"/>
        <v>Spieler 4</v>
      </c>
      <c r="C58" s="366" t="str">
        <f t="shared" si="68"/>
        <v/>
      </c>
      <c r="D58" s="339">
        <f>IF(AC58=301,"",AC58)</f>
        <v>158</v>
      </c>
      <c r="E58" s="339" t="str">
        <f>IF(AD58=0,"",AD58)</f>
        <v/>
      </c>
      <c r="F58" s="339">
        <f>IF(AE58=301,"",AE58)</f>
        <v>171</v>
      </c>
      <c r="G58" s="339" t="str">
        <f>IF(AF58=0,"",AF58)</f>
        <v/>
      </c>
      <c r="H58" s="339">
        <f>IF(AG58=301,"",AG58)</f>
        <v>172</v>
      </c>
      <c r="I58" s="339" t="str">
        <f>IF(AH58=0,"",AH58)</f>
        <v/>
      </c>
      <c r="J58" s="339">
        <f>IF(AI58=301,"",AI58)</f>
        <v>211</v>
      </c>
      <c r="K58" s="339" t="str">
        <f>IF(AJ58=0,"",AJ58)</f>
        <v/>
      </c>
      <c r="L58" s="339">
        <f>IF(AK58=301,"",AK58)</f>
        <v>176</v>
      </c>
      <c r="M58" s="339" t="str">
        <f>IF(AL58=0,"",AL58)</f>
        <v/>
      </c>
      <c r="N58" s="339">
        <f>IF(AM58=301,"",AM58)</f>
        <v>201</v>
      </c>
      <c r="O58" s="339" t="str">
        <f>IF(AN58=0,"",AN58)</f>
        <v/>
      </c>
      <c r="P58" s="339">
        <f>IF(AO58=301,"",AO58)</f>
        <v>188</v>
      </c>
      <c r="Q58" s="339" t="str">
        <f>IF(AP58=0,"",AP58)</f>
        <v/>
      </c>
      <c r="R58" s="339">
        <f>IF(AQ58=301,"",AQ58)</f>
        <v>157</v>
      </c>
      <c r="S58" s="339" t="str">
        <f>IF(AR58=0,"",AR58)</f>
        <v/>
      </c>
      <c r="T58" s="339">
        <f>IF(AS58=301,"",AS58)</f>
        <v>0</v>
      </c>
      <c r="U58" s="339" t="str">
        <f>IF(AT58=0,"",AT58)</f>
        <v/>
      </c>
      <c r="V58" s="340"/>
      <c r="W58" s="340"/>
      <c r="AA58" s="91" t="s">
        <v>11</v>
      </c>
      <c r="AB58" s="92"/>
      <c r="AC58" s="374">
        <f>ABS(INDEX(AC:AC,MATCH(AC52,$AA:$AA,0)+14)+INDEX(AC:AC,MATCH(AC52,$AA:$AA,0)+15)+INDEX(AC:AC,MATCH(AC52,$AA:$AA,0)+16))</f>
        <v>158</v>
      </c>
      <c r="AD58" s="375"/>
      <c r="AE58" s="374">
        <f>ABS(INDEX(AE:AE,MATCH(AE52,$AA:$AA,0)+14)+INDEX(AE:AE,MATCH(AE52,$AA:$AA,0)+15)+INDEX(AE:AE,MATCH(AE52,$AA:$AA,0)+16))</f>
        <v>171</v>
      </c>
      <c r="AF58" s="375"/>
      <c r="AG58" s="374">
        <f>ABS(INDEX(AG:AG,MATCH(AG52,$AA:$AA,0)+14)+INDEX(AG:AG,MATCH(AG52,$AA:$AA,0)+15)+INDEX(AG:AG,MATCH(AG52,$AA:$AA,0)+16))</f>
        <v>172</v>
      </c>
      <c r="AH58" s="375"/>
      <c r="AI58" s="374">
        <f>ABS(INDEX(AI:AI,MATCH(AI52,$AA:$AA,0)+14)+INDEX(AI:AI,MATCH(AI52,$AA:$AA,0)+15)+INDEX(AI:AI,MATCH(AI52,$AA:$AA,0)+16))</f>
        <v>211</v>
      </c>
      <c r="AJ58" s="375"/>
      <c r="AK58" s="374">
        <f>ABS(INDEX(AK:AK,MATCH(AK52,$AA:$AA,0)+14)+INDEX(AK:AK,MATCH(AK52,$AA:$AA,0)+15)+INDEX(AK:AK,MATCH(AK52,$AA:$AA,0)+16))</f>
        <v>176</v>
      </c>
      <c r="AL58" s="375"/>
      <c r="AM58" s="374">
        <f>ABS(INDEX(AM:AM,MATCH(AM52,$AA:$AA,0)+14)+INDEX(AM:AM,MATCH(AM52,$AA:$AA,0)+15)+INDEX(AM:AM,MATCH(AM52,$AA:$AA,0)+16))</f>
        <v>201</v>
      </c>
      <c r="AN58" s="375"/>
      <c r="AO58" s="374">
        <f>ABS(INDEX(AO:AO,MATCH(AO52,$AA:$AA,0)+14)+INDEX(AO:AO,MATCH(AO52,$AA:$AA,0)+15)+INDEX(AO:AO,MATCH(AO52,$AA:$AA,0)+16))</f>
        <v>188</v>
      </c>
      <c r="AP58" s="375"/>
      <c r="AQ58" s="374">
        <f>ABS(INDEX(AQ:AQ,MATCH(AQ52,$AA:$AA,0)+14)+INDEX(AQ:AQ,MATCH(AQ52,$AA:$AA,0)+15)+INDEX(AQ:AQ,MATCH(AQ52,$AA:$AA,0)+16))</f>
        <v>157</v>
      </c>
      <c r="AR58" s="375"/>
      <c r="AS58" s="374">
        <f>ABS(INDEX(AS:AS,MATCH(AS52,$AA:$AA,0)+14)+INDEX(AS:AS,MATCH(AS52,$AA:$AA,0)+15)+INDEX(AS:AS,MATCH(AS52,$AA:$AA,0)+16))</f>
        <v>0</v>
      </c>
      <c r="AT58" s="37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6.05" customHeight="1" x14ac:dyDescent="0.35">
      <c r="B59" s="354" t="str">
        <f t="shared" si="68"/>
        <v>Gesamt</v>
      </c>
      <c r="C59" s="355" t="str">
        <f t="shared" si="68"/>
        <v/>
      </c>
      <c r="D59" s="338">
        <f>IF(AC59=1505,"",AC59)</f>
        <v>684</v>
      </c>
      <c r="E59" s="338" t="str">
        <f>IF(AD59=0,"",AD59)</f>
        <v/>
      </c>
      <c r="F59" s="338">
        <f>IF(AE59=1505,"",AE59)</f>
        <v>701</v>
      </c>
      <c r="G59" s="338" t="str">
        <f>IF(AF59=0,"",AF59)</f>
        <v/>
      </c>
      <c r="H59" s="338">
        <f>IF(AG59=1505,"",AG59)</f>
        <v>710</v>
      </c>
      <c r="I59" s="338" t="str">
        <f>IF(AH59=0,"",AH59)</f>
        <v/>
      </c>
      <c r="J59" s="338">
        <f>IF(AI59=1505,"",AI59)</f>
        <v>647</v>
      </c>
      <c r="K59" s="338" t="str">
        <f>IF(AJ59=0,"",AJ59)</f>
        <v/>
      </c>
      <c r="L59" s="338">
        <f>IF(AK59=1505,"",AK59)</f>
        <v>691</v>
      </c>
      <c r="M59" s="338" t="str">
        <f>IF(AL59=0,"",AL59)</f>
        <v/>
      </c>
      <c r="N59" s="338">
        <f>IF(AM59=1505,"",AM59)</f>
        <v>693</v>
      </c>
      <c r="O59" s="338" t="str">
        <f>IF(AN59=0,"",AN59)</f>
        <v/>
      </c>
      <c r="P59" s="338">
        <f>IF(AO59=1505,"",AO59)</f>
        <v>673</v>
      </c>
      <c r="Q59" s="338" t="str">
        <f>IF(AP59=0,"",AP59)</f>
        <v/>
      </c>
      <c r="R59" s="338">
        <f>IF(AQ59=1505,"",AQ59)</f>
        <v>644</v>
      </c>
      <c r="S59" s="338" t="str">
        <f>IF(AR59=0,"",AR59)</f>
        <v/>
      </c>
      <c r="T59" s="338">
        <f>IF(AS59=1505,"",AS59)</f>
        <v>0</v>
      </c>
      <c r="U59" s="338" t="str">
        <f>IF(AT59=0,"",AT59)</f>
        <v/>
      </c>
      <c r="V59" s="290"/>
      <c r="W59" s="290"/>
      <c r="AA59" s="93" t="s">
        <v>1799</v>
      </c>
      <c r="AB59" s="94"/>
      <c r="AC59" s="354">
        <f>SUM(AC55:AC58)</f>
        <v>684</v>
      </c>
      <c r="AD59" s="355"/>
      <c r="AE59" s="354">
        <f>SUM(AE55:AE58)</f>
        <v>701</v>
      </c>
      <c r="AF59" s="355"/>
      <c r="AG59" s="354">
        <f>SUM(AG55:AG58)</f>
        <v>710</v>
      </c>
      <c r="AH59" s="355"/>
      <c r="AI59" s="354">
        <f>SUM(AI55:AI58)</f>
        <v>647</v>
      </c>
      <c r="AJ59" s="355"/>
      <c r="AK59" s="354">
        <f>SUM(AK55:AK58)</f>
        <v>691</v>
      </c>
      <c r="AL59" s="355"/>
      <c r="AM59" s="354">
        <f>SUM(AM55:AM58)</f>
        <v>693</v>
      </c>
      <c r="AN59" s="355"/>
      <c r="AO59" s="354">
        <f>SUM(AO55:AO58)</f>
        <v>673</v>
      </c>
      <c r="AP59" s="355"/>
      <c r="AQ59" s="354">
        <f>SUM(AQ55:AQ58)</f>
        <v>644</v>
      </c>
      <c r="AR59" s="355"/>
      <c r="AS59" s="354">
        <f>SUM(AS55:AS58)</f>
        <v>0</v>
      </c>
      <c r="AT59" s="35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3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7">
      <c r="B61" s="44" t="str">
        <f>AA61</f>
        <v>Team-Nr.</v>
      </c>
      <c r="C61" s="45"/>
      <c r="D61" s="44" t="str">
        <f>AC61</f>
        <v>Liga:</v>
      </c>
      <c r="E61" s="47"/>
      <c r="F61" s="359" t="str">
        <f>AE61</f>
        <v>Bayernliga Frauen</v>
      </c>
      <c r="G61" s="359"/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48"/>
      <c r="S61" s="49" t="s">
        <v>1794</v>
      </c>
      <c r="T61" s="50"/>
      <c r="U61" s="360" t="str">
        <f>AT61</f>
        <v>01.02./02.02.</v>
      </c>
      <c r="V61" s="361"/>
      <c r="W61" s="362"/>
      <c r="X61" s="363"/>
      <c r="Y61" s="364"/>
      <c r="Z61" s="364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0" t="str">
        <f>VLOOKUP(AS62,Spielorte!$A$1:$C$6,2)</f>
        <v>01.02./02.02.</v>
      </c>
      <c r="AU61" s="361"/>
      <c r="AV61" s="362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65">
      <c r="B62" s="53">
        <f>AA62</f>
        <v>3</v>
      </c>
      <c r="D62" s="46" t="s">
        <v>1793</v>
      </c>
      <c r="E62" s="54"/>
      <c r="F62" s="358" t="str">
        <f>AE62</f>
        <v>Unterföhring Dreambowl Palace</v>
      </c>
      <c r="G62" s="358"/>
      <c r="H62" s="358"/>
      <c r="I62" s="358"/>
      <c r="J62" s="358"/>
      <c r="K62" s="358"/>
      <c r="L62" s="358"/>
      <c r="M62" s="358"/>
      <c r="N62" s="358"/>
      <c r="O62" s="358"/>
      <c r="P62" s="55"/>
      <c r="Q62" s="55"/>
      <c r="S62" s="49" t="s">
        <v>1791</v>
      </c>
      <c r="T62" s="56">
        <f>AS62</f>
        <v>3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Unterföhring Dreambowl Palace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3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4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5" thickBot="1" x14ac:dyDescent="0.45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VLOOKUP(AA62,Schlüssel!$A$5:$DZ$14,53)</f>
        <v>7</v>
      </c>
      <c r="AE64" s="65" t="s">
        <v>10</v>
      </c>
      <c r="AF64" s="44">
        <f>VLOOKUP(AA62,Schlüssel!$A$5:$DZ$14,54)</f>
        <v>10</v>
      </c>
      <c r="AG64" s="65" t="s">
        <v>10</v>
      </c>
      <c r="AH64" s="44">
        <f>VLOOKUP(AA62,Schlüssel!$A$5:$DZ$14,55)</f>
        <v>3</v>
      </c>
      <c r="AI64" s="65" t="s">
        <v>10</v>
      </c>
      <c r="AJ64" s="44">
        <f>VLOOKUP(AA62,Schlüssel!$A$5:$DZ$14,56)</f>
        <v>6</v>
      </c>
      <c r="AK64" s="65" t="s">
        <v>10</v>
      </c>
      <c r="AL64" s="44">
        <f>VLOOKUP(AA62,Schlüssel!$A$5:$DZ$14,57)</f>
        <v>8</v>
      </c>
      <c r="AM64" s="65" t="s">
        <v>10</v>
      </c>
      <c r="AN64" s="44">
        <f>VLOOKUP(AA62,Schlüssel!$A$5:$DZ$14,58)</f>
        <v>1</v>
      </c>
      <c r="AO64" s="65" t="s">
        <v>10</v>
      </c>
      <c r="AP64" s="44">
        <f>VLOOKUP(AA62,Schlüssel!$A$5:$DZ$14,59)</f>
        <v>4</v>
      </c>
      <c r="AQ64" s="65" t="s">
        <v>10</v>
      </c>
      <c r="AR64" s="44">
        <f>VLOOKUP(AA62,Schlüssel!$A$5:$DZ$14,60)</f>
        <v>9</v>
      </c>
      <c r="AS64" s="65" t="s">
        <v>10</v>
      </c>
      <c r="AT64" s="44">
        <f>VLOOKUP(AA62,Schlüssel!$A$5:$DZ$14,61)</f>
        <v>2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35">
      <c r="B65" s="67" t="s">
        <v>1</v>
      </c>
      <c r="C65" s="68"/>
      <c r="D65" s="354" t="s">
        <v>1800</v>
      </c>
      <c r="E65" s="355"/>
      <c r="F65" s="354" t="s">
        <v>1801</v>
      </c>
      <c r="G65" s="355"/>
      <c r="H65" s="354" t="s">
        <v>1802</v>
      </c>
      <c r="I65" s="355"/>
      <c r="J65" s="354" t="s">
        <v>1803</v>
      </c>
      <c r="K65" s="355"/>
      <c r="L65" s="354" t="s">
        <v>1804</v>
      </c>
      <c r="M65" s="355"/>
      <c r="N65" s="354" t="s">
        <v>1805</v>
      </c>
      <c r="O65" s="355"/>
      <c r="P65" s="354" t="s">
        <v>1806</v>
      </c>
      <c r="Q65" s="355"/>
      <c r="R65" s="354" t="s">
        <v>1807</v>
      </c>
      <c r="S65" s="355"/>
      <c r="T65" s="354" t="s">
        <v>1808</v>
      </c>
      <c r="U65" s="355"/>
      <c r="V65" s="356" t="s">
        <v>1799</v>
      </c>
      <c r="W65" s="357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4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2" customHeight="1" x14ac:dyDescent="0.35">
      <c r="A67" s="367" t="s">
        <v>0</v>
      </c>
      <c r="B67" s="73" t="str">
        <f>IF(AA67=0,"",AA67)</f>
        <v>Auer, Cornelia</v>
      </c>
      <c r="C67" s="74">
        <f>IF(AB67=0,"",AB67)</f>
        <v>25298</v>
      </c>
      <c r="D67" s="75">
        <f>IF(AC67=0,"",AC67)</f>
        <v>163</v>
      </c>
      <c r="E67" s="348">
        <f>IF(AD67="","",AD67)</f>
        <v>0</v>
      </c>
      <c r="F67" s="75">
        <f t="shared" ref="F67:F80" si="69">IF(AE67=0,"",AE67)</f>
        <v>181</v>
      </c>
      <c r="G67" s="348">
        <f>IF(AF67="","",AF67)</f>
        <v>0</v>
      </c>
      <c r="H67" s="75">
        <f t="shared" ref="H67:H80" si="70">IF(AG67=0,"",AG67)</f>
        <v>192</v>
      </c>
      <c r="I67" s="348">
        <f>IF(AH67="","",AH67)</f>
        <v>0</v>
      </c>
      <c r="J67" s="75">
        <f t="shared" ref="J67:J80" si="71">IF(AI67=0,"",AI67)</f>
        <v>150</v>
      </c>
      <c r="K67" s="348">
        <f>IF(AJ67="","",AJ67)</f>
        <v>0</v>
      </c>
      <c r="L67" s="75" t="str">
        <f t="shared" ref="L67:L80" si="72">IF(AK67=0,"",AK67)</f>
        <v/>
      </c>
      <c r="M67" s="348">
        <f>IF(AL67="","",AL67)</f>
        <v>0</v>
      </c>
      <c r="N67" s="75" t="str">
        <f>IF(AM67=0,"",AM67)</f>
        <v/>
      </c>
      <c r="O67" s="348">
        <f>IF(AN67="","",AN67)</f>
        <v>1</v>
      </c>
      <c r="P67" s="75" t="str">
        <f t="shared" ref="P67:P80" si="73">IF(AO67=0,"",AO67)</f>
        <v/>
      </c>
      <c r="Q67" s="348">
        <f>IF(AP67="","",AP67)</f>
        <v>1</v>
      </c>
      <c r="R67" s="75" t="str">
        <f t="shared" ref="R67:R80" si="74">IF(AQ67=0,"",AQ67)</f>
        <v/>
      </c>
      <c r="S67" s="348">
        <f>IF(AR67="","",AR67)</f>
        <v>1</v>
      </c>
      <c r="T67" s="75" t="str">
        <f t="shared" ref="T67:T80" si="75">IF(AS67=0,"",AS67)</f>
        <v/>
      </c>
      <c r="U67" s="348">
        <f>IF(AT67="","",AT67)</f>
        <v>0</v>
      </c>
      <c r="V67" s="75">
        <f t="shared" ref="V67:V80" si="76">IF(AU67=0,"",AU67)</f>
        <v>686</v>
      </c>
      <c r="W67" s="348">
        <f>IF(AV67="","",AV67)</f>
        <v>3</v>
      </c>
      <c r="Z67" s="351" t="s">
        <v>0</v>
      </c>
      <c r="AA67" s="108" t="str">
        <f>IF(AB67=0,"",VLOOKUP(AB67,Starter!$A$1:$D$199,2,FALSE))</f>
        <v>Auer, Cornelia</v>
      </c>
      <c r="AB67" s="99">
        <v>25298</v>
      </c>
      <c r="AC67" s="185">
        <v>163</v>
      </c>
      <c r="AD67" s="109">
        <f>IF(SUM(AC67:AC69)+AC85=0,0,IF(SUM(AC67:AC69)=AC85,0.5,IF(SUM(AC67:AC69)&gt;AC85,1,0)))</f>
        <v>0</v>
      </c>
      <c r="AE67" s="185">
        <v>181</v>
      </c>
      <c r="AF67" s="109">
        <f>IF(SUM(AE67:AE69)+AE85=0,0,IF(SUM(AE67:AE69)=AE85,0.5,IF(SUM(AE67:AE69)&gt;AE85,1,0)))</f>
        <v>0</v>
      </c>
      <c r="AG67" s="185">
        <v>192</v>
      </c>
      <c r="AH67" s="109">
        <f>IF(SUM(AG67:AG69)+AG85=0,0,IF(SUM(AG67:AG69)=AG85,0.5,IF(SUM(AG67:AG69)&gt;AG85,1,0)))</f>
        <v>0</v>
      </c>
      <c r="AI67" s="185">
        <v>150</v>
      </c>
      <c r="AJ67" s="109">
        <f>IF(SUM(AI67:AI69)+AI85=0,0,IF(SUM(AI67:AI69)=AI85,0.5,IF(SUM(AI67:AI69)&gt;AI85,1,0)))</f>
        <v>0</v>
      </c>
      <c r="AK67" s="185"/>
      <c r="AL67" s="109">
        <f>IF(SUM(AK67:AK69)+AK85=0,0,IF(SUM(AK67:AK69)=AK85,0.5,IF(SUM(AK67:AK69)&gt;AK85,1,0)))</f>
        <v>0</v>
      </c>
      <c r="AM67" s="185"/>
      <c r="AN67" s="109">
        <f>IF(SUM(AM67:AM69)+AM85=0,0,IF(SUM(AM67:AM69)=AM85,0.5,IF(SUM(AM67:AM69)&gt;AM85,1,0)))</f>
        <v>1</v>
      </c>
      <c r="AO67" s="185"/>
      <c r="AP67" s="109">
        <f>IF(SUM(AO67:AO69)+AO85=0,0,IF(SUM(AO67:AO69)=AO85,0.5,IF(SUM(AO67:AO69)&gt;AO85,1,0)))</f>
        <v>1</v>
      </c>
      <c r="AQ67" s="185"/>
      <c r="AR67" s="109">
        <f>IF(SUM(AQ67:AQ69)+AQ85=0,0,IF(SUM(AQ67:AQ69)=AQ85,0.5,IF(SUM(AQ67:AQ69)&gt;AQ85,1,0)))</f>
        <v>1</v>
      </c>
      <c r="AS67" s="185"/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686</v>
      </c>
      <c r="AV67" s="111">
        <f>SUM(AD67+AF67+AH67+AJ67+AL67+AN67+AP67+AR67+AT67)</f>
        <v>3</v>
      </c>
      <c r="AW67" s="101"/>
      <c r="AX67" s="102"/>
      <c r="AZ67" s="63"/>
      <c r="BA67" s="212"/>
      <c r="BB67" s="213"/>
      <c r="BC67" s="214"/>
      <c r="BD67" s="217">
        <f>+AB67</f>
        <v>25298</v>
      </c>
      <c r="BE67" s="213">
        <f>+AU67</f>
        <v>686</v>
      </c>
      <c r="BF67" s="215">
        <f>COUNT(BH67:BP67)</f>
        <v>4</v>
      </c>
      <c r="BG67" s="215">
        <f>COUNTIF(BH67:BP67,"&gt;0")</f>
        <v>4</v>
      </c>
      <c r="BH67" s="215">
        <f t="shared" ref="BH67:BH78" si="78">IF(AC67=0,"",AC67)</f>
        <v>163</v>
      </c>
      <c r="BI67" s="215">
        <f t="shared" ref="BI67:BI78" si="79">IF(AE67=0,"",AE67)</f>
        <v>181</v>
      </c>
      <c r="BJ67" s="215">
        <f t="shared" ref="BJ67:BJ78" si="80">IF(AG67=0,"",AG67)</f>
        <v>192</v>
      </c>
      <c r="BK67" s="215">
        <f t="shared" ref="BK67:BK78" si="81">IF(AI67=0,"",AI67)</f>
        <v>150</v>
      </c>
      <c r="BL67" s="215" t="str">
        <f t="shared" ref="BL67:BL78" si="82">IF(AK67=0,"",AK67)</f>
        <v/>
      </c>
      <c r="BM67" s="215" t="str">
        <f t="shared" ref="BM67:BM78" si="83">IF(AM67=0,"",AM67)</f>
        <v/>
      </c>
      <c r="BN67" s="215" t="str">
        <f t="shared" ref="BN67:BN78" si="84">IF(AO67=0,"",AO67)</f>
        <v/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192</v>
      </c>
      <c r="BT67" s="215">
        <f>IF(BS67&lt;MAX(BS:BS),0,BS67+ROW()/1000000000)</f>
        <v>0</v>
      </c>
      <c r="BU67" s="215" t="str">
        <f>+AA63</f>
        <v>Highroller Rosenheim</v>
      </c>
      <c r="BV67" s="214">
        <f>RANK(BT67,BT:BT)</f>
        <v>2</v>
      </c>
      <c r="BW67" s="215">
        <f>SUMIF(BH67:BP67,"&gt;0")</f>
        <v>686</v>
      </c>
      <c r="BX67" s="215">
        <f>IF(COUNTIF(BH67:BP67,"&gt;0")&lt;Spielorte!$A$23,0,BE67/Spielorte!$A$23)</f>
        <v>0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2" customHeight="1" x14ac:dyDescent="0.35">
      <c r="A68" s="368"/>
      <c r="B68" s="76" t="str">
        <f t="shared" ref="B68:D80" si="88">IF(AA68=0,"",AA68)</f>
        <v>Rauscher, Julia</v>
      </c>
      <c r="C68" s="77">
        <f t="shared" si="88"/>
        <v>38758</v>
      </c>
      <c r="D68" s="78" t="str">
        <f t="shared" si="88"/>
        <v/>
      </c>
      <c r="E68" s="349"/>
      <c r="F68" s="78" t="str">
        <f t="shared" si="69"/>
        <v/>
      </c>
      <c r="G68" s="349"/>
      <c r="H68" s="78" t="str">
        <f t="shared" si="70"/>
        <v/>
      </c>
      <c r="I68" s="349"/>
      <c r="J68" s="78" t="str">
        <f t="shared" si="71"/>
        <v/>
      </c>
      <c r="K68" s="349"/>
      <c r="L68" s="78">
        <f t="shared" si="72"/>
        <v>144</v>
      </c>
      <c r="M68" s="349"/>
      <c r="N68" s="78">
        <f t="shared" ref="N68:N80" si="89">IF(AM68=0,"",AM68)</f>
        <v>177</v>
      </c>
      <c r="O68" s="349"/>
      <c r="P68" s="78">
        <f t="shared" si="73"/>
        <v>178</v>
      </c>
      <c r="Q68" s="349"/>
      <c r="R68" s="78">
        <f t="shared" si="74"/>
        <v>211</v>
      </c>
      <c r="S68" s="349"/>
      <c r="T68" s="78">
        <f t="shared" si="75"/>
        <v>165</v>
      </c>
      <c r="U68" s="349"/>
      <c r="V68" s="78">
        <f t="shared" si="76"/>
        <v>875</v>
      </c>
      <c r="W68" s="349"/>
      <c r="Z68" s="352"/>
      <c r="AA68" s="108" t="str">
        <f>IF(AB68=0,"",VLOOKUP(AB68,Starter!$A$1:$D$199,2,FALSE))</f>
        <v>Rauscher, Julia</v>
      </c>
      <c r="AB68" s="98">
        <v>38758</v>
      </c>
      <c r="AC68" s="186"/>
      <c r="AD68" s="112"/>
      <c r="AE68" s="186"/>
      <c r="AF68" s="112"/>
      <c r="AG68" s="186"/>
      <c r="AH68" s="112"/>
      <c r="AI68" s="186"/>
      <c r="AJ68" s="112"/>
      <c r="AK68" s="186">
        <v>144</v>
      </c>
      <c r="AL68" s="112"/>
      <c r="AM68" s="186">
        <v>177</v>
      </c>
      <c r="AN68" s="112"/>
      <c r="AO68" s="186">
        <v>178</v>
      </c>
      <c r="AP68" s="112"/>
      <c r="AQ68" s="186">
        <v>211</v>
      </c>
      <c r="AR68" s="112"/>
      <c r="AS68" s="186">
        <v>165</v>
      </c>
      <c r="AT68" s="112"/>
      <c r="AU68" s="113">
        <f t="shared" si="77"/>
        <v>875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38758</v>
      </c>
      <c r="BE68" s="213">
        <f t="shared" ref="BE68:BE78" si="91">+AU68</f>
        <v>875</v>
      </c>
      <c r="BF68" s="215">
        <f t="shared" ref="BF68:BF78" si="92">COUNT(BH68:BP68)</f>
        <v>5</v>
      </c>
      <c r="BG68" s="215">
        <f t="shared" ref="BG68:BG78" si="93">COUNTIF(BH68:BP68,"&gt;0")</f>
        <v>5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>
        <f t="shared" si="82"/>
        <v>144</v>
      </c>
      <c r="BM68" s="215">
        <f t="shared" si="83"/>
        <v>177</v>
      </c>
      <c r="BN68" s="215">
        <f t="shared" si="84"/>
        <v>178</v>
      </c>
      <c r="BO68" s="215">
        <f t="shared" si="85"/>
        <v>211</v>
      </c>
      <c r="BP68" s="215">
        <f t="shared" si="86"/>
        <v>165</v>
      </c>
      <c r="BQ68" s="216"/>
      <c r="BR68" s="214"/>
      <c r="BS68" s="215">
        <f t="shared" ref="BS68:BS78" si="94">MAX(BH68:BP68)</f>
        <v>211</v>
      </c>
      <c r="BT68" s="215">
        <f t="shared" ref="BT68:BT78" si="95">IF(BS68&lt;MAX(BS:BS),0,BS68+ROW()/1000000000)</f>
        <v>0</v>
      </c>
      <c r="BU68" s="215" t="str">
        <f t="shared" ref="BU68:BU78" si="96">+BU67</f>
        <v>Highroller Rosenheim</v>
      </c>
      <c r="BV68" s="214">
        <f t="shared" ref="BV68:BV78" si="97">RANK(BT68,BT:BT)</f>
        <v>2</v>
      </c>
      <c r="BW68" s="215">
        <f t="shared" ref="BW68:BW78" si="98">SUMIF(BH68:BP68,"&gt;0")</f>
        <v>875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2" customHeight="1" thickBot="1" x14ac:dyDescent="0.4">
      <c r="A69" s="369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0"/>
      <c r="F69" s="69" t="str">
        <f t="shared" si="69"/>
        <v/>
      </c>
      <c r="G69" s="350"/>
      <c r="H69" s="69" t="str">
        <f t="shared" si="70"/>
        <v/>
      </c>
      <c r="I69" s="350"/>
      <c r="J69" s="69" t="str">
        <f t="shared" si="71"/>
        <v/>
      </c>
      <c r="K69" s="350"/>
      <c r="L69" s="69" t="str">
        <f t="shared" si="72"/>
        <v/>
      </c>
      <c r="M69" s="350"/>
      <c r="N69" s="69" t="str">
        <f t="shared" si="89"/>
        <v/>
      </c>
      <c r="O69" s="350"/>
      <c r="P69" s="69" t="str">
        <f t="shared" si="73"/>
        <v/>
      </c>
      <c r="Q69" s="350"/>
      <c r="R69" s="69" t="str">
        <f t="shared" si="74"/>
        <v/>
      </c>
      <c r="S69" s="350"/>
      <c r="T69" s="69" t="str">
        <f t="shared" si="75"/>
        <v/>
      </c>
      <c r="U69" s="350"/>
      <c r="V69" s="69" t="str">
        <f t="shared" si="76"/>
        <v/>
      </c>
      <c r="W69" s="350"/>
      <c r="Z69" s="353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Highroller Rosenheim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2" customHeight="1" x14ac:dyDescent="0.35">
      <c r="A70" s="367" t="s">
        <v>2</v>
      </c>
      <c r="B70" s="73" t="str">
        <f t="shared" si="88"/>
        <v>Rauscher, Julia</v>
      </c>
      <c r="C70" s="74">
        <f t="shared" si="88"/>
        <v>38758</v>
      </c>
      <c r="D70" s="75">
        <f t="shared" si="88"/>
        <v>170</v>
      </c>
      <c r="E70" s="348">
        <f>IF(AD70="","",AD70)</f>
        <v>1</v>
      </c>
      <c r="F70" s="75">
        <f t="shared" si="69"/>
        <v>136</v>
      </c>
      <c r="G70" s="348">
        <f>IF(AF70="","",AF70)</f>
        <v>0</v>
      </c>
      <c r="H70" s="75" t="str">
        <f t="shared" si="70"/>
        <v/>
      </c>
      <c r="I70" s="348">
        <f>IF(AH70="","",AH70)</f>
        <v>1</v>
      </c>
      <c r="J70" s="75" t="str">
        <f t="shared" si="71"/>
        <v/>
      </c>
      <c r="K70" s="348">
        <f>IF(AJ70="","",AJ70)</f>
        <v>1</v>
      </c>
      <c r="L70" s="75" t="str">
        <f t="shared" si="72"/>
        <v/>
      </c>
      <c r="M70" s="348">
        <f>IF(AL70="","",AL70)</f>
        <v>1</v>
      </c>
      <c r="N70" s="75" t="str">
        <f t="shared" si="89"/>
        <v/>
      </c>
      <c r="O70" s="348">
        <f>IF(AN70="","",AN70)</f>
        <v>0</v>
      </c>
      <c r="P70" s="75" t="str">
        <f t="shared" si="73"/>
        <v/>
      </c>
      <c r="Q70" s="348">
        <f>IF(AP70="","",AP70)</f>
        <v>1</v>
      </c>
      <c r="R70" s="75" t="str">
        <f t="shared" si="74"/>
        <v/>
      </c>
      <c r="S70" s="348">
        <f>IF(AR70="","",AR70)</f>
        <v>1</v>
      </c>
      <c r="T70" s="75" t="str">
        <f t="shared" si="75"/>
        <v/>
      </c>
      <c r="U70" s="348">
        <f>IF(AT70="","",AT70)</f>
        <v>1</v>
      </c>
      <c r="V70" s="75">
        <f t="shared" si="76"/>
        <v>306</v>
      </c>
      <c r="W70" s="348">
        <f>IF(AV70="","",AV70)</f>
        <v>7</v>
      </c>
      <c r="Z70" s="351" t="s">
        <v>2</v>
      </c>
      <c r="AA70" s="108" t="str">
        <f>IF(AB70=0,"",VLOOKUP(AB70,Starter!$A$1:$D$199,2,FALSE))</f>
        <v>Rauscher, Julia</v>
      </c>
      <c r="AB70" s="99">
        <v>38758</v>
      </c>
      <c r="AC70" s="188">
        <v>170</v>
      </c>
      <c r="AD70" s="109">
        <f>IF(SUM(AC70:AC72)+AC86=0,0,IF(SUM(AC70:AC72)=AC86,0.5,IF(SUM(AC70:AC72)&gt;AC86,1,0)))</f>
        <v>1</v>
      </c>
      <c r="AE70" s="188">
        <v>136</v>
      </c>
      <c r="AF70" s="109">
        <f>IF(SUM(AE70:AE72)+AE86=0,0,IF(SUM(AE70:AE72)=AE86,0.5,IF(SUM(AE70:AE72)&gt;AE86,1,0)))</f>
        <v>0</v>
      </c>
      <c r="AG70" s="188"/>
      <c r="AH70" s="109">
        <f>IF(SUM(AG70:AG72)+AG86=0,0,IF(SUM(AG70:AG72)=AG86,0.5,IF(SUM(AG70:AG72)&gt;AG86,1,0)))</f>
        <v>1</v>
      </c>
      <c r="AI70" s="188"/>
      <c r="AJ70" s="109">
        <f>IF(SUM(AI70:AI72)+AI86=0,0,IF(SUM(AI70:AI72)=AI86,0.5,IF(SUM(AI70:AI72)&gt;AI86,1,0)))</f>
        <v>1</v>
      </c>
      <c r="AK70" s="188"/>
      <c r="AL70" s="109">
        <f>IF(SUM(AK70:AK72)+AK86=0,0,IF(SUM(AK70:AK72)=AK86,0.5,IF(SUM(AK70:AK72)&gt;AK86,1,0)))</f>
        <v>1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1</v>
      </c>
      <c r="AQ70" s="188"/>
      <c r="AR70" s="109">
        <f>IF(SUM(AQ70:AQ72)+AQ86=0,0,IF(SUM(AQ70:AQ72)=AQ86,0.5,IF(SUM(AQ70:AQ72)&gt;AQ86,1,0)))</f>
        <v>1</v>
      </c>
      <c r="AS70" s="188"/>
      <c r="AT70" s="109">
        <f>IF(SUM(AS70:AS72)+AS86=0,0,IF(SUM(AS70:AS72)=AS86,0.5,IF(SUM(AS70:AS72)&gt;AS86,1,0)))</f>
        <v>1</v>
      </c>
      <c r="AU70" s="110">
        <f t="shared" si="77"/>
        <v>306</v>
      </c>
      <c r="AV70" s="111">
        <f>SUM(AD70+AF70+AH70+AJ70+AL70+AN70+AP70+AR70+AT70)</f>
        <v>7</v>
      </c>
      <c r="AW70" s="101"/>
      <c r="AX70" s="102"/>
      <c r="AZ70" s="63"/>
      <c r="BA70" s="212"/>
      <c r="BB70" s="213"/>
      <c r="BC70" s="214"/>
      <c r="BD70" s="217">
        <f t="shared" si="90"/>
        <v>38758</v>
      </c>
      <c r="BE70" s="213">
        <f t="shared" si="91"/>
        <v>306</v>
      </c>
      <c r="BF70" s="215">
        <f t="shared" si="92"/>
        <v>2</v>
      </c>
      <c r="BG70" s="215">
        <f t="shared" si="93"/>
        <v>2</v>
      </c>
      <c r="BH70" s="215">
        <f t="shared" si="78"/>
        <v>170</v>
      </c>
      <c r="BI70" s="215">
        <f t="shared" si="79"/>
        <v>136</v>
      </c>
      <c r="BJ70" s="215" t="str">
        <f t="shared" si="80"/>
        <v/>
      </c>
      <c r="BK70" s="215" t="str">
        <f t="shared" si="81"/>
        <v/>
      </c>
      <c r="BL70" s="215" t="str">
        <f t="shared" si="82"/>
        <v/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170</v>
      </c>
      <c r="BT70" s="215">
        <f t="shared" si="95"/>
        <v>0</v>
      </c>
      <c r="BU70" s="215" t="str">
        <f t="shared" si="96"/>
        <v>Highroller Rosenheim</v>
      </c>
      <c r="BV70" s="214">
        <f t="shared" si="97"/>
        <v>2</v>
      </c>
      <c r="BW70" s="215">
        <f t="shared" si="98"/>
        <v>306</v>
      </c>
      <c r="BX70" s="215">
        <f>IF(COUNTIF(BH70:BP70,"&gt;0")&lt;Spielorte!$A$23,0,BE70/Spielorte!$A$23)</f>
        <v>0</v>
      </c>
      <c r="BY70" s="215">
        <f t="shared" si="99"/>
        <v>0</v>
      </c>
      <c r="BZ70" s="214">
        <f t="shared" si="87"/>
        <v>0</v>
      </c>
    </row>
    <row r="71" spans="1:78" ht="17.2" customHeight="1" x14ac:dyDescent="0.35">
      <c r="A71" s="368"/>
      <c r="B71" s="76" t="str">
        <f t="shared" si="88"/>
        <v>Groll, Hanni</v>
      </c>
      <c r="C71" s="77">
        <f t="shared" si="88"/>
        <v>25630</v>
      </c>
      <c r="D71" s="78" t="str">
        <f t="shared" si="88"/>
        <v/>
      </c>
      <c r="E71" s="349"/>
      <c r="F71" s="78" t="str">
        <f t="shared" si="69"/>
        <v/>
      </c>
      <c r="G71" s="349"/>
      <c r="H71" s="78">
        <f t="shared" si="70"/>
        <v>177</v>
      </c>
      <c r="I71" s="349"/>
      <c r="J71" s="78">
        <f t="shared" si="71"/>
        <v>146</v>
      </c>
      <c r="K71" s="349"/>
      <c r="L71" s="78">
        <f t="shared" si="72"/>
        <v>154</v>
      </c>
      <c r="M71" s="349"/>
      <c r="N71" s="78">
        <f t="shared" si="89"/>
        <v>159</v>
      </c>
      <c r="O71" s="349"/>
      <c r="P71" s="78">
        <f t="shared" si="73"/>
        <v>172</v>
      </c>
      <c r="Q71" s="349"/>
      <c r="R71" s="78">
        <f t="shared" si="74"/>
        <v>179</v>
      </c>
      <c r="S71" s="349"/>
      <c r="T71" s="78">
        <f t="shared" si="75"/>
        <v>206</v>
      </c>
      <c r="U71" s="349"/>
      <c r="V71" s="78">
        <f t="shared" si="76"/>
        <v>1193</v>
      </c>
      <c r="W71" s="349"/>
      <c r="Z71" s="352"/>
      <c r="AA71" s="108" t="str">
        <f>IF(AB71=0,"",VLOOKUP(AB71,Starter!$A$1:$D$199,2,FALSE))</f>
        <v>Groll, Hanni</v>
      </c>
      <c r="AB71" s="98">
        <v>25630</v>
      </c>
      <c r="AC71" s="186"/>
      <c r="AD71" s="112"/>
      <c r="AE71" s="186"/>
      <c r="AF71" s="112"/>
      <c r="AG71" s="186">
        <v>177</v>
      </c>
      <c r="AH71" s="112"/>
      <c r="AI71" s="186">
        <v>146</v>
      </c>
      <c r="AJ71" s="112"/>
      <c r="AK71" s="186">
        <v>154</v>
      </c>
      <c r="AL71" s="112"/>
      <c r="AM71" s="186">
        <v>159</v>
      </c>
      <c r="AN71" s="112"/>
      <c r="AO71" s="190">
        <v>172</v>
      </c>
      <c r="AP71" s="112"/>
      <c r="AQ71" s="190">
        <v>179</v>
      </c>
      <c r="AR71" s="112"/>
      <c r="AS71" s="190">
        <v>206</v>
      </c>
      <c r="AT71" s="112"/>
      <c r="AU71" s="113">
        <f t="shared" si="77"/>
        <v>1193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25630</v>
      </c>
      <c r="BE71" s="213">
        <f t="shared" si="91"/>
        <v>1193</v>
      </c>
      <c r="BF71" s="215">
        <f t="shared" si="92"/>
        <v>7</v>
      </c>
      <c r="BG71" s="215">
        <f t="shared" si="93"/>
        <v>7</v>
      </c>
      <c r="BH71" s="215" t="str">
        <f t="shared" si="78"/>
        <v/>
      </c>
      <c r="BI71" s="215" t="str">
        <f t="shared" si="79"/>
        <v/>
      </c>
      <c r="BJ71" s="215">
        <f t="shared" si="80"/>
        <v>177</v>
      </c>
      <c r="BK71" s="215">
        <f t="shared" si="81"/>
        <v>146</v>
      </c>
      <c r="BL71" s="215">
        <f t="shared" si="82"/>
        <v>154</v>
      </c>
      <c r="BM71" s="215">
        <f t="shared" si="83"/>
        <v>159</v>
      </c>
      <c r="BN71" s="215">
        <f t="shared" si="84"/>
        <v>172</v>
      </c>
      <c r="BO71" s="215">
        <f t="shared" si="85"/>
        <v>179</v>
      </c>
      <c r="BP71" s="215">
        <f t="shared" si="86"/>
        <v>206</v>
      </c>
      <c r="BQ71" s="216"/>
      <c r="BR71" s="214"/>
      <c r="BS71" s="215">
        <f t="shared" si="94"/>
        <v>206</v>
      </c>
      <c r="BT71" s="215">
        <f t="shared" si="95"/>
        <v>0</v>
      </c>
      <c r="BU71" s="215" t="str">
        <f t="shared" si="96"/>
        <v>Highroller Rosenheim</v>
      </c>
      <c r="BV71" s="214">
        <f t="shared" si="97"/>
        <v>2</v>
      </c>
      <c r="BW71" s="215">
        <f t="shared" si="98"/>
        <v>1193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2" customHeight="1" thickBot="1" x14ac:dyDescent="0.4">
      <c r="A72" s="369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0"/>
      <c r="F72" s="69" t="str">
        <f t="shared" si="69"/>
        <v/>
      </c>
      <c r="G72" s="350"/>
      <c r="H72" s="69" t="str">
        <f t="shared" si="70"/>
        <v/>
      </c>
      <c r="I72" s="350"/>
      <c r="J72" s="69" t="str">
        <f t="shared" si="71"/>
        <v/>
      </c>
      <c r="K72" s="350"/>
      <c r="L72" s="69" t="str">
        <f t="shared" si="72"/>
        <v/>
      </c>
      <c r="M72" s="350"/>
      <c r="N72" s="69" t="str">
        <f t="shared" si="89"/>
        <v/>
      </c>
      <c r="O72" s="350"/>
      <c r="P72" s="69" t="str">
        <f t="shared" si="73"/>
        <v/>
      </c>
      <c r="Q72" s="350"/>
      <c r="R72" s="69" t="str">
        <f t="shared" si="74"/>
        <v/>
      </c>
      <c r="S72" s="350"/>
      <c r="T72" s="69" t="str">
        <f t="shared" si="75"/>
        <v/>
      </c>
      <c r="U72" s="350"/>
      <c r="V72" s="69" t="str">
        <f t="shared" si="76"/>
        <v/>
      </c>
      <c r="W72" s="350"/>
      <c r="Z72" s="353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Highroller Rosenheim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2" customHeight="1" x14ac:dyDescent="0.35">
      <c r="A73" s="367" t="s">
        <v>3</v>
      </c>
      <c r="B73" s="73" t="str">
        <f t="shared" si="88"/>
        <v>Lindner, Theresa</v>
      </c>
      <c r="C73" s="74">
        <f t="shared" si="88"/>
        <v>38458</v>
      </c>
      <c r="D73" s="75">
        <f t="shared" si="88"/>
        <v>159</v>
      </c>
      <c r="E73" s="348">
        <f>IF(AD73="","",AD73)</f>
        <v>1</v>
      </c>
      <c r="F73" s="75">
        <f t="shared" si="69"/>
        <v>167</v>
      </c>
      <c r="G73" s="348">
        <f>IF(AF73="","",AF73)</f>
        <v>0</v>
      </c>
      <c r="H73" s="75">
        <f t="shared" si="70"/>
        <v>169</v>
      </c>
      <c r="I73" s="348">
        <f>IF(AH73="","",AH73)</f>
        <v>1</v>
      </c>
      <c r="J73" s="75">
        <f t="shared" si="71"/>
        <v>179</v>
      </c>
      <c r="K73" s="348">
        <f>IF(AJ73="","",AJ73)</f>
        <v>1</v>
      </c>
      <c r="L73" s="75">
        <f t="shared" si="72"/>
        <v>161</v>
      </c>
      <c r="M73" s="348">
        <f>IF(AL73="","",AL73)</f>
        <v>0</v>
      </c>
      <c r="N73" s="75">
        <f t="shared" si="89"/>
        <v>179</v>
      </c>
      <c r="O73" s="348">
        <f>IF(AN73="","",AN73)</f>
        <v>0</v>
      </c>
      <c r="P73" s="75">
        <f t="shared" si="73"/>
        <v>192</v>
      </c>
      <c r="Q73" s="348">
        <f>IF(AP73="","",AP73)</f>
        <v>1</v>
      </c>
      <c r="R73" s="75">
        <f t="shared" si="74"/>
        <v>148</v>
      </c>
      <c r="S73" s="348">
        <f>IF(AR73="","",AR73)</f>
        <v>1</v>
      </c>
      <c r="T73" s="75">
        <f t="shared" si="75"/>
        <v>223</v>
      </c>
      <c r="U73" s="348">
        <f>IF(AT73="","",AT73)</f>
        <v>1</v>
      </c>
      <c r="V73" s="75">
        <f t="shared" si="76"/>
        <v>1577</v>
      </c>
      <c r="W73" s="348">
        <f>IF(AV73="","",AV73)</f>
        <v>6</v>
      </c>
      <c r="Z73" s="351" t="s">
        <v>3</v>
      </c>
      <c r="AA73" s="108" t="str">
        <f>IF(AB73=0,"",VLOOKUP(AB73,Starter!$A$1:$D$199,2,FALSE))</f>
        <v>Lindner, Theresa</v>
      </c>
      <c r="AB73" s="99">
        <v>38458</v>
      </c>
      <c r="AC73" s="188">
        <v>159</v>
      </c>
      <c r="AD73" s="109">
        <f>IF(SUM(AC73:AC75)+AC87=0,0,IF(SUM(AC73:AC75)=AC87,0.5,IF(SUM(AC73:AC75)&gt;AC87,1,0)))</f>
        <v>1</v>
      </c>
      <c r="AE73" s="188">
        <v>167</v>
      </c>
      <c r="AF73" s="109">
        <f>IF(SUM(AE73:AE75)+AE87=0,0,IF(SUM(AE73:AE75)=AE87,0.5,IF(SUM(AE73:AE75)&gt;AE87,1,0)))</f>
        <v>0</v>
      </c>
      <c r="AG73" s="188">
        <v>169</v>
      </c>
      <c r="AH73" s="109">
        <f>IF(SUM(AG73:AG75)+AG87=0,0,IF(SUM(AG73:AG75)=AG87,0.5,IF(SUM(AG73:AG75)&gt;AG87,1,0)))</f>
        <v>1</v>
      </c>
      <c r="AI73" s="188">
        <v>179</v>
      </c>
      <c r="AJ73" s="109">
        <f>IF(SUM(AI73:AI75)+AI87=0,0,IF(SUM(AI73:AI75)=AI87,0.5,IF(SUM(AI73:AI75)&gt;AI87,1,0)))</f>
        <v>1</v>
      </c>
      <c r="AK73" s="188">
        <v>161</v>
      </c>
      <c r="AL73" s="109">
        <f>IF(SUM(AK73:AK75)+AK87=0,0,IF(SUM(AK73:AK75)=AK87,0.5,IF(SUM(AK73:AK75)&gt;AK87,1,0)))</f>
        <v>0</v>
      </c>
      <c r="AM73" s="188">
        <v>179</v>
      </c>
      <c r="AN73" s="109">
        <f>IF(SUM(AM73:AM75)+AM87=0,0,IF(SUM(AM73:AM75)=AM87,0.5,IF(SUM(AM73:AM75)&gt;AM87,1,0)))</f>
        <v>0</v>
      </c>
      <c r="AO73" s="188">
        <v>192</v>
      </c>
      <c r="AP73" s="109">
        <f>IF(SUM(AO73:AO75)+AO87=0,0,IF(SUM(AO73:AO75)=AO87,0.5,IF(SUM(AO73:AO75)&gt;AO87,1,0)))</f>
        <v>1</v>
      </c>
      <c r="AQ73" s="188">
        <v>148</v>
      </c>
      <c r="AR73" s="109">
        <f>IF(SUM(AQ73:AQ75)+AQ87=0,0,IF(SUM(AQ73:AQ75)=AQ87,0.5,IF(SUM(AQ73:AQ75)&gt;AQ87,1,0)))</f>
        <v>1</v>
      </c>
      <c r="AS73" s="188">
        <v>223</v>
      </c>
      <c r="AT73" s="109">
        <f>IF(SUM(AS73:AS75)+AS87=0,0,IF(SUM(AS73:AS75)=AS87,0.5,IF(SUM(AS73:AS75)&gt;AS87,1,0)))</f>
        <v>1</v>
      </c>
      <c r="AU73" s="110">
        <f t="shared" si="77"/>
        <v>1577</v>
      </c>
      <c r="AV73" s="111">
        <f>SUM(AD73+AF73+AH73+AJ73+AL73+AN73+AP73+AR73+AT73)</f>
        <v>6</v>
      </c>
      <c r="AW73" s="101"/>
      <c r="AX73" s="102"/>
      <c r="AZ73" s="63"/>
      <c r="BA73" s="212"/>
      <c r="BB73" s="213"/>
      <c r="BC73" s="214"/>
      <c r="BD73" s="217">
        <f t="shared" si="90"/>
        <v>38458</v>
      </c>
      <c r="BE73" s="213">
        <f t="shared" si="91"/>
        <v>1577</v>
      </c>
      <c r="BF73" s="215">
        <f t="shared" si="92"/>
        <v>9</v>
      </c>
      <c r="BG73" s="215">
        <f t="shared" si="93"/>
        <v>9</v>
      </c>
      <c r="BH73" s="215">
        <f t="shared" si="78"/>
        <v>159</v>
      </c>
      <c r="BI73" s="215">
        <f t="shared" si="79"/>
        <v>167</v>
      </c>
      <c r="BJ73" s="215">
        <f t="shared" si="80"/>
        <v>169</v>
      </c>
      <c r="BK73" s="215">
        <f t="shared" si="81"/>
        <v>179</v>
      </c>
      <c r="BL73" s="215">
        <f t="shared" si="82"/>
        <v>161</v>
      </c>
      <c r="BM73" s="215">
        <f t="shared" si="83"/>
        <v>179</v>
      </c>
      <c r="BN73" s="215">
        <f t="shared" si="84"/>
        <v>192</v>
      </c>
      <c r="BO73" s="215">
        <f t="shared" si="85"/>
        <v>148</v>
      </c>
      <c r="BP73" s="215">
        <f t="shared" si="86"/>
        <v>223</v>
      </c>
      <c r="BQ73" s="216"/>
      <c r="BR73" s="214"/>
      <c r="BS73" s="215">
        <f t="shared" si="94"/>
        <v>223</v>
      </c>
      <c r="BT73" s="215">
        <f t="shared" si="95"/>
        <v>0</v>
      </c>
      <c r="BU73" s="215" t="str">
        <f t="shared" si="96"/>
        <v>Highroller Rosenheim</v>
      </c>
      <c r="BV73" s="214">
        <f t="shared" si="97"/>
        <v>2</v>
      </c>
      <c r="BW73" s="215">
        <f t="shared" si="98"/>
        <v>1577</v>
      </c>
      <c r="BX73" s="215">
        <f>IF(COUNTIF(BH73:BP73,"&gt;0")&lt;Spielorte!$A$23,0,BE73/Spielorte!$A$23)</f>
        <v>175.22222222222223</v>
      </c>
      <c r="BY73" s="215">
        <f t="shared" si="99"/>
        <v>0</v>
      </c>
      <c r="BZ73" s="214">
        <f t="shared" si="87"/>
        <v>0</v>
      </c>
    </row>
    <row r="74" spans="1:78" ht="17.2" customHeight="1" x14ac:dyDescent="0.35">
      <c r="A74" s="368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49"/>
      <c r="F74" s="78" t="str">
        <f t="shared" si="69"/>
        <v/>
      </c>
      <c r="G74" s="349"/>
      <c r="H74" s="78" t="str">
        <f t="shared" si="70"/>
        <v/>
      </c>
      <c r="I74" s="349"/>
      <c r="J74" s="78" t="str">
        <f t="shared" si="71"/>
        <v/>
      </c>
      <c r="K74" s="349"/>
      <c r="L74" s="78" t="str">
        <f t="shared" si="72"/>
        <v/>
      </c>
      <c r="M74" s="349"/>
      <c r="N74" s="78" t="str">
        <f t="shared" si="89"/>
        <v/>
      </c>
      <c r="O74" s="349"/>
      <c r="P74" s="78" t="str">
        <f t="shared" si="73"/>
        <v/>
      </c>
      <c r="Q74" s="349"/>
      <c r="R74" s="78" t="str">
        <f t="shared" si="74"/>
        <v/>
      </c>
      <c r="S74" s="349"/>
      <c r="T74" s="78" t="str">
        <f t="shared" si="75"/>
        <v/>
      </c>
      <c r="U74" s="349"/>
      <c r="V74" s="78" t="str">
        <f t="shared" si="76"/>
        <v/>
      </c>
      <c r="W74" s="349"/>
      <c r="Z74" s="352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0</v>
      </c>
      <c r="BU74" s="215" t="str">
        <f t="shared" si="96"/>
        <v>Highroller Rosenheim</v>
      </c>
      <c r="BV74" s="214">
        <f t="shared" si="97"/>
        <v>2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2" customHeight="1" thickBot="1" x14ac:dyDescent="0.4">
      <c r="A75" s="369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0"/>
      <c r="F75" s="69" t="str">
        <f t="shared" si="69"/>
        <v/>
      </c>
      <c r="G75" s="350"/>
      <c r="H75" s="69" t="str">
        <f t="shared" si="70"/>
        <v/>
      </c>
      <c r="I75" s="350"/>
      <c r="J75" s="69" t="str">
        <f t="shared" si="71"/>
        <v/>
      </c>
      <c r="K75" s="350"/>
      <c r="L75" s="69" t="str">
        <f t="shared" si="72"/>
        <v/>
      </c>
      <c r="M75" s="350"/>
      <c r="N75" s="69" t="str">
        <f t="shared" si="89"/>
        <v/>
      </c>
      <c r="O75" s="350"/>
      <c r="P75" s="69" t="str">
        <f t="shared" si="73"/>
        <v/>
      </c>
      <c r="Q75" s="350"/>
      <c r="R75" s="69" t="str">
        <f t="shared" si="74"/>
        <v/>
      </c>
      <c r="S75" s="350"/>
      <c r="T75" s="69" t="str">
        <f t="shared" si="75"/>
        <v/>
      </c>
      <c r="U75" s="350"/>
      <c r="V75" s="69" t="str">
        <f t="shared" si="76"/>
        <v/>
      </c>
      <c r="W75" s="350"/>
      <c r="Z75" s="353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Highroller Rosenheim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2" customHeight="1" x14ac:dyDescent="0.35">
      <c r="A76" s="367" t="s">
        <v>11</v>
      </c>
      <c r="B76" s="73" t="str">
        <f>IF(AA76=0,"",AA76)</f>
        <v>Schanze, Bianka</v>
      </c>
      <c r="C76" s="74">
        <f t="shared" si="88"/>
        <v>38757</v>
      </c>
      <c r="D76" s="75">
        <f t="shared" si="88"/>
        <v>160</v>
      </c>
      <c r="E76" s="348">
        <f>IF(AD76="","",AD76)</f>
        <v>0</v>
      </c>
      <c r="F76" s="75">
        <f t="shared" si="69"/>
        <v>180</v>
      </c>
      <c r="G76" s="348">
        <f>IF(AF76="","",AF76)</f>
        <v>0</v>
      </c>
      <c r="H76" s="75">
        <f t="shared" si="70"/>
        <v>172</v>
      </c>
      <c r="I76" s="348">
        <f>IF(AH76="","",AH76)</f>
        <v>0</v>
      </c>
      <c r="J76" s="75">
        <f t="shared" si="71"/>
        <v>177</v>
      </c>
      <c r="K76" s="348">
        <f>IF(AJ76="","",AJ76)</f>
        <v>1</v>
      </c>
      <c r="L76" s="75">
        <f t="shared" si="72"/>
        <v>176</v>
      </c>
      <c r="M76" s="348">
        <f>IF(AL76="","",AL76)</f>
        <v>0</v>
      </c>
      <c r="N76" s="75">
        <f t="shared" si="89"/>
        <v>221</v>
      </c>
      <c r="O76" s="348">
        <f>IF(AN76="","",AN76)</f>
        <v>1</v>
      </c>
      <c r="P76" s="75">
        <f t="shared" si="73"/>
        <v>206</v>
      </c>
      <c r="Q76" s="348">
        <f>IF(AP76="","",AP76)</f>
        <v>1</v>
      </c>
      <c r="R76" s="75">
        <f t="shared" si="74"/>
        <v>186</v>
      </c>
      <c r="S76" s="348">
        <f>IF(AR76="","",AR76)</f>
        <v>1</v>
      </c>
      <c r="T76" s="75">
        <f t="shared" si="75"/>
        <v>159</v>
      </c>
      <c r="U76" s="348">
        <f>IF(AT76="","",AT76)</f>
        <v>0</v>
      </c>
      <c r="V76" s="75">
        <f t="shared" si="76"/>
        <v>1637</v>
      </c>
      <c r="W76" s="348">
        <f>IF(AV76="","",AV76)</f>
        <v>4</v>
      </c>
      <c r="Z76" s="351" t="s">
        <v>11</v>
      </c>
      <c r="AA76" s="108" t="str">
        <f>IF(AB76=0,"",VLOOKUP(AB76,Starter!$A$1:$D$199,2,FALSE))</f>
        <v>Schanze, Bianka</v>
      </c>
      <c r="AB76" s="99">
        <v>38757</v>
      </c>
      <c r="AC76" s="188">
        <v>160</v>
      </c>
      <c r="AD76" s="109">
        <f>IF(SUM(AC76:AC78)+AC88=0,0,IF(SUM(AC76:AC78)=AC88,0.5,IF(SUM(AC76:AC78)&gt;AC88,1,0)))</f>
        <v>0</v>
      </c>
      <c r="AE76" s="188">
        <v>180</v>
      </c>
      <c r="AF76" s="109">
        <f>IF(SUM(AE76:AE78)+AE88=0,0,IF(SUM(AE76:AE78)=AE88,0.5,IF(SUM(AE76:AE78)&gt;AE88,1,0)))</f>
        <v>0</v>
      </c>
      <c r="AG76" s="188">
        <v>172</v>
      </c>
      <c r="AH76" s="109">
        <f>IF(SUM(AG76:AG78)+AG88=0,0,IF(SUM(AG76:AG78)=AG88,0.5,IF(SUM(AG76:AG78)&gt;AG88,1,0)))</f>
        <v>0</v>
      </c>
      <c r="AI76" s="188">
        <v>177</v>
      </c>
      <c r="AJ76" s="109">
        <f>IF(SUM(AI76:AI78)+AI88=0,0,IF(SUM(AI76:AI78)=AI88,0.5,IF(SUM(AI76:AI78)&gt;AI88,1,0)))</f>
        <v>1</v>
      </c>
      <c r="AK76" s="188">
        <v>176</v>
      </c>
      <c r="AL76" s="109">
        <f>IF(SUM(AK76:AK78)+AK88=0,0,IF(SUM(AK76:AK78)=AK88,0.5,IF(SUM(AK76:AK78)&gt;AK88,1,0)))</f>
        <v>0</v>
      </c>
      <c r="AM76" s="188">
        <v>221</v>
      </c>
      <c r="AN76" s="109">
        <f>IF(SUM(AM76:AM78)+AM88=0,0,IF(SUM(AM76:AM78)=AM88,0.5,IF(SUM(AM76:AM78)&gt;AM88,1,0)))</f>
        <v>1</v>
      </c>
      <c r="AO76" s="188">
        <v>206</v>
      </c>
      <c r="AP76" s="109">
        <f>IF(SUM(AO76:AO78)+AO88=0,0,IF(SUM(AO76:AO78)=AO88,0.5,IF(SUM(AO76:AO78)&gt;AO88,1,0)))</f>
        <v>1</v>
      </c>
      <c r="AQ76" s="188">
        <v>186</v>
      </c>
      <c r="AR76" s="109">
        <f>IF(SUM(AQ76:AQ78)+AQ88=0,0,IF(SUM(AQ76:AQ78)=AQ88,0.5,IF(SUM(AQ76:AQ78)&gt;AQ88,1,0)))</f>
        <v>1</v>
      </c>
      <c r="AS76" s="188">
        <v>159</v>
      </c>
      <c r="AT76" s="109">
        <f>IF(SUM(AS76:AS78)+AS88=0,0,IF(SUM(AS76:AS78)=AS88,0.5,IF(SUM(AS76:AS78)&gt;AS88,1,0)))</f>
        <v>0</v>
      </c>
      <c r="AU76" s="110">
        <f t="shared" si="77"/>
        <v>1637</v>
      </c>
      <c r="AV76" s="111">
        <f>SUM(AD76+AF76+AH76+AJ76+AL76+AN76+AP76+AR76+AT76)</f>
        <v>4</v>
      </c>
      <c r="AW76" s="101"/>
      <c r="AX76" s="102"/>
      <c r="AZ76" s="63"/>
      <c r="BA76" s="212"/>
      <c r="BB76" s="213"/>
      <c r="BC76" s="214"/>
      <c r="BD76" s="217">
        <f t="shared" si="90"/>
        <v>38757</v>
      </c>
      <c r="BE76" s="213">
        <f t="shared" si="91"/>
        <v>1637</v>
      </c>
      <c r="BF76" s="215">
        <f t="shared" si="92"/>
        <v>9</v>
      </c>
      <c r="BG76" s="215">
        <f t="shared" si="93"/>
        <v>9</v>
      </c>
      <c r="BH76" s="215">
        <f t="shared" si="78"/>
        <v>160</v>
      </c>
      <c r="BI76" s="215">
        <f t="shared" si="79"/>
        <v>180</v>
      </c>
      <c r="BJ76" s="215">
        <f t="shared" si="80"/>
        <v>172</v>
      </c>
      <c r="BK76" s="215">
        <f t="shared" si="81"/>
        <v>177</v>
      </c>
      <c r="BL76" s="215">
        <f t="shared" si="82"/>
        <v>176</v>
      </c>
      <c r="BM76" s="215">
        <f t="shared" si="83"/>
        <v>221</v>
      </c>
      <c r="BN76" s="215">
        <f t="shared" si="84"/>
        <v>206</v>
      </c>
      <c r="BO76" s="215">
        <f t="shared" si="85"/>
        <v>186</v>
      </c>
      <c r="BP76" s="215">
        <f t="shared" si="86"/>
        <v>159</v>
      </c>
      <c r="BQ76" s="216"/>
      <c r="BR76" s="214"/>
      <c r="BS76" s="215">
        <f t="shared" si="94"/>
        <v>221</v>
      </c>
      <c r="BT76" s="215">
        <f t="shared" si="95"/>
        <v>0</v>
      </c>
      <c r="BU76" s="215" t="str">
        <f t="shared" si="96"/>
        <v>Highroller Rosenheim</v>
      </c>
      <c r="BV76" s="214">
        <f t="shared" si="97"/>
        <v>2</v>
      </c>
      <c r="BW76" s="215">
        <f t="shared" si="98"/>
        <v>1637</v>
      </c>
      <c r="BX76" s="215">
        <f>IF(COUNTIF(BH76:BP76,"&gt;0")&lt;Spielorte!$A$23,0,BE76/Spielorte!$A$23)</f>
        <v>181.88888888888889</v>
      </c>
      <c r="BY76" s="215">
        <f t="shared" si="99"/>
        <v>0</v>
      </c>
      <c r="BZ76" s="214">
        <f t="shared" si="87"/>
        <v>0</v>
      </c>
    </row>
    <row r="77" spans="1:78" ht="17.2" customHeight="1" x14ac:dyDescent="0.35">
      <c r="A77" s="368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9"/>
      <c r="F77" s="78" t="str">
        <f t="shared" si="69"/>
        <v/>
      </c>
      <c r="G77" s="349"/>
      <c r="H77" s="78" t="str">
        <f t="shared" si="70"/>
        <v/>
      </c>
      <c r="I77" s="349"/>
      <c r="J77" s="78" t="str">
        <f t="shared" si="71"/>
        <v/>
      </c>
      <c r="K77" s="349"/>
      <c r="L77" s="78" t="str">
        <f t="shared" si="72"/>
        <v/>
      </c>
      <c r="M77" s="349"/>
      <c r="N77" s="78" t="str">
        <f t="shared" si="89"/>
        <v/>
      </c>
      <c r="O77" s="349"/>
      <c r="P77" s="78" t="str">
        <f t="shared" si="73"/>
        <v/>
      </c>
      <c r="Q77" s="349"/>
      <c r="R77" s="78" t="str">
        <f t="shared" si="74"/>
        <v/>
      </c>
      <c r="S77" s="349"/>
      <c r="T77" s="78" t="str">
        <f t="shared" si="75"/>
        <v/>
      </c>
      <c r="U77" s="349"/>
      <c r="V77" s="78" t="str">
        <f t="shared" si="76"/>
        <v/>
      </c>
      <c r="W77" s="349"/>
      <c r="Z77" s="352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0</v>
      </c>
      <c r="BU77" s="215" t="str">
        <f t="shared" si="96"/>
        <v>Highroller Rosenheim</v>
      </c>
      <c r="BV77" s="214">
        <f t="shared" si="97"/>
        <v>2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2" customHeight="1" thickBot="1" x14ac:dyDescent="0.4">
      <c r="A78" s="369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0"/>
      <c r="F78" s="69" t="str">
        <f t="shared" si="69"/>
        <v/>
      </c>
      <c r="G78" s="350"/>
      <c r="H78" s="69" t="str">
        <f t="shared" si="70"/>
        <v/>
      </c>
      <c r="I78" s="350"/>
      <c r="J78" s="69" t="str">
        <f t="shared" si="71"/>
        <v/>
      </c>
      <c r="K78" s="350"/>
      <c r="L78" s="69" t="str">
        <f t="shared" si="72"/>
        <v/>
      </c>
      <c r="M78" s="350"/>
      <c r="N78" s="69" t="str">
        <f t="shared" si="89"/>
        <v/>
      </c>
      <c r="O78" s="350"/>
      <c r="P78" s="69" t="str">
        <f t="shared" si="73"/>
        <v/>
      </c>
      <c r="Q78" s="350"/>
      <c r="R78" s="69" t="str">
        <f t="shared" si="74"/>
        <v/>
      </c>
      <c r="S78" s="350"/>
      <c r="T78" s="69" t="str">
        <f t="shared" si="75"/>
        <v/>
      </c>
      <c r="U78" s="350"/>
      <c r="V78" s="69" t="str">
        <f t="shared" si="76"/>
        <v/>
      </c>
      <c r="W78" s="350"/>
      <c r="Z78" s="353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Highroller Rosenheim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4">
      <c r="B79" s="81" t="str">
        <f>IF(AA79=0,"",AA79)</f>
        <v>Gesamt</v>
      </c>
      <c r="C79" s="82" t="str">
        <f t="shared" si="88"/>
        <v/>
      </c>
      <c r="D79" s="83">
        <f t="shared" si="88"/>
        <v>652</v>
      </c>
      <c r="E79" s="84">
        <f>IF(AD79="","",AD79)</f>
        <v>0</v>
      </c>
      <c r="F79" s="83">
        <f t="shared" si="69"/>
        <v>664</v>
      </c>
      <c r="G79" s="84">
        <f>IF(AF79="","",AF79)</f>
        <v>0</v>
      </c>
      <c r="H79" s="83">
        <f t="shared" si="70"/>
        <v>710</v>
      </c>
      <c r="I79" s="84">
        <f>IF(AH79="","",AH79)</f>
        <v>2</v>
      </c>
      <c r="J79" s="83">
        <f t="shared" si="71"/>
        <v>652</v>
      </c>
      <c r="K79" s="84">
        <f>IF(AJ79="","",AJ79)</f>
        <v>2</v>
      </c>
      <c r="L79" s="83">
        <f t="shared" si="72"/>
        <v>635</v>
      </c>
      <c r="M79" s="84">
        <f>IF(AL79="","",AL79)</f>
        <v>2</v>
      </c>
      <c r="N79" s="83">
        <f t="shared" si="89"/>
        <v>736</v>
      </c>
      <c r="O79" s="84">
        <f>IF(AN79="","",AN79)</f>
        <v>2</v>
      </c>
      <c r="P79" s="83">
        <f t="shared" si="73"/>
        <v>748</v>
      </c>
      <c r="Q79" s="84">
        <f>IF(AP79="","",AP79)</f>
        <v>2</v>
      </c>
      <c r="R79" s="83">
        <f t="shared" si="74"/>
        <v>724</v>
      </c>
      <c r="S79" s="84">
        <f>IF(AR79="","",AR79)</f>
        <v>2</v>
      </c>
      <c r="T79" s="83">
        <f t="shared" si="75"/>
        <v>753</v>
      </c>
      <c r="U79" s="84">
        <f>IF(AT79="","",AT79)</f>
        <v>2</v>
      </c>
      <c r="V79" s="83">
        <f t="shared" si="76"/>
        <v>6274</v>
      </c>
      <c r="W79" s="84">
        <f>IF(AV79="","",AV79)</f>
        <v>14</v>
      </c>
      <c r="AA79" s="81" t="s">
        <v>1799</v>
      </c>
      <c r="AB79" s="120"/>
      <c r="AC79" s="211">
        <f>ABS(SUM(AC67:AC69))+ABS(SUM(AC70:AC72))+ABS(SUM(AC73:AC75))+ABS(SUM(AC76:AC78))</f>
        <v>652</v>
      </c>
      <c r="AD79" s="121">
        <f>IF(AC79+AC89=0,0,IF(AC79=AC89,1,IF(AC79&gt;AC89,2,0)))</f>
        <v>0</v>
      </c>
      <c r="AE79" s="211">
        <f>ABS(SUM(AE67:AE69))+ABS(SUM(AE70:AE72))+ABS(SUM(AE73:AE75))+ABS(SUM(AE76:AE78))</f>
        <v>664</v>
      </c>
      <c r="AF79" s="121">
        <f>IF(AE79+AE89=0,0,IF(AE79=AE89,1,IF(AE79&gt;AE89,2,0)))</f>
        <v>0</v>
      </c>
      <c r="AG79" s="211">
        <f>ABS(SUM(AG67:AG69))+ABS(SUM(AG70:AG72))+ABS(SUM(AG73:AG75))+ABS(SUM(AG76:AG78))</f>
        <v>710</v>
      </c>
      <c r="AH79" s="121">
        <f>IF(AG79+AG89=0,0,IF(AG79=AG89,1,IF(AG79&gt;AG89,2,0)))</f>
        <v>2</v>
      </c>
      <c r="AI79" s="211">
        <f>ABS(SUM(AI67:AI69))+ABS(SUM(AI70:AI72))+ABS(SUM(AI73:AI75))+ABS(SUM(AI76:AI78))</f>
        <v>652</v>
      </c>
      <c r="AJ79" s="121">
        <f>IF(AI79+AI89=0,0,IF(AI79=AI89,1,IF(AI79&gt;AI89,2,0)))</f>
        <v>2</v>
      </c>
      <c r="AK79" s="211">
        <f>ABS(SUM(AK67:AK69))+ABS(SUM(AK70:AK72))+ABS(SUM(AK73:AK75))+ABS(SUM(AK76:AK78))</f>
        <v>635</v>
      </c>
      <c r="AL79" s="121">
        <f>IF(AK79+AK89=0,0,IF(AK79=AK89,1,IF(AK79&gt;AK89,2,0)))</f>
        <v>2</v>
      </c>
      <c r="AM79" s="211">
        <f>ABS(SUM(AM67:AM69))+ABS(SUM(AM70:AM72))+ABS(SUM(AM73:AM75))+ABS(SUM(AM76:AM78))</f>
        <v>736</v>
      </c>
      <c r="AN79" s="121">
        <f>IF(AM79+AM89=0,0,IF(AM79=AM89,1,IF(AM79&gt;AM89,2,0)))</f>
        <v>2</v>
      </c>
      <c r="AO79" s="211">
        <f>ABS(SUM(AO67:AO69))+ABS(SUM(AO70:AO72))+ABS(SUM(AO73:AO75))+ABS(SUM(AO76:AO78))</f>
        <v>748</v>
      </c>
      <c r="AP79" s="121">
        <f>IF(AO79+AO89=0,0,IF(AO79=AO89,1,IF(AO79&gt;AO89,2,0)))</f>
        <v>2</v>
      </c>
      <c r="AQ79" s="211">
        <f>ABS(SUM(AQ67:AQ69))+ABS(SUM(AQ70:AQ72))+ABS(SUM(AQ73:AQ75))+ABS(SUM(AQ76:AQ78))</f>
        <v>724</v>
      </c>
      <c r="AR79" s="121">
        <f>IF(AQ79+AQ89=0,0,IF(AQ79=AQ89,1,IF(AQ79&gt;AQ89,2,0)))</f>
        <v>2</v>
      </c>
      <c r="AS79" s="211">
        <f>ABS(SUM(AS67:AS69))+ABS(SUM(AS70:AS72))+ABS(SUM(AS73:AS75))+ABS(SUM(AS76:AS78))</f>
        <v>753</v>
      </c>
      <c r="AT79" s="121">
        <f>IF(AS79+AS89=0,0,IF(AS79=AS89,1,IF(AS79&gt;AS89,2,0)))</f>
        <v>2</v>
      </c>
      <c r="AU79" s="122">
        <f>SUM(AC79+AE79+AG79+AI79+AK79+AM79+AO79+AQ79+AS79)</f>
        <v>6274</v>
      </c>
      <c r="AV79" s="123">
        <f>SUM(AD79+AF79+AH79+AJ79+AL79+AN79+AP79+AR79+AT79)</f>
        <v>14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4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2</v>
      </c>
      <c r="F80" s="86" t="str">
        <f t="shared" si="69"/>
        <v/>
      </c>
      <c r="G80" s="87">
        <f>IF(AF80="","",AF80)</f>
        <v>0</v>
      </c>
      <c r="H80" s="86" t="str">
        <f t="shared" si="70"/>
        <v/>
      </c>
      <c r="I80" s="87">
        <f>IF(AH80="","",AH80)</f>
        <v>4</v>
      </c>
      <c r="J80" s="86" t="str">
        <f t="shared" si="71"/>
        <v/>
      </c>
      <c r="K80" s="87">
        <f>IF(AJ80="","",AJ80)</f>
        <v>5</v>
      </c>
      <c r="L80" s="86" t="str">
        <f t="shared" si="72"/>
        <v/>
      </c>
      <c r="M80" s="87">
        <f>IF(AL80="","",AL80)</f>
        <v>3</v>
      </c>
      <c r="N80" s="86" t="str">
        <f t="shared" si="89"/>
        <v/>
      </c>
      <c r="O80" s="87">
        <f>IF(AN80="","",AN80)</f>
        <v>4</v>
      </c>
      <c r="P80" s="86" t="str">
        <f t="shared" si="73"/>
        <v/>
      </c>
      <c r="Q80" s="87">
        <f>IF(AP80="","",AP80)</f>
        <v>6</v>
      </c>
      <c r="R80" s="86" t="str">
        <f t="shared" si="74"/>
        <v/>
      </c>
      <c r="S80" s="87">
        <f>IF(AR80="","",AR80)</f>
        <v>6</v>
      </c>
      <c r="T80" s="86" t="str">
        <f t="shared" si="75"/>
        <v/>
      </c>
      <c r="U80" s="87">
        <f>IF(AT80="","",AT80)</f>
        <v>4</v>
      </c>
      <c r="V80" s="86" t="str">
        <f t="shared" si="76"/>
        <v/>
      </c>
      <c r="W80" s="87">
        <f>IF(AV80="","",AV80)</f>
        <v>34</v>
      </c>
      <c r="AA80" s="85" t="s">
        <v>1814</v>
      </c>
      <c r="AB80" s="86"/>
      <c r="AC80" s="86"/>
      <c r="AD80" s="124">
        <f>SUM(AD67:AD79)</f>
        <v>2</v>
      </c>
      <c r="AE80" s="86"/>
      <c r="AF80" s="124">
        <f>SUM(AF67:AF79)</f>
        <v>0</v>
      </c>
      <c r="AG80" s="86"/>
      <c r="AH80" s="124">
        <f>SUM(AH67:AH79)</f>
        <v>4</v>
      </c>
      <c r="AI80" s="86"/>
      <c r="AJ80" s="124">
        <f>SUM(AJ67:AJ79)</f>
        <v>5</v>
      </c>
      <c r="AK80" s="86"/>
      <c r="AL80" s="124">
        <f>SUM(AL67:AL79)</f>
        <v>3</v>
      </c>
      <c r="AM80" s="86"/>
      <c r="AN80" s="124">
        <f>SUM(AN67:AN79)</f>
        <v>4</v>
      </c>
      <c r="AO80" s="86"/>
      <c r="AP80" s="124">
        <f>SUM(AP67:AP79)</f>
        <v>6</v>
      </c>
      <c r="AQ80" s="86"/>
      <c r="AR80" s="124">
        <f>SUM(AR67:AR79)</f>
        <v>6</v>
      </c>
      <c r="AS80" s="86"/>
      <c r="AT80" s="124">
        <f>SUM(AT67:AT79)</f>
        <v>4</v>
      </c>
      <c r="AU80" s="86"/>
      <c r="AV80" s="125">
        <f>SUM(AV67:AV79)</f>
        <v>34</v>
      </c>
      <c r="AW80" s="101"/>
      <c r="AX80" s="102"/>
      <c r="BA80" s="212">
        <f>+AV80</f>
        <v>34</v>
      </c>
      <c r="BB80" s="213">
        <f>+AU79</f>
        <v>6274</v>
      </c>
      <c r="BC80" s="214">
        <f>+AA62</f>
        <v>3</v>
      </c>
      <c r="BF80" s="215">
        <f>SUM(BF61:BF79)</f>
        <v>36</v>
      </c>
      <c r="BQ80" s="212">
        <f>+BB80/1000000+BA80</f>
        <v>34.006273999999998</v>
      </c>
      <c r="BR80" s="214">
        <f>RANK(BQ80,BQ:BQ)</f>
        <v>4</v>
      </c>
      <c r="BV80" s="214"/>
      <c r="BZ80" s="214"/>
    </row>
    <row r="81" spans="1:78" ht="11.25" customHeight="1" x14ac:dyDescent="0.3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35">
      <c r="B82" s="88" t="str">
        <f t="shared" ref="B82:K84" si="100">IF(AA82=0,"",AA82)</f>
        <v>Gegner-Nr.:</v>
      </c>
      <c r="C82" s="89" t="str">
        <f t="shared" si="100"/>
        <v>&gt;&gt;&gt;&gt;</v>
      </c>
      <c r="D82" s="346">
        <f t="shared" si="100"/>
        <v>10</v>
      </c>
      <c r="E82" s="346" t="str">
        <f t="shared" si="100"/>
        <v/>
      </c>
      <c r="F82" s="346">
        <f t="shared" si="100"/>
        <v>1</v>
      </c>
      <c r="G82" s="346" t="str">
        <f t="shared" si="100"/>
        <v/>
      </c>
      <c r="H82" s="346">
        <f t="shared" si="100"/>
        <v>2</v>
      </c>
      <c r="I82" s="346" t="str">
        <f t="shared" si="100"/>
        <v/>
      </c>
      <c r="J82" s="346">
        <f t="shared" si="100"/>
        <v>6</v>
      </c>
      <c r="K82" s="346" t="str">
        <f t="shared" si="100"/>
        <v/>
      </c>
      <c r="L82" s="346">
        <f t="shared" ref="L82:U84" si="101">IF(AK82=0,"",AK82)</f>
        <v>9</v>
      </c>
      <c r="M82" s="346" t="str">
        <f t="shared" si="101"/>
        <v/>
      </c>
      <c r="N82" s="346">
        <f t="shared" si="101"/>
        <v>7</v>
      </c>
      <c r="O82" s="346" t="str">
        <f t="shared" si="101"/>
        <v/>
      </c>
      <c r="P82" s="346">
        <f t="shared" si="101"/>
        <v>5</v>
      </c>
      <c r="Q82" s="346" t="str">
        <f t="shared" si="101"/>
        <v/>
      </c>
      <c r="R82" s="346">
        <f t="shared" si="101"/>
        <v>4</v>
      </c>
      <c r="S82" s="346" t="str">
        <f t="shared" si="101"/>
        <v/>
      </c>
      <c r="T82" s="346">
        <f t="shared" si="101"/>
        <v>8</v>
      </c>
      <c r="U82" s="346" t="str">
        <f t="shared" si="101"/>
        <v/>
      </c>
      <c r="V82" s="347"/>
      <c r="W82" s="347"/>
      <c r="AA82" s="88" t="s">
        <v>1797</v>
      </c>
      <c r="AB82" s="89" t="s">
        <v>1798</v>
      </c>
      <c r="AC82" s="370">
        <f>VLOOKUP($AA62,Schlüssel!$A$5:$DG$14,43)</f>
        <v>10</v>
      </c>
      <c r="AD82" s="371"/>
      <c r="AE82" s="370">
        <f>VLOOKUP($AA62,Schlüssel!$A$5:$EK$14,44)</f>
        <v>1</v>
      </c>
      <c r="AF82" s="371"/>
      <c r="AG82" s="370">
        <f>VLOOKUP($AA62,Schlüssel!$A$5:$EK$14,45)</f>
        <v>2</v>
      </c>
      <c r="AH82" s="371"/>
      <c r="AI82" s="370">
        <f>VLOOKUP($AA62,Schlüssel!$A$5:$EK$14,46)</f>
        <v>6</v>
      </c>
      <c r="AJ82" s="371"/>
      <c r="AK82" s="370">
        <f>VLOOKUP($AA62,Schlüssel!$A$5:$EK$14,47)</f>
        <v>9</v>
      </c>
      <c r="AL82" s="371"/>
      <c r="AM82" s="370">
        <f>VLOOKUP($AA62,Schlüssel!$A$5:$EK$14,48)</f>
        <v>7</v>
      </c>
      <c r="AN82" s="371"/>
      <c r="AO82" s="370">
        <f>VLOOKUP($AA62,Schlüssel!$A$5:$EK$14,49)</f>
        <v>5</v>
      </c>
      <c r="AP82" s="371"/>
      <c r="AQ82" s="370">
        <f>VLOOKUP($AA62,Schlüssel!$A$5:$EK$14,50)</f>
        <v>4</v>
      </c>
      <c r="AR82" s="371"/>
      <c r="AS82" s="370">
        <f>VLOOKUP($AA62,Schlüssel!$A$5:$EK$14,51)</f>
        <v>8</v>
      </c>
      <c r="AT82" s="371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35">
      <c r="B83" s="90" t="str">
        <f t="shared" si="100"/>
        <v/>
      </c>
      <c r="C83" s="86" t="str">
        <f t="shared" si="100"/>
        <v/>
      </c>
      <c r="D83" s="343" t="str">
        <f t="shared" si="100"/>
        <v>BK München 4</v>
      </c>
      <c r="E83" s="344" t="str">
        <f t="shared" si="100"/>
        <v/>
      </c>
      <c r="F83" s="343" t="str">
        <f t="shared" si="100"/>
        <v>Praetoria Regensburg</v>
      </c>
      <c r="G83" s="344" t="str">
        <f t="shared" si="100"/>
        <v/>
      </c>
      <c r="H83" s="343" t="str">
        <f t="shared" si="100"/>
        <v>BK München 2</v>
      </c>
      <c r="I83" s="344" t="str">
        <f t="shared" si="100"/>
        <v/>
      </c>
      <c r="J83" s="343" t="str">
        <f t="shared" si="100"/>
        <v>Phönix 03 Lauf</v>
      </c>
      <c r="K83" s="344" t="str">
        <f t="shared" si="100"/>
        <v/>
      </c>
      <c r="L83" s="343" t="str">
        <f t="shared" si="101"/>
        <v>RW Lichtenhof 69 Stein 2</v>
      </c>
      <c r="M83" s="344" t="str">
        <f t="shared" si="101"/>
        <v/>
      </c>
      <c r="N83" s="343" t="str">
        <f t="shared" si="101"/>
        <v>Frankenpower Nürnberg</v>
      </c>
      <c r="O83" s="344" t="str">
        <f t="shared" si="101"/>
        <v/>
      </c>
      <c r="P83" s="343" t="str">
        <f t="shared" si="101"/>
        <v xml:space="preserve">Weiß Blau Unterföhring </v>
      </c>
      <c r="Q83" s="344" t="str">
        <f t="shared" si="101"/>
        <v/>
      </c>
      <c r="R83" s="343" t="str">
        <f t="shared" si="101"/>
        <v>BK München 3</v>
      </c>
      <c r="S83" s="344" t="str">
        <f t="shared" si="101"/>
        <v/>
      </c>
      <c r="T83" s="343" t="str">
        <f t="shared" si="101"/>
        <v>EPA München 1</v>
      </c>
      <c r="U83" s="344" t="str">
        <f t="shared" si="101"/>
        <v/>
      </c>
      <c r="V83" s="345"/>
      <c r="W83" s="345"/>
      <c r="AA83" s="90"/>
      <c r="AB83" s="86"/>
      <c r="AC83" s="343" t="str">
        <f>VLOOKUP(AC82,Schlüssel!$A$5:$K$14,2)</f>
        <v>BK München 4</v>
      </c>
      <c r="AD83" s="344"/>
      <c r="AE83" s="343" t="str">
        <f>VLOOKUP(AE82,Schlüssel!$A$5:$K$14,2)</f>
        <v>Praetoria Regensburg</v>
      </c>
      <c r="AF83" s="344"/>
      <c r="AG83" s="343" t="str">
        <f>VLOOKUP(AG82,Schlüssel!$A$5:$K$14,2)</f>
        <v>BK München 2</v>
      </c>
      <c r="AH83" s="344"/>
      <c r="AI83" s="343" t="str">
        <f>VLOOKUP(AI82,Schlüssel!$A$5:$K$14,2)</f>
        <v>Phönix 03 Lauf</v>
      </c>
      <c r="AJ83" s="344"/>
      <c r="AK83" s="343" t="str">
        <f>VLOOKUP(AK82,Schlüssel!$A$5:$K$14,2)</f>
        <v>RW Lichtenhof 69 Stein 2</v>
      </c>
      <c r="AL83" s="344"/>
      <c r="AM83" s="343" t="str">
        <f>VLOOKUP(AM82,Schlüssel!$A$5:$K$14,2)</f>
        <v>Frankenpower Nürnberg</v>
      </c>
      <c r="AN83" s="344"/>
      <c r="AO83" s="343" t="str">
        <f>VLOOKUP(AO82,Schlüssel!$A$5:$K$14,2)</f>
        <v xml:space="preserve">Weiß Blau Unterföhring </v>
      </c>
      <c r="AP83" s="344"/>
      <c r="AQ83" s="343" t="str">
        <f>VLOOKUP(AQ82,Schlüssel!$A$5:$K$14,2)</f>
        <v>BK München 3</v>
      </c>
      <c r="AR83" s="344"/>
      <c r="AS83" s="343" t="str">
        <f>VLOOKUP(AS82,Schlüssel!$A$5:$K$14,2)</f>
        <v>EPA München 1</v>
      </c>
      <c r="AT83" s="344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35">
      <c r="B84" s="90" t="str">
        <f t="shared" si="100"/>
        <v/>
      </c>
      <c r="C84" s="86" t="str">
        <f t="shared" si="100"/>
        <v/>
      </c>
      <c r="D84" s="341" t="str">
        <f t="shared" si="100"/>
        <v/>
      </c>
      <c r="E84" s="341" t="str">
        <f t="shared" si="100"/>
        <v/>
      </c>
      <c r="F84" s="341" t="str">
        <f t="shared" si="100"/>
        <v/>
      </c>
      <c r="G84" s="341" t="str">
        <f t="shared" si="100"/>
        <v/>
      </c>
      <c r="H84" s="341" t="str">
        <f t="shared" si="100"/>
        <v/>
      </c>
      <c r="I84" s="341" t="str">
        <f t="shared" si="100"/>
        <v/>
      </c>
      <c r="J84" s="341" t="str">
        <f t="shared" si="100"/>
        <v/>
      </c>
      <c r="K84" s="341" t="str">
        <f t="shared" si="100"/>
        <v/>
      </c>
      <c r="L84" s="341" t="str">
        <f t="shared" si="101"/>
        <v/>
      </c>
      <c r="M84" s="341" t="str">
        <f t="shared" si="101"/>
        <v/>
      </c>
      <c r="N84" s="341" t="str">
        <f t="shared" si="101"/>
        <v/>
      </c>
      <c r="O84" s="341" t="str">
        <f t="shared" si="101"/>
        <v/>
      </c>
      <c r="P84" s="341" t="str">
        <f t="shared" si="101"/>
        <v/>
      </c>
      <c r="Q84" s="341" t="str">
        <f t="shared" si="101"/>
        <v/>
      </c>
      <c r="R84" s="341" t="str">
        <f t="shared" si="101"/>
        <v/>
      </c>
      <c r="S84" s="341" t="str">
        <f t="shared" si="101"/>
        <v/>
      </c>
      <c r="T84" s="341" t="str">
        <f t="shared" si="101"/>
        <v/>
      </c>
      <c r="U84" s="342" t="str">
        <f t="shared" si="101"/>
        <v/>
      </c>
      <c r="V84" s="301"/>
      <c r="W84" s="301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6.05" customHeight="1" x14ac:dyDescent="0.35">
      <c r="B85" s="365" t="str">
        <f t="shared" ref="B85:C89" si="102">IF(AA85=0,"",AA85)</f>
        <v>Spieler 1</v>
      </c>
      <c r="C85" s="366" t="str">
        <f t="shared" si="102"/>
        <v/>
      </c>
      <c r="D85" s="339">
        <f>IF(AC85=301,"",AC85)</f>
        <v>166</v>
      </c>
      <c r="E85" s="339" t="str">
        <f>IF(AD85=0,"",AD85)</f>
        <v/>
      </c>
      <c r="F85" s="339">
        <f>IF(AE85=301,"",AE85)</f>
        <v>186</v>
      </c>
      <c r="G85" s="339" t="str">
        <f>IF(AF85=0,"",AF85)</f>
        <v/>
      </c>
      <c r="H85" s="339">
        <f>IF(AG85=301,"",AG85)</f>
        <v>234</v>
      </c>
      <c r="I85" s="339" t="str">
        <f>IF(AH85=0,"",AH85)</f>
        <v/>
      </c>
      <c r="J85" s="339">
        <f>IF(AI85=301,"",AI85)</f>
        <v>166</v>
      </c>
      <c r="K85" s="339" t="str">
        <f>IF(AJ85=0,"",AJ85)</f>
        <v/>
      </c>
      <c r="L85" s="339">
        <f>IF(AK85=301,"",AK85)</f>
        <v>162</v>
      </c>
      <c r="M85" s="339" t="str">
        <f>IF(AL85=0,"",AL85)</f>
        <v/>
      </c>
      <c r="N85" s="339">
        <f>IF(AM85=301,"",AM85)</f>
        <v>168</v>
      </c>
      <c r="O85" s="339" t="str">
        <f>IF(AN85=0,"",AN85)</f>
        <v/>
      </c>
      <c r="P85" s="339">
        <f>IF(AO85=301,"",AO85)</f>
        <v>121</v>
      </c>
      <c r="Q85" s="339" t="str">
        <f>IF(AP85=0,"",AP85)</f>
        <v/>
      </c>
      <c r="R85" s="339">
        <f>IF(AQ85=301,"",AQ85)</f>
        <v>0</v>
      </c>
      <c r="S85" s="339" t="str">
        <f>IF(AR85=0,"",AR85)</f>
        <v/>
      </c>
      <c r="T85" s="339">
        <f>IF(AS85=301,"",AS85)</f>
        <v>168</v>
      </c>
      <c r="U85" s="339" t="str">
        <f>IF(AT85=0,"",AT85)</f>
        <v/>
      </c>
      <c r="V85" s="340"/>
      <c r="W85" s="340"/>
      <c r="AA85" s="91" t="s">
        <v>0</v>
      </c>
      <c r="AB85" s="92"/>
      <c r="AC85" s="372">
        <f>ABS(INDEX(AC:AC,MATCH(AC82,$AA:$AA,0)+5)+INDEX(AC:AC,MATCH(AC82,$AA:$AA,0)+6)+INDEX(AC:AC,MATCH(AC82,$AA:$AA,0)+7))</f>
        <v>166</v>
      </c>
      <c r="AD85" s="373"/>
      <c r="AE85" s="372">
        <f>ABS(INDEX(AE:AE,MATCH(AE82,$AA:$AA,0)+5)+INDEX(AE:AE,MATCH(AE82,$AA:$AA,0)+6)+INDEX(AE:AE,MATCH(AE82,$AA:$AA,0)+7))</f>
        <v>186</v>
      </c>
      <c r="AF85" s="373"/>
      <c r="AG85" s="372">
        <f>ABS(INDEX(AG:AG,MATCH(AG82,$AA:$AA,0)+5)+INDEX(AG:AG,MATCH(AG82,$AA:$AA,0)+6)+INDEX(AG:AG,MATCH(AG82,$AA:$AA,0)+7))</f>
        <v>234</v>
      </c>
      <c r="AH85" s="373"/>
      <c r="AI85" s="372">
        <f>ABS(INDEX(AI:AI,MATCH(AI82,$AA:$AA,0)+5)+INDEX(AI:AI,MATCH(AI82,$AA:$AA,0)+6)+INDEX(AI:AI,MATCH(AI82,$AA:$AA,0)+7))</f>
        <v>166</v>
      </c>
      <c r="AJ85" s="373"/>
      <c r="AK85" s="372">
        <f>ABS(INDEX(AK:AK,MATCH(AK82,$AA:$AA,0)+5)+INDEX(AK:AK,MATCH(AK82,$AA:$AA,0)+6)+INDEX(AK:AK,MATCH(AK82,$AA:$AA,0)+7))</f>
        <v>162</v>
      </c>
      <c r="AL85" s="373"/>
      <c r="AM85" s="372">
        <f>ABS(INDEX(AM:AM,MATCH(AM82,$AA:$AA,0)+5)+INDEX(AM:AM,MATCH(AM82,$AA:$AA,0)+6)+INDEX(AM:AM,MATCH(AM82,$AA:$AA,0)+7))</f>
        <v>168</v>
      </c>
      <c r="AN85" s="373"/>
      <c r="AO85" s="372">
        <f>ABS(INDEX(AO:AO,MATCH(AO82,$AA:$AA,0)+5)+INDEX(AO:AO,MATCH(AO82,$AA:$AA,0)+6)+INDEX(AO:AO,MATCH(AO82,$AA:$AA,0)+7))</f>
        <v>121</v>
      </c>
      <c r="AP85" s="373"/>
      <c r="AQ85" s="372">
        <f>ABS(INDEX(AQ:AQ,MATCH(AQ82,$AA:$AA,0)+5)+INDEX(AQ:AQ,MATCH(AQ82,$AA:$AA,0)+6)+INDEX(AQ:AQ,MATCH(AQ82,$AA:$AA,0)+7))</f>
        <v>0</v>
      </c>
      <c r="AR85" s="373"/>
      <c r="AS85" s="372">
        <f>ABS(INDEX(AS:AS,MATCH(AS82,$AA:$AA,0)+5)+INDEX(AS:AS,MATCH(AS82,$AA:$AA,0)+6)+INDEX(AS:AS,MATCH(AS82,$AA:$AA,0)+7))</f>
        <v>168</v>
      </c>
      <c r="AT85" s="373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6.05" customHeight="1" x14ac:dyDescent="0.35">
      <c r="B86" s="365" t="str">
        <f t="shared" si="102"/>
        <v>Spieler 2</v>
      </c>
      <c r="C86" s="366" t="str">
        <f t="shared" si="102"/>
        <v/>
      </c>
      <c r="D86" s="339">
        <f>IF(AC86=301,"",AC86)</f>
        <v>149</v>
      </c>
      <c r="E86" s="339" t="str">
        <f>IF(AD86=0,"",AD86)</f>
        <v/>
      </c>
      <c r="F86" s="339">
        <f>IF(AE86=301,"",AE86)</f>
        <v>166</v>
      </c>
      <c r="G86" s="339" t="str">
        <f>IF(AF86=0,"",AF86)</f>
        <v/>
      </c>
      <c r="H86" s="339">
        <f>IF(AG86=301,"",AG86)</f>
        <v>122</v>
      </c>
      <c r="I86" s="339" t="str">
        <f>IF(AH86=0,"",AH86)</f>
        <v/>
      </c>
      <c r="J86" s="339">
        <f>IF(AI86=301,"",AI86)</f>
        <v>127</v>
      </c>
      <c r="K86" s="339" t="str">
        <f>IF(AJ86=0,"",AJ86)</f>
        <v/>
      </c>
      <c r="L86" s="339">
        <f>IF(AK86=301,"",AK86)</f>
        <v>104</v>
      </c>
      <c r="M86" s="339" t="str">
        <f>IF(AL86=0,"",AL86)</f>
        <v/>
      </c>
      <c r="N86" s="339">
        <f>IF(AM86=301,"",AM86)</f>
        <v>184</v>
      </c>
      <c r="O86" s="339" t="str">
        <f>IF(AN86=0,"",AN86)</f>
        <v/>
      </c>
      <c r="P86" s="339">
        <f>IF(AO86=301,"",AO86)</f>
        <v>118</v>
      </c>
      <c r="Q86" s="339" t="str">
        <f>IF(AP86=0,"",AP86)</f>
        <v/>
      </c>
      <c r="R86" s="339">
        <f>IF(AQ86=301,"",AQ86)</f>
        <v>0</v>
      </c>
      <c r="S86" s="339" t="str">
        <f>IF(AR86=0,"",AR86)</f>
        <v/>
      </c>
      <c r="T86" s="339">
        <f>IF(AS86=301,"",AS86)</f>
        <v>178</v>
      </c>
      <c r="U86" s="339" t="str">
        <f>IF(AT86=0,"",AT86)</f>
        <v/>
      </c>
      <c r="V86" s="340"/>
      <c r="W86" s="340"/>
      <c r="AA86" s="91" t="s">
        <v>2</v>
      </c>
      <c r="AB86" s="92"/>
      <c r="AC86" s="374">
        <f>ABS(INDEX(AC:AC,MATCH(AC82,$AA:$AA,0)+8)+INDEX(AC:AC,MATCH(AC82,$AA:$AA,0)+9)+INDEX(AC:AC,MATCH(AC82,$AA:$AA,0)+10))</f>
        <v>149</v>
      </c>
      <c r="AD86" s="375"/>
      <c r="AE86" s="374">
        <f>ABS(INDEX(AE:AE,MATCH(AE82,$AA:$AA,0)+8)+INDEX(AE:AE,MATCH(AE82,$AA:$AA,0)+9)+INDEX(AE:AE,MATCH(AE82,$AA:$AA,0)+10))</f>
        <v>166</v>
      </c>
      <c r="AF86" s="375"/>
      <c r="AG86" s="374">
        <f>ABS(INDEX(AG:AG,MATCH(AG82,$AA:$AA,0)+8)+INDEX(AG:AG,MATCH(AG82,$AA:$AA,0)+9)+INDEX(AG:AG,MATCH(AG82,$AA:$AA,0)+10))</f>
        <v>122</v>
      </c>
      <c r="AH86" s="375"/>
      <c r="AI86" s="374">
        <f>ABS(INDEX(AI:AI,MATCH(AI82,$AA:$AA,0)+8)+INDEX(AI:AI,MATCH(AI82,$AA:$AA,0)+9)+INDEX(AI:AI,MATCH(AI82,$AA:$AA,0)+10))</f>
        <v>127</v>
      </c>
      <c r="AJ86" s="375"/>
      <c r="AK86" s="374">
        <f>ABS(INDEX(AK:AK,MATCH(AK82,$AA:$AA,0)+8)+INDEX(AK:AK,MATCH(AK82,$AA:$AA,0)+9)+INDEX(AK:AK,MATCH(AK82,$AA:$AA,0)+10))</f>
        <v>104</v>
      </c>
      <c r="AL86" s="375"/>
      <c r="AM86" s="374">
        <f>ABS(INDEX(AM:AM,MATCH(AM82,$AA:$AA,0)+8)+INDEX(AM:AM,MATCH(AM82,$AA:$AA,0)+9)+INDEX(AM:AM,MATCH(AM82,$AA:$AA,0)+10))</f>
        <v>184</v>
      </c>
      <c r="AN86" s="375"/>
      <c r="AO86" s="374">
        <f>ABS(INDEX(AO:AO,MATCH(AO82,$AA:$AA,0)+8)+INDEX(AO:AO,MATCH(AO82,$AA:$AA,0)+9)+INDEX(AO:AO,MATCH(AO82,$AA:$AA,0)+10))</f>
        <v>118</v>
      </c>
      <c r="AP86" s="375"/>
      <c r="AQ86" s="374">
        <f>ABS(INDEX(AQ:AQ,MATCH(AQ82,$AA:$AA,0)+8)+INDEX(AQ:AQ,MATCH(AQ82,$AA:$AA,0)+9)+INDEX(AQ:AQ,MATCH(AQ82,$AA:$AA,0)+10))</f>
        <v>0</v>
      </c>
      <c r="AR86" s="375"/>
      <c r="AS86" s="374">
        <f>ABS(INDEX(AS:AS,MATCH(AS82,$AA:$AA,0)+8)+INDEX(AS:AS,MATCH(AS82,$AA:$AA,0)+9)+INDEX(AS:AS,MATCH(AS82,$AA:$AA,0)+10))</f>
        <v>178</v>
      </c>
      <c r="AT86" s="37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6.05" customHeight="1" x14ac:dyDescent="0.35">
      <c r="B87" s="365" t="str">
        <f t="shared" si="102"/>
        <v>Spieler 3</v>
      </c>
      <c r="C87" s="366" t="str">
        <f t="shared" si="102"/>
        <v/>
      </c>
      <c r="D87" s="339">
        <f>IF(AC87=301,"",AC87)</f>
        <v>158</v>
      </c>
      <c r="E87" s="339" t="str">
        <f>IF(AD87=0,"",AD87)</f>
        <v/>
      </c>
      <c r="F87" s="339">
        <f>IF(AE87=301,"",AE87)</f>
        <v>170</v>
      </c>
      <c r="G87" s="339" t="str">
        <f>IF(AF87=0,"",AF87)</f>
        <v/>
      </c>
      <c r="H87" s="339">
        <f>IF(AG87=301,"",AG87)</f>
        <v>129</v>
      </c>
      <c r="I87" s="339" t="str">
        <f>IF(AH87=0,"",AH87)</f>
        <v/>
      </c>
      <c r="J87" s="339">
        <f>IF(AI87=301,"",AI87)</f>
        <v>146</v>
      </c>
      <c r="K87" s="339" t="str">
        <f>IF(AJ87=0,"",AJ87)</f>
        <v/>
      </c>
      <c r="L87" s="339">
        <f>IF(AK87=301,"",AK87)</f>
        <v>163</v>
      </c>
      <c r="M87" s="339" t="str">
        <f>IF(AL87=0,"",AL87)</f>
        <v/>
      </c>
      <c r="N87" s="339">
        <f>IF(AM87=301,"",AM87)</f>
        <v>189</v>
      </c>
      <c r="O87" s="339" t="str">
        <f>IF(AN87=0,"",AN87)</f>
        <v/>
      </c>
      <c r="P87" s="339">
        <f>IF(AO87=301,"",AO87)</f>
        <v>184</v>
      </c>
      <c r="Q87" s="339" t="str">
        <f>IF(AP87=0,"",AP87)</f>
        <v/>
      </c>
      <c r="R87" s="339">
        <f>IF(AQ87=301,"",AQ87)</f>
        <v>0</v>
      </c>
      <c r="S87" s="339" t="str">
        <f>IF(AR87=0,"",AR87)</f>
        <v/>
      </c>
      <c r="T87" s="339">
        <f>IF(AS87=301,"",AS87)</f>
        <v>211</v>
      </c>
      <c r="U87" s="339" t="str">
        <f>IF(AT87=0,"",AT87)</f>
        <v/>
      </c>
      <c r="V87" s="340"/>
      <c r="W87" s="340"/>
      <c r="AA87" s="91" t="s">
        <v>3</v>
      </c>
      <c r="AB87" s="92"/>
      <c r="AC87" s="374">
        <f>ABS(INDEX(AC:AC,MATCH(AC82,$AA:$AA,0)+11)+INDEX(AC:AC,MATCH(AC82,$AA:$AA,0)+12)+INDEX(AC:AC,MATCH(AC82,$AA:$AA,0)+13))</f>
        <v>158</v>
      </c>
      <c r="AD87" s="375"/>
      <c r="AE87" s="374">
        <f>ABS(INDEX(AE:AE,MATCH(AE82,$AA:$AA,0)+11)+INDEX(AE:AE,MATCH(AE82,$AA:$AA,0)+12)+INDEX(AE:AE,MATCH(AE82,$AA:$AA,0)+13))</f>
        <v>170</v>
      </c>
      <c r="AF87" s="375"/>
      <c r="AG87" s="374">
        <f>ABS(INDEX(AG:AG,MATCH(AG82,$AA:$AA,0)+11)+INDEX(AG:AG,MATCH(AG82,$AA:$AA,0)+12)+INDEX(AG:AG,MATCH(AG82,$AA:$AA,0)+13))</f>
        <v>129</v>
      </c>
      <c r="AH87" s="375"/>
      <c r="AI87" s="374">
        <f>ABS(INDEX(AI:AI,MATCH(AI82,$AA:$AA,0)+11)+INDEX(AI:AI,MATCH(AI82,$AA:$AA,0)+12)+INDEX(AI:AI,MATCH(AI82,$AA:$AA,0)+13))</f>
        <v>146</v>
      </c>
      <c r="AJ87" s="375"/>
      <c r="AK87" s="374">
        <f>ABS(INDEX(AK:AK,MATCH(AK82,$AA:$AA,0)+11)+INDEX(AK:AK,MATCH(AK82,$AA:$AA,0)+12)+INDEX(AK:AK,MATCH(AK82,$AA:$AA,0)+13))</f>
        <v>163</v>
      </c>
      <c r="AL87" s="375"/>
      <c r="AM87" s="374">
        <f>ABS(INDEX(AM:AM,MATCH(AM82,$AA:$AA,0)+11)+INDEX(AM:AM,MATCH(AM82,$AA:$AA,0)+12)+INDEX(AM:AM,MATCH(AM82,$AA:$AA,0)+13))</f>
        <v>189</v>
      </c>
      <c r="AN87" s="375"/>
      <c r="AO87" s="374">
        <f>ABS(INDEX(AO:AO,MATCH(AO82,$AA:$AA,0)+11)+INDEX(AO:AO,MATCH(AO82,$AA:$AA,0)+12)+INDEX(AO:AO,MATCH(AO82,$AA:$AA,0)+13))</f>
        <v>184</v>
      </c>
      <c r="AP87" s="375"/>
      <c r="AQ87" s="374">
        <f>ABS(INDEX(AQ:AQ,MATCH(AQ82,$AA:$AA,0)+11)+INDEX(AQ:AQ,MATCH(AQ82,$AA:$AA,0)+12)+INDEX(AQ:AQ,MATCH(AQ82,$AA:$AA,0)+13))</f>
        <v>0</v>
      </c>
      <c r="AR87" s="375"/>
      <c r="AS87" s="374">
        <f>ABS(INDEX(AS:AS,MATCH(AS82,$AA:$AA,0)+11)+INDEX(AS:AS,MATCH(AS82,$AA:$AA,0)+12)+INDEX(AS:AS,MATCH(AS82,$AA:$AA,0)+13))</f>
        <v>211</v>
      </c>
      <c r="AT87" s="37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6.05" customHeight="1" x14ac:dyDescent="0.35">
      <c r="B88" s="365" t="str">
        <f t="shared" si="102"/>
        <v>Spieler 4</v>
      </c>
      <c r="C88" s="366" t="str">
        <f t="shared" si="102"/>
        <v/>
      </c>
      <c r="D88" s="339">
        <f>IF(AC88=301,"",AC88)</f>
        <v>197</v>
      </c>
      <c r="E88" s="339" t="str">
        <f>IF(AD88=0,"",AD88)</f>
        <v/>
      </c>
      <c r="F88" s="339">
        <f>IF(AE88=301,"",AE88)</f>
        <v>194</v>
      </c>
      <c r="G88" s="339" t="str">
        <f>IF(AF88=0,"",AF88)</f>
        <v/>
      </c>
      <c r="H88" s="339">
        <f>IF(AG88=301,"",AG88)</f>
        <v>213</v>
      </c>
      <c r="I88" s="339" t="str">
        <f>IF(AH88=0,"",AH88)</f>
        <v/>
      </c>
      <c r="J88" s="339">
        <f>IF(AI88=301,"",AI88)</f>
        <v>153</v>
      </c>
      <c r="K88" s="339" t="str">
        <f>IF(AJ88=0,"",AJ88)</f>
        <v/>
      </c>
      <c r="L88" s="339">
        <f>IF(AK88=301,"",AK88)</f>
        <v>193</v>
      </c>
      <c r="M88" s="339" t="str">
        <f>IF(AL88=0,"",AL88)</f>
        <v/>
      </c>
      <c r="N88" s="339">
        <f>IF(AM88=301,"",AM88)</f>
        <v>131</v>
      </c>
      <c r="O88" s="339" t="str">
        <f>IF(AN88=0,"",AN88)</f>
        <v/>
      </c>
      <c r="P88" s="339">
        <f>IF(AO88=301,"",AO88)</f>
        <v>167</v>
      </c>
      <c r="Q88" s="339" t="str">
        <f>IF(AP88=0,"",AP88)</f>
        <v/>
      </c>
      <c r="R88" s="339">
        <f>IF(AQ88=301,"",AQ88)</f>
        <v>0</v>
      </c>
      <c r="S88" s="339" t="str">
        <f>IF(AR88=0,"",AR88)</f>
        <v/>
      </c>
      <c r="T88" s="339">
        <f>IF(AS88=301,"",AS88)</f>
        <v>175</v>
      </c>
      <c r="U88" s="339" t="str">
        <f>IF(AT88=0,"",AT88)</f>
        <v/>
      </c>
      <c r="V88" s="340"/>
      <c r="W88" s="340"/>
      <c r="AA88" s="91" t="s">
        <v>11</v>
      </c>
      <c r="AB88" s="92"/>
      <c r="AC88" s="374">
        <f>ABS(INDEX(AC:AC,MATCH(AC82,$AA:$AA,0)+14)+INDEX(AC:AC,MATCH(AC82,$AA:$AA,0)+15)+INDEX(AC:AC,MATCH(AC82,$AA:$AA,0)+16))</f>
        <v>197</v>
      </c>
      <c r="AD88" s="375"/>
      <c r="AE88" s="374">
        <f>ABS(INDEX(AE:AE,MATCH(AE82,$AA:$AA,0)+14)+INDEX(AE:AE,MATCH(AE82,$AA:$AA,0)+15)+INDEX(AE:AE,MATCH(AE82,$AA:$AA,0)+16))</f>
        <v>194</v>
      </c>
      <c r="AF88" s="375"/>
      <c r="AG88" s="374">
        <f>ABS(INDEX(AG:AG,MATCH(AG82,$AA:$AA,0)+14)+INDEX(AG:AG,MATCH(AG82,$AA:$AA,0)+15)+INDEX(AG:AG,MATCH(AG82,$AA:$AA,0)+16))</f>
        <v>213</v>
      </c>
      <c r="AH88" s="375"/>
      <c r="AI88" s="374">
        <f>ABS(INDEX(AI:AI,MATCH(AI82,$AA:$AA,0)+14)+INDEX(AI:AI,MATCH(AI82,$AA:$AA,0)+15)+INDEX(AI:AI,MATCH(AI82,$AA:$AA,0)+16))</f>
        <v>153</v>
      </c>
      <c r="AJ88" s="375"/>
      <c r="AK88" s="374">
        <f>ABS(INDEX(AK:AK,MATCH(AK82,$AA:$AA,0)+14)+INDEX(AK:AK,MATCH(AK82,$AA:$AA,0)+15)+INDEX(AK:AK,MATCH(AK82,$AA:$AA,0)+16))</f>
        <v>193</v>
      </c>
      <c r="AL88" s="375"/>
      <c r="AM88" s="374">
        <f>ABS(INDEX(AM:AM,MATCH(AM82,$AA:$AA,0)+14)+INDEX(AM:AM,MATCH(AM82,$AA:$AA,0)+15)+INDEX(AM:AM,MATCH(AM82,$AA:$AA,0)+16))</f>
        <v>131</v>
      </c>
      <c r="AN88" s="375"/>
      <c r="AO88" s="374">
        <f>ABS(INDEX(AO:AO,MATCH(AO82,$AA:$AA,0)+14)+INDEX(AO:AO,MATCH(AO82,$AA:$AA,0)+15)+INDEX(AO:AO,MATCH(AO82,$AA:$AA,0)+16))</f>
        <v>167</v>
      </c>
      <c r="AP88" s="375"/>
      <c r="AQ88" s="374">
        <f>ABS(INDEX(AQ:AQ,MATCH(AQ82,$AA:$AA,0)+14)+INDEX(AQ:AQ,MATCH(AQ82,$AA:$AA,0)+15)+INDEX(AQ:AQ,MATCH(AQ82,$AA:$AA,0)+16))</f>
        <v>0</v>
      </c>
      <c r="AR88" s="375"/>
      <c r="AS88" s="374">
        <f>ABS(INDEX(AS:AS,MATCH(AS82,$AA:$AA,0)+14)+INDEX(AS:AS,MATCH(AS82,$AA:$AA,0)+15)+INDEX(AS:AS,MATCH(AS82,$AA:$AA,0)+16))</f>
        <v>175</v>
      </c>
      <c r="AT88" s="37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6.05" customHeight="1" x14ac:dyDescent="0.35">
      <c r="B89" s="354" t="str">
        <f t="shared" si="102"/>
        <v>Gesamt</v>
      </c>
      <c r="C89" s="355" t="str">
        <f t="shared" si="102"/>
        <v/>
      </c>
      <c r="D89" s="338">
        <f>IF(AC89=1505,"",AC89)</f>
        <v>670</v>
      </c>
      <c r="E89" s="338" t="str">
        <f>IF(AD89=0,"",AD89)</f>
        <v/>
      </c>
      <c r="F89" s="338">
        <f>IF(AE89=1505,"",AE89)</f>
        <v>716</v>
      </c>
      <c r="G89" s="338" t="str">
        <f>IF(AF89=0,"",AF89)</f>
        <v/>
      </c>
      <c r="H89" s="338">
        <f>IF(AG89=1505,"",AG89)</f>
        <v>698</v>
      </c>
      <c r="I89" s="338" t="str">
        <f>IF(AH89=0,"",AH89)</f>
        <v/>
      </c>
      <c r="J89" s="338">
        <f>IF(AI89=1505,"",AI89)</f>
        <v>592</v>
      </c>
      <c r="K89" s="338" t="str">
        <f>IF(AJ89=0,"",AJ89)</f>
        <v/>
      </c>
      <c r="L89" s="338">
        <f>IF(AK89=1505,"",AK89)</f>
        <v>622</v>
      </c>
      <c r="M89" s="338" t="str">
        <f>IF(AL89=0,"",AL89)</f>
        <v/>
      </c>
      <c r="N89" s="338">
        <f>IF(AM89=1505,"",AM89)</f>
        <v>672</v>
      </c>
      <c r="O89" s="338" t="str">
        <f>IF(AN89=0,"",AN89)</f>
        <v/>
      </c>
      <c r="P89" s="338">
        <f>IF(AO89=1505,"",AO89)</f>
        <v>590</v>
      </c>
      <c r="Q89" s="338" t="str">
        <f>IF(AP89=0,"",AP89)</f>
        <v/>
      </c>
      <c r="R89" s="338">
        <f>IF(AQ89=1505,"",AQ89)</f>
        <v>0</v>
      </c>
      <c r="S89" s="338" t="str">
        <f>IF(AR89=0,"",AR89)</f>
        <v/>
      </c>
      <c r="T89" s="338">
        <f>IF(AS89=1505,"",AS89)</f>
        <v>732</v>
      </c>
      <c r="U89" s="338" t="str">
        <f>IF(AT89=0,"",AT89)</f>
        <v/>
      </c>
      <c r="V89" s="290"/>
      <c r="W89" s="290"/>
      <c r="AA89" s="93" t="s">
        <v>1799</v>
      </c>
      <c r="AB89" s="94"/>
      <c r="AC89" s="354">
        <f>SUM(AC85:AC88)</f>
        <v>670</v>
      </c>
      <c r="AD89" s="355"/>
      <c r="AE89" s="354">
        <f>SUM(AE85:AE88)</f>
        <v>716</v>
      </c>
      <c r="AF89" s="355"/>
      <c r="AG89" s="354">
        <f>SUM(AG85:AG88)</f>
        <v>698</v>
      </c>
      <c r="AH89" s="355"/>
      <c r="AI89" s="354">
        <f>SUM(AI85:AI88)</f>
        <v>592</v>
      </c>
      <c r="AJ89" s="355"/>
      <c r="AK89" s="354">
        <f>SUM(AK85:AK88)</f>
        <v>622</v>
      </c>
      <c r="AL89" s="355"/>
      <c r="AM89" s="354">
        <f>SUM(AM85:AM88)</f>
        <v>672</v>
      </c>
      <c r="AN89" s="355"/>
      <c r="AO89" s="354">
        <f>SUM(AO85:AO88)</f>
        <v>590</v>
      </c>
      <c r="AP89" s="355"/>
      <c r="AQ89" s="354">
        <f>SUM(AQ85:AQ88)</f>
        <v>0</v>
      </c>
      <c r="AR89" s="355"/>
      <c r="AS89" s="354">
        <f>SUM(AS85:AS88)</f>
        <v>732</v>
      </c>
      <c r="AT89" s="35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3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7">
      <c r="B91" s="44" t="str">
        <f>AA91</f>
        <v>Team-Nr.</v>
      </c>
      <c r="C91" s="45"/>
      <c r="D91" s="44" t="str">
        <f>AC91</f>
        <v>Liga:</v>
      </c>
      <c r="E91" s="47"/>
      <c r="F91" s="359" t="str">
        <f>AE91</f>
        <v>Bayernliga Frauen</v>
      </c>
      <c r="G91" s="359"/>
      <c r="H91" s="359"/>
      <c r="I91" s="359"/>
      <c r="J91" s="359"/>
      <c r="K91" s="359"/>
      <c r="L91" s="359"/>
      <c r="M91" s="359"/>
      <c r="N91" s="359"/>
      <c r="O91" s="359"/>
      <c r="P91" s="359"/>
      <c r="Q91" s="359"/>
      <c r="R91" s="48"/>
      <c r="S91" s="49" t="s">
        <v>1794</v>
      </c>
      <c r="T91" s="50"/>
      <c r="U91" s="360" t="str">
        <f>AT91</f>
        <v>01.02./02.02.</v>
      </c>
      <c r="V91" s="361"/>
      <c r="W91" s="362"/>
      <c r="X91" s="363"/>
      <c r="Y91" s="364"/>
      <c r="Z91" s="364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0" t="str">
        <f>VLOOKUP(AS92,Spielorte!$A$1:$C$6,2)</f>
        <v>01.02./02.02.</v>
      </c>
      <c r="AU91" s="361"/>
      <c r="AV91" s="362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65">
      <c r="B92" s="53">
        <f>AA92</f>
        <v>4</v>
      </c>
      <c r="D92" s="46" t="s">
        <v>1793</v>
      </c>
      <c r="E92" s="54"/>
      <c r="F92" s="358" t="str">
        <f>AE92</f>
        <v>Unterföhring Dreambowl Palace</v>
      </c>
      <c r="G92" s="358"/>
      <c r="H92" s="358"/>
      <c r="I92" s="358"/>
      <c r="J92" s="358"/>
      <c r="K92" s="358"/>
      <c r="L92" s="358"/>
      <c r="M92" s="358"/>
      <c r="N92" s="358"/>
      <c r="O92" s="358"/>
      <c r="P92" s="55"/>
      <c r="Q92" s="55"/>
      <c r="S92" s="49" t="s">
        <v>1791</v>
      </c>
      <c r="T92" s="56">
        <f>AS92</f>
        <v>3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Unterföhring Dreambowl Palace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3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4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5" thickBot="1" x14ac:dyDescent="0.45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VLOOKUP(AA92,Schlüssel!$A$5:$DZ$14,53)</f>
        <v>5</v>
      </c>
      <c r="AE94" s="65" t="s">
        <v>10</v>
      </c>
      <c r="AF94" s="44">
        <f>VLOOKUP(AA92,Schlüssel!$A$5:$DZ$14,54)</f>
        <v>3</v>
      </c>
      <c r="AG94" s="65" t="s">
        <v>10</v>
      </c>
      <c r="AH94" s="44">
        <f>VLOOKUP(AA92,Schlüssel!$A$5:$DZ$14,55)</f>
        <v>2</v>
      </c>
      <c r="AI94" s="65" t="s">
        <v>10</v>
      </c>
      <c r="AJ94" s="44">
        <f>VLOOKUP(AA92,Schlüssel!$A$5:$DZ$14,56)</f>
        <v>7</v>
      </c>
      <c r="AK94" s="65" t="s">
        <v>10</v>
      </c>
      <c r="AL94" s="44">
        <f>VLOOKUP(AA92,Schlüssel!$A$5:$DZ$14,57)</f>
        <v>9</v>
      </c>
      <c r="AM94" s="65" t="s">
        <v>10</v>
      </c>
      <c r="AN94" s="44">
        <f>VLOOKUP(AA92,Schlüssel!$A$5:$DZ$14,58)</f>
        <v>8</v>
      </c>
      <c r="AO94" s="65" t="s">
        <v>10</v>
      </c>
      <c r="AP94" s="44">
        <f>VLOOKUP(AA92,Schlüssel!$A$5:$DZ$14,59)</f>
        <v>6</v>
      </c>
      <c r="AQ94" s="65" t="s">
        <v>10</v>
      </c>
      <c r="AR94" s="44">
        <f>VLOOKUP(AA92,Schlüssel!$A$5:$DZ$14,60)</f>
        <v>10</v>
      </c>
      <c r="AS94" s="65" t="s">
        <v>10</v>
      </c>
      <c r="AT94" s="44">
        <f>VLOOKUP(AA92,Schlüssel!$A$5:$DZ$14,61)</f>
        <v>4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35">
      <c r="B95" s="67" t="s">
        <v>1</v>
      </c>
      <c r="C95" s="68"/>
      <c r="D95" s="354" t="s">
        <v>1800</v>
      </c>
      <c r="E95" s="355"/>
      <c r="F95" s="354" t="s">
        <v>1801</v>
      </c>
      <c r="G95" s="355"/>
      <c r="H95" s="354" t="s">
        <v>1802</v>
      </c>
      <c r="I95" s="355"/>
      <c r="J95" s="354" t="s">
        <v>1803</v>
      </c>
      <c r="K95" s="355"/>
      <c r="L95" s="354" t="s">
        <v>1804</v>
      </c>
      <c r="M95" s="355"/>
      <c r="N95" s="354" t="s">
        <v>1805</v>
      </c>
      <c r="O95" s="355"/>
      <c r="P95" s="354" t="s">
        <v>1806</v>
      </c>
      <c r="Q95" s="355"/>
      <c r="R95" s="354" t="s">
        <v>1807</v>
      </c>
      <c r="S95" s="355"/>
      <c r="T95" s="354" t="s">
        <v>1808</v>
      </c>
      <c r="U95" s="355"/>
      <c r="V95" s="356" t="s">
        <v>1799</v>
      </c>
      <c r="W95" s="357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4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2" customHeight="1" x14ac:dyDescent="0.35">
      <c r="A97" s="367" t="s">
        <v>0</v>
      </c>
      <c r="B97" s="73" t="str">
        <f>IF(AA97=0,"",AA97)</f>
        <v>Schott, Monika</v>
      </c>
      <c r="C97" s="74">
        <f>IF(AB97=0,"",AB97)</f>
        <v>16594</v>
      </c>
      <c r="D97" s="75" t="str">
        <f>IF(AC97=0,"",AC97)</f>
        <v/>
      </c>
      <c r="E97" s="348">
        <f>IF(AD97="","",AD97)</f>
        <v>0</v>
      </c>
      <c r="F97" s="75" t="str">
        <f t="shared" ref="F97:F110" si="103">IF(AE97=0,"",AE97)</f>
        <v/>
      </c>
      <c r="G97" s="348">
        <f>IF(AF97="","",AF97)</f>
        <v>0</v>
      </c>
      <c r="H97" s="75" t="str">
        <f t="shared" ref="H97:H110" si="104">IF(AG97=0,"",AG97)</f>
        <v/>
      </c>
      <c r="I97" s="348">
        <f>IF(AH97="","",AH97)</f>
        <v>0</v>
      </c>
      <c r="J97" s="75" t="str">
        <f t="shared" ref="J97:J110" si="105">IF(AI97=0,"",AI97)</f>
        <v/>
      </c>
      <c r="K97" s="348">
        <f>IF(AJ97="","",AJ97)</f>
        <v>0</v>
      </c>
      <c r="L97" s="75" t="str">
        <f t="shared" ref="L97:L110" si="106">IF(AK97=0,"",AK97)</f>
        <v/>
      </c>
      <c r="M97" s="348">
        <f>IF(AL97="","",AL97)</f>
        <v>0</v>
      </c>
      <c r="N97" s="75" t="str">
        <f>IF(AM97=0,"",AM97)</f>
        <v/>
      </c>
      <c r="O97" s="348">
        <f>IF(AN97="","",AN97)</f>
        <v>0</v>
      </c>
      <c r="P97" s="75" t="str">
        <f t="shared" ref="P97:P110" si="107">IF(AO97=0,"",AO97)</f>
        <v/>
      </c>
      <c r="Q97" s="348">
        <f>IF(AP97="","",AP97)</f>
        <v>0</v>
      </c>
      <c r="R97" s="75" t="str">
        <f t="shared" ref="R97:R110" si="108">IF(AQ97=0,"",AQ97)</f>
        <v/>
      </c>
      <c r="S97" s="348">
        <f>IF(AR97="","",AR97)</f>
        <v>0</v>
      </c>
      <c r="T97" s="75" t="str">
        <f t="shared" ref="T97:T110" si="109">IF(AS97=0,"",AS97)</f>
        <v/>
      </c>
      <c r="U97" s="348">
        <f>IF(AT97="","",AT97)</f>
        <v>0</v>
      </c>
      <c r="V97" s="75" t="str">
        <f t="shared" ref="V97:V110" si="110">IF(AU97=0,"",AU97)</f>
        <v/>
      </c>
      <c r="W97" s="348">
        <f>IF(AV97="","",AV97)</f>
        <v>0</v>
      </c>
      <c r="Z97" s="351" t="s">
        <v>0</v>
      </c>
      <c r="AA97" s="108" t="str">
        <f>IF(AB97=0,"",VLOOKUP(AB97,Starter!$A$1:$D$199,2,FALSE))</f>
        <v>Schott, Monika</v>
      </c>
      <c r="AB97" s="99">
        <v>16594</v>
      </c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1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16594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2">IF(AC97=0,"",AC97)</f>
        <v/>
      </c>
      <c r="BI97" s="215" t="str">
        <f t="shared" ref="BI97:BI108" si="113">IF(AE97=0,"",AE97)</f>
        <v/>
      </c>
      <c r="BJ97" s="215" t="str">
        <f t="shared" ref="BJ97:BJ108" si="114">IF(AG97=0,"",AG97)</f>
        <v/>
      </c>
      <c r="BK97" s="215" t="str">
        <f t="shared" ref="BK97:BK108" si="115">IF(AI97=0,"",AI97)</f>
        <v/>
      </c>
      <c r="BL97" s="215" t="str">
        <f t="shared" ref="BL97:BL108" si="116">IF(AK97=0,"",AK97)</f>
        <v/>
      </c>
      <c r="BM97" s="215" t="str">
        <f t="shared" ref="BM97:BM108" si="117">IF(AM97=0,"",AM97)</f>
        <v/>
      </c>
      <c r="BN97" s="215" t="str">
        <f t="shared" ref="BN97:BN108" si="118">IF(AO97=0,"",AO97)</f>
        <v/>
      </c>
      <c r="BO97" s="215" t="str">
        <f t="shared" ref="BO97:BO108" si="119">IF(AQ97=0,"",AQ97)</f>
        <v/>
      </c>
      <c r="BP97" s="215" t="str">
        <f t="shared" ref="BP97:BP108" si="120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0</v>
      </c>
      <c r="BU97" s="215" t="str">
        <f>+AA93</f>
        <v>BK München 3</v>
      </c>
      <c r="BV97" s="214">
        <f>RANK(BT97,BT:BT)</f>
        <v>2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0</v>
      </c>
      <c r="BZ97" s="214">
        <f t="shared" ref="BZ97:BZ108" si="121">IF(BY97=0,0,RANK(BY97,BY:BY))</f>
        <v>0</v>
      </c>
    </row>
    <row r="98" spans="1:78" ht="17.2" customHeight="1" x14ac:dyDescent="0.35">
      <c r="A98" s="368"/>
      <c r="B98" s="76" t="str">
        <f t="shared" ref="B98:D110" si="122">IF(AA98=0,"",AA98)</f>
        <v/>
      </c>
      <c r="C98" s="77" t="str">
        <f t="shared" si="122"/>
        <v/>
      </c>
      <c r="D98" s="78" t="str">
        <f t="shared" si="122"/>
        <v/>
      </c>
      <c r="E98" s="349"/>
      <c r="F98" s="78" t="str">
        <f t="shared" si="103"/>
        <v/>
      </c>
      <c r="G98" s="349"/>
      <c r="H98" s="78" t="str">
        <f t="shared" si="104"/>
        <v/>
      </c>
      <c r="I98" s="349"/>
      <c r="J98" s="78" t="str">
        <f t="shared" si="105"/>
        <v/>
      </c>
      <c r="K98" s="349"/>
      <c r="L98" s="78" t="str">
        <f t="shared" si="106"/>
        <v/>
      </c>
      <c r="M98" s="349"/>
      <c r="N98" s="78" t="str">
        <f t="shared" ref="N98:N110" si="123">IF(AM98=0,"",AM98)</f>
        <v/>
      </c>
      <c r="O98" s="349"/>
      <c r="P98" s="78" t="str">
        <f t="shared" si="107"/>
        <v/>
      </c>
      <c r="Q98" s="349"/>
      <c r="R98" s="78" t="str">
        <f t="shared" si="108"/>
        <v/>
      </c>
      <c r="S98" s="349"/>
      <c r="T98" s="78" t="str">
        <f t="shared" si="109"/>
        <v/>
      </c>
      <c r="U98" s="349"/>
      <c r="V98" s="78" t="str">
        <f t="shared" si="110"/>
        <v/>
      </c>
      <c r="W98" s="349"/>
      <c r="Z98" s="352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1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4">+AB98</f>
        <v>0</v>
      </c>
      <c r="BE98" s="213">
        <f t="shared" ref="BE98:BE108" si="125">+AU98</f>
        <v>0</v>
      </c>
      <c r="BF98" s="215">
        <f t="shared" ref="BF98:BF108" si="126">COUNT(BH98:BP98)</f>
        <v>0</v>
      </c>
      <c r="BG98" s="215">
        <f t="shared" ref="BG98:BG108" si="127">COUNTIF(BH98:BP98,"&gt;0")</f>
        <v>0</v>
      </c>
      <c r="BH98" s="215" t="str">
        <f t="shared" si="112"/>
        <v/>
      </c>
      <c r="BI98" s="215" t="str">
        <f t="shared" si="113"/>
        <v/>
      </c>
      <c r="BJ98" s="215" t="str">
        <f t="shared" si="114"/>
        <v/>
      </c>
      <c r="BK98" s="215" t="str">
        <f t="shared" si="115"/>
        <v/>
      </c>
      <c r="BL98" s="215" t="str">
        <f t="shared" si="116"/>
        <v/>
      </c>
      <c r="BM98" s="215" t="str">
        <f t="shared" si="117"/>
        <v/>
      </c>
      <c r="BN98" s="215" t="str">
        <f t="shared" si="118"/>
        <v/>
      </c>
      <c r="BO98" s="215" t="str">
        <f t="shared" si="119"/>
        <v/>
      </c>
      <c r="BP98" s="215" t="str">
        <f t="shared" si="120"/>
        <v/>
      </c>
      <c r="BQ98" s="216"/>
      <c r="BR98" s="214"/>
      <c r="BS98" s="215">
        <f t="shared" ref="BS98:BS108" si="128">MAX(BH98:BP98)</f>
        <v>0</v>
      </c>
      <c r="BT98" s="215">
        <f t="shared" ref="BT98:BT108" si="129">IF(BS98&lt;MAX(BS:BS),0,BS98+ROW()/1000000000)</f>
        <v>0</v>
      </c>
      <c r="BU98" s="215" t="str">
        <f t="shared" ref="BU98:BU108" si="130">+BU97</f>
        <v>BK München 3</v>
      </c>
      <c r="BV98" s="214">
        <f t="shared" ref="BV98:BV108" si="131">RANK(BT98,BT:BT)</f>
        <v>2</v>
      </c>
      <c r="BW98" s="215">
        <f t="shared" ref="BW98:BW108" si="132">SUMIF(BH98:BP98,"&gt;0")</f>
        <v>0</v>
      </c>
      <c r="BX98" s="215">
        <f>IF(COUNTIF(BH98:BP98,"&gt;0")&lt;Spielorte!$A$23,0,BE98/Spielorte!$A$23)</f>
        <v>0</v>
      </c>
      <c r="BY98" s="215">
        <f t="shared" ref="BY98:BY108" si="133">IF(BX98&lt;MAX(BX:BX),0,BX98+ROW()/1000000000)</f>
        <v>0</v>
      </c>
      <c r="BZ98" s="214">
        <f t="shared" si="121"/>
        <v>0</v>
      </c>
    </row>
    <row r="99" spans="1:78" ht="17.2" customHeight="1" thickBot="1" x14ac:dyDescent="0.4">
      <c r="A99" s="369"/>
      <c r="B99" s="79" t="str">
        <f t="shared" si="122"/>
        <v/>
      </c>
      <c r="C99" s="80" t="str">
        <f t="shared" si="122"/>
        <v/>
      </c>
      <c r="D99" s="69" t="str">
        <f t="shared" si="122"/>
        <v/>
      </c>
      <c r="E99" s="350"/>
      <c r="F99" s="69" t="str">
        <f t="shared" si="103"/>
        <v/>
      </c>
      <c r="G99" s="350"/>
      <c r="H99" s="69" t="str">
        <f t="shared" si="104"/>
        <v/>
      </c>
      <c r="I99" s="350"/>
      <c r="J99" s="69" t="str">
        <f t="shared" si="105"/>
        <v/>
      </c>
      <c r="K99" s="350"/>
      <c r="L99" s="69" t="str">
        <f t="shared" si="106"/>
        <v/>
      </c>
      <c r="M99" s="350"/>
      <c r="N99" s="69" t="str">
        <f t="shared" si="123"/>
        <v/>
      </c>
      <c r="O99" s="350"/>
      <c r="P99" s="69" t="str">
        <f t="shared" si="107"/>
        <v/>
      </c>
      <c r="Q99" s="350"/>
      <c r="R99" s="69" t="str">
        <f t="shared" si="108"/>
        <v/>
      </c>
      <c r="S99" s="350"/>
      <c r="T99" s="69" t="str">
        <f t="shared" si="109"/>
        <v/>
      </c>
      <c r="U99" s="350"/>
      <c r="V99" s="69" t="str">
        <f t="shared" si="110"/>
        <v/>
      </c>
      <c r="W99" s="350"/>
      <c r="Z99" s="353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1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4"/>
        <v>0</v>
      </c>
      <c r="BE99" s="213">
        <f t="shared" si="125"/>
        <v>0</v>
      </c>
      <c r="BF99" s="215">
        <f t="shared" si="126"/>
        <v>0</v>
      </c>
      <c r="BG99" s="215">
        <f t="shared" si="127"/>
        <v>0</v>
      </c>
      <c r="BH99" s="215" t="str">
        <f t="shared" si="112"/>
        <v/>
      </c>
      <c r="BI99" s="215" t="str">
        <f t="shared" si="113"/>
        <v/>
      </c>
      <c r="BJ99" s="215" t="str">
        <f t="shared" si="114"/>
        <v/>
      </c>
      <c r="BK99" s="215" t="str">
        <f t="shared" si="115"/>
        <v/>
      </c>
      <c r="BL99" s="215" t="str">
        <f t="shared" si="116"/>
        <v/>
      </c>
      <c r="BM99" s="215" t="str">
        <f t="shared" si="117"/>
        <v/>
      </c>
      <c r="BN99" s="215" t="str">
        <f t="shared" si="118"/>
        <v/>
      </c>
      <c r="BO99" s="215" t="str">
        <f t="shared" si="119"/>
        <v/>
      </c>
      <c r="BP99" s="215" t="str">
        <f t="shared" si="120"/>
        <v/>
      </c>
      <c r="BQ99" s="216"/>
      <c r="BR99" s="214"/>
      <c r="BS99" s="215">
        <f t="shared" si="128"/>
        <v>0</v>
      </c>
      <c r="BT99" s="215">
        <f t="shared" si="129"/>
        <v>0</v>
      </c>
      <c r="BU99" s="215" t="str">
        <f t="shared" si="130"/>
        <v>BK München 3</v>
      </c>
      <c r="BV99" s="214">
        <f t="shared" si="131"/>
        <v>2</v>
      </c>
      <c r="BW99" s="215">
        <f t="shared" si="132"/>
        <v>0</v>
      </c>
      <c r="BX99" s="215">
        <f>IF(COUNTIF(BH99:BP99,"&gt;0")&lt;Spielorte!$A$23,0,BE99/Spielorte!$A$23)</f>
        <v>0</v>
      </c>
      <c r="BY99" s="215">
        <f t="shared" si="133"/>
        <v>0</v>
      </c>
      <c r="BZ99" s="214">
        <f t="shared" si="121"/>
        <v>0</v>
      </c>
    </row>
    <row r="100" spans="1:78" ht="17.2" customHeight="1" x14ac:dyDescent="0.35">
      <c r="A100" s="367" t="s">
        <v>2</v>
      </c>
      <c r="B100" s="73" t="str">
        <f t="shared" si="122"/>
        <v>Hueber, Claudia</v>
      </c>
      <c r="C100" s="74">
        <f t="shared" si="122"/>
        <v>25550</v>
      </c>
      <c r="D100" s="75" t="str">
        <f t="shared" si="122"/>
        <v/>
      </c>
      <c r="E100" s="348">
        <f>IF(AD100="","",AD100)</f>
        <v>0</v>
      </c>
      <c r="F100" s="75" t="str">
        <f t="shared" si="103"/>
        <v/>
      </c>
      <c r="G100" s="348">
        <f>IF(AF100="","",AF100)</f>
        <v>0</v>
      </c>
      <c r="H100" s="75" t="str">
        <f t="shared" si="104"/>
        <v/>
      </c>
      <c r="I100" s="348">
        <f>IF(AH100="","",AH100)</f>
        <v>0</v>
      </c>
      <c r="J100" s="75" t="str">
        <f t="shared" si="105"/>
        <v/>
      </c>
      <c r="K100" s="348">
        <f>IF(AJ100="","",AJ100)</f>
        <v>0</v>
      </c>
      <c r="L100" s="75" t="str">
        <f t="shared" si="106"/>
        <v/>
      </c>
      <c r="M100" s="348">
        <f>IF(AL100="","",AL100)</f>
        <v>0</v>
      </c>
      <c r="N100" s="75" t="str">
        <f t="shared" si="123"/>
        <v/>
      </c>
      <c r="O100" s="348">
        <f>IF(AN100="","",AN100)</f>
        <v>0</v>
      </c>
      <c r="P100" s="75" t="str">
        <f t="shared" si="107"/>
        <v/>
      </c>
      <c r="Q100" s="348">
        <f>IF(AP100="","",AP100)</f>
        <v>0</v>
      </c>
      <c r="R100" s="75" t="str">
        <f t="shared" si="108"/>
        <v/>
      </c>
      <c r="S100" s="348">
        <f>IF(AR100="","",AR100)</f>
        <v>0</v>
      </c>
      <c r="T100" s="75" t="str">
        <f t="shared" si="109"/>
        <v/>
      </c>
      <c r="U100" s="348">
        <f>IF(AT100="","",AT100)</f>
        <v>0</v>
      </c>
      <c r="V100" s="75" t="str">
        <f t="shared" si="110"/>
        <v/>
      </c>
      <c r="W100" s="348">
        <f>IF(AV100="","",AV100)</f>
        <v>0</v>
      </c>
      <c r="Z100" s="351" t="s">
        <v>2</v>
      </c>
      <c r="AA100" s="108" t="str">
        <f>IF(AB100=0,"",VLOOKUP(AB100,Starter!$A$1:$D$199,2,FALSE))</f>
        <v>Hueber, Claudia</v>
      </c>
      <c r="AB100" s="99">
        <v>25550</v>
      </c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1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4"/>
        <v>25550</v>
      </c>
      <c r="BE100" s="213">
        <f t="shared" si="125"/>
        <v>0</v>
      </c>
      <c r="BF100" s="215">
        <f t="shared" si="126"/>
        <v>0</v>
      </c>
      <c r="BG100" s="215">
        <f t="shared" si="127"/>
        <v>0</v>
      </c>
      <c r="BH100" s="215" t="str">
        <f t="shared" si="112"/>
        <v/>
      </c>
      <c r="BI100" s="215" t="str">
        <f t="shared" si="113"/>
        <v/>
      </c>
      <c r="BJ100" s="215" t="str">
        <f t="shared" si="114"/>
        <v/>
      </c>
      <c r="BK100" s="215" t="str">
        <f t="shared" si="115"/>
        <v/>
      </c>
      <c r="BL100" s="215" t="str">
        <f t="shared" si="116"/>
        <v/>
      </c>
      <c r="BM100" s="215" t="str">
        <f t="shared" si="117"/>
        <v/>
      </c>
      <c r="BN100" s="215" t="str">
        <f t="shared" si="118"/>
        <v/>
      </c>
      <c r="BO100" s="215" t="str">
        <f t="shared" si="119"/>
        <v/>
      </c>
      <c r="BP100" s="215" t="str">
        <f t="shared" si="120"/>
        <v/>
      </c>
      <c r="BQ100" s="216"/>
      <c r="BR100" s="214"/>
      <c r="BS100" s="215">
        <f t="shared" si="128"/>
        <v>0</v>
      </c>
      <c r="BT100" s="215">
        <f t="shared" si="129"/>
        <v>0</v>
      </c>
      <c r="BU100" s="215" t="str">
        <f t="shared" si="130"/>
        <v>BK München 3</v>
      </c>
      <c r="BV100" s="214">
        <f t="shared" si="131"/>
        <v>2</v>
      </c>
      <c r="BW100" s="215">
        <f t="shared" si="132"/>
        <v>0</v>
      </c>
      <c r="BX100" s="215">
        <f>IF(COUNTIF(BH100:BP100,"&gt;0")&lt;Spielorte!$A$23,0,BE100/Spielorte!$A$23)</f>
        <v>0</v>
      </c>
      <c r="BY100" s="215">
        <f t="shared" si="133"/>
        <v>0</v>
      </c>
      <c r="BZ100" s="214">
        <f t="shared" si="121"/>
        <v>0</v>
      </c>
    </row>
    <row r="101" spans="1:78" ht="17.2" customHeight="1" x14ac:dyDescent="0.35">
      <c r="A101" s="368"/>
      <c r="B101" s="76" t="str">
        <f t="shared" si="122"/>
        <v/>
      </c>
      <c r="C101" s="77" t="str">
        <f t="shared" si="122"/>
        <v/>
      </c>
      <c r="D101" s="78" t="str">
        <f t="shared" si="122"/>
        <v/>
      </c>
      <c r="E101" s="349"/>
      <c r="F101" s="78" t="str">
        <f t="shared" si="103"/>
        <v/>
      </c>
      <c r="G101" s="349"/>
      <c r="H101" s="78" t="str">
        <f t="shared" si="104"/>
        <v/>
      </c>
      <c r="I101" s="349"/>
      <c r="J101" s="78" t="str">
        <f t="shared" si="105"/>
        <v/>
      </c>
      <c r="K101" s="349"/>
      <c r="L101" s="78" t="str">
        <f t="shared" si="106"/>
        <v/>
      </c>
      <c r="M101" s="349"/>
      <c r="N101" s="78" t="str">
        <f t="shared" si="123"/>
        <v/>
      </c>
      <c r="O101" s="349"/>
      <c r="P101" s="78" t="str">
        <f t="shared" si="107"/>
        <v/>
      </c>
      <c r="Q101" s="349"/>
      <c r="R101" s="78" t="str">
        <f t="shared" si="108"/>
        <v/>
      </c>
      <c r="S101" s="349"/>
      <c r="T101" s="78" t="str">
        <f t="shared" si="109"/>
        <v/>
      </c>
      <c r="U101" s="349"/>
      <c r="V101" s="78" t="str">
        <f t="shared" si="110"/>
        <v/>
      </c>
      <c r="W101" s="349"/>
      <c r="Z101" s="352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1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4"/>
        <v>0</v>
      </c>
      <c r="BE101" s="213">
        <f t="shared" si="125"/>
        <v>0</v>
      </c>
      <c r="BF101" s="215">
        <f t="shared" si="126"/>
        <v>0</v>
      </c>
      <c r="BG101" s="215">
        <f t="shared" si="127"/>
        <v>0</v>
      </c>
      <c r="BH101" s="215" t="str">
        <f t="shared" si="112"/>
        <v/>
      </c>
      <c r="BI101" s="215" t="str">
        <f t="shared" si="113"/>
        <v/>
      </c>
      <c r="BJ101" s="215" t="str">
        <f t="shared" si="114"/>
        <v/>
      </c>
      <c r="BK101" s="215" t="str">
        <f t="shared" si="115"/>
        <v/>
      </c>
      <c r="BL101" s="215" t="str">
        <f t="shared" si="116"/>
        <v/>
      </c>
      <c r="BM101" s="215" t="str">
        <f t="shared" si="117"/>
        <v/>
      </c>
      <c r="BN101" s="215" t="str">
        <f t="shared" si="118"/>
        <v/>
      </c>
      <c r="BO101" s="215" t="str">
        <f t="shared" si="119"/>
        <v/>
      </c>
      <c r="BP101" s="215" t="str">
        <f t="shared" si="120"/>
        <v/>
      </c>
      <c r="BQ101" s="216"/>
      <c r="BR101" s="214"/>
      <c r="BS101" s="215">
        <f t="shared" si="128"/>
        <v>0</v>
      </c>
      <c r="BT101" s="215">
        <f t="shared" si="129"/>
        <v>0</v>
      </c>
      <c r="BU101" s="215" t="str">
        <f t="shared" si="130"/>
        <v>BK München 3</v>
      </c>
      <c r="BV101" s="214">
        <f t="shared" si="131"/>
        <v>2</v>
      </c>
      <c r="BW101" s="215">
        <f t="shared" si="132"/>
        <v>0</v>
      </c>
      <c r="BX101" s="215">
        <f>IF(COUNTIF(BH101:BP101,"&gt;0")&lt;Spielorte!$A$23,0,BE101/Spielorte!$A$23)</f>
        <v>0</v>
      </c>
      <c r="BY101" s="215">
        <f t="shared" si="133"/>
        <v>0</v>
      </c>
      <c r="BZ101" s="214">
        <f t="shared" si="121"/>
        <v>0</v>
      </c>
    </row>
    <row r="102" spans="1:78" ht="17.2" customHeight="1" thickBot="1" x14ac:dyDescent="0.4">
      <c r="A102" s="369"/>
      <c r="B102" s="79" t="str">
        <f t="shared" si="122"/>
        <v/>
      </c>
      <c r="C102" s="80" t="str">
        <f t="shared" si="122"/>
        <v/>
      </c>
      <c r="D102" s="69" t="str">
        <f t="shared" si="122"/>
        <v/>
      </c>
      <c r="E102" s="350"/>
      <c r="F102" s="69" t="str">
        <f t="shared" si="103"/>
        <v/>
      </c>
      <c r="G102" s="350"/>
      <c r="H102" s="69" t="str">
        <f t="shared" si="104"/>
        <v/>
      </c>
      <c r="I102" s="350"/>
      <c r="J102" s="69" t="str">
        <f t="shared" si="105"/>
        <v/>
      </c>
      <c r="K102" s="350"/>
      <c r="L102" s="69" t="str">
        <f t="shared" si="106"/>
        <v/>
      </c>
      <c r="M102" s="350"/>
      <c r="N102" s="69" t="str">
        <f t="shared" si="123"/>
        <v/>
      </c>
      <c r="O102" s="350"/>
      <c r="P102" s="69" t="str">
        <f t="shared" si="107"/>
        <v/>
      </c>
      <c r="Q102" s="350"/>
      <c r="R102" s="69" t="str">
        <f t="shared" si="108"/>
        <v/>
      </c>
      <c r="S102" s="350"/>
      <c r="T102" s="69" t="str">
        <f t="shared" si="109"/>
        <v/>
      </c>
      <c r="U102" s="350"/>
      <c r="V102" s="69" t="str">
        <f t="shared" si="110"/>
        <v/>
      </c>
      <c r="W102" s="350"/>
      <c r="Z102" s="353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1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4"/>
        <v>0</v>
      </c>
      <c r="BE102" s="213">
        <f t="shared" si="125"/>
        <v>0</v>
      </c>
      <c r="BF102" s="215">
        <f t="shared" si="126"/>
        <v>0</v>
      </c>
      <c r="BG102" s="215">
        <f t="shared" si="127"/>
        <v>0</v>
      </c>
      <c r="BH102" s="215" t="str">
        <f t="shared" si="112"/>
        <v/>
      </c>
      <c r="BI102" s="215" t="str">
        <f t="shared" si="113"/>
        <v/>
      </c>
      <c r="BJ102" s="215" t="str">
        <f t="shared" si="114"/>
        <v/>
      </c>
      <c r="BK102" s="215" t="str">
        <f t="shared" si="115"/>
        <v/>
      </c>
      <c r="BL102" s="215" t="str">
        <f t="shared" si="116"/>
        <v/>
      </c>
      <c r="BM102" s="215" t="str">
        <f t="shared" si="117"/>
        <v/>
      </c>
      <c r="BN102" s="215" t="str">
        <f t="shared" si="118"/>
        <v/>
      </c>
      <c r="BO102" s="215" t="str">
        <f t="shared" si="119"/>
        <v/>
      </c>
      <c r="BP102" s="215" t="str">
        <f t="shared" si="120"/>
        <v/>
      </c>
      <c r="BQ102" s="216"/>
      <c r="BR102" s="214"/>
      <c r="BS102" s="215">
        <f t="shared" si="128"/>
        <v>0</v>
      </c>
      <c r="BT102" s="215">
        <f t="shared" si="129"/>
        <v>0</v>
      </c>
      <c r="BU102" s="215" t="str">
        <f t="shared" si="130"/>
        <v>BK München 3</v>
      </c>
      <c r="BV102" s="214">
        <f t="shared" si="131"/>
        <v>2</v>
      </c>
      <c r="BW102" s="215">
        <f t="shared" si="132"/>
        <v>0</v>
      </c>
      <c r="BX102" s="215">
        <f>IF(COUNTIF(BH102:BP102,"&gt;0")&lt;Spielorte!$A$23,0,BE102/Spielorte!$A$23)</f>
        <v>0</v>
      </c>
      <c r="BY102" s="215">
        <f t="shared" si="133"/>
        <v>0</v>
      </c>
      <c r="BZ102" s="214">
        <f t="shared" si="121"/>
        <v>0</v>
      </c>
    </row>
    <row r="103" spans="1:78" ht="17.2" customHeight="1" x14ac:dyDescent="0.35">
      <c r="A103" s="367" t="s">
        <v>3</v>
      </c>
      <c r="B103" s="73" t="str">
        <f t="shared" si="122"/>
        <v>Waigel, Petra</v>
      </c>
      <c r="C103" s="74">
        <f t="shared" si="122"/>
        <v>7061</v>
      </c>
      <c r="D103" s="75" t="str">
        <f t="shared" si="122"/>
        <v/>
      </c>
      <c r="E103" s="348">
        <f>IF(AD103="","",AD103)</f>
        <v>0</v>
      </c>
      <c r="F103" s="75" t="str">
        <f t="shared" si="103"/>
        <v/>
      </c>
      <c r="G103" s="348">
        <f>IF(AF103="","",AF103)</f>
        <v>0</v>
      </c>
      <c r="H103" s="75" t="str">
        <f t="shared" si="104"/>
        <v/>
      </c>
      <c r="I103" s="348">
        <f>IF(AH103="","",AH103)</f>
        <v>0</v>
      </c>
      <c r="J103" s="75" t="str">
        <f t="shared" si="105"/>
        <v/>
      </c>
      <c r="K103" s="348">
        <f>IF(AJ103="","",AJ103)</f>
        <v>0</v>
      </c>
      <c r="L103" s="75" t="str">
        <f t="shared" si="106"/>
        <v/>
      </c>
      <c r="M103" s="348">
        <f>IF(AL103="","",AL103)</f>
        <v>0</v>
      </c>
      <c r="N103" s="75" t="str">
        <f t="shared" si="123"/>
        <v/>
      </c>
      <c r="O103" s="348">
        <f>IF(AN103="","",AN103)</f>
        <v>0</v>
      </c>
      <c r="P103" s="75" t="str">
        <f t="shared" si="107"/>
        <v/>
      </c>
      <c r="Q103" s="348">
        <f>IF(AP103="","",AP103)</f>
        <v>0</v>
      </c>
      <c r="R103" s="75" t="str">
        <f t="shared" si="108"/>
        <v/>
      </c>
      <c r="S103" s="348">
        <f>IF(AR103="","",AR103)</f>
        <v>0</v>
      </c>
      <c r="T103" s="75" t="str">
        <f t="shared" si="109"/>
        <v/>
      </c>
      <c r="U103" s="348">
        <f>IF(AT103="","",AT103)</f>
        <v>0</v>
      </c>
      <c r="V103" s="75" t="str">
        <f t="shared" si="110"/>
        <v/>
      </c>
      <c r="W103" s="348">
        <f>IF(AV103="","",AV103)</f>
        <v>0</v>
      </c>
      <c r="Z103" s="351" t="s">
        <v>3</v>
      </c>
      <c r="AA103" s="108" t="str">
        <f>IF(AB103=0,"",VLOOKUP(AB103,Starter!$A$1:$D$199,2,FALSE))</f>
        <v>Waigel, Petra</v>
      </c>
      <c r="AB103" s="99">
        <v>7061</v>
      </c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1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4"/>
        <v>7061</v>
      </c>
      <c r="BE103" s="213">
        <f t="shared" si="125"/>
        <v>0</v>
      </c>
      <c r="BF103" s="215">
        <f t="shared" si="126"/>
        <v>0</v>
      </c>
      <c r="BG103" s="215">
        <f t="shared" si="127"/>
        <v>0</v>
      </c>
      <c r="BH103" s="215" t="str">
        <f t="shared" si="112"/>
        <v/>
      </c>
      <c r="BI103" s="215" t="str">
        <f t="shared" si="113"/>
        <v/>
      </c>
      <c r="BJ103" s="215" t="str">
        <f t="shared" si="114"/>
        <v/>
      </c>
      <c r="BK103" s="215" t="str">
        <f t="shared" si="115"/>
        <v/>
      </c>
      <c r="BL103" s="215" t="str">
        <f t="shared" si="116"/>
        <v/>
      </c>
      <c r="BM103" s="215" t="str">
        <f t="shared" si="117"/>
        <v/>
      </c>
      <c r="BN103" s="215" t="str">
        <f t="shared" si="118"/>
        <v/>
      </c>
      <c r="BO103" s="215" t="str">
        <f t="shared" si="119"/>
        <v/>
      </c>
      <c r="BP103" s="215" t="str">
        <f t="shared" si="120"/>
        <v/>
      </c>
      <c r="BQ103" s="216"/>
      <c r="BR103" s="214"/>
      <c r="BS103" s="215">
        <f t="shared" si="128"/>
        <v>0</v>
      </c>
      <c r="BT103" s="215">
        <f t="shared" si="129"/>
        <v>0</v>
      </c>
      <c r="BU103" s="215" t="str">
        <f t="shared" si="130"/>
        <v>BK München 3</v>
      </c>
      <c r="BV103" s="214">
        <f t="shared" si="131"/>
        <v>2</v>
      </c>
      <c r="BW103" s="215">
        <f t="shared" si="132"/>
        <v>0</v>
      </c>
      <c r="BX103" s="215">
        <f>IF(COUNTIF(BH103:BP103,"&gt;0")&lt;Spielorte!$A$23,0,BE103/Spielorte!$A$23)</f>
        <v>0</v>
      </c>
      <c r="BY103" s="215">
        <f t="shared" si="133"/>
        <v>0</v>
      </c>
      <c r="BZ103" s="214">
        <f t="shared" si="121"/>
        <v>0</v>
      </c>
    </row>
    <row r="104" spans="1:78" ht="17.2" customHeight="1" x14ac:dyDescent="0.35">
      <c r="A104" s="368"/>
      <c r="B104" s="76" t="str">
        <f t="shared" si="122"/>
        <v>Schott, Nicole</v>
      </c>
      <c r="C104" s="77">
        <f t="shared" si="122"/>
        <v>16595</v>
      </c>
      <c r="D104" s="78" t="str">
        <f t="shared" si="122"/>
        <v/>
      </c>
      <c r="E104" s="349"/>
      <c r="F104" s="78" t="str">
        <f t="shared" si="103"/>
        <v/>
      </c>
      <c r="G104" s="349"/>
      <c r="H104" s="78" t="str">
        <f t="shared" si="104"/>
        <v/>
      </c>
      <c r="I104" s="349"/>
      <c r="J104" s="78" t="str">
        <f t="shared" si="105"/>
        <v/>
      </c>
      <c r="K104" s="349"/>
      <c r="L104" s="78" t="str">
        <f t="shared" si="106"/>
        <v/>
      </c>
      <c r="M104" s="349"/>
      <c r="N104" s="78" t="str">
        <f t="shared" si="123"/>
        <v/>
      </c>
      <c r="O104" s="349"/>
      <c r="P104" s="78" t="str">
        <f t="shared" si="107"/>
        <v/>
      </c>
      <c r="Q104" s="349"/>
      <c r="R104" s="78" t="str">
        <f t="shared" si="108"/>
        <v/>
      </c>
      <c r="S104" s="349"/>
      <c r="T104" s="78" t="str">
        <f t="shared" si="109"/>
        <v/>
      </c>
      <c r="U104" s="349"/>
      <c r="V104" s="78" t="str">
        <f t="shared" si="110"/>
        <v/>
      </c>
      <c r="W104" s="349"/>
      <c r="Z104" s="352"/>
      <c r="AA104" s="108" t="str">
        <f>IF(AB104=0,"",VLOOKUP(AB104,Starter!$A$1:$D$199,2,FALSE))</f>
        <v>Schott, Nicole</v>
      </c>
      <c r="AB104" s="98">
        <v>16595</v>
      </c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1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4"/>
        <v>16595</v>
      </c>
      <c r="BE104" s="213">
        <f t="shared" si="125"/>
        <v>0</v>
      </c>
      <c r="BF104" s="215">
        <f t="shared" si="126"/>
        <v>0</v>
      </c>
      <c r="BG104" s="215">
        <f t="shared" si="127"/>
        <v>0</v>
      </c>
      <c r="BH104" s="215" t="str">
        <f t="shared" si="112"/>
        <v/>
      </c>
      <c r="BI104" s="215" t="str">
        <f t="shared" si="113"/>
        <v/>
      </c>
      <c r="BJ104" s="215" t="str">
        <f t="shared" si="114"/>
        <v/>
      </c>
      <c r="BK104" s="215" t="str">
        <f t="shared" si="115"/>
        <v/>
      </c>
      <c r="BL104" s="215" t="str">
        <f t="shared" si="116"/>
        <v/>
      </c>
      <c r="BM104" s="215" t="str">
        <f t="shared" si="117"/>
        <v/>
      </c>
      <c r="BN104" s="215" t="str">
        <f t="shared" si="118"/>
        <v/>
      </c>
      <c r="BO104" s="215" t="str">
        <f t="shared" si="119"/>
        <v/>
      </c>
      <c r="BP104" s="215" t="str">
        <f t="shared" si="120"/>
        <v/>
      </c>
      <c r="BQ104" s="216"/>
      <c r="BR104" s="214"/>
      <c r="BS104" s="215">
        <f t="shared" si="128"/>
        <v>0</v>
      </c>
      <c r="BT104" s="215">
        <f t="shared" si="129"/>
        <v>0</v>
      </c>
      <c r="BU104" s="215" t="str">
        <f t="shared" si="130"/>
        <v>BK München 3</v>
      </c>
      <c r="BV104" s="214">
        <f t="shared" si="131"/>
        <v>2</v>
      </c>
      <c r="BW104" s="215">
        <f t="shared" si="132"/>
        <v>0</v>
      </c>
      <c r="BX104" s="215">
        <f>IF(COUNTIF(BH104:BP104,"&gt;0")&lt;Spielorte!$A$23,0,BE104/Spielorte!$A$23)</f>
        <v>0</v>
      </c>
      <c r="BY104" s="215">
        <f t="shared" si="133"/>
        <v>0</v>
      </c>
      <c r="BZ104" s="214">
        <f t="shared" si="121"/>
        <v>0</v>
      </c>
    </row>
    <row r="105" spans="1:78" ht="17.2" customHeight="1" thickBot="1" x14ac:dyDescent="0.4">
      <c r="A105" s="369"/>
      <c r="B105" s="79" t="str">
        <f t="shared" si="122"/>
        <v/>
      </c>
      <c r="C105" s="80" t="str">
        <f t="shared" si="122"/>
        <v/>
      </c>
      <c r="D105" s="69" t="str">
        <f t="shared" si="122"/>
        <v/>
      </c>
      <c r="E105" s="350"/>
      <c r="F105" s="69" t="str">
        <f t="shared" si="103"/>
        <v/>
      </c>
      <c r="G105" s="350"/>
      <c r="H105" s="69" t="str">
        <f t="shared" si="104"/>
        <v/>
      </c>
      <c r="I105" s="350"/>
      <c r="J105" s="69" t="str">
        <f t="shared" si="105"/>
        <v/>
      </c>
      <c r="K105" s="350"/>
      <c r="L105" s="69" t="str">
        <f t="shared" si="106"/>
        <v/>
      </c>
      <c r="M105" s="350"/>
      <c r="N105" s="69" t="str">
        <f t="shared" si="123"/>
        <v/>
      </c>
      <c r="O105" s="350"/>
      <c r="P105" s="69" t="str">
        <f t="shared" si="107"/>
        <v/>
      </c>
      <c r="Q105" s="350"/>
      <c r="R105" s="69" t="str">
        <f t="shared" si="108"/>
        <v/>
      </c>
      <c r="S105" s="350"/>
      <c r="T105" s="69" t="str">
        <f t="shared" si="109"/>
        <v/>
      </c>
      <c r="U105" s="350"/>
      <c r="V105" s="69" t="str">
        <f t="shared" si="110"/>
        <v/>
      </c>
      <c r="W105" s="350"/>
      <c r="Z105" s="353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1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4"/>
        <v>0</v>
      </c>
      <c r="BE105" s="213">
        <f t="shared" si="125"/>
        <v>0</v>
      </c>
      <c r="BF105" s="215">
        <f t="shared" si="126"/>
        <v>0</v>
      </c>
      <c r="BG105" s="215">
        <f t="shared" si="127"/>
        <v>0</v>
      </c>
      <c r="BH105" s="215" t="str">
        <f t="shared" si="112"/>
        <v/>
      </c>
      <c r="BI105" s="215" t="str">
        <f t="shared" si="113"/>
        <v/>
      </c>
      <c r="BJ105" s="215" t="str">
        <f t="shared" si="114"/>
        <v/>
      </c>
      <c r="BK105" s="215" t="str">
        <f t="shared" si="115"/>
        <v/>
      </c>
      <c r="BL105" s="215" t="str">
        <f t="shared" si="116"/>
        <v/>
      </c>
      <c r="BM105" s="215" t="str">
        <f t="shared" si="117"/>
        <v/>
      </c>
      <c r="BN105" s="215" t="str">
        <f t="shared" si="118"/>
        <v/>
      </c>
      <c r="BO105" s="215" t="str">
        <f t="shared" si="119"/>
        <v/>
      </c>
      <c r="BP105" s="215" t="str">
        <f t="shared" si="120"/>
        <v/>
      </c>
      <c r="BQ105" s="216"/>
      <c r="BR105" s="214"/>
      <c r="BS105" s="215">
        <f t="shared" si="128"/>
        <v>0</v>
      </c>
      <c r="BT105" s="215">
        <f t="shared" si="129"/>
        <v>0</v>
      </c>
      <c r="BU105" s="215" t="str">
        <f t="shared" si="130"/>
        <v>BK München 3</v>
      </c>
      <c r="BV105" s="214">
        <f t="shared" si="131"/>
        <v>2</v>
      </c>
      <c r="BW105" s="215">
        <f t="shared" si="132"/>
        <v>0</v>
      </c>
      <c r="BX105" s="215">
        <f>IF(COUNTIF(BH105:BP105,"&gt;0")&lt;Spielorte!$A$23,0,BE105/Spielorte!$A$23)</f>
        <v>0</v>
      </c>
      <c r="BY105" s="215">
        <f t="shared" si="133"/>
        <v>0</v>
      </c>
      <c r="BZ105" s="214">
        <f t="shared" si="121"/>
        <v>0</v>
      </c>
    </row>
    <row r="106" spans="1:78" ht="17.2" customHeight="1" x14ac:dyDescent="0.35">
      <c r="A106" s="367" t="s">
        <v>11</v>
      </c>
      <c r="B106" s="73" t="str">
        <f>IF(AA106=0,"",AA106)</f>
        <v>Schott, Nicole</v>
      </c>
      <c r="C106" s="74">
        <f t="shared" si="122"/>
        <v>16595</v>
      </c>
      <c r="D106" s="75" t="str">
        <f t="shared" si="122"/>
        <v/>
      </c>
      <c r="E106" s="348">
        <f>IF(AD106="","",AD106)</f>
        <v>0</v>
      </c>
      <c r="F106" s="75" t="str">
        <f t="shared" si="103"/>
        <v/>
      </c>
      <c r="G106" s="348">
        <f>IF(AF106="","",AF106)</f>
        <v>0</v>
      </c>
      <c r="H106" s="75" t="str">
        <f t="shared" si="104"/>
        <v/>
      </c>
      <c r="I106" s="348">
        <f>IF(AH106="","",AH106)</f>
        <v>0</v>
      </c>
      <c r="J106" s="75" t="str">
        <f t="shared" si="105"/>
        <v/>
      </c>
      <c r="K106" s="348">
        <f>IF(AJ106="","",AJ106)</f>
        <v>0</v>
      </c>
      <c r="L106" s="75" t="str">
        <f t="shared" si="106"/>
        <v/>
      </c>
      <c r="M106" s="348">
        <f>IF(AL106="","",AL106)</f>
        <v>0</v>
      </c>
      <c r="N106" s="75" t="str">
        <f t="shared" si="123"/>
        <v/>
      </c>
      <c r="O106" s="348">
        <f>IF(AN106="","",AN106)</f>
        <v>0</v>
      </c>
      <c r="P106" s="75" t="str">
        <f t="shared" si="107"/>
        <v/>
      </c>
      <c r="Q106" s="348">
        <f>IF(AP106="","",AP106)</f>
        <v>0</v>
      </c>
      <c r="R106" s="75" t="str">
        <f t="shared" si="108"/>
        <v/>
      </c>
      <c r="S106" s="348">
        <f>IF(AR106="","",AR106)</f>
        <v>0</v>
      </c>
      <c r="T106" s="75" t="str">
        <f t="shared" si="109"/>
        <v/>
      </c>
      <c r="U106" s="348">
        <f>IF(AT106="","",AT106)</f>
        <v>0</v>
      </c>
      <c r="V106" s="75" t="str">
        <f t="shared" si="110"/>
        <v/>
      </c>
      <c r="W106" s="348">
        <f>IF(AV106="","",AV106)</f>
        <v>0</v>
      </c>
      <c r="Z106" s="351" t="s">
        <v>11</v>
      </c>
      <c r="AA106" s="108" t="str">
        <f>IF(AB106=0,"",VLOOKUP(AB106,Starter!$A$1:$D$199,2,FALSE))</f>
        <v>Schott, Nicole</v>
      </c>
      <c r="AB106" s="99">
        <v>16595</v>
      </c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1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4"/>
        <v>16595</v>
      </c>
      <c r="BE106" s="213">
        <f t="shared" si="125"/>
        <v>0</v>
      </c>
      <c r="BF106" s="215">
        <f t="shared" si="126"/>
        <v>0</v>
      </c>
      <c r="BG106" s="215">
        <f t="shared" si="127"/>
        <v>0</v>
      </c>
      <c r="BH106" s="215" t="str">
        <f t="shared" si="112"/>
        <v/>
      </c>
      <c r="BI106" s="215" t="str">
        <f t="shared" si="113"/>
        <v/>
      </c>
      <c r="BJ106" s="215" t="str">
        <f t="shared" si="114"/>
        <v/>
      </c>
      <c r="BK106" s="215" t="str">
        <f t="shared" si="115"/>
        <v/>
      </c>
      <c r="BL106" s="215" t="str">
        <f t="shared" si="116"/>
        <v/>
      </c>
      <c r="BM106" s="215" t="str">
        <f t="shared" si="117"/>
        <v/>
      </c>
      <c r="BN106" s="215" t="str">
        <f t="shared" si="118"/>
        <v/>
      </c>
      <c r="BO106" s="215" t="str">
        <f t="shared" si="119"/>
        <v/>
      </c>
      <c r="BP106" s="215" t="str">
        <f t="shared" si="120"/>
        <v/>
      </c>
      <c r="BQ106" s="216"/>
      <c r="BR106" s="214"/>
      <c r="BS106" s="215">
        <f t="shared" si="128"/>
        <v>0</v>
      </c>
      <c r="BT106" s="215">
        <f t="shared" si="129"/>
        <v>0</v>
      </c>
      <c r="BU106" s="215" t="str">
        <f t="shared" si="130"/>
        <v>BK München 3</v>
      </c>
      <c r="BV106" s="214">
        <f t="shared" si="131"/>
        <v>2</v>
      </c>
      <c r="BW106" s="215">
        <f t="shared" si="132"/>
        <v>0</v>
      </c>
      <c r="BX106" s="215">
        <f>IF(COUNTIF(BH106:BP106,"&gt;0")&lt;Spielorte!$A$23,0,BE106/Spielorte!$A$23)</f>
        <v>0</v>
      </c>
      <c r="BY106" s="215">
        <f t="shared" si="133"/>
        <v>0</v>
      </c>
      <c r="BZ106" s="214">
        <f t="shared" si="121"/>
        <v>0</v>
      </c>
    </row>
    <row r="107" spans="1:78" ht="17.2" customHeight="1" x14ac:dyDescent="0.35">
      <c r="A107" s="368"/>
      <c r="B107" s="76" t="str">
        <f>IF(AA107=0,"",AA107)</f>
        <v>Dietrich, Ulrike</v>
      </c>
      <c r="C107" s="77">
        <f t="shared" si="122"/>
        <v>25808</v>
      </c>
      <c r="D107" s="78" t="str">
        <f t="shared" si="122"/>
        <v/>
      </c>
      <c r="E107" s="349"/>
      <c r="F107" s="78" t="str">
        <f t="shared" si="103"/>
        <v/>
      </c>
      <c r="G107" s="349"/>
      <c r="H107" s="78" t="str">
        <f t="shared" si="104"/>
        <v/>
      </c>
      <c r="I107" s="349"/>
      <c r="J107" s="78" t="str">
        <f t="shared" si="105"/>
        <v/>
      </c>
      <c r="K107" s="349"/>
      <c r="L107" s="78" t="str">
        <f t="shared" si="106"/>
        <v/>
      </c>
      <c r="M107" s="349"/>
      <c r="N107" s="78" t="str">
        <f t="shared" si="123"/>
        <v/>
      </c>
      <c r="O107" s="349"/>
      <c r="P107" s="78" t="str">
        <f t="shared" si="107"/>
        <v/>
      </c>
      <c r="Q107" s="349"/>
      <c r="R107" s="78" t="str">
        <f t="shared" si="108"/>
        <v/>
      </c>
      <c r="S107" s="349"/>
      <c r="T107" s="78" t="str">
        <f t="shared" si="109"/>
        <v/>
      </c>
      <c r="U107" s="349"/>
      <c r="V107" s="78" t="str">
        <f t="shared" si="110"/>
        <v/>
      </c>
      <c r="W107" s="349"/>
      <c r="Z107" s="352"/>
      <c r="AA107" s="108" t="str">
        <f>IF(AB107=0,"",VLOOKUP(AB107,Starter!$A$1:$D$199,2,FALSE))</f>
        <v>Dietrich, Ulrike</v>
      </c>
      <c r="AB107" s="98">
        <v>25808</v>
      </c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1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4"/>
        <v>25808</v>
      </c>
      <c r="BE107" s="213">
        <f t="shared" si="125"/>
        <v>0</v>
      </c>
      <c r="BF107" s="215">
        <f t="shared" si="126"/>
        <v>0</v>
      </c>
      <c r="BG107" s="215">
        <f t="shared" si="127"/>
        <v>0</v>
      </c>
      <c r="BH107" s="215" t="str">
        <f t="shared" si="112"/>
        <v/>
      </c>
      <c r="BI107" s="215" t="str">
        <f t="shared" si="113"/>
        <v/>
      </c>
      <c r="BJ107" s="215" t="str">
        <f t="shared" si="114"/>
        <v/>
      </c>
      <c r="BK107" s="215" t="str">
        <f t="shared" si="115"/>
        <v/>
      </c>
      <c r="BL107" s="215" t="str">
        <f t="shared" si="116"/>
        <v/>
      </c>
      <c r="BM107" s="215" t="str">
        <f t="shared" si="117"/>
        <v/>
      </c>
      <c r="BN107" s="215" t="str">
        <f t="shared" si="118"/>
        <v/>
      </c>
      <c r="BO107" s="215" t="str">
        <f t="shared" si="119"/>
        <v/>
      </c>
      <c r="BP107" s="215" t="str">
        <f t="shared" si="120"/>
        <v/>
      </c>
      <c r="BQ107" s="216"/>
      <c r="BR107" s="214"/>
      <c r="BS107" s="215">
        <f t="shared" si="128"/>
        <v>0</v>
      </c>
      <c r="BT107" s="215">
        <f t="shared" si="129"/>
        <v>0</v>
      </c>
      <c r="BU107" s="215" t="str">
        <f t="shared" si="130"/>
        <v>BK München 3</v>
      </c>
      <c r="BV107" s="214">
        <f t="shared" si="131"/>
        <v>2</v>
      </c>
      <c r="BW107" s="215">
        <f t="shared" si="132"/>
        <v>0</v>
      </c>
      <c r="BX107" s="215">
        <f>IF(COUNTIF(BH107:BP107,"&gt;0")&lt;Spielorte!$A$23,0,BE107/Spielorte!$A$23)</f>
        <v>0</v>
      </c>
      <c r="BY107" s="215">
        <f t="shared" si="133"/>
        <v>0</v>
      </c>
      <c r="BZ107" s="214">
        <f t="shared" si="121"/>
        <v>0</v>
      </c>
    </row>
    <row r="108" spans="1:78" ht="17.2" customHeight="1" thickBot="1" x14ac:dyDescent="0.4">
      <c r="A108" s="369"/>
      <c r="B108" s="79" t="str">
        <f>IF(AA108=0,"",AA108)</f>
        <v/>
      </c>
      <c r="C108" s="80" t="str">
        <f t="shared" si="122"/>
        <v/>
      </c>
      <c r="D108" s="69" t="str">
        <f t="shared" si="122"/>
        <v/>
      </c>
      <c r="E108" s="350"/>
      <c r="F108" s="69" t="str">
        <f t="shared" si="103"/>
        <v/>
      </c>
      <c r="G108" s="350"/>
      <c r="H108" s="69" t="str">
        <f t="shared" si="104"/>
        <v/>
      </c>
      <c r="I108" s="350"/>
      <c r="J108" s="69" t="str">
        <f t="shared" si="105"/>
        <v/>
      </c>
      <c r="K108" s="350"/>
      <c r="L108" s="69" t="str">
        <f t="shared" si="106"/>
        <v/>
      </c>
      <c r="M108" s="350"/>
      <c r="N108" s="69" t="str">
        <f t="shared" si="123"/>
        <v/>
      </c>
      <c r="O108" s="350"/>
      <c r="P108" s="69" t="str">
        <f t="shared" si="107"/>
        <v/>
      </c>
      <c r="Q108" s="350"/>
      <c r="R108" s="69" t="str">
        <f t="shared" si="108"/>
        <v/>
      </c>
      <c r="S108" s="350"/>
      <c r="T108" s="69" t="str">
        <f t="shared" si="109"/>
        <v/>
      </c>
      <c r="U108" s="350"/>
      <c r="V108" s="69" t="str">
        <f t="shared" si="110"/>
        <v/>
      </c>
      <c r="W108" s="350"/>
      <c r="Z108" s="353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1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4"/>
        <v>0</v>
      </c>
      <c r="BE108" s="213">
        <f t="shared" si="125"/>
        <v>0</v>
      </c>
      <c r="BF108" s="215">
        <f t="shared" si="126"/>
        <v>0</v>
      </c>
      <c r="BG108" s="215">
        <f t="shared" si="127"/>
        <v>0</v>
      </c>
      <c r="BH108" s="215" t="str">
        <f t="shared" si="112"/>
        <v/>
      </c>
      <c r="BI108" s="215" t="str">
        <f t="shared" si="113"/>
        <v/>
      </c>
      <c r="BJ108" s="215" t="str">
        <f t="shared" si="114"/>
        <v/>
      </c>
      <c r="BK108" s="215" t="str">
        <f t="shared" si="115"/>
        <v/>
      </c>
      <c r="BL108" s="215" t="str">
        <f t="shared" si="116"/>
        <v/>
      </c>
      <c r="BM108" s="215" t="str">
        <f t="shared" si="117"/>
        <v/>
      </c>
      <c r="BN108" s="215" t="str">
        <f t="shared" si="118"/>
        <v/>
      </c>
      <c r="BO108" s="215" t="str">
        <f t="shared" si="119"/>
        <v/>
      </c>
      <c r="BP108" s="215" t="str">
        <f t="shared" si="120"/>
        <v/>
      </c>
      <c r="BQ108" s="216"/>
      <c r="BR108" s="214"/>
      <c r="BS108" s="215">
        <f t="shared" si="128"/>
        <v>0</v>
      </c>
      <c r="BT108" s="215">
        <f t="shared" si="129"/>
        <v>0</v>
      </c>
      <c r="BU108" s="215" t="str">
        <f t="shared" si="130"/>
        <v>BK München 3</v>
      </c>
      <c r="BV108" s="214">
        <f t="shared" si="131"/>
        <v>2</v>
      </c>
      <c r="BW108" s="215">
        <f t="shared" si="132"/>
        <v>0</v>
      </c>
      <c r="BX108" s="215">
        <f>IF(COUNTIF(BH108:BP108,"&gt;0")&lt;Spielorte!$A$23,0,BE108/Spielorte!$A$23)</f>
        <v>0</v>
      </c>
      <c r="BY108" s="215">
        <f t="shared" si="133"/>
        <v>0</v>
      </c>
      <c r="BZ108" s="214">
        <f t="shared" si="121"/>
        <v>0</v>
      </c>
    </row>
    <row r="109" spans="1:78" ht="27.75" customHeight="1" thickBot="1" x14ac:dyDescent="0.4">
      <c r="B109" s="81" t="str">
        <f>IF(AA109=0,"",AA109)</f>
        <v>Gesamt</v>
      </c>
      <c r="C109" s="82" t="str">
        <f t="shared" si="122"/>
        <v/>
      </c>
      <c r="D109" s="83" t="str">
        <f t="shared" si="122"/>
        <v/>
      </c>
      <c r="E109" s="84">
        <f>IF(AD109="","",AD109)</f>
        <v>0</v>
      </c>
      <c r="F109" s="83" t="str">
        <f t="shared" si="103"/>
        <v/>
      </c>
      <c r="G109" s="84">
        <f>IF(AF109="","",AF109)</f>
        <v>0</v>
      </c>
      <c r="H109" s="83" t="str">
        <f t="shared" si="104"/>
        <v/>
      </c>
      <c r="I109" s="84">
        <f>IF(AH109="","",AH109)</f>
        <v>0</v>
      </c>
      <c r="J109" s="83" t="str">
        <f t="shared" si="105"/>
        <v/>
      </c>
      <c r="K109" s="84">
        <f>IF(AJ109="","",AJ109)</f>
        <v>0</v>
      </c>
      <c r="L109" s="83" t="str">
        <f t="shared" si="106"/>
        <v/>
      </c>
      <c r="M109" s="84">
        <f>IF(AL109="","",AL109)</f>
        <v>0</v>
      </c>
      <c r="N109" s="83" t="str">
        <f t="shared" si="123"/>
        <v/>
      </c>
      <c r="O109" s="84">
        <f>IF(AN109="","",AN109)</f>
        <v>0</v>
      </c>
      <c r="P109" s="83" t="str">
        <f t="shared" si="107"/>
        <v/>
      </c>
      <c r="Q109" s="84">
        <f>IF(AP109="","",AP109)</f>
        <v>0</v>
      </c>
      <c r="R109" s="83" t="str">
        <f t="shared" si="108"/>
        <v/>
      </c>
      <c r="S109" s="84">
        <f>IF(AR109="","",AR109)</f>
        <v>0</v>
      </c>
      <c r="T109" s="83" t="str">
        <f t="shared" si="109"/>
        <v/>
      </c>
      <c r="U109" s="84">
        <f>IF(AT109="","",AT109)</f>
        <v>0</v>
      </c>
      <c r="V109" s="83" t="str">
        <f t="shared" si="110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4">
      <c r="B110" s="85" t="str">
        <f>IF(AA110=0,"",AA110)</f>
        <v>Gesamt - Punkte</v>
      </c>
      <c r="C110" s="86" t="str">
        <f t="shared" si="122"/>
        <v/>
      </c>
      <c r="D110" s="86" t="str">
        <f t="shared" si="122"/>
        <v/>
      </c>
      <c r="E110" s="87">
        <f>IF(AD110="","",AD110)</f>
        <v>0</v>
      </c>
      <c r="F110" s="86" t="str">
        <f t="shared" si="103"/>
        <v/>
      </c>
      <c r="G110" s="87">
        <f>IF(AF110="","",AF110)</f>
        <v>0</v>
      </c>
      <c r="H110" s="86" t="str">
        <f t="shared" si="104"/>
        <v/>
      </c>
      <c r="I110" s="87">
        <f>IF(AH110="","",AH110)</f>
        <v>0</v>
      </c>
      <c r="J110" s="86" t="str">
        <f t="shared" si="105"/>
        <v/>
      </c>
      <c r="K110" s="87">
        <f>IF(AJ110="","",AJ110)</f>
        <v>0</v>
      </c>
      <c r="L110" s="86" t="str">
        <f t="shared" si="106"/>
        <v/>
      </c>
      <c r="M110" s="87">
        <f>IF(AL110="","",AL110)</f>
        <v>0</v>
      </c>
      <c r="N110" s="86" t="str">
        <f t="shared" si="123"/>
        <v/>
      </c>
      <c r="O110" s="87">
        <f>IF(AN110="","",AN110)</f>
        <v>0</v>
      </c>
      <c r="P110" s="86" t="str">
        <f t="shared" si="107"/>
        <v/>
      </c>
      <c r="Q110" s="87">
        <f>IF(AP110="","",AP110)</f>
        <v>0</v>
      </c>
      <c r="R110" s="86" t="str">
        <f t="shared" si="108"/>
        <v/>
      </c>
      <c r="S110" s="87">
        <f>IF(AR110="","",AR110)</f>
        <v>0</v>
      </c>
      <c r="T110" s="86" t="str">
        <f t="shared" si="109"/>
        <v/>
      </c>
      <c r="U110" s="87">
        <f>IF(AT110="","",AT110)</f>
        <v>0</v>
      </c>
      <c r="V110" s="86" t="str">
        <f t="shared" si="110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10</v>
      </c>
      <c r="BV110" s="214"/>
      <c r="BZ110" s="214"/>
    </row>
    <row r="111" spans="1:78" ht="11.25" customHeight="1" x14ac:dyDescent="0.3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35">
      <c r="B112" s="88" t="str">
        <f t="shared" ref="B112:K114" si="134">IF(AA112=0,"",AA112)</f>
        <v>Gegner-Nr.:</v>
      </c>
      <c r="C112" s="89" t="str">
        <f t="shared" si="134"/>
        <v>&gt;&gt;&gt;&gt;</v>
      </c>
      <c r="D112" s="346">
        <f t="shared" si="134"/>
        <v>6</v>
      </c>
      <c r="E112" s="346" t="str">
        <f t="shared" si="134"/>
        <v/>
      </c>
      <c r="F112" s="346">
        <f t="shared" si="134"/>
        <v>5</v>
      </c>
      <c r="G112" s="346" t="str">
        <f t="shared" si="134"/>
        <v/>
      </c>
      <c r="H112" s="346">
        <f t="shared" si="134"/>
        <v>9</v>
      </c>
      <c r="I112" s="346" t="str">
        <f t="shared" si="134"/>
        <v/>
      </c>
      <c r="J112" s="346">
        <f t="shared" si="134"/>
        <v>7</v>
      </c>
      <c r="K112" s="346" t="str">
        <f t="shared" si="134"/>
        <v/>
      </c>
      <c r="L112" s="346">
        <f t="shared" ref="L112:U114" si="135">IF(AK112=0,"",AK112)</f>
        <v>8</v>
      </c>
      <c r="M112" s="346" t="str">
        <f t="shared" si="135"/>
        <v/>
      </c>
      <c r="N112" s="346">
        <f t="shared" si="135"/>
        <v>1</v>
      </c>
      <c r="O112" s="346" t="str">
        <f t="shared" si="135"/>
        <v/>
      </c>
      <c r="P112" s="346">
        <f t="shared" si="135"/>
        <v>10</v>
      </c>
      <c r="Q112" s="346" t="str">
        <f t="shared" si="135"/>
        <v/>
      </c>
      <c r="R112" s="346">
        <f t="shared" si="135"/>
        <v>3</v>
      </c>
      <c r="S112" s="346" t="str">
        <f t="shared" si="135"/>
        <v/>
      </c>
      <c r="T112" s="346">
        <f t="shared" si="135"/>
        <v>2</v>
      </c>
      <c r="U112" s="346" t="str">
        <f t="shared" si="135"/>
        <v/>
      </c>
      <c r="V112" s="347"/>
      <c r="W112" s="347"/>
      <c r="AA112" s="88" t="s">
        <v>1797</v>
      </c>
      <c r="AB112" s="89" t="s">
        <v>1798</v>
      </c>
      <c r="AC112" s="370">
        <f>VLOOKUP($AA92,Schlüssel!$A$5:$DG$14,43)</f>
        <v>6</v>
      </c>
      <c r="AD112" s="371"/>
      <c r="AE112" s="370">
        <f>VLOOKUP($AA92,Schlüssel!$A$5:$EK$14,44)</f>
        <v>5</v>
      </c>
      <c r="AF112" s="371"/>
      <c r="AG112" s="370">
        <f>VLOOKUP($AA92,Schlüssel!$A$5:$EK$14,45)</f>
        <v>9</v>
      </c>
      <c r="AH112" s="371"/>
      <c r="AI112" s="370">
        <f>VLOOKUP($AA92,Schlüssel!$A$5:$EK$14,46)</f>
        <v>7</v>
      </c>
      <c r="AJ112" s="371"/>
      <c r="AK112" s="370">
        <f>VLOOKUP($AA92,Schlüssel!$A$5:$EK$14,47)</f>
        <v>8</v>
      </c>
      <c r="AL112" s="371"/>
      <c r="AM112" s="370">
        <f>VLOOKUP($AA92,Schlüssel!$A$5:$EK$14,48)</f>
        <v>1</v>
      </c>
      <c r="AN112" s="371"/>
      <c r="AO112" s="370">
        <f>VLOOKUP($AA92,Schlüssel!$A$5:$EK$14,49)</f>
        <v>10</v>
      </c>
      <c r="AP112" s="371"/>
      <c r="AQ112" s="370">
        <f>VLOOKUP($AA92,Schlüssel!$A$5:$EK$14,50)</f>
        <v>3</v>
      </c>
      <c r="AR112" s="371"/>
      <c r="AS112" s="370">
        <f>VLOOKUP($AA92,Schlüssel!$A$5:$EK$14,51)</f>
        <v>2</v>
      </c>
      <c r="AT112" s="371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35">
      <c r="B113" s="90" t="str">
        <f t="shared" si="134"/>
        <v/>
      </c>
      <c r="C113" s="86" t="str">
        <f t="shared" si="134"/>
        <v/>
      </c>
      <c r="D113" s="343" t="str">
        <f t="shared" si="134"/>
        <v>Phönix 03 Lauf</v>
      </c>
      <c r="E113" s="344" t="str">
        <f t="shared" si="134"/>
        <v/>
      </c>
      <c r="F113" s="343" t="str">
        <f t="shared" si="134"/>
        <v xml:space="preserve">Weiß Blau Unterföhring </v>
      </c>
      <c r="G113" s="344" t="str">
        <f t="shared" si="134"/>
        <v/>
      </c>
      <c r="H113" s="343" t="str">
        <f t="shared" si="134"/>
        <v>RW Lichtenhof 69 Stein 2</v>
      </c>
      <c r="I113" s="344" t="str">
        <f t="shared" si="134"/>
        <v/>
      </c>
      <c r="J113" s="343" t="str">
        <f t="shared" si="134"/>
        <v>Frankenpower Nürnberg</v>
      </c>
      <c r="K113" s="344" t="str">
        <f t="shared" si="134"/>
        <v/>
      </c>
      <c r="L113" s="343" t="str">
        <f t="shared" si="135"/>
        <v>EPA München 1</v>
      </c>
      <c r="M113" s="344" t="str">
        <f t="shared" si="135"/>
        <v/>
      </c>
      <c r="N113" s="343" t="str">
        <f t="shared" si="135"/>
        <v>Praetoria Regensburg</v>
      </c>
      <c r="O113" s="344" t="str">
        <f t="shared" si="135"/>
        <v/>
      </c>
      <c r="P113" s="343" t="str">
        <f t="shared" si="135"/>
        <v>BK München 4</v>
      </c>
      <c r="Q113" s="344" t="str">
        <f t="shared" si="135"/>
        <v/>
      </c>
      <c r="R113" s="343" t="str">
        <f t="shared" si="135"/>
        <v>Highroller Rosenheim</v>
      </c>
      <c r="S113" s="344" t="str">
        <f t="shared" si="135"/>
        <v/>
      </c>
      <c r="T113" s="343" t="str">
        <f t="shared" si="135"/>
        <v>BK München 2</v>
      </c>
      <c r="U113" s="344" t="str">
        <f t="shared" si="135"/>
        <v/>
      </c>
      <c r="V113" s="345"/>
      <c r="W113" s="345"/>
      <c r="AA113" s="90"/>
      <c r="AB113" s="86"/>
      <c r="AC113" s="343" t="str">
        <f>VLOOKUP(AC112,Schlüssel!$A$5:$K$14,2)</f>
        <v>Phönix 03 Lauf</v>
      </c>
      <c r="AD113" s="344"/>
      <c r="AE113" s="343" t="str">
        <f>VLOOKUP(AE112,Schlüssel!$A$5:$K$14,2)</f>
        <v xml:space="preserve">Weiß Blau Unterföhring </v>
      </c>
      <c r="AF113" s="344"/>
      <c r="AG113" s="343" t="str">
        <f>VLOOKUP(AG112,Schlüssel!$A$5:$K$14,2)</f>
        <v>RW Lichtenhof 69 Stein 2</v>
      </c>
      <c r="AH113" s="344"/>
      <c r="AI113" s="343" t="str">
        <f>VLOOKUP(AI112,Schlüssel!$A$5:$K$14,2)</f>
        <v>Frankenpower Nürnberg</v>
      </c>
      <c r="AJ113" s="344"/>
      <c r="AK113" s="343" t="str">
        <f>VLOOKUP(AK112,Schlüssel!$A$5:$K$14,2)</f>
        <v>EPA München 1</v>
      </c>
      <c r="AL113" s="344"/>
      <c r="AM113" s="343" t="str">
        <f>VLOOKUP(AM112,Schlüssel!$A$5:$K$14,2)</f>
        <v>Praetoria Regensburg</v>
      </c>
      <c r="AN113" s="344"/>
      <c r="AO113" s="343" t="str">
        <f>VLOOKUP(AO112,Schlüssel!$A$5:$K$14,2)</f>
        <v>BK München 4</v>
      </c>
      <c r="AP113" s="344"/>
      <c r="AQ113" s="343" t="str">
        <f>VLOOKUP(AQ112,Schlüssel!$A$5:$K$14,2)</f>
        <v>Highroller Rosenheim</v>
      </c>
      <c r="AR113" s="344"/>
      <c r="AS113" s="343" t="str">
        <f>VLOOKUP(AS112,Schlüssel!$A$5:$K$14,2)</f>
        <v>BK München 2</v>
      </c>
      <c r="AT113" s="344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35">
      <c r="B114" s="90" t="str">
        <f t="shared" si="134"/>
        <v/>
      </c>
      <c r="C114" s="86" t="str">
        <f t="shared" si="134"/>
        <v/>
      </c>
      <c r="D114" s="341" t="str">
        <f t="shared" si="134"/>
        <v/>
      </c>
      <c r="E114" s="341" t="str">
        <f t="shared" si="134"/>
        <v/>
      </c>
      <c r="F114" s="341" t="str">
        <f t="shared" si="134"/>
        <v/>
      </c>
      <c r="G114" s="341" t="str">
        <f t="shared" si="134"/>
        <v/>
      </c>
      <c r="H114" s="341" t="str">
        <f t="shared" si="134"/>
        <v/>
      </c>
      <c r="I114" s="341" t="str">
        <f t="shared" si="134"/>
        <v/>
      </c>
      <c r="J114" s="341" t="str">
        <f t="shared" si="134"/>
        <v/>
      </c>
      <c r="K114" s="341" t="str">
        <f t="shared" si="134"/>
        <v/>
      </c>
      <c r="L114" s="341" t="str">
        <f t="shared" si="135"/>
        <v/>
      </c>
      <c r="M114" s="341" t="str">
        <f t="shared" si="135"/>
        <v/>
      </c>
      <c r="N114" s="341" t="str">
        <f t="shared" si="135"/>
        <v/>
      </c>
      <c r="O114" s="341" t="str">
        <f t="shared" si="135"/>
        <v/>
      </c>
      <c r="P114" s="341" t="str">
        <f t="shared" si="135"/>
        <v/>
      </c>
      <c r="Q114" s="341" t="str">
        <f t="shared" si="135"/>
        <v/>
      </c>
      <c r="R114" s="341" t="str">
        <f t="shared" si="135"/>
        <v/>
      </c>
      <c r="S114" s="341" t="str">
        <f t="shared" si="135"/>
        <v/>
      </c>
      <c r="T114" s="341" t="str">
        <f t="shared" si="135"/>
        <v/>
      </c>
      <c r="U114" s="342" t="str">
        <f t="shared" si="135"/>
        <v/>
      </c>
      <c r="V114" s="301"/>
      <c r="W114" s="301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6.05" customHeight="1" x14ac:dyDescent="0.35">
      <c r="B115" s="365" t="str">
        <f t="shared" ref="B115:C119" si="136">IF(AA115=0,"",AA115)</f>
        <v>Spieler 1</v>
      </c>
      <c r="C115" s="366" t="str">
        <f t="shared" si="136"/>
        <v/>
      </c>
      <c r="D115" s="339">
        <f>IF(AC115=301,"",AC115)</f>
        <v>147</v>
      </c>
      <c r="E115" s="339" t="str">
        <f>IF(AD115=0,"",AD115)</f>
        <v/>
      </c>
      <c r="F115" s="339">
        <f>IF(AE115=301,"",AE115)</f>
        <v>156</v>
      </c>
      <c r="G115" s="339" t="str">
        <f>IF(AF115=0,"",AF115)</f>
        <v/>
      </c>
      <c r="H115" s="339">
        <f>IF(AG115=301,"",AG115)</f>
        <v>171</v>
      </c>
      <c r="I115" s="339" t="str">
        <f>IF(AH115=0,"",AH115)</f>
        <v/>
      </c>
      <c r="J115" s="339">
        <f>IF(AI115=301,"",AI115)</f>
        <v>123</v>
      </c>
      <c r="K115" s="339" t="str">
        <f>IF(AJ115=0,"",AJ115)</f>
        <v/>
      </c>
      <c r="L115" s="339">
        <f>IF(AK115=301,"",AK115)</f>
        <v>142</v>
      </c>
      <c r="M115" s="339" t="str">
        <f>IF(AL115=0,"",AL115)</f>
        <v/>
      </c>
      <c r="N115" s="339">
        <f>IF(AM115=301,"",AM115)</f>
        <v>187</v>
      </c>
      <c r="O115" s="339" t="str">
        <f>IF(AN115=0,"",AN115)</f>
        <v/>
      </c>
      <c r="P115" s="339">
        <f>IF(AO115=301,"",AO115)</f>
        <v>119</v>
      </c>
      <c r="Q115" s="339" t="str">
        <f>IF(AP115=0,"",AP115)</f>
        <v/>
      </c>
      <c r="R115" s="339">
        <f>IF(AQ115=301,"",AQ115)</f>
        <v>211</v>
      </c>
      <c r="S115" s="339" t="str">
        <f>IF(AR115=0,"",AR115)</f>
        <v/>
      </c>
      <c r="T115" s="339">
        <f>IF(AS115=301,"",AS115)</f>
        <v>188</v>
      </c>
      <c r="U115" s="339" t="str">
        <f>IF(AT115=0,"",AT115)</f>
        <v/>
      </c>
      <c r="V115" s="340"/>
      <c r="W115" s="340"/>
      <c r="AA115" s="91" t="s">
        <v>0</v>
      </c>
      <c r="AB115" s="92"/>
      <c r="AC115" s="372">
        <f>ABS(INDEX(AC:AC,MATCH(AC112,$AA:$AA,0)+5)+INDEX(AC:AC,MATCH(AC112,$AA:$AA,0)+6)+INDEX(AC:AC,MATCH(AC112,$AA:$AA,0)+7))</f>
        <v>147</v>
      </c>
      <c r="AD115" s="373"/>
      <c r="AE115" s="372">
        <f>ABS(INDEX(AE:AE,MATCH(AE112,$AA:$AA,0)+5)+INDEX(AE:AE,MATCH(AE112,$AA:$AA,0)+6)+INDEX(AE:AE,MATCH(AE112,$AA:$AA,0)+7))</f>
        <v>156</v>
      </c>
      <c r="AF115" s="373"/>
      <c r="AG115" s="372">
        <f>ABS(INDEX(AG:AG,MATCH(AG112,$AA:$AA,0)+5)+INDEX(AG:AG,MATCH(AG112,$AA:$AA,0)+6)+INDEX(AG:AG,MATCH(AG112,$AA:$AA,0)+7))</f>
        <v>171</v>
      </c>
      <c r="AH115" s="373"/>
      <c r="AI115" s="372">
        <f>ABS(INDEX(AI:AI,MATCH(AI112,$AA:$AA,0)+5)+INDEX(AI:AI,MATCH(AI112,$AA:$AA,0)+6)+INDEX(AI:AI,MATCH(AI112,$AA:$AA,0)+7))</f>
        <v>123</v>
      </c>
      <c r="AJ115" s="373"/>
      <c r="AK115" s="372">
        <f>ABS(INDEX(AK:AK,MATCH(AK112,$AA:$AA,0)+5)+INDEX(AK:AK,MATCH(AK112,$AA:$AA,0)+6)+INDEX(AK:AK,MATCH(AK112,$AA:$AA,0)+7))</f>
        <v>142</v>
      </c>
      <c r="AL115" s="373"/>
      <c r="AM115" s="372">
        <f>ABS(INDEX(AM:AM,MATCH(AM112,$AA:$AA,0)+5)+INDEX(AM:AM,MATCH(AM112,$AA:$AA,0)+6)+INDEX(AM:AM,MATCH(AM112,$AA:$AA,0)+7))</f>
        <v>187</v>
      </c>
      <c r="AN115" s="373"/>
      <c r="AO115" s="372">
        <f>ABS(INDEX(AO:AO,MATCH(AO112,$AA:$AA,0)+5)+INDEX(AO:AO,MATCH(AO112,$AA:$AA,0)+6)+INDEX(AO:AO,MATCH(AO112,$AA:$AA,0)+7))</f>
        <v>119</v>
      </c>
      <c r="AP115" s="373"/>
      <c r="AQ115" s="372">
        <f>ABS(INDEX(AQ:AQ,MATCH(AQ112,$AA:$AA,0)+5)+INDEX(AQ:AQ,MATCH(AQ112,$AA:$AA,0)+6)+INDEX(AQ:AQ,MATCH(AQ112,$AA:$AA,0)+7))</f>
        <v>211</v>
      </c>
      <c r="AR115" s="373"/>
      <c r="AS115" s="372">
        <f>ABS(INDEX(AS:AS,MATCH(AS112,$AA:$AA,0)+5)+INDEX(AS:AS,MATCH(AS112,$AA:$AA,0)+6)+INDEX(AS:AS,MATCH(AS112,$AA:$AA,0)+7))</f>
        <v>188</v>
      </c>
      <c r="AT115" s="373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6.05" customHeight="1" x14ac:dyDescent="0.35">
      <c r="B116" s="365" t="str">
        <f t="shared" si="136"/>
        <v>Spieler 2</v>
      </c>
      <c r="C116" s="366" t="str">
        <f t="shared" si="136"/>
        <v/>
      </c>
      <c r="D116" s="339">
        <f>IF(AC116=301,"",AC116)</f>
        <v>177</v>
      </c>
      <c r="E116" s="339" t="str">
        <f>IF(AD116=0,"",AD116)</f>
        <v/>
      </c>
      <c r="F116" s="339">
        <f>IF(AE116=301,"",AE116)</f>
        <v>157</v>
      </c>
      <c r="G116" s="339" t="str">
        <f>IF(AF116=0,"",AF116)</f>
        <v/>
      </c>
      <c r="H116" s="339">
        <f>IF(AG116=301,"",AG116)</f>
        <v>134</v>
      </c>
      <c r="I116" s="339" t="str">
        <f>IF(AH116=0,"",AH116)</f>
        <v/>
      </c>
      <c r="J116" s="339">
        <f>IF(AI116=301,"",AI116)</f>
        <v>145</v>
      </c>
      <c r="K116" s="339" t="str">
        <f>IF(AJ116=0,"",AJ116)</f>
        <v/>
      </c>
      <c r="L116" s="339">
        <f>IF(AK116=301,"",AK116)</f>
        <v>165</v>
      </c>
      <c r="M116" s="339" t="str">
        <f>IF(AL116=0,"",AL116)</f>
        <v/>
      </c>
      <c r="N116" s="339">
        <f>IF(AM116=301,"",AM116)</f>
        <v>169</v>
      </c>
      <c r="O116" s="339" t="str">
        <f>IF(AN116=0,"",AN116)</f>
        <v/>
      </c>
      <c r="P116" s="339">
        <f>IF(AO116=301,"",AO116)</f>
        <v>128</v>
      </c>
      <c r="Q116" s="339" t="str">
        <f>IF(AP116=0,"",AP116)</f>
        <v/>
      </c>
      <c r="R116" s="339">
        <f>IF(AQ116=301,"",AQ116)</f>
        <v>179</v>
      </c>
      <c r="S116" s="339" t="str">
        <f>IF(AR116=0,"",AR116)</f>
        <v/>
      </c>
      <c r="T116" s="339">
        <f>IF(AS116=301,"",AS116)</f>
        <v>146</v>
      </c>
      <c r="U116" s="339" t="str">
        <f>IF(AT116=0,"",AT116)</f>
        <v/>
      </c>
      <c r="V116" s="340"/>
      <c r="W116" s="340"/>
      <c r="AA116" s="91" t="s">
        <v>2</v>
      </c>
      <c r="AB116" s="92"/>
      <c r="AC116" s="374">
        <f>ABS(INDEX(AC:AC,MATCH(AC112,$AA:$AA,0)+8)+INDEX(AC:AC,MATCH(AC112,$AA:$AA,0)+9)+INDEX(AC:AC,MATCH(AC112,$AA:$AA,0)+10))</f>
        <v>177</v>
      </c>
      <c r="AD116" s="375"/>
      <c r="AE116" s="374">
        <f>ABS(INDEX(AE:AE,MATCH(AE112,$AA:$AA,0)+8)+INDEX(AE:AE,MATCH(AE112,$AA:$AA,0)+9)+INDEX(AE:AE,MATCH(AE112,$AA:$AA,0)+10))</f>
        <v>157</v>
      </c>
      <c r="AF116" s="375"/>
      <c r="AG116" s="374">
        <f>ABS(INDEX(AG:AG,MATCH(AG112,$AA:$AA,0)+8)+INDEX(AG:AG,MATCH(AG112,$AA:$AA,0)+9)+INDEX(AG:AG,MATCH(AG112,$AA:$AA,0)+10))</f>
        <v>134</v>
      </c>
      <c r="AH116" s="375"/>
      <c r="AI116" s="374">
        <f>ABS(INDEX(AI:AI,MATCH(AI112,$AA:$AA,0)+8)+INDEX(AI:AI,MATCH(AI112,$AA:$AA,0)+9)+INDEX(AI:AI,MATCH(AI112,$AA:$AA,0)+10))</f>
        <v>145</v>
      </c>
      <c r="AJ116" s="375"/>
      <c r="AK116" s="374">
        <f>ABS(INDEX(AK:AK,MATCH(AK112,$AA:$AA,0)+8)+INDEX(AK:AK,MATCH(AK112,$AA:$AA,0)+9)+INDEX(AK:AK,MATCH(AK112,$AA:$AA,0)+10))</f>
        <v>165</v>
      </c>
      <c r="AL116" s="375"/>
      <c r="AM116" s="374">
        <f>ABS(INDEX(AM:AM,MATCH(AM112,$AA:$AA,0)+8)+INDEX(AM:AM,MATCH(AM112,$AA:$AA,0)+9)+INDEX(AM:AM,MATCH(AM112,$AA:$AA,0)+10))</f>
        <v>169</v>
      </c>
      <c r="AN116" s="375"/>
      <c r="AO116" s="374">
        <f>ABS(INDEX(AO:AO,MATCH(AO112,$AA:$AA,0)+8)+INDEX(AO:AO,MATCH(AO112,$AA:$AA,0)+9)+INDEX(AO:AO,MATCH(AO112,$AA:$AA,0)+10))</f>
        <v>128</v>
      </c>
      <c r="AP116" s="375"/>
      <c r="AQ116" s="374">
        <f>ABS(INDEX(AQ:AQ,MATCH(AQ112,$AA:$AA,0)+8)+INDEX(AQ:AQ,MATCH(AQ112,$AA:$AA,0)+9)+INDEX(AQ:AQ,MATCH(AQ112,$AA:$AA,0)+10))</f>
        <v>179</v>
      </c>
      <c r="AR116" s="375"/>
      <c r="AS116" s="374">
        <f>ABS(INDEX(AS:AS,MATCH(AS112,$AA:$AA,0)+8)+INDEX(AS:AS,MATCH(AS112,$AA:$AA,0)+9)+INDEX(AS:AS,MATCH(AS112,$AA:$AA,0)+10))</f>
        <v>146</v>
      </c>
      <c r="AT116" s="37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6.05" customHeight="1" x14ac:dyDescent="0.35">
      <c r="B117" s="365" t="str">
        <f t="shared" si="136"/>
        <v>Spieler 3</v>
      </c>
      <c r="C117" s="366" t="str">
        <f t="shared" si="136"/>
        <v/>
      </c>
      <c r="D117" s="339">
        <f>IF(AC117=301,"",AC117)</f>
        <v>178</v>
      </c>
      <c r="E117" s="339" t="str">
        <f>IF(AD117=0,"",AD117)</f>
        <v/>
      </c>
      <c r="F117" s="339">
        <f>IF(AE117=301,"",AE117)</f>
        <v>150</v>
      </c>
      <c r="G117" s="339" t="str">
        <f>IF(AF117=0,"",AF117)</f>
        <v/>
      </c>
      <c r="H117" s="339">
        <f>IF(AG117=301,"",AG117)</f>
        <v>144</v>
      </c>
      <c r="I117" s="339" t="str">
        <f>IF(AH117=0,"",AH117)</f>
        <v/>
      </c>
      <c r="J117" s="339">
        <f>IF(AI117=301,"",AI117)</f>
        <v>232</v>
      </c>
      <c r="K117" s="339" t="str">
        <f>IF(AJ117=0,"",AJ117)</f>
        <v/>
      </c>
      <c r="L117" s="339">
        <f>IF(AK117=301,"",AK117)</f>
        <v>168</v>
      </c>
      <c r="M117" s="339" t="str">
        <f>IF(AL117=0,"",AL117)</f>
        <v/>
      </c>
      <c r="N117" s="339">
        <f>IF(AM117=301,"",AM117)</f>
        <v>179</v>
      </c>
      <c r="O117" s="339" t="str">
        <f>IF(AN117=0,"",AN117)</f>
        <v/>
      </c>
      <c r="P117" s="339">
        <f>IF(AO117=301,"",AO117)</f>
        <v>204</v>
      </c>
      <c r="Q117" s="339" t="str">
        <f>IF(AP117=0,"",AP117)</f>
        <v/>
      </c>
      <c r="R117" s="339">
        <f>IF(AQ117=301,"",AQ117)</f>
        <v>148</v>
      </c>
      <c r="S117" s="339" t="str">
        <f>IF(AR117=0,"",AR117)</f>
        <v/>
      </c>
      <c r="T117" s="339">
        <f>IF(AS117=301,"",AS117)</f>
        <v>130</v>
      </c>
      <c r="U117" s="339" t="str">
        <f>IF(AT117=0,"",AT117)</f>
        <v/>
      </c>
      <c r="V117" s="340"/>
      <c r="W117" s="340"/>
      <c r="AA117" s="91" t="s">
        <v>3</v>
      </c>
      <c r="AB117" s="92"/>
      <c r="AC117" s="374">
        <f>ABS(INDEX(AC:AC,MATCH(AC112,$AA:$AA,0)+11)+INDEX(AC:AC,MATCH(AC112,$AA:$AA,0)+12)+INDEX(AC:AC,MATCH(AC112,$AA:$AA,0)+13))</f>
        <v>178</v>
      </c>
      <c r="AD117" s="375"/>
      <c r="AE117" s="374">
        <f>ABS(INDEX(AE:AE,MATCH(AE112,$AA:$AA,0)+11)+INDEX(AE:AE,MATCH(AE112,$AA:$AA,0)+12)+INDEX(AE:AE,MATCH(AE112,$AA:$AA,0)+13))</f>
        <v>150</v>
      </c>
      <c r="AF117" s="375"/>
      <c r="AG117" s="374">
        <f>ABS(INDEX(AG:AG,MATCH(AG112,$AA:$AA,0)+11)+INDEX(AG:AG,MATCH(AG112,$AA:$AA,0)+12)+INDEX(AG:AG,MATCH(AG112,$AA:$AA,0)+13))</f>
        <v>144</v>
      </c>
      <c r="AH117" s="375"/>
      <c r="AI117" s="374">
        <f>ABS(INDEX(AI:AI,MATCH(AI112,$AA:$AA,0)+11)+INDEX(AI:AI,MATCH(AI112,$AA:$AA,0)+12)+INDEX(AI:AI,MATCH(AI112,$AA:$AA,0)+13))</f>
        <v>232</v>
      </c>
      <c r="AJ117" s="375"/>
      <c r="AK117" s="374">
        <f>ABS(INDEX(AK:AK,MATCH(AK112,$AA:$AA,0)+11)+INDEX(AK:AK,MATCH(AK112,$AA:$AA,0)+12)+INDEX(AK:AK,MATCH(AK112,$AA:$AA,0)+13))</f>
        <v>168</v>
      </c>
      <c r="AL117" s="375"/>
      <c r="AM117" s="374">
        <f>ABS(INDEX(AM:AM,MATCH(AM112,$AA:$AA,0)+11)+INDEX(AM:AM,MATCH(AM112,$AA:$AA,0)+12)+INDEX(AM:AM,MATCH(AM112,$AA:$AA,0)+13))</f>
        <v>179</v>
      </c>
      <c r="AN117" s="375"/>
      <c r="AO117" s="374">
        <f>ABS(INDEX(AO:AO,MATCH(AO112,$AA:$AA,0)+11)+INDEX(AO:AO,MATCH(AO112,$AA:$AA,0)+12)+INDEX(AO:AO,MATCH(AO112,$AA:$AA,0)+13))</f>
        <v>204</v>
      </c>
      <c r="AP117" s="375"/>
      <c r="AQ117" s="374">
        <f>ABS(INDEX(AQ:AQ,MATCH(AQ112,$AA:$AA,0)+11)+INDEX(AQ:AQ,MATCH(AQ112,$AA:$AA,0)+12)+INDEX(AQ:AQ,MATCH(AQ112,$AA:$AA,0)+13))</f>
        <v>148</v>
      </c>
      <c r="AR117" s="375"/>
      <c r="AS117" s="374">
        <f>ABS(INDEX(AS:AS,MATCH(AS112,$AA:$AA,0)+11)+INDEX(AS:AS,MATCH(AS112,$AA:$AA,0)+12)+INDEX(AS:AS,MATCH(AS112,$AA:$AA,0)+13))</f>
        <v>130</v>
      </c>
      <c r="AT117" s="37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6.05" customHeight="1" x14ac:dyDescent="0.35">
      <c r="B118" s="365" t="str">
        <f t="shared" si="136"/>
        <v>Spieler 4</v>
      </c>
      <c r="C118" s="366" t="str">
        <f t="shared" si="136"/>
        <v/>
      </c>
      <c r="D118" s="339">
        <f>IF(AC118=301,"",AC118)</f>
        <v>198</v>
      </c>
      <c r="E118" s="339" t="str">
        <f>IF(AD118=0,"",AD118)</f>
        <v/>
      </c>
      <c r="F118" s="339">
        <f>IF(AE118=301,"",AE118)</f>
        <v>201</v>
      </c>
      <c r="G118" s="339" t="str">
        <f>IF(AF118=0,"",AF118)</f>
        <v/>
      </c>
      <c r="H118" s="339">
        <f>IF(AG118=301,"",AG118)</f>
        <v>134</v>
      </c>
      <c r="I118" s="339" t="str">
        <f>IF(AH118=0,"",AH118)</f>
        <v/>
      </c>
      <c r="J118" s="339">
        <f>IF(AI118=301,"",AI118)</f>
        <v>173</v>
      </c>
      <c r="K118" s="339" t="str">
        <f>IF(AJ118=0,"",AJ118)</f>
        <v/>
      </c>
      <c r="L118" s="339">
        <f>IF(AK118=301,"",AK118)</f>
        <v>146</v>
      </c>
      <c r="M118" s="339" t="str">
        <f>IF(AL118=0,"",AL118)</f>
        <v/>
      </c>
      <c r="N118" s="339">
        <f>IF(AM118=301,"",AM118)</f>
        <v>212</v>
      </c>
      <c r="O118" s="339" t="str">
        <f>IF(AN118=0,"",AN118)</f>
        <v/>
      </c>
      <c r="P118" s="339">
        <f>IF(AO118=301,"",AO118)</f>
        <v>193</v>
      </c>
      <c r="Q118" s="339" t="str">
        <f>IF(AP118=0,"",AP118)</f>
        <v/>
      </c>
      <c r="R118" s="339">
        <f>IF(AQ118=301,"",AQ118)</f>
        <v>186</v>
      </c>
      <c r="S118" s="339" t="str">
        <f>IF(AR118=0,"",AR118)</f>
        <v/>
      </c>
      <c r="T118" s="339">
        <f>IF(AS118=301,"",AS118)</f>
        <v>162</v>
      </c>
      <c r="U118" s="339" t="str">
        <f>IF(AT118=0,"",AT118)</f>
        <v/>
      </c>
      <c r="V118" s="340"/>
      <c r="W118" s="340"/>
      <c r="AA118" s="91" t="s">
        <v>11</v>
      </c>
      <c r="AB118" s="92"/>
      <c r="AC118" s="374">
        <f>ABS(INDEX(AC:AC,MATCH(AC112,$AA:$AA,0)+14)+INDEX(AC:AC,MATCH(AC112,$AA:$AA,0)+15)+INDEX(AC:AC,MATCH(AC112,$AA:$AA,0)+16))</f>
        <v>198</v>
      </c>
      <c r="AD118" s="375"/>
      <c r="AE118" s="374">
        <f>ABS(INDEX(AE:AE,MATCH(AE112,$AA:$AA,0)+14)+INDEX(AE:AE,MATCH(AE112,$AA:$AA,0)+15)+INDEX(AE:AE,MATCH(AE112,$AA:$AA,0)+16))</f>
        <v>201</v>
      </c>
      <c r="AF118" s="375"/>
      <c r="AG118" s="374">
        <f>ABS(INDEX(AG:AG,MATCH(AG112,$AA:$AA,0)+14)+INDEX(AG:AG,MATCH(AG112,$AA:$AA,0)+15)+INDEX(AG:AG,MATCH(AG112,$AA:$AA,0)+16))</f>
        <v>134</v>
      </c>
      <c r="AH118" s="375"/>
      <c r="AI118" s="374">
        <f>ABS(INDEX(AI:AI,MATCH(AI112,$AA:$AA,0)+14)+INDEX(AI:AI,MATCH(AI112,$AA:$AA,0)+15)+INDEX(AI:AI,MATCH(AI112,$AA:$AA,0)+16))</f>
        <v>173</v>
      </c>
      <c r="AJ118" s="375"/>
      <c r="AK118" s="374">
        <f>ABS(INDEX(AK:AK,MATCH(AK112,$AA:$AA,0)+14)+INDEX(AK:AK,MATCH(AK112,$AA:$AA,0)+15)+INDEX(AK:AK,MATCH(AK112,$AA:$AA,0)+16))</f>
        <v>146</v>
      </c>
      <c r="AL118" s="375"/>
      <c r="AM118" s="374">
        <f>ABS(INDEX(AM:AM,MATCH(AM112,$AA:$AA,0)+14)+INDEX(AM:AM,MATCH(AM112,$AA:$AA,0)+15)+INDEX(AM:AM,MATCH(AM112,$AA:$AA,0)+16))</f>
        <v>212</v>
      </c>
      <c r="AN118" s="375"/>
      <c r="AO118" s="374">
        <f>ABS(INDEX(AO:AO,MATCH(AO112,$AA:$AA,0)+14)+INDEX(AO:AO,MATCH(AO112,$AA:$AA,0)+15)+INDEX(AO:AO,MATCH(AO112,$AA:$AA,0)+16))</f>
        <v>193</v>
      </c>
      <c r="AP118" s="375"/>
      <c r="AQ118" s="374">
        <f>ABS(INDEX(AQ:AQ,MATCH(AQ112,$AA:$AA,0)+14)+INDEX(AQ:AQ,MATCH(AQ112,$AA:$AA,0)+15)+INDEX(AQ:AQ,MATCH(AQ112,$AA:$AA,0)+16))</f>
        <v>186</v>
      </c>
      <c r="AR118" s="375"/>
      <c r="AS118" s="374">
        <f>ABS(INDEX(AS:AS,MATCH(AS112,$AA:$AA,0)+14)+INDEX(AS:AS,MATCH(AS112,$AA:$AA,0)+15)+INDEX(AS:AS,MATCH(AS112,$AA:$AA,0)+16))</f>
        <v>162</v>
      </c>
      <c r="AT118" s="37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6.05" customHeight="1" x14ac:dyDescent="0.35">
      <c r="B119" s="354" t="str">
        <f t="shared" si="136"/>
        <v>Gesamt</v>
      </c>
      <c r="C119" s="355" t="str">
        <f t="shared" si="136"/>
        <v/>
      </c>
      <c r="D119" s="338">
        <f>IF(AC119=1505,"",AC119)</f>
        <v>700</v>
      </c>
      <c r="E119" s="338" t="str">
        <f>IF(AD119=0,"",AD119)</f>
        <v/>
      </c>
      <c r="F119" s="338">
        <f>IF(AE119=1505,"",AE119)</f>
        <v>664</v>
      </c>
      <c r="G119" s="338" t="str">
        <f>IF(AF119=0,"",AF119)</f>
        <v/>
      </c>
      <c r="H119" s="338">
        <f>IF(AG119=1505,"",AG119)</f>
        <v>583</v>
      </c>
      <c r="I119" s="338" t="str">
        <f>IF(AH119=0,"",AH119)</f>
        <v/>
      </c>
      <c r="J119" s="338">
        <f>IF(AI119=1505,"",AI119)</f>
        <v>673</v>
      </c>
      <c r="K119" s="338" t="str">
        <f>IF(AJ119=0,"",AJ119)</f>
        <v/>
      </c>
      <c r="L119" s="338">
        <f>IF(AK119=1505,"",AK119)</f>
        <v>621</v>
      </c>
      <c r="M119" s="338" t="str">
        <f>IF(AL119=0,"",AL119)</f>
        <v/>
      </c>
      <c r="N119" s="338">
        <f>IF(AM119=1505,"",AM119)</f>
        <v>747</v>
      </c>
      <c r="O119" s="338" t="str">
        <f>IF(AN119=0,"",AN119)</f>
        <v/>
      </c>
      <c r="P119" s="338">
        <f>IF(AO119=1505,"",AO119)</f>
        <v>644</v>
      </c>
      <c r="Q119" s="338" t="str">
        <f>IF(AP119=0,"",AP119)</f>
        <v/>
      </c>
      <c r="R119" s="338">
        <f>IF(AQ119=1505,"",AQ119)</f>
        <v>724</v>
      </c>
      <c r="S119" s="338" t="str">
        <f>IF(AR119=0,"",AR119)</f>
        <v/>
      </c>
      <c r="T119" s="338">
        <f>IF(AS119=1505,"",AS119)</f>
        <v>626</v>
      </c>
      <c r="U119" s="338" t="str">
        <f>IF(AT119=0,"",AT119)</f>
        <v/>
      </c>
      <c r="V119" s="290"/>
      <c r="W119" s="290"/>
      <c r="AA119" s="93" t="s">
        <v>1799</v>
      </c>
      <c r="AB119" s="94"/>
      <c r="AC119" s="354">
        <f>SUM(AC115:AC118)</f>
        <v>700</v>
      </c>
      <c r="AD119" s="355"/>
      <c r="AE119" s="354">
        <f>SUM(AE115:AE118)</f>
        <v>664</v>
      </c>
      <c r="AF119" s="355"/>
      <c r="AG119" s="354">
        <f>SUM(AG115:AG118)</f>
        <v>583</v>
      </c>
      <c r="AH119" s="355"/>
      <c r="AI119" s="354">
        <f>SUM(AI115:AI118)</f>
        <v>673</v>
      </c>
      <c r="AJ119" s="355"/>
      <c r="AK119" s="354">
        <f>SUM(AK115:AK118)</f>
        <v>621</v>
      </c>
      <c r="AL119" s="355"/>
      <c r="AM119" s="354">
        <f>SUM(AM115:AM118)</f>
        <v>747</v>
      </c>
      <c r="AN119" s="355"/>
      <c r="AO119" s="354">
        <f>SUM(AO115:AO118)</f>
        <v>644</v>
      </c>
      <c r="AP119" s="355"/>
      <c r="AQ119" s="354">
        <f>SUM(AQ115:AQ118)</f>
        <v>724</v>
      </c>
      <c r="AR119" s="355"/>
      <c r="AS119" s="354">
        <f>SUM(AS115:AS118)</f>
        <v>626</v>
      </c>
      <c r="AT119" s="35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3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7">
      <c r="B121" s="44" t="str">
        <f>AA121</f>
        <v>Team-Nr.</v>
      </c>
      <c r="C121" s="45"/>
      <c r="D121" s="44" t="str">
        <f>AC121</f>
        <v>Liga:</v>
      </c>
      <c r="E121" s="47"/>
      <c r="F121" s="359" t="str">
        <f>AE121</f>
        <v>Bayernliga Frauen</v>
      </c>
      <c r="G121" s="359"/>
      <c r="H121" s="359"/>
      <c r="I121" s="359"/>
      <c r="J121" s="359"/>
      <c r="K121" s="359"/>
      <c r="L121" s="359"/>
      <c r="M121" s="359"/>
      <c r="N121" s="359"/>
      <c r="O121" s="359"/>
      <c r="P121" s="359"/>
      <c r="Q121" s="359"/>
      <c r="R121" s="48"/>
      <c r="S121" s="49" t="s">
        <v>1794</v>
      </c>
      <c r="T121" s="50"/>
      <c r="U121" s="360" t="str">
        <f>AT121</f>
        <v>01.02./02.02.</v>
      </c>
      <c r="V121" s="361"/>
      <c r="W121" s="362"/>
      <c r="X121" s="363"/>
      <c r="Y121" s="364"/>
      <c r="Z121" s="364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0" t="str">
        <f>VLOOKUP(AS122,Spielorte!$A$1:$C$6,2)</f>
        <v>01.02./02.02.</v>
      </c>
      <c r="AU121" s="361"/>
      <c r="AV121" s="362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65">
      <c r="B122" s="53">
        <f>AA122</f>
        <v>5</v>
      </c>
      <c r="D122" s="46" t="s">
        <v>1793</v>
      </c>
      <c r="E122" s="54"/>
      <c r="F122" s="358" t="str">
        <f>AE122</f>
        <v>Unterföhring Dreambowl Palace</v>
      </c>
      <c r="G122" s="358"/>
      <c r="H122" s="358"/>
      <c r="I122" s="358"/>
      <c r="J122" s="358"/>
      <c r="K122" s="358"/>
      <c r="L122" s="358"/>
      <c r="M122" s="358"/>
      <c r="N122" s="358"/>
      <c r="O122" s="358"/>
      <c r="P122" s="55"/>
      <c r="Q122" s="55"/>
      <c r="S122" s="49" t="s">
        <v>1791</v>
      </c>
      <c r="T122" s="56">
        <f>AS122</f>
        <v>3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Unterföhring Dreambowl Palace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3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4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5" thickBot="1" x14ac:dyDescent="0.45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VLOOKUP(AA122,Schlüssel!$A$5:$DZ$14,53)</f>
        <v>1</v>
      </c>
      <c r="AE124" s="65" t="s">
        <v>10</v>
      </c>
      <c r="AF124" s="44">
        <f>VLOOKUP(AA122,Schlüssel!$A$5:$DZ$14,54)</f>
        <v>4</v>
      </c>
      <c r="AG124" s="65" t="s">
        <v>10</v>
      </c>
      <c r="AH124" s="44">
        <f>VLOOKUP(AA122,Schlüssel!$A$5:$DZ$14,55)</f>
        <v>7</v>
      </c>
      <c r="AI124" s="65" t="s">
        <v>10</v>
      </c>
      <c r="AJ124" s="44">
        <f>VLOOKUP(AA122,Schlüssel!$A$5:$DZ$14,56)</f>
        <v>10</v>
      </c>
      <c r="AK124" s="65" t="s">
        <v>10</v>
      </c>
      <c r="AL124" s="44">
        <f>VLOOKUP(AA122,Schlüssel!$A$5:$DZ$14,57)</f>
        <v>2</v>
      </c>
      <c r="AM124" s="65" t="s">
        <v>10</v>
      </c>
      <c r="AN124" s="44">
        <f>VLOOKUP(AA122,Schlüssel!$A$5:$DZ$14,58)</f>
        <v>6</v>
      </c>
      <c r="AO124" s="65" t="s">
        <v>10</v>
      </c>
      <c r="AP124" s="44">
        <f>VLOOKUP(AA122,Schlüssel!$A$5:$DZ$14,59)</f>
        <v>3</v>
      </c>
      <c r="AQ124" s="65" t="s">
        <v>10</v>
      </c>
      <c r="AR124" s="44">
        <f>VLOOKUP(AA122,Schlüssel!$A$5:$DZ$14,60)</f>
        <v>8</v>
      </c>
      <c r="AS124" s="65" t="s">
        <v>10</v>
      </c>
      <c r="AT124" s="44">
        <f>VLOOKUP(AA122,Schlüssel!$A$5:$DZ$14,61)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35">
      <c r="B125" s="67" t="s">
        <v>1</v>
      </c>
      <c r="C125" s="68"/>
      <c r="D125" s="354" t="s">
        <v>1800</v>
      </c>
      <c r="E125" s="355"/>
      <c r="F125" s="354" t="s">
        <v>1801</v>
      </c>
      <c r="G125" s="355"/>
      <c r="H125" s="354" t="s">
        <v>1802</v>
      </c>
      <c r="I125" s="355"/>
      <c r="J125" s="354" t="s">
        <v>1803</v>
      </c>
      <c r="K125" s="355"/>
      <c r="L125" s="354" t="s">
        <v>1804</v>
      </c>
      <c r="M125" s="355"/>
      <c r="N125" s="354" t="s">
        <v>1805</v>
      </c>
      <c r="O125" s="355"/>
      <c r="P125" s="354" t="s">
        <v>1806</v>
      </c>
      <c r="Q125" s="355"/>
      <c r="R125" s="354" t="s">
        <v>1807</v>
      </c>
      <c r="S125" s="355"/>
      <c r="T125" s="354" t="s">
        <v>1808</v>
      </c>
      <c r="U125" s="355"/>
      <c r="V125" s="356" t="s">
        <v>1799</v>
      </c>
      <c r="W125" s="357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4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2" customHeight="1" x14ac:dyDescent="0.35">
      <c r="A127" s="367" t="s">
        <v>0</v>
      </c>
      <c r="B127" s="73" t="str">
        <f>IF(AA127=0,"",AA127)</f>
        <v>Richter, Petra</v>
      </c>
      <c r="C127" s="74">
        <f>IF(AB127=0,"",AB127)</f>
        <v>21185</v>
      </c>
      <c r="D127" s="75">
        <f>IF(AC127=0,"",AC127)</f>
        <v>167</v>
      </c>
      <c r="E127" s="348">
        <f>IF(AD127="","",AD127)</f>
        <v>0</v>
      </c>
      <c r="F127" s="75">
        <f t="shared" ref="F127:F140" si="137">IF(AE127=0,"",AE127)</f>
        <v>156</v>
      </c>
      <c r="G127" s="348">
        <f>IF(AF127="","",AF127)</f>
        <v>1</v>
      </c>
      <c r="H127" s="75">
        <f t="shared" ref="H127:H140" si="138">IF(AG127=0,"",AG127)</f>
        <v>210</v>
      </c>
      <c r="I127" s="348">
        <f>IF(AH127="","",AH127)</f>
        <v>1</v>
      </c>
      <c r="J127" s="75">
        <f t="shared" ref="J127:J140" si="139">IF(AI127=0,"",AI127)</f>
        <v>163</v>
      </c>
      <c r="K127" s="348">
        <f>IF(AJ127="","",AJ127)</f>
        <v>0</v>
      </c>
      <c r="L127" s="75">
        <f t="shared" ref="L127:L140" si="140">IF(AK127=0,"",AK127)</f>
        <v>136</v>
      </c>
      <c r="M127" s="348">
        <f>IF(AL127="","",AL127)</f>
        <v>0</v>
      </c>
      <c r="N127" s="75">
        <f>IF(AM127=0,"",AM127)</f>
        <v>130</v>
      </c>
      <c r="O127" s="348">
        <f>IF(AN127="","",AN127)</f>
        <v>0</v>
      </c>
      <c r="P127" s="75">
        <f t="shared" ref="P127:P140" si="141">IF(AO127=0,"",AO127)</f>
        <v>121</v>
      </c>
      <c r="Q127" s="348">
        <f>IF(AP127="","",AP127)</f>
        <v>0</v>
      </c>
      <c r="R127" s="75" t="str">
        <f t="shared" ref="R127:R140" si="142">IF(AQ127=0,"",AQ127)</f>
        <v/>
      </c>
      <c r="S127" s="348">
        <f>IF(AR127="","",AR127)</f>
        <v>1</v>
      </c>
      <c r="T127" s="75" t="str">
        <f t="shared" ref="T127:T140" si="143">IF(AS127=0,"",AS127)</f>
        <v/>
      </c>
      <c r="U127" s="348">
        <f>IF(AT127="","",AT127)</f>
        <v>0</v>
      </c>
      <c r="V127" s="75">
        <f t="shared" ref="V127:V140" si="144">IF(AU127=0,"",AU127)</f>
        <v>1083</v>
      </c>
      <c r="W127" s="348">
        <f>IF(AV127="","",AV127)</f>
        <v>3</v>
      </c>
      <c r="Z127" s="351" t="s">
        <v>0</v>
      </c>
      <c r="AA127" s="108" t="str">
        <f>IF(AB127=0,"",VLOOKUP(AB127,Starter!$A$1:$D$199,2,FALSE))</f>
        <v>Richter, Petra</v>
      </c>
      <c r="AB127" s="99">
        <v>21185</v>
      </c>
      <c r="AC127" s="185">
        <v>167</v>
      </c>
      <c r="AD127" s="109">
        <f>IF(SUM(AC127:AC129)+AC145=0,0,IF(SUM(AC127:AC129)=AC145,0.5,IF(SUM(AC127:AC129)&gt;AC145,1,0)))</f>
        <v>0</v>
      </c>
      <c r="AE127" s="185">
        <v>156</v>
      </c>
      <c r="AF127" s="109">
        <f>IF(SUM(AE127:AE129)+AE145=0,0,IF(SUM(AE127:AE129)=AE145,0.5,IF(SUM(AE127:AE129)&gt;AE145,1,0)))</f>
        <v>1</v>
      </c>
      <c r="AG127" s="185">
        <v>210</v>
      </c>
      <c r="AH127" s="109">
        <f>IF(SUM(AG127:AG129)+AG145=0,0,IF(SUM(AG127:AG129)=AG145,0.5,IF(SUM(AG127:AG129)&gt;AG145,1,0)))</f>
        <v>1</v>
      </c>
      <c r="AI127" s="185">
        <v>163</v>
      </c>
      <c r="AJ127" s="109">
        <f>IF(SUM(AI127:AI129)+AI145=0,0,IF(SUM(AI127:AI129)=AI145,0.5,IF(SUM(AI127:AI129)&gt;AI145,1,0)))</f>
        <v>0</v>
      </c>
      <c r="AK127" s="185">
        <v>136</v>
      </c>
      <c r="AL127" s="109">
        <f>IF(SUM(AK127:AK129)+AK145=0,0,IF(SUM(AK127:AK129)=AK145,0.5,IF(SUM(AK127:AK129)&gt;AK145,1,0)))</f>
        <v>0</v>
      </c>
      <c r="AM127" s="185">
        <v>130</v>
      </c>
      <c r="AN127" s="109">
        <f>IF(SUM(AM127:AM129)+AM145=0,0,IF(SUM(AM127:AM129)=AM145,0.5,IF(SUM(AM127:AM129)&gt;AM145,1,0)))</f>
        <v>0</v>
      </c>
      <c r="AO127" s="185">
        <v>121</v>
      </c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1</v>
      </c>
      <c r="AS127" s="185"/>
      <c r="AT127" s="109">
        <f>IF(SUM(AS127:AS129)+AS145=0,0,IF(SUM(AS127:AS129)=AS145,0.5,IF(SUM(AS127:AS129)&gt;AS145,1,0)))</f>
        <v>0</v>
      </c>
      <c r="AU127" s="110">
        <f t="shared" ref="AU127:AU138" si="145">ABS(SUM(AC127:AC127))+ABS(SUM(AE127:AE127))+ABS(SUM(AG127:AG127))+ABS(SUM(AI127:AI127))+ABS(SUM(AK127:AK127))+ABS(SUM(AM127:AM127))+ABS(SUM(AO127:AO127))+ABS(SUM(AQ127:AQ127))+ABS(SUM(AS127:AS127))</f>
        <v>1083</v>
      </c>
      <c r="AV127" s="111">
        <f>SUM(AD127+AF127+AH127+AJ127+AL127+AN127+AP127+AR127+AT127)</f>
        <v>3</v>
      </c>
      <c r="AW127" s="101"/>
      <c r="AX127" s="102"/>
      <c r="AZ127" s="63"/>
      <c r="BA127" s="212"/>
      <c r="BB127" s="213"/>
      <c r="BC127" s="214"/>
      <c r="BD127" s="217">
        <f>+AB127</f>
        <v>21185</v>
      </c>
      <c r="BE127" s="213">
        <f>+AU127</f>
        <v>1083</v>
      </c>
      <c r="BF127" s="215">
        <f>COUNT(BH127:BP127)</f>
        <v>7</v>
      </c>
      <c r="BG127" s="215">
        <f>COUNTIF(BH127:BP127,"&gt;0")</f>
        <v>7</v>
      </c>
      <c r="BH127" s="215">
        <f t="shared" ref="BH127:BH138" si="146">IF(AC127=0,"",AC127)</f>
        <v>167</v>
      </c>
      <c r="BI127" s="215">
        <f t="shared" ref="BI127:BI138" si="147">IF(AE127=0,"",AE127)</f>
        <v>156</v>
      </c>
      <c r="BJ127" s="215">
        <f t="shared" ref="BJ127:BJ138" si="148">IF(AG127=0,"",AG127)</f>
        <v>210</v>
      </c>
      <c r="BK127" s="215">
        <f t="shared" ref="BK127:BK138" si="149">IF(AI127=0,"",AI127)</f>
        <v>163</v>
      </c>
      <c r="BL127" s="215">
        <f t="shared" ref="BL127:BL138" si="150">IF(AK127=0,"",AK127)</f>
        <v>136</v>
      </c>
      <c r="BM127" s="215">
        <f t="shared" ref="BM127:BM138" si="151">IF(AM127=0,"",AM127)</f>
        <v>130</v>
      </c>
      <c r="BN127" s="215">
        <f t="shared" ref="BN127:BN138" si="152">IF(AO127=0,"",AO127)</f>
        <v>121</v>
      </c>
      <c r="BO127" s="215" t="str">
        <f t="shared" ref="BO127:BO138" si="153">IF(AQ127=0,"",AQ127)</f>
        <v/>
      </c>
      <c r="BP127" s="215" t="str">
        <f t="shared" ref="BP127:BP138" si="154">IF(AS127=0,"",AS127)</f>
        <v/>
      </c>
      <c r="BQ127" s="216"/>
      <c r="BR127" s="214"/>
      <c r="BS127" s="215">
        <f>MAX(BH127:BP127)</f>
        <v>210</v>
      </c>
      <c r="BT127" s="215">
        <f>IF(BS127&lt;MAX(BS:BS),0,BS127+ROW()/1000000000)</f>
        <v>0</v>
      </c>
      <c r="BU127" s="215" t="str">
        <f>+AA123</f>
        <v xml:space="preserve">Weiß Blau Unterföhring </v>
      </c>
      <c r="BV127" s="214">
        <f>RANK(BT127,BT:BT)</f>
        <v>2</v>
      </c>
      <c r="BW127" s="215">
        <f>SUMIF(BH127:BP127,"&gt;0")</f>
        <v>1083</v>
      </c>
      <c r="BX127" s="215">
        <f>IF(COUNTIF(BH127:BP127,"&gt;0")&lt;Spielorte!$A$23,0,BE127/Spielorte!$A$23)</f>
        <v>0</v>
      </c>
      <c r="BY127" s="215">
        <f>IF(BX127&lt;MAX(BX:BX),0,BX127+ROW()/1000000000)</f>
        <v>0</v>
      </c>
      <c r="BZ127" s="214">
        <f t="shared" ref="BZ127:BZ138" si="155">IF(BY127=0,0,RANK(BY127,BY:BY))</f>
        <v>0</v>
      </c>
    </row>
    <row r="128" spans="1:78" ht="17.2" customHeight="1" x14ac:dyDescent="0.35">
      <c r="A128" s="368"/>
      <c r="B128" s="76" t="str">
        <f t="shared" ref="B128:D140" si="156">IF(AA128=0,"",AA128)</f>
        <v>Dornacher, Hannelore</v>
      </c>
      <c r="C128" s="77">
        <f t="shared" si="156"/>
        <v>16414</v>
      </c>
      <c r="D128" s="78" t="str">
        <f t="shared" si="156"/>
        <v/>
      </c>
      <c r="E128" s="349"/>
      <c r="F128" s="78" t="str">
        <f t="shared" si="137"/>
        <v/>
      </c>
      <c r="G128" s="349"/>
      <c r="H128" s="78" t="str">
        <f t="shared" si="138"/>
        <v/>
      </c>
      <c r="I128" s="349"/>
      <c r="J128" s="78" t="str">
        <f t="shared" si="139"/>
        <v/>
      </c>
      <c r="K128" s="349"/>
      <c r="L128" s="78" t="str">
        <f t="shared" si="140"/>
        <v/>
      </c>
      <c r="M128" s="349"/>
      <c r="N128" s="78" t="str">
        <f t="shared" ref="N128:N140" si="157">IF(AM128=0,"",AM128)</f>
        <v/>
      </c>
      <c r="O128" s="349"/>
      <c r="P128" s="78" t="str">
        <f t="shared" si="141"/>
        <v/>
      </c>
      <c r="Q128" s="349"/>
      <c r="R128" s="78">
        <f t="shared" si="142"/>
        <v>160</v>
      </c>
      <c r="S128" s="349"/>
      <c r="T128" s="78">
        <f t="shared" si="143"/>
        <v>156</v>
      </c>
      <c r="U128" s="349"/>
      <c r="V128" s="78">
        <f t="shared" si="144"/>
        <v>316</v>
      </c>
      <c r="W128" s="349"/>
      <c r="Z128" s="352"/>
      <c r="AA128" s="108" t="str">
        <f>IF(AB128=0,"",VLOOKUP(AB128,Starter!$A$1:$D$199,2,FALSE))</f>
        <v>Dornacher, Hannelore</v>
      </c>
      <c r="AB128" s="98">
        <v>16414</v>
      </c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>
        <v>160</v>
      </c>
      <c r="AR128" s="112"/>
      <c r="AS128" s="186">
        <v>156</v>
      </c>
      <c r="AT128" s="112"/>
      <c r="AU128" s="113">
        <f t="shared" si="145"/>
        <v>316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58">+AB128</f>
        <v>16414</v>
      </c>
      <c r="BE128" s="213">
        <f t="shared" ref="BE128:BE138" si="159">+AU128</f>
        <v>316</v>
      </c>
      <c r="BF128" s="215">
        <f t="shared" ref="BF128:BF138" si="160">COUNT(BH128:BP128)</f>
        <v>2</v>
      </c>
      <c r="BG128" s="215">
        <f t="shared" ref="BG128:BG138" si="161">COUNTIF(BH128:BP128,"&gt;0")</f>
        <v>2</v>
      </c>
      <c r="BH128" s="215" t="str">
        <f t="shared" si="146"/>
        <v/>
      </c>
      <c r="BI128" s="215" t="str">
        <f t="shared" si="147"/>
        <v/>
      </c>
      <c r="BJ128" s="215" t="str">
        <f t="shared" si="148"/>
        <v/>
      </c>
      <c r="BK128" s="215" t="str">
        <f t="shared" si="149"/>
        <v/>
      </c>
      <c r="BL128" s="215" t="str">
        <f t="shared" si="150"/>
        <v/>
      </c>
      <c r="BM128" s="215" t="str">
        <f t="shared" si="151"/>
        <v/>
      </c>
      <c r="BN128" s="215" t="str">
        <f t="shared" si="152"/>
        <v/>
      </c>
      <c r="BO128" s="215">
        <f t="shared" si="153"/>
        <v>160</v>
      </c>
      <c r="BP128" s="215">
        <f t="shared" si="154"/>
        <v>156</v>
      </c>
      <c r="BQ128" s="216"/>
      <c r="BR128" s="214"/>
      <c r="BS128" s="215">
        <f t="shared" ref="BS128:BS138" si="162">MAX(BH128:BP128)</f>
        <v>160</v>
      </c>
      <c r="BT128" s="215">
        <f t="shared" ref="BT128:BT138" si="163">IF(BS128&lt;MAX(BS:BS),0,BS128+ROW()/1000000000)</f>
        <v>0</v>
      </c>
      <c r="BU128" s="215" t="str">
        <f t="shared" ref="BU128:BU138" si="164">+BU127</f>
        <v xml:space="preserve">Weiß Blau Unterföhring </v>
      </c>
      <c r="BV128" s="214">
        <f t="shared" ref="BV128:BV138" si="165">RANK(BT128,BT:BT)</f>
        <v>2</v>
      </c>
      <c r="BW128" s="215">
        <f t="shared" ref="BW128:BW138" si="166">SUMIF(BH128:BP128,"&gt;0")</f>
        <v>316</v>
      </c>
      <c r="BX128" s="215">
        <f>IF(COUNTIF(BH128:BP128,"&gt;0")&lt;Spielorte!$A$23,0,BE128/Spielorte!$A$23)</f>
        <v>0</v>
      </c>
      <c r="BY128" s="215">
        <f t="shared" ref="BY128:BY138" si="167">IF(BX128&lt;MAX(BX:BX),0,BX128+ROW()/1000000000)</f>
        <v>0</v>
      </c>
      <c r="BZ128" s="214">
        <f t="shared" si="155"/>
        <v>0</v>
      </c>
    </row>
    <row r="129" spans="1:78" ht="17.2" customHeight="1" thickBot="1" x14ac:dyDescent="0.4">
      <c r="A129" s="369"/>
      <c r="B129" s="79" t="str">
        <f t="shared" si="156"/>
        <v/>
      </c>
      <c r="C129" s="80" t="str">
        <f t="shared" si="156"/>
        <v/>
      </c>
      <c r="D129" s="69" t="str">
        <f t="shared" si="156"/>
        <v/>
      </c>
      <c r="E129" s="350"/>
      <c r="F129" s="69" t="str">
        <f t="shared" si="137"/>
        <v/>
      </c>
      <c r="G129" s="350"/>
      <c r="H129" s="69" t="str">
        <f t="shared" si="138"/>
        <v/>
      </c>
      <c r="I129" s="350"/>
      <c r="J129" s="69" t="str">
        <f t="shared" si="139"/>
        <v/>
      </c>
      <c r="K129" s="350"/>
      <c r="L129" s="69" t="str">
        <f t="shared" si="140"/>
        <v/>
      </c>
      <c r="M129" s="350"/>
      <c r="N129" s="69" t="str">
        <f t="shared" si="157"/>
        <v/>
      </c>
      <c r="O129" s="350"/>
      <c r="P129" s="69" t="str">
        <f t="shared" si="141"/>
        <v/>
      </c>
      <c r="Q129" s="350"/>
      <c r="R129" s="69" t="str">
        <f t="shared" si="142"/>
        <v/>
      </c>
      <c r="S129" s="350"/>
      <c r="T129" s="69" t="str">
        <f t="shared" si="143"/>
        <v/>
      </c>
      <c r="U129" s="350"/>
      <c r="V129" s="69" t="str">
        <f t="shared" si="144"/>
        <v/>
      </c>
      <c r="W129" s="350"/>
      <c r="Z129" s="353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5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58"/>
        <v>0</v>
      </c>
      <c r="BE129" s="213">
        <f t="shared" si="159"/>
        <v>0</v>
      </c>
      <c r="BF129" s="215">
        <f t="shared" si="160"/>
        <v>0</v>
      </c>
      <c r="BG129" s="215">
        <f t="shared" si="161"/>
        <v>0</v>
      </c>
      <c r="BH129" s="215" t="str">
        <f t="shared" si="146"/>
        <v/>
      </c>
      <c r="BI129" s="215" t="str">
        <f t="shared" si="147"/>
        <v/>
      </c>
      <c r="BJ129" s="215" t="str">
        <f t="shared" si="148"/>
        <v/>
      </c>
      <c r="BK129" s="215" t="str">
        <f t="shared" si="149"/>
        <v/>
      </c>
      <c r="BL129" s="215" t="str">
        <f t="shared" si="150"/>
        <v/>
      </c>
      <c r="BM129" s="215" t="str">
        <f t="shared" si="151"/>
        <v/>
      </c>
      <c r="BN129" s="215" t="str">
        <f t="shared" si="152"/>
        <v/>
      </c>
      <c r="BO129" s="215" t="str">
        <f t="shared" si="153"/>
        <v/>
      </c>
      <c r="BP129" s="215" t="str">
        <f t="shared" si="154"/>
        <v/>
      </c>
      <c r="BQ129" s="216"/>
      <c r="BR129" s="214"/>
      <c r="BS129" s="215">
        <f t="shared" si="162"/>
        <v>0</v>
      </c>
      <c r="BT129" s="215">
        <f t="shared" si="163"/>
        <v>0</v>
      </c>
      <c r="BU129" s="215" t="str">
        <f t="shared" si="164"/>
        <v xml:space="preserve">Weiß Blau Unterföhring </v>
      </c>
      <c r="BV129" s="214">
        <f t="shared" si="165"/>
        <v>2</v>
      </c>
      <c r="BW129" s="215">
        <f t="shared" si="166"/>
        <v>0</v>
      </c>
      <c r="BX129" s="215">
        <f>IF(COUNTIF(BH129:BP129,"&gt;0")&lt;Spielorte!$A$23,0,BE129/Spielorte!$A$23)</f>
        <v>0</v>
      </c>
      <c r="BY129" s="215">
        <f t="shared" si="167"/>
        <v>0</v>
      </c>
      <c r="BZ129" s="214">
        <f t="shared" si="155"/>
        <v>0</v>
      </c>
    </row>
    <row r="130" spans="1:78" ht="17.2" customHeight="1" x14ac:dyDescent="0.35">
      <c r="A130" s="367" t="s">
        <v>2</v>
      </c>
      <c r="B130" s="73" t="str">
        <f t="shared" si="156"/>
        <v>Dornacher, Hannelore</v>
      </c>
      <c r="C130" s="74">
        <f t="shared" si="156"/>
        <v>16414</v>
      </c>
      <c r="D130" s="75">
        <f t="shared" si="156"/>
        <v>162</v>
      </c>
      <c r="E130" s="348">
        <f>IF(AD130="","",AD130)</f>
        <v>0</v>
      </c>
      <c r="F130" s="75">
        <f t="shared" si="137"/>
        <v>157</v>
      </c>
      <c r="G130" s="348">
        <f>IF(AF130="","",AF130)</f>
        <v>1</v>
      </c>
      <c r="H130" s="75">
        <f t="shared" si="138"/>
        <v>179</v>
      </c>
      <c r="I130" s="348">
        <f>IF(AH130="","",AH130)</f>
        <v>0</v>
      </c>
      <c r="J130" s="75">
        <f t="shared" si="139"/>
        <v>158</v>
      </c>
      <c r="K130" s="348">
        <f>IF(AJ130="","",AJ130)</f>
        <v>1</v>
      </c>
      <c r="L130" s="75">
        <f t="shared" si="140"/>
        <v>161</v>
      </c>
      <c r="M130" s="348">
        <f>IF(AL130="","",AL130)</f>
        <v>1</v>
      </c>
      <c r="N130" s="75">
        <f t="shared" si="157"/>
        <v>121</v>
      </c>
      <c r="O130" s="348">
        <f>IF(AN130="","",AN130)</f>
        <v>0</v>
      </c>
      <c r="P130" s="75" t="str">
        <f t="shared" si="141"/>
        <v/>
      </c>
      <c r="Q130" s="348">
        <f>IF(AP130="","",AP130)</f>
        <v>0</v>
      </c>
      <c r="R130" s="75" t="str">
        <f t="shared" si="142"/>
        <v/>
      </c>
      <c r="S130" s="348">
        <f>IF(AR130="","",AR130)</f>
        <v>1</v>
      </c>
      <c r="T130" s="75" t="str">
        <f t="shared" si="143"/>
        <v/>
      </c>
      <c r="U130" s="348">
        <f>IF(AT130="","",AT130)</f>
        <v>0</v>
      </c>
      <c r="V130" s="75">
        <f t="shared" si="144"/>
        <v>938</v>
      </c>
      <c r="W130" s="348">
        <f>IF(AV130="","",AV130)</f>
        <v>4</v>
      </c>
      <c r="Z130" s="351" t="s">
        <v>2</v>
      </c>
      <c r="AA130" s="108" t="str">
        <f>IF(AB130=0,"",VLOOKUP(AB130,Starter!$A$1:$D$199,2,FALSE))</f>
        <v>Dornacher, Hannelore</v>
      </c>
      <c r="AB130" s="99">
        <v>16414</v>
      </c>
      <c r="AC130" s="188">
        <v>162</v>
      </c>
      <c r="AD130" s="109">
        <f>IF(SUM(AC130:AC132)+AC146=0,0,IF(SUM(AC130:AC132)=AC146,0.5,IF(SUM(AC130:AC132)&gt;AC146,1,0)))</f>
        <v>0</v>
      </c>
      <c r="AE130" s="188">
        <v>157</v>
      </c>
      <c r="AF130" s="109">
        <f>IF(SUM(AE130:AE132)+AE146=0,0,IF(SUM(AE130:AE132)=AE146,0.5,IF(SUM(AE130:AE132)&gt;AE146,1,0)))</f>
        <v>1</v>
      </c>
      <c r="AG130" s="188">
        <v>179</v>
      </c>
      <c r="AH130" s="109">
        <f>IF(SUM(AG130:AG132)+AG146=0,0,IF(SUM(AG130:AG132)=AG146,0.5,IF(SUM(AG130:AG132)&gt;AG146,1,0)))</f>
        <v>0</v>
      </c>
      <c r="AI130" s="188">
        <v>158</v>
      </c>
      <c r="AJ130" s="109">
        <f>IF(SUM(AI130:AI132)+AI146=0,0,IF(SUM(AI130:AI132)=AI146,0.5,IF(SUM(AI130:AI132)&gt;AI146,1,0)))</f>
        <v>1</v>
      </c>
      <c r="AK130" s="188">
        <v>161</v>
      </c>
      <c r="AL130" s="109">
        <f>IF(SUM(AK130:AK132)+AK146=0,0,IF(SUM(AK130:AK132)=AK146,0.5,IF(SUM(AK130:AK132)&gt;AK146,1,0)))</f>
        <v>1</v>
      </c>
      <c r="AM130" s="188">
        <v>121</v>
      </c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1</v>
      </c>
      <c r="AS130" s="188"/>
      <c r="AT130" s="109">
        <f>IF(SUM(AS130:AS132)+AS146=0,0,IF(SUM(AS130:AS132)=AS146,0.5,IF(SUM(AS130:AS132)&gt;AS146,1,0)))</f>
        <v>0</v>
      </c>
      <c r="AU130" s="110">
        <f t="shared" si="145"/>
        <v>938</v>
      </c>
      <c r="AV130" s="111">
        <f>SUM(AD130+AF130+AH130+AJ130+AL130+AN130+AP130+AR130+AT130)</f>
        <v>4</v>
      </c>
      <c r="AW130" s="101"/>
      <c r="AX130" s="102"/>
      <c r="AZ130" s="63"/>
      <c r="BA130" s="212"/>
      <c r="BB130" s="213"/>
      <c r="BC130" s="214"/>
      <c r="BD130" s="217">
        <f t="shared" si="158"/>
        <v>16414</v>
      </c>
      <c r="BE130" s="213">
        <f t="shared" si="159"/>
        <v>938</v>
      </c>
      <c r="BF130" s="215">
        <f t="shared" si="160"/>
        <v>6</v>
      </c>
      <c r="BG130" s="215">
        <f t="shared" si="161"/>
        <v>6</v>
      </c>
      <c r="BH130" s="215">
        <f t="shared" si="146"/>
        <v>162</v>
      </c>
      <c r="BI130" s="215">
        <f t="shared" si="147"/>
        <v>157</v>
      </c>
      <c r="BJ130" s="215">
        <f t="shared" si="148"/>
        <v>179</v>
      </c>
      <c r="BK130" s="215">
        <f t="shared" si="149"/>
        <v>158</v>
      </c>
      <c r="BL130" s="215">
        <f t="shared" si="150"/>
        <v>161</v>
      </c>
      <c r="BM130" s="215">
        <f t="shared" si="151"/>
        <v>121</v>
      </c>
      <c r="BN130" s="215" t="str">
        <f t="shared" si="152"/>
        <v/>
      </c>
      <c r="BO130" s="215" t="str">
        <f t="shared" si="153"/>
        <v/>
      </c>
      <c r="BP130" s="215" t="str">
        <f t="shared" si="154"/>
        <v/>
      </c>
      <c r="BQ130" s="216"/>
      <c r="BR130" s="214"/>
      <c r="BS130" s="215">
        <f t="shared" si="162"/>
        <v>179</v>
      </c>
      <c r="BT130" s="215">
        <f t="shared" si="163"/>
        <v>0</v>
      </c>
      <c r="BU130" s="215" t="str">
        <f t="shared" si="164"/>
        <v xml:space="preserve">Weiß Blau Unterföhring </v>
      </c>
      <c r="BV130" s="214">
        <f t="shared" si="165"/>
        <v>2</v>
      </c>
      <c r="BW130" s="215">
        <f t="shared" si="166"/>
        <v>938</v>
      </c>
      <c r="BX130" s="215">
        <f>IF(COUNTIF(BH130:BP130,"&gt;0")&lt;Spielorte!$A$23,0,BE130/Spielorte!$A$23)</f>
        <v>0</v>
      </c>
      <c r="BY130" s="215">
        <f t="shared" si="167"/>
        <v>0</v>
      </c>
      <c r="BZ130" s="214">
        <f t="shared" si="155"/>
        <v>0</v>
      </c>
    </row>
    <row r="131" spans="1:78" ht="17.2" customHeight="1" x14ac:dyDescent="0.35">
      <c r="A131" s="368"/>
      <c r="B131" s="76" t="str">
        <f t="shared" si="156"/>
        <v>Zehner, Gabriele</v>
      </c>
      <c r="C131" s="77">
        <f t="shared" si="156"/>
        <v>7551</v>
      </c>
      <c r="D131" s="78" t="str">
        <f t="shared" si="156"/>
        <v/>
      </c>
      <c r="E131" s="349"/>
      <c r="F131" s="78" t="str">
        <f t="shared" si="137"/>
        <v/>
      </c>
      <c r="G131" s="349"/>
      <c r="H131" s="78" t="str">
        <f t="shared" si="138"/>
        <v/>
      </c>
      <c r="I131" s="349"/>
      <c r="J131" s="78" t="str">
        <f t="shared" si="139"/>
        <v/>
      </c>
      <c r="K131" s="349"/>
      <c r="L131" s="78" t="str">
        <f t="shared" si="140"/>
        <v/>
      </c>
      <c r="M131" s="349"/>
      <c r="N131" s="78" t="str">
        <f t="shared" si="157"/>
        <v/>
      </c>
      <c r="O131" s="349"/>
      <c r="P131" s="78">
        <f t="shared" si="141"/>
        <v>118</v>
      </c>
      <c r="Q131" s="349"/>
      <c r="R131" s="78" t="str">
        <f t="shared" si="142"/>
        <v/>
      </c>
      <c r="S131" s="349"/>
      <c r="T131" s="78" t="str">
        <f t="shared" si="143"/>
        <v/>
      </c>
      <c r="U131" s="349"/>
      <c r="V131" s="78">
        <f t="shared" si="144"/>
        <v>118</v>
      </c>
      <c r="W131" s="349"/>
      <c r="Z131" s="352"/>
      <c r="AA131" s="108" t="str">
        <f>IF(AB131=0,"",VLOOKUP(AB131,Starter!$A$1:$D$199,2,FALSE))</f>
        <v>Zehner, Gabriele</v>
      </c>
      <c r="AB131" s="98">
        <v>7551</v>
      </c>
      <c r="AC131" s="186"/>
      <c r="AD131" s="112"/>
      <c r="AE131" s="186"/>
      <c r="AF131" s="112"/>
      <c r="AG131" s="186"/>
      <c r="AH131" s="112"/>
      <c r="AI131" s="186"/>
      <c r="AJ131" s="112"/>
      <c r="AK131" s="186"/>
      <c r="AL131" s="112"/>
      <c r="AM131" s="186"/>
      <c r="AN131" s="112"/>
      <c r="AO131" s="190">
        <v>118</v>
      </c>
      <c r="AP131" s="112"/>
      <c r="AQ131" s="190"/>
      <c r="AR131" s="112"/>
      <c r="AS131" s="190"/>
      <c r="AT131" s="112"/>
      <c r="AU131" s="113">
        <f t="shared" si="145"/>
        <v>118</v>
      </c>
      <c r="AV131" s="114"/>
      <c r="AW131" s="101"/>
      <c r="AX131" s="102"/>
      <c r="AZ131" s="63"/>
      <c r="BA131" s="212"/>
      <c r="BB131" s="213"/>
      <c r="BC131" s="214"/>
      <c r="BD131" s="217">
        <f t="shared" si="158"/>
        <v>7551</v>
      </c>
      <c r="BE131" s="213">
        <f t="shared" si="159"/>
        <v>118</v>
      </c>
      <c r="BF131" s="215">
        <f t="shared" si="160"/>
        <v>1</v>
      </c>
      <c r="BG131" s="215">
        <f t="shared" si="161"/>
        <v>1</v>
      </c>
      <c r="BH131" s="215" t="str">
        <f t="shared" si="146"/>
        <v/>
      </c>
      <c r="BI131" s="215" t="str">
        <f t="shared" si="147"/>
        <v/>
      </c>
      <c r="BJ131" s="215" t="str">
        <f t="shared" si="148"/>
        <v/>
      </c>
      <c r="BK131" s="215" t="str">
        <f t="shared" si="149"/>
        <v/>
      </c>
      <c r="BL131" s="215" t="str">
        <f t="shared" si="150"/>
        <v/>
      </c>
      <c r="BM131" s="215" t="str">
        <f t="shared" si="151"/>
        <v/>
      </c>
      <c r="BN131" s="215">
        <f t="shared" si="152"/>
        <v>118</v>
      </c>
      <c r="BO131" s="215" t="str">
        <f t="shared" si="153"/>
        <v/>
      </c>
      <c r="BP131" s="215" t="str">
        <f t="shared" si="154"/>
        <v/>
      </c>
      <c r="BQ131" s="216"/>
      <c r="BR131" s="214"/>
      <c r="BS131" s="215">
        <f t="shared" si="162"/>
        <v>118</v>
      </c>
      <c r="BT131" s="215">
        <f t="shared" si="163"/>
        <v>0</v>
      </c>
      <c r="BU131" s="215" t="str">
        <f t="shared" si="164"/>
        <v xml:space="preserve">Weiß Blau Unterföhring </v>
      </c>
      <c r="BV131" s="214">
        <f t="shared" si="165"/>
        <v>2</v>
      </c>
      <c r="BW131" s="215">
        <f t="shared" si="166"/>
        <v>118</v>
      </c>
      <c r="BX131" s="215">
        <f>IF(COUNTIF(BH131:BP131,"&gt;0")&lt;Spielorte!$A$23,0,BE131/Spielorte!$A$23)</f>
        <v>0</v>
      </c>
      <c r="BY131" s="215">
        <f t="shared" si="167"/>
        <v>0</v>
      </c>
      <c r="BZ131" s="214">
        <f t="shared" si="155"/>
        <v>0</v>
      </c>
    </row>
    <row r="132" spans="1:78" ht="17.2" customHeight="1" thickBot="1" x14ac:dyDescent="0.4">
      <c r="A132" s="369"/>
      <c r="B132" s="79" t="str">
        <f t="shared" si="156"/>
        <v>Mc Fadden, Brigitte</v>
      </c>
      <c r="C132" s="80">
        <f t="shared" si="156"/>
        <v>7546</v>
      </c>
      <c r="D132" s="69" t="str">
        <f t="shared" si="156"/>
        <v/>
      </c>
      <c r="E132" s="350"/>
      <c r="F132" s="69" t="str">
        <f t="shared" si="137"/>
        <v/>
      </c>
      <c r="G132" s="350"/>
      <c r="H132" s="69" t="str">
        <f t="shared" si="138"/>
        <v/>
      </c>
      <c r="I132" s="350"/>
      <c r="J132" s="69" t="str">
        <f t="shared" si="139"/>
        <v/>
      </c>
      <c r="K132" s="350"/>
      <c r="L132" s="69" t="str">
        <f t="shared" si="140"/>
        <v/>
      </c>
      <c r="M132" s="350"/>
      <c r="N132" s="69" t="str">
        <f t="shared" si="157"/>
        <v/>
      </c>
      <c r="O132" s="350"/>
      <c r="P132" s="69" t="str">
        <f t="shared" si="141"/>
        <v/>
      </c>
      <c r="Q132" s="350"/>
      <c r="R132" s="69">
        <f t="shared" si="142"/>
        <v>154</v>
      </c>
      <c r="S132" s="350"/>
      <c r="T132" s="69">
        <f t="shared" si="143"/>
        <v>160</v>
      </c>
      <c r="U132" s="350"/>
      <c r="V132" s="69">
        <f t="shared" si="144"/>
        <v>314</v>
      </c>
      <c r="W132" s="350"/>
      <c r="Z132" s="353"/>
      <c r="AA132" s="118" t="str">
        <f>IF(AB132=0,"",VLOOKUP(AB132,Starter!$A$1:$D$199,2,FALSE))</f>
        <v>Mc Fadden, Brigitte</v>
      </c>
      <c r="AB132" s="100">
        <v>7546</v>
      </c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>
        <v>154</v>
      </c>
      <c r="AR132" s="119"/>
      <c r="AS132" s="189">
        <v>160</v>
      </c>
      <c r="AT132" s="119"/>
      <c r="AU132" s="116">
        <f t="shared" si="145"/>
        <v>314</v>
      </c>
      <c r="AV132" s="117"/>
      <c r="AW132" s="101"/>
      <c r="AX132" s="102"/>
      <c r="AZ132" s="63"/>
      <c r="BA132" s="212"/>
      <c r="BB132" s="213"/>
      <c r="BC132" s="214"/>
      <c r="BD132" s="217">
        <f t="shared" si="158"/>
        <v>7546</v>
      </c>
      <c r="BE132" s="213">
        <f t="shared" si="159"/>
        <v>314</v>
      </c>
      <c r="BF132" s="215">
        <f t="shared" si="160"/>
        <v>2</v>
      </c>
      <c r="BG132" s="215">
        <f t="shared" si="161"/>
        <v>2</v>
      </c>
      <c r="BH132" s="215" t="str">
        <f t="shared" si="146"/>
        <v/>
      </c>
      <c r="BI132" s="215" t="str">
        <f t="shared" si="147"/>
        <v/>
      </c>
      <c r="BJ132" s="215" t="str">
        <f t="shared" si="148"/>
        <v/>
      </c>
      <c r="BK132" s="215" t="str">
        <f t="shared" si="149"/>
        <v/>
      </c>
      <c r="BL132" s="215" t="str">
        <f t="shared" si="150"/>
        <v/>
      </c>
      <c r="BM132" s="215" t="str">
        <f t="shared" si="151"/>
        <v/>
      </c>
      <c r="BN132" s="215" t="str">
        <f t="shared" si="152"/>
        <v/>
      </c>
      <c r="BO132" s="215">
        <f t="shared" si="153"/>
        <v>154</v>
      </c>
      <c r="BP132" s="215">
        <f t="shared" si="154"/>
        <v>160</v>
      </c>
      <c r="BQ132" s="216"/>
      <c r="BR132" s="214"/>
      <c r="BS132" s="215">
        <f t="shared" si="162"/>
        <v>160</v>
      </c>
      <c r="BT132" s="215">
        <f t="shared" si="163"/>
        <v>0</v>
      </c>
      <c r="BU132" s="215" t="str">
        <f t="shared" si="164"/>
        <v xml:space="preserve">Weiß Blau Unterföhring </v>
      </c>
      <c r="BV132" s="214">
        <f t="shared" si="165"/>
        <v>2</v>
      </c>
      <c r="BW132" s="215">
        <f t="shared" si="166"/>
        <v>314</v>
      </c>
      <c r="BX132" s="215">
        <f>IF(COUNTIF(BH132:BP132,"&gt;0")&lt;Spielorte!$A$23,0,BE132/Spielorte!$A$23)</f>
        <v>0</v>
      </c>
      <c r="BY132" s="215">
        <f t="shared" si="167"/>
        <v>0</v>
      </c>
      <c r="BZ132" s="214">
        <f t="shared" si="155"/>
        <v>0</v>
      </c>
    </row>
    <row r="133" spans="1:78" ht="17.2" customHeight="1" x14ac:dyDescent="0.35">
      <c r="A133" s="367" t="s">
        <v>3</v>
      </c>
      <c r="B133" s="73" t="str">
        <f t="shared" si="156"/>
        <v>Zehner, Gabriele</v>
      </c>
      <c r="C133" s="74">
        <f t="shared" si="156"/>
        <v>7551</v>
      </c>
      <c r="D133" s="75">
        <f t="shared" si="156"/>
        <v>150</v>
      </c>
      <c r="E133" s="348">
        <f>IF(AD133="","",AD133)</f>
        <v>0</v>
      </c>
      <c r="F133" s="75">
        <f t="shared" si="137"/>
        <v>150</v>
      </c>
      <c r="G133" s="348">
        <f>IF(AF133="","",AF133)</f>
        <v>1</v>
      </c>
      <c r="H133" s="75" t="str">
        <f t="shared" si="138"/>
        <v/>
      </c>
      <c r="I133" s="348">
        <f>IF(AH133="","",AH133)</f>
        <v>0</v>
      </c>
      <c r="J133" s="75">
        <f t="shared" si="139"/>
        <v>178</v>
      </c>
      <c r="K133" s="348">
        <f>IF(AJ133="","",AJ133)</f>
        <v>1</v>
      </c>
      <c r="L133" s="75" t="str">
        <f t="shared" si="140"/>
        <v/>
      </c>
      <c r="M133" s="348">
        <f>IF(AL133="","",AL133)</f>
        <v>0</v>
      </c>
      <c r="N133" s="75" t="str">
        <f t="shared" si="157"/>
        <v/>
      </c>
      <c r="O133" s="348">
        <f>IF(AN133="","",AN133)</f>
        <v>0</v>
      </c>
      <c r="P133" s="75" t="str">
        <f t="shared" si="141"/>
        <v/>
      </c>
      <c r="Q133" s="348">
        <f>IF(AP133="","",AP133)</f>
        <v>0</v>
      </c>
      <c r="R133" s="75" t="str">
        <f t="shared" si="142"/>
        <v/>
      </c>
      <c r="S133" s="348">
        <f>IF(AR133="","",AR133)</f>
        <v>1</v>
      </c>
      <c r="T133" s="75" t="str">
        <f t="shared" si="143"/>
        <v/>
      </c>
      <c r="U133" s="348">
        <f>IF(AT133="","",AT133)</f>
        <v>1</v>
      </c>
      <c r="V133" s="75">
        <f t="shared" si="144"/>
        <v>478</v>
      </c>
      <c r="W133" s="348">
        <f>IF(AV133="","",AV133)</f>
        <v>4</v>
      </c>
      <c r="Z133" s="351" t="s">
        <v>3</v>
      </c>
      <c r="AA133" s="108" t="str">
        <f>IF(AB133=0,"",VLOOKUP(AB133,Starter!$A$1:$D$199,2,FALSE))</f>
        <v>Zehner, Gabriele</v>
      </c>
      <c r="AB133" s="99">
        <v>7551</v>
      </c>
      <c r="AC133" s="188">
        <v>150</v>
      </c>
      <c r="AD133" s="109">
        <f>IF(SUM(AC133:AC135)+AC147=0,0,IF(SUM(AC133:AC135)=AC147,0.5,IF(SUM(AC133:AC135)&gt;AC147,1,0)))</f>
        <v>0</v>
      </c>
      <c r="AE133" s="188">
        <v>150</v>
      </c>
      <c r="AF133" s="109">
        <f>IF(SUM(AE133:AE135)+AE147=0,0,IF(SUM(AE133:AE135)=AE147,0.5,IF(SUM(AE133:AE135)&gt;AE147,1,0)))</f>
        <v>1</v>
      </c>
      <c r="AG133" s="188"/>
      <c r="AH133" s="109">
        <f>IF(SUM(AG133:AG135)+AG147=0,0,IF(SUM(AG133:AG135)=AG147,0.5,IF(SUM(AG133:AG135)&gt;AG147,1,0)))</f>
        <v>0</v>
      </c>
      <c r="AI133" s="188">
        <v>178</v>
      </c>
      <c r="AJ133" s="109">
        <f>IF(SUM(AI133:AI135)+AI147=0,0,IF(SUM(AI133:AI135)=AI147,0.5,IF(SUM(AI133:AI135)&gt;AI147,1,0)))</f>
        <v>1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0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1</v>
      </c>
      <c r="AS133" s="188"/>
      <c r="AT133" s="109">
        <f>IF(SUM(AS133:AS135)+AS147=0,0,IF(SUM(AS133:AS135)=AS147,0.5,IF(SUM(AS133:AS135)&gt;AS147,1,0)))</f>
        <v>1</v>
      </c>
      <c r="AU133" s="110">
        <f t="shared" si="145"/>
        <v>478</v>
      </c>
      <c r="AV133" s="111">
        <f>SUM(AD133+AF133+AH133+AJ133+AL133+AN133+AP133+AR133+AT133)</f>
        <v>4</v>
      </c>
      <c r="AW133" s="101"/>
      <c r="AX133" s="102"/>
      <c r="AZ133" s="63"/>
      <c r="BA133" s="212"/>
      <c r="BB133" s="213"/>
      <c r="BC133" s="214"/>
      <c r="BD133" s="217">
        <f t="shared" si="158"/>
        <v>7551</v>
      </c>
      <c r="BE133" s="213">
        <f t="shared" si="159"/>
        <v>478</v>
      </c>
      <c r="BF133" s="215">
        <f t="shared" si="160"/>
        <v>3</v>
      </c>
      <c r="BG133" s="215">
        <f t="shared" si="161"/>
        <v>3</v>
      </c>
      <c r="BH133" s="215">
        <f t="shared" si="146"/>
        <v>150</v>
      </c>
      <c r="BI133" s="215">
        <f t="shared" si="147"/>
        <v>150</v>
      </c>
      <c r="BJ133" s="215" t="str">
        <f t="shared" si="148"/>
        <v/>
      </c>
      <c r="BK133" s="215">
        <f t="shared" si="149"/>
        <v>178</v>
      </c>
      <c r="BL133" s="215" t="str">
        <f t="shared" si="150"/>
        <v/>
      </c>
      <c r="BM133" s="215" t="str">
        <f t="shared" si="151"/>
        <v/>
      </c>
      <c r="BN133" s="215" t="str">
        <f t="shared" si="152"/>
        <v/>
      </c>
      <c r="BO133" s="215" t="str">
        <f t="shared" si="153"/>
        <v/>
      </c>
      <c r="BP133" s="215" t="str">
        <f t="shared" si="154"/>
        <v/>
      </c>
      <c r="BQ133" s="216"/>
      <c r="BR133" s="214"/>
      <c r="BS133" s="215">
        <f t="shared" si="162"/>
        <v>178</v>
      </c>
      <c r="BT133" s="215">
        <f t="shared" si="163"/>
        <v>0</v>
      </c>
      <c r="BU133" s="215" t="str">
        <f t="shared" si="164"/>
        <v xml:space="preserve">Weiß Blau Unterföhring </v>
      </c>
      <c r="BV133" s="214">
        <f t="shared" si="165"/>
        <v>2</v>
      </c>
      <c r="BW133" s="215">
        <f t="shared" si="166"/>
        <v>478</v>
      </c>
      <c r="BX133" s="215">
        <f>IF(COUNTIF(BH133:BP133,"&gt;0")&lt;Spielorte!$A$23,0,BE133/Spielorte!$A$23)</f>
        <v>0</v>
      </c>
      <c r="BY133" s="215">
        <f t="shared" si="167"/>
        <v>0</v>
      </c>
      <c r="BZ133" s="214">
        <f t="shared" si="155"/>
        <v>0</v>
      </c>
    </row>
    <row r="134" spans="1:78" ht="17.2" customHeight="1" x14ac:dyDescent="0.35">
      <c r="A134" s="368"/>
      <c r="B134" s="76" t="str">
        <f t="shared" si="156"/>
        <v>Mc Fadden, Brigitte</v>
      </c>
      <c r="C134" s="77">
        <f t="shared" si="156"/>
        <v>7546</v>
      </c>
      <c r="D134" s="78" t="str">
        <f t="shared" si="156"/>
        <v/>
      </c>
      <c r="E134" s="349"/>
      <c r="F134" s="78" t="str">
        <f t="shared" si="137"/>
        <v/>
      </c>
      <c r="G134" s="349"/>
      <c r="H134" s="78">
        <f t="shared" si="138"/>
        <v>129</v>
      </c>
      <c r="I134" s="349"/>
      <c r="J134" s="78" t="str">
        <f t="shared" si="139"/>
        <v/>
      </c>
      <c r="K134" s="349"/>
      <c r="L134" s="78" t="str">
        <f t="shared" si="140"/>
        <v/>
      </c>
      <c r="M134" s="349"/>
      <c r="N134" s="78" t="str">
        <f t="shared" si="157"/>
        <v/>
      </c>
      <c r="O134" s="349"/>
      <c r="P134" s="78" t="str">
        <f t="shared" si="141"/>
        <v/>
      </c>
      <c r="Q134" s="349"/>
      <c r="R134" s="78" t="str">
        <f t="shared" si="142"/>
        <v/>
      </c>
      <c r="S134" s="349"/>
      <c r="T134" s="78" t="str">
        <f t="shared" si="143"/>
        <v/>
      </c>
      <c r="U134" s="349"/>
      <c r="V134" s="78">
        <f t="shared" si="144"/>
        <v>129</v>
      </c>
      <c r="W134" s="349"/>
      <c r="Z134" s="352"/>
      <c r="AA134" s="108" t="str">
        <f>IF(AB134=0,"",VLOOKUP(AB134,Starter!$A$1:$D$199,2,FALSE))</f>
        <v>Mc Fadden, Brigitte</v>
      </c>
      <c r="AB134" s="98">
        <v>7546</v>
      </c>
      <c r="AC134" s="186"/>
      <c r="AD134" s="112"/>
      <c r="AE134" s="186"/>
      <c r="AF134" s="112"/>
      <c r="AG134" s="186">
        <v>129</v>
      </c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5"/>
        <v>129</v>
      </c>
      <c r="AV134" s="114"/>
      <c r="AW134" s="101"/>
      <c r="AX134" s="102"/>
      <c r="AZ134" s="63"/>
      <c r="BA134" s="212"/>
      <c r="BB134" s="213"/>
      <c r="BC134" s="214"/>
      <c r="BD134" s="217">
        <f t="shared" si="158"/>
        <v>7546</v>
      </c>
      <c r="BE134" s="213">
        <f t="shared" si="159"/>
        <v>129</v>
      </c>
      <c r="BF134" s="215">
        <f t="shared" si="160"/>
        <v>1</v>
      </c>
      <c r="BG134" s="215">
        <f t="shared" si="161"/>
        <v>1</v>
      </c>
      <c r="BH134" s="215" t="str">
        <f t="shared" si="146"/>
        <v/>
      </c>
      <c r="BI134" s="215" t="str">
        <f t="shared" si="147"/>
        <v/>
      </c>
      <c r="BJ134" s="215">
        <f t="shared" si="148"/>
        <v>129</v>
      </c>
      <c r="BK134" s="215" t="str">
        <f t="shared" si="149"/>
        <v/>
      </c>
      <c r="BL134" s="215" t="str">
        <f t="shared" si="150"/>
        <v/>
      </c>
      <c r="BM134" s="215" t="str">
        <f t="shared" si="151"/>
        <v/>
      </c>
      <c r="BN134" s="215" t="str">
        <f t="shared" si="152"/>
        <v/>
      </c>
      <c r="BO134" s="215" t="str">
        <f t="shared" si="153"/>
        <v/>
      </c>
      <c r="BP134" s="215" t="str">
        <f t="shared" si="154"/>
        <v/>
      </c>
      <c r="BQ134" s="216"/>
      <c r="BR134" s="214"/>
      <c r="BS134" s="215">
        <f t="shared" si="162"/>
        <v>129</v>
      </c>
      <c r="BT134" s="215">
        <f t="shared" si="163"/>
        <v>0</v>
      </c>
      <c r="BU134" s="215" t="str">
        <f t="shared" si="164"/>
        <v xml:space="preserve">Weiß Blau Unterföhring </v>
      </c>
      <c r="BV134" s="214">
        <f t="shared" si="165"/>
        <v>2</v>
      </c>
      <c r="BW134" s="215">
        <f t="shared" si="166"/>
        <v>129</v>
      </c>
      <c r="BX134" s="215">
        <f>IF(COUNTIF(BH134:BP134,"&gt;0")&lt;Spielorte!$A$23,0,BE134/Spielorte!$A$23)</f>
        <v>0</v>
      </c>
      <c r="BY134" s="215">
        <f t="shared" si="167"/>
        <v>0</v>
      </c>
      <c r="BZ134" s="214">
        <f t="shared" si="155"/>
        <v>0</v>
      </c>
    </row>
    <row r="135" spans="1:78" ht="17.2" customHeight="1" thickBot="1" x14ac:dyDescent="0.4">
      <c r="A135" s="369"/>
      <c r="B135" s="79" t="str">
        <f t="shared" si="156"/>
        <v>Denz, Angelika</v>
      </c>
      <c r="C135" s="80">
        <f t="shared" si="156"/>
        <v>7431</v>
      </c>
      <c r="D135" s="69" t="str">
        <f t="shared" si="156"/>
        <v/>
      </c>
      <c r="E135" s="350"/>
      <c r="F135" s="69" t="str">
        <f t="shared" si="137"/>
        <v/>
      </c>
      <c r="G135" s="350"/>
      <c r="H135" s="69" t="str">
        <f t="shared" si="138"/>
        <v/>
      </c>
      <c r="I135" s="350"/>
      <c r="J135" s="69" t="str">
        <f t="shared" si="139"/>
        <v/>
      </c>
      <c r="K135" s="350"/>
      <c r="L135" s="69">
        <f t="shared" si="140"/>
        <v>172</v>
      </c>
      <c r="M135" s="350"/>
      <c r="N135" s="69">
        <f t="shared" si="157"/>
        <v>148</v>
      </c>
      <c r="O135" s="350"/>
      <c r="P135" s="69">
        <f t="shared" si="141"/>
        <v>184</v>
      </c>
      <c r="Q135" s="350"/>
      <c r="R135" s="69">
        <f t="shared" si="142"/>
        <v>173</v>
      </c>
      <c r="S135" s="350"/>
      <c r="T135" s="69">
        <f t="shared" si="143"/>
        <v>167</v>
      </c>
      <c r="U135" s="350"/>
      <c r="V135" s="69">
        <f t="shared" si="144"/>
        <v>844</v>
      </c>
      <c r="W135" s="350"/>
      <c r="Z135" s="353"/>
      <c r="AA135" s="118" t="str">
        <f>IF(AB135=0,"",VLOOKUP(AB135,Starter!$A$1:$D$199,2,FALSE))</f>
        <v>Denz, Angelika</v>
      </c>
      <c r="AB135" s="100">
        <v>7431</v>
      </c>
      <c r="AC135" s="189"/>
      <c r="AD135" s="119"/>
      <c r="AE135" s="189"/>
      <c r="AF135" s="119"/>
      <c r="AG135" s="189"/>
      <c r="AH135" s="119"/>
      <c r="AI135" s="189"/>
      <c r="AJ135" s="119"/>
      <c r="AK135" s="189">
        <v>172</v>
      </c>
      <c r="AL135" s="119"/>
      <c r="AM135" s="189">
        <v>148</v>
      </c>
      <c r="AN135" s="119"/>
      <c r="AO135" s="189">
        <v>184</v>
      </c>
      <c r="AP135" s="119"/>
      <c r="AQ135" s="189">
        <v>173</v>
      </c>
      <c r="AR135" s="119"/>
      <c r="AS135" s="189">
        <v>167</v>
      </c>
      <c r="AT135" s="119"/>
      <c r="AU135" s="116">
        <f t="shared" si="145"/>
        <v>844</v>
      </c>
      <c r="AV135" s="117"/>
      <c r="AW135" s="101"/>
      <c r="AX135" s="102"/>
      <c r="AZ135" s="63"/>
      <c r="BA135" s="212"/>
      <c r="BB135" s="213"/>
      <c r="BC135" s="214"/>
      <c r="BD135" s="217">
        <f t="shared" si="158"/>
        <v>7431</v>
      </c>
      <c r="BE135" s="213">
        <f t="shared" si="159"/>
        <v>844</v>
      </c>
      <c r="BF135" s="215">
        <f t="shared" si="160"/>
        <v>5</v>
      </c>
      <c r="BG135" s="215">
        <f t="shared" si="161"/>
        <v>5</v>
      </c>
      <c r="BH135" s="215" t="str">
        <f t="shared" si="146"/>
        <v/>
      </c>
      <c r="BI135" s="215" t="str">
        <f t="shared" si="147"/>
        <v/>
      </c>
      <c r="BJ135" s="215" t="str">
        <f t="shared" si="148"/>
        <v/>
      </c>
      <c r="BK135" s="215" t="str">
        <f t="shared" si="149"/>
        <v/>
      </c>
      <c r="BL135" s="215">
        <f t="shared" si="150"/>
        <v>172</v>
      </c>
      <c r="BM135" s="215">
        <f t="shared" si="151"/>
        <v>148</v>
      </c>
      <c r="BN135" s="215">
        <f t="shared" si="152"/>
        <v>184</v>
      </c>
      <c r="BO135" s="215">
        <f t="shared" si="153"/>
        <v>173</v>
      </c>
      <c r="BP135" s="215">
        <f t="shared" si="154"/>
        <v>167</v>
      </c>
      <c r="BQ135" s="216"/>
      <c r="BR135" s="214"/>
      <c r="BS135" s="215">
        <f t="shared" si="162"/>
        <v>184</v>
      </c>
      <c r="BT135" s="215">
        <f t="shared" si="163"/>
        <v>0</v>
      </c>
      <c r="BU135" s="215" t="str">
        <f t="shared" si="164"/>
        <v xml:space="preserve">Weiß Blau Unterföhring </v>
      </c>
      <c r="BV135" s="214">
        <f t="shared" si="165"/>
        <v>2</v>
      </c>
      <c r="BW135" s="215">
        <f t="shared" si="166"/>
        <v>844</v>
      </c>
      <c r="BX135" s="215">
        <f>IF(COUNTIF(BH135:BP135,"&gt;0")&lt;Spielorte!$A$23,0,BE135/Spielorte!$A$23)</f>
        <v>0</v>
      </c>
      <c r="BY135" s="215">
        <f t="shared" si="167"/>
        <v>0</v>
      </c>
      <c r="BZ135" s="214">
        <f t="shared" si="155"/>
        <v>0</v>
      </c>
    </row>
    <row r="136" spans="1:78" ht="17.2" customHeight="1" x14ac:dyDescent="0.35">
      <c r="A136" s="367" t="s">
        <v>11</v>
      </c>
      <c r="B136" s="73" t="str">
        <f>IF(AA136=0,"",AA136)</f>
        <v>Albert, Beate</v>
      </c>
      <c r="C136" s="74">
        <f t="shared" si="156"/>
        <v>7087</v>
      </c>
      <c r="D136" s="75">
        <f t="shared" si="156"/>
        <v>182</v>
      </c>
      <c r="E136" s="348">
        <f>IF(AD136="","",AD136)</f>
        <v>0</v>
      </c>
      <c r="F136" s="75">
        <f t="shared" si="137"/>
        <v>201</v>
      </c>
      <c r="G136" s="348">
        <f>IF(AF136="","",AF136)</f>
        <v>1</v>
      </c>
      <c r="H136" s="75">
        <f t="shared" si="138"/>
        <v>161</v>
      </c>
      <c r="I136" s="348">
        <f>IF(AH136="","",AH136)</f>
        <v>0</v>
      </c>
      <c r="J136" s="75">
        <f t="shared" si="139"/>
        <v>193</v>
      </c>
      <c r="K136" s="348">
        <f>IF(AJ136="","",AJ136)</f>
        <v>1</v>
      </c>
      <c r="L136" s="75">
        <f t="shared" si="140"/>
        <v>185</v>
      </c>
      <c r="M136" s="348">
        <f>IF(AL136="","",AL136)</f>
        <v>1</v>
      </c>
      <c r="N136" s="75">
        <f t="shared" si="157"/>
        <v>166</v>
      </c>
      <c r="O136" s="348">
        <f>IF(AN136="","",AN136)</f>
        <v>1</v>
      </c>
      <c r="P136" s="75">
        <f t="shared" si="141"/>
        <v>167</v>
      </c>
      <c r="Q136" s="348">
        <f>IF(AP136="","",AP136)</f>
        <v>0</v>
      </c>
      <c r="R136" s="75">
        <f t="shared" si="142"/>
        <v>157</v>
      </c>
      <c r="S136" s="348">
        <f>IF(AR136="","",AR136)</f>
        <v>1</v>
      </c>
      <c r="T136" s="75">
        <f t="shared" si="143"/>
        <v>193</v>
      </c>
      <c r="U136" s="348">
        <f>IF(AT136="","",AT136)</f>
        <v>1</v>
      </c>
      <c r="V136" s="75">
        <f t="shared" si="144"/>
        <v>1605</v>
      </c>
      <c r="W136" s="348">
        <f>IF(AV136="","",AV136)</f>
        <v>6</v>
      </c>
      <c r="Z136" s="351" t="s">
        <v>11</v>
      </c>
      <c r="AA136" s="108" t="str">
        <f>IF(AB136=0,"",VLOOKUP(AB136,Starter!$A$1:$D$199,2,FALSE))</f>
        <v>Albert, Beate</v>
      </c>
      <c r="AB136" s="99">
        <v>7087</v>
      </c>
      <c r="AC136" s="188">
        <v>182</v>
      </c>
      <c r="AD136" s="109">
        <f>IF(SUM(AC136:AC138)+AC148=0,0,IF(SUM(AC136:AC138)=AC148,0.5,IF(SUM(AC136:AC138)&gt;AC148,1,0)))</f>
        <v>0</v>
      </c>
      <c r="AE136" s="188">
        <v>201</v>
      </c>
      <c r="AF136" s="109">
        <f>IF(SUM(AE136:AE138)+AE148=0,0,IF(SUM(AE136:AE138)=AE148,0.5,IF(SUM(AE136:AE138)&gt;AE148,1,0)))</f>
        <v>1</v>
      </c>
      <c r="AG136" s="188">
        <v>161</v>
      </c>
      <c r="AH136" s="109">
        <f>IF(SUM(AG136:AG138)+AG148=0,0,IF(SUM(AG136:AG138)=AG148,0.5,IF(SUM(AG136:AG138)&gt;AG148,1,0)))</f>
        <v>0</v>
      </c>
      <c r="AI136" s="188">
        <v>193</v>
      </c>
      <c r="AJ136" s="109">
        <f>IF(SUM(AI136:AI138)+AI148=0,0,IF(SUM(AI136:AI138)=AI148,0.5,IF(SUM(AI136:AI138)&gt;AI148,1,0)))</f>
        <v>1</v>
      </c>
      <c r="AK136" s="188">
        <v>185</v>
      </c>
      <c r="AL136" s="109">
        <f>IF(SUM(AK136:AK138)+AK148=0,0,IF(SUM(AK136:AK138)=AK148,0.5,IF(SUM(AK136:AK138)&gt;AK148,1,0)))</f>
        <v>1</v>
      </c>
      <c r="AM136" s="188">
        <v>166</v>
      </c>
      <c r="AN136" s="109">
        <f>IF(SUM(AM136:AM138)+AM148=0,0,IF(SUM(AM136:AM138)=AM148,0.5,IF(SUM(AM136:AM138)&gt;AM148,1,0)))</f>
        <v>1</v>
      </c>
      <c r="AO136" s="188">
        <v>167</v>
      </c>
      <c r="AP136" s="109">
        <f>IF(SUM(AO136:AO138)+AO148=0,0,IF(SUM(AO136:AO138)=AO148,0.5,IF(SUM(AO136:AO138)&gt;AO148,1,0)))</f>
        <v>0</v>
      </c>
      <c r="AQ136" s="188">
        <v>157</v>
      </c>
      <c r="AR136" s="109">
        <f>IF(SUM(AQ136:AQ138)+AQ148=0,0,IF(SUM(AQ136:AQ138)=AQ148,0.5,IF(SUM(AQ136:AQ138)&gt;AQ148,1,0)))</f>
        <v>1</v>
      </c>
      <c r="AS136" s="188">
        <v>193</v>
      </c>
      <c r="AT136" s="109">
        <f>IF(SUM(AS136:AS138)+AS148=0,0,IF(SUM(AS136:AS138)=AS148,0.5,IF(SUM(AS136:AS138)&gt;AS148,1,0)))</f>
        <v>1</v>
      </c>
      <c r="AU136" s="110">
        <f t="shared" si="145"/>
        <v>1605</v>
      </c>
      <c r="AV136" s="111">
        <f>SUM(AD136+AF136+AH136+AJ136+AL136+AN136+AP136+AR136+AT136)</f>
        <v>6</v>
      </c>
      <c r="AW136" s="101"/>
      <c r="AX136" s="102"/>
      <c r="AZ136" s="63"/>
      <c r="BA136" s="212"/>
      <c r="BB136" s="213"/>
      <c r="BC136" s="214"/>
      <c r="BD136" s="217">
        <f t="shared" si="158"/>
        <v>7087</v>
      </c>
      <c r="BE136" s="213">
        <f t="shared" si="159"/>
        <v>1605</v>
      </c>
      <c r="BF136" s="215">
        <f t="shared" si="160"/>
        <v>9</v>
      </c>
      <c r="BG136" s="215">
        <f t="shared" si="161"/>
        <v>9</v>
      </c>
      <c r="BH136" s="215">
        <f t="shared" si="146"/>
        <v>182</v>
      </c>
      <c r="BI136" s="215">
        <f t="shared" si="147"/>
        <v>201</v>
      </c>
      <c r="BJ136" s="215">
        <f t="shared" si="148"/>
        <v>161</v>
      </c>
      <c r="BK136" s="215">
        <f t="shared" si="149"/>
        <v>193</v>
      </c>
      <c r="BL136" s="215">
        <f t="shared" si="150"/>
        <v>185</v>
      </c>
      <c r="BM136" s="215">
        <f t="shared" si="151"/>
        <v>166</v>
      </c>
      <c r="BN136" s="215">
        <f t="shared" si="152"/>
        <v>167</v>
      </c>
      <c r="BO136" s="215">
        <f t="shared" si="153"/>
        <v>157</v>
      </c>
      <c r="BP136" s="215">
        <f t="shared" si="154"/>
        <v>193</v>
      </c>
      <c r="BQ136" s="216"/>
      <c r="BR136" s="214"/>
      <c r="BS136" s="215">
        <f t="shared" si="162"/>
        <v>201</v>
      </c>
      <c r="BT136" s="215">
        <f t="shared" si="163"/>
        <v>0</v>
      </c>
      <c r="BU136" s="215" t="str">
        <f t="shared" si="164"/>
        <v xml:space="preserve">Weiß Blau Unterföhring </v>
      </c>
      <c r="BV136" s="214">
        <f t="shared" si="165"/>
        <v>2</v>
      </c>
      <c r="BW136" s="215">
        <f t="shared" si="166"/>
        <v>1605</v>
      </c>
      <c r="BX136" s="215">
        <f>IF(COUNTIF(BH136:BP136,"&gt;0")&lt;Spielorte!$A$23,0,BE136/Spielorte!$A$23)</f>
        <v>178.33333333333334</v>
      </c>
      <c r="BY136" s="215">
        <f t="shared" si="167"/>
        <v>0</v>
      </c>
      <c r="BZ136" s="214">
        <f t="shared" si="155"/>
        <v>0</v>
      </c>
    </row>
    <row r="137" spans="1:78" ht="17.2" customHeight="1" x14ac:dyDescent="0.35">
      <c r="A137" s="368"/>
      <c r="B137" s="76" t="str">
        <f>IF(AA137=0,"",AA137)</f>
        <v/>
      </c>
      <c r="C137" s="77" t="str">
        <f t="shared" si="156"/>
        <v/>
      </c>
      <c r="D137" s="78" t="str">
        <f t="shared" si="156"/>
        <v/>
      </c>
      <c r="E137" s="349"/>
      <c r="F137" s="78" t="str">
        <f t="shared" si="137"/>
        <v/>
      </c>
      <c r="G137" s="349"/>
      <c r="H137" s="78" t="str">
        <f t="shared" si="138"/>
        <v/>
      </c>
      <c r="I137" s="349"/>
      <c r="J137" s="78" t="str">
        <f t="shared" si="139"/>
        <v/>
      </c>
      <c r="K137" s="349"/>
      <c r="L137" s="78" t="str">
        <f t="shared" si="140"/>
        <v/>
      </c>
      <c r="M137" s="349"/>
      <c r="N137" s="78" t="str">
        <f t="shared" si="157"/>
        <v/>
      </c>
      <c r="O137" s="349"/>
      <c r="P137" s="78" t="str">
        <f t="shared" si="141"/>
        <v/>
      </c>
      <c r="Q137" s="349"/>
      <c r="R137" s="78" t="str">
        <f t="shared" si="142"/>
        <v/>
      </c>
      <c r="S137" s="349"/>
      <c r="T137" s="78" t="str">
        <f t="shared" si="143"/>
        <v/>
      </c>
      <c r="U137" s="349"/>
      <c r="V137" s="78" t="str">
        <f t="shared" si="144"/>
        <v/>
      </c>
      <c r="W137" s="349"/>
      <c r="Z137" s="352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5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58"/>
        <v>0</v>
      </c>
      <c r="BE137" s="213">
        <f t="shared" si="159"/>
        <v>0</v>
      </c>
      <c r="BF137" s="215">
        <f t="shared" si="160"/>
        <v>0</v>
      </c>
      <c r="BG137" s="215">
        <f t="shared" si="161"/>
        <v>0</v>
      </c>
      <c r="BH137" s="215" t="str">
        <f t="shared" si="146"/>
        <v/>
      </c>
      <c r="BI137" s="215" t="str">
        <f t="shared" si="147"/>
        <v/>
      </c>
      <c r="BJ137" s="215" t="str">
        <f t="shared" si="148"/>
        <v/>
      </c>
      <c r="BK137" s="215" t="str">
        <f t="shared" si="149"/>
        <v/>
      </c>
      <c r="BL137" s="215" t="str">
        <f t="shared" si="150"/>
        <v/>
      </c>
      <c r="BM137" s="215" t="str">
        <f t="shared" si="151"/>
        <v/>
      </c>
      <c r="BN137" s="215" t="str">
        <f t="shared" si="152"/>
        <v/>
      </c>
      <c r="BO137" s="215" t="str">
        <f t="shared" si="153"/>
        <v/>
      </c>
      <c r="BP137" s="215" t="str">
        <f t="shared" si="154"/>
        <v/>
      </c>
      <c r="BQ137" s="216"/>
      <c r="BR137" s="214"/>
      <c r="BS137" s="215">
        <f t="shared" si="162"/>
        <v>0</v>
      </c>
      <c r="BT137" s="215">
        <f t="shared" si="163"/>
        <v>0</v>
      </c>
      <c r="BU137" s="215" t="str">
        <f t="shared" si="164"/>
        <v xml:space="preserve">Weiß Blau Unterföhring </v>
      </c>
      <c r="BV137" s="214">
        <f t="shared" si="165"/>
        <v>2</v>
      </c>
      <c r="BW137" s="215">
        <f t="shared" si="166"/>
        <v>0</v>
      </c>
      <c r="BX137" s="215">
        <f>IF(COUNTIF(BH137:BP137,"&gt;0")&lt;Spielorte!$A$23,0,BE137/Spielorte!$A$23)</f>
        <v>0</v>
      </c>
      <c r="BY137" s="215">
        <f t="shared" si="167"/>
        <v>0</v>
      </c>
      <c r="BZ137" s="214">
        <f t="shared" si="155"/>
        <v>0</v>
      </c>
    </row>
    <row r="138" spans="1:78" ht="17.2" customHeight="1" thickBot="1" x14ac:dyDescent="0.4">
      <c r="A138" s="369"/>
      <c r="B138" s="79" t="str">
        <f>IF(AA138=0,"",AA138)</f>
        <v/>
      </c>
      <c r="C138" s="80" t="str">
        <f t="shared" si="156"/>
        <v/>
      </c>
      <c r="D138" s="69" t="str">
        <f t="shared" si="156"/>
        <v/>
      </c>
      <c r="E138" s="350"/>
      <c r="F138" s="69" t="str">
        <f t="shared" si="137"/>
        <v/>
      </c>
      <c r="G138" s="350"/>
      <c r="H138" s="69" t="str">
        <f t="shared" si="138"/>
        <v/>
      </c>
      <c r="I138" s="350"/>
      <c r="J138" s="69" t="str">
        <f t="shared" si="139"/>
        <v/>
      </c>
      <c r="K138" s="350"/>
      <c r="L138" s="69" t="str">
        <f t="shared" si="140"/>
        <v/>
      </c>
      <c r="M138" s="350"/>
      <c r="N138" s="69" t="str">
        <f t="shared" si="157"/>
        <v/>
      </c>
      <c r="O138" s="350"/>
      <c r="P138" s="69" t="str">
        <f t="shared" si="141"/>
        <v/>
      </c>
      <c r="Q138" s="350"/>
      <c r="R138" s="69" t="str">
        <f t="shared" si="142"/>
        <v/>
      </c>
      <c r="S138" s="350"/>
      <c r="T138" s="69" t="str">
        <f t="shared" si="143"/>
        <v/>
      </c>
      <c r="U138" s="350"/>
      <c r="V138" s="69" t="str">
        <f t="shared" si="144"/>
        <v/>
      </c>
      <c r="W138" s="350"/>
      <c r="Z138" s="353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5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58"/>
        <v>0</v>
      </c>
      <c r="BE138" s="213">
        <f t="shared" si="159"/>
        <v>0</v>
      </c>
      <c r="BF138" s="215">
        <f t="shared" si="160"/>
        <v>0</v>
      </c>
      <c r="BG138" s="215">
        <f t="shared" si="161"/>
        <v>0</v>
      </c>
      <c r="BH138" s="215" t="str">
        <f t="shared" si="146"/>
        <v/>
      </c>
      <c r="BI138" s="215" t="str">
        <f t="shared" si="147"/>
        <v/>
      </c>
      <c r="BJ138" s="215" t="str">
        <f t="shared" si="148"/>
        <v/>
      </c>
      <c r="BK138" s="215" t="str">
        <f t="shared" si="149"/>
        <v/>
      </c>
      <c r="BL138" s="215" t="str">
        <f t="shared" si="150"/>
        <v/>
      </c>
      <c r="BM138" s="215" t="str">
        <f t="shared" si="151"/>
        <v/>
      </c>
      <c r="BN138" s="215" t="str">
        <f t="shared" si="152"/>
        <v/>
      </c>
      <c r="BO138" s="215" t="str">
        <f t="shared" si="153"/>
        <v/>
      </c>
      <c r="BP138" s="215" t="str">
        <f t="shared" si="154"/>
        <v/>
      </c>
      <c r="BQ138" s="216"/>
      <c r="BR138" s="214"/>
      <c r="BS138" s="215">
        <f t="shared" si="162"/>
        <v>0</v>
      </c>
      <c r="BT138" s="215">
        <f t="shared" si="163"/>
        <v>0</v>
      </c>
      <c r="BU138" s="215" t="str">
        <f t="shared" si="164"/>
        <v xml:space="preserve">Weiß Blau Unterföhring </v>
      </c>
      <c r="BV138" s="214">
        <f t="shared" si="165"/>
        <v>2</v>
      </c>
      <c r="BW138" s="215">
        <f t="shared" si="166"/>
        <v>0</v>
      </c>
      <c r="BX138" s="215">
        <f>IF(COUNTIF(BH138:BP138,"&gt;0")&lt;Spielorte!$A$23,0,BE138/Spielorte!$A$23)</f>
        <v>0</v>
      </c>
      <c r="BY138" s="215">
        <f t="shared" si="167"/>
        <v>0</v>
      </c>
      <c r="BZ138" s="214">
        <f t="shared" si="155"/>
        <v>0</v>
      </c>
    </row>
    <row r="139" spans="1:78" ht="27.75" customHeight="1" thickBot="1" x14ac:dyDescent="0.4">
      <c r="B139" s="81" t="str">
        <f>IF(AA139=0,"",AA139)</f>
        <v>Gesamt</v>
      </c>
      <c r="C139" s="82" t="str">
        <f t="shared" si="156"/>
        <v/>
      </c>
      <c r="D139" s="83">
        <f t="shared" si="156"/>
        <v>661</v>
      </c>
      <c r="E139" s="84">
        <f>IF(AD139="","",AD139)</f>
        <v>0</v>
      </c>
      <c r="F139" s="83">
        <f t="shared" si="137"/>
        <v>664</v>
      </c>
      <c r="G139" s="84">
        <f>IF(AF139="","",AF139)</f>
        <v>2</v>
      </c>
      <c r="H139" s="83">
        <f t="shared" si="138"/>
        <v>679</v>
      </c>
      <c r="I139" s="84">
        <f>IF(AH139="","",AH139)</f>
        <v>2</v>
      </c>
      <c r="J139" s="83">
        <f t="shared" si="139"/>
        <v>692</v>
      </c>
      <c r="K139" s="84">
        <f>IF(AJ139="","",AJ139)</f>
        <v>2</v>
      </c>
      <c r="L139" s="83">
        <f t="shared" si="140"/>
        <v>654</v>
      </c>
      <c r="M139" s="84">
        <f>IF(AL139="","",AL139)</f>
        <v>0</v>
      </c>
      <c r="N139" s="83">
        <f t="shared" si="157"/>
        <v>565</v>
      </c>
      <c r="O139" s="84">
        <f>IF(AN139="","",AN139)</f>
        <v>0</v>
      </c>
      <c r="P139" s="83">
        <f t="shared" si="141"/>
        <v>590</v>
      </c>
      <c r="Q139" s="84">
        <f>IF(AP139="","",AP139)</f>
        <v>0</v>
      </c>
      <c r="R139" s="83">
        <f t="shared" si="142"/>
        <v>644</v>
      </c>
      <c r="S139" s="84">
        <f>IF(AR139="","",AR139)</f>
        <v>2</v>
      </c>
      <c r="T139" s="83">
        <f t="shared" si="143"/>
        <v>676</v>
      </c>
      <c r="U139" s="84">
        <f>IF(AT139="","",AT139)</f>
        <v>2</v>
      </c>
      <c r="V139" s="83">
        <f t="shared" si="144"/>
        <v>5825</v>
      </c>
      <c r="W139" s="84">
        <f>IF(AV139="","",AV139)</f>
        <v>10</v>
      </c>
      <c r="AA139" s="81" t="s">
        <v>1799</v>
      </c>
      <c r="AB139" s="120"/>
      <c r="AC139" s="211">
        <f>ABS(SUM(AC127:AC129))+ABS(SUM(AC130:AC132))+ABS(SUM(AC133:AC135))+ABS(SUM(AC136:AC138))</f>
        <v>661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664</v>
      </c>
      <c r="AF139" s="121">
        <f>IF(AE139+AE149=0,0,IF(AE139=AE149,1,IF(AE139&gt;AE149,2,0)))</f>
        <v>2</v>
      </c>
      <c r="AG139" s="211">
        <f>ABS(SUM(AG127:AG129))+ABS(SUM(AG130:AG132))+ABS(SUM(AG133:AG135))+ABS(SUM(AG136:AG138))</f>
        <v>679</v>
      </c>
      <c r="AH139" s="121">
        <f>IF(AG139+AG149=0,0,IF(AG139=AG149,1,IF(AG139&gt;AG149,2,0)))</f>
        <v>2</v>
      </c>
      <c r="AI139" s="211">
        <f>ABS(SUM(AI127:AI129))+ABS(SUM(AI130:AI132))+ABS(SUM(AI133:AI135))+ABS(SUM(AI136:AI138))</f>
        <v>692</v>
      </c>
      <c r="AJ139" s="121">
        <f>IF(AI139+AI149=0,0,IF(AI139=AI149,1,IF(AI139&gt;AI149,2,0)))</f>
        <v>2</v>
      </c>
      <c r="AK139" s="211">
        <f>ABS(SUM(AK127:AK129))+ABS(SUM(AK130:AK132))+ABS(SUM(AK133:AK135))+ABS(SUM(AK136:AK138))</f>
        <v>654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565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590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644</v>
      </c>
      <c r="AR139" s="121">
        <f>IF(AQ139+AQ149=0,0,IF(AQ139=AQ149,1,IF(AQ139&gt;AQ149,2,0)))</f>
        <v>2</v>
      </c>
      <c r="AS139" s="211">
        <f>ABS(SUM(AS127:AS129))+ABS(SUM(AS130:AS132))+ABS(SUM(AS133:AS135))+ABS(SUM(AS136:AS138))</f>
        <v>676</v>
      </c>
      <c r="AT139" s="121">
        <f>IF(AS139+AS149=0,0,IF(AS139=AS149,1,IF(AS139&gt;AS149,2,0)))</f>
        <v>2</v>
      </c>
      <c r="AU139" s="122">
        <f>SUM(AC139+AE139+AG139+AI139+AK139+AM139+AO139+AQ139+AS139)</f>
        <v>5825</v>
      </c>
      <c r="AV139" s="123">
        <f>SUM(AD139+AF139+AH139+AJ139+AL139+AN139+AP139+AR139+AT139)</f>
        <v>10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4">
      <c r="B140" s="85" t="str">
        <f>IF(AA140=0,"",AA140)</f>
        <v>Gesamt - Punkte</v>
      </c>
      <c r="C140" s="86" t="str">
        <f t="shared" si="156"/>
        <v/>
      </c>
      <c r="D140" s="86" t="str">
        <f t="shared" si="156"/>
        <v/>
      </c>
      <c r="E140" s="87">
        <f>IF(AD140="","",AD140)</f>
        <v>0</v>
      </c>
      <c r="F140" s="86" t="str">
        <f t="shared" si="137"/>
        <v/>
      </c>
      <c r="G140" s="87">
        <f>IF(AF140="","",AF140)</f>
        <v>6</v>
      </c>
      <c r="H140" s="86" t="str">
        <f t="shared" si="138"/>
        <v/>
      </c>
      <c r="I140" s="87">
        <f>IF(AH140="","",AH140)</f>
        <v>3</v>
      </c>
      <c r="J140" s="86" t="str">
        <f t="shared" si="139"/>
        <v/>
      </c>
      <c r="K140" s="87">
        <f>IF(AJ140="","",AJ140)</f>
        <v>5</v>
      </c>
      <c r="L140" s="86" t="str">
        <f t="shared" si="140"/>
        <v/>
      </c>
      <c r="M140" s="87">
        <f>IF(AL140="","",AL140)</f>
        <v>2</v>
      </c>
      <c r="N140" s="86" t="str">
        <f t="shared" si="157"/>
        <v/>
      </c>
      <c r="O140" s="87">
        <f>IF(AN140="","",AN140)</f>
        <v>1</v>
      </c>
      <c r="P140" s="86" t="str">
        <f t="shared" si="141"/>
        <v/>
      </c>
      <c r="Q140" s="87">
        <f>IF(AP140="","",AP140)</f>
        <v>0</v>
      </c>
      <c r="R140" s="86" t="str">
        <f t="shared" si="142"/>
        <v/>
      </c>
      <c r="S140" s="87">
        <f>IF(AR140="","",AR140)</f>
        <v>6</v>
      </c>
      <c r="T140" s="86" t="str">
        <f t="shared" si="143"/>
        <v/>
      </c>
      <c r="U140" s="87">
        <f>IF(AT140="","",AT140)</f>
        <v>4</v>
      </c>
      <c r="V140" s="86" t="str">
        <f t="shared" si="144"/>
        <v/>
      </c>
      <c r="W140" s="87">
        <f>IF(AV140="","",AV140)</f>
        <v>27</v>
      </c>
      <c r="AA140" s="85" t="s">
        <v>1814</v>
      </c>
      <c r="AB140" s="86"/>
      <c r="AC140" s="86"/>
      <c r="AD140" s="124">
        <f>SUM(AD127:AD139)</f>
        <v>0</v>
      </c>
      <c r="AE140" s="86"/>
      <c r="AF140" s="124">
        <f>SUM(AF127:AF139)</f>
        <v>6</v>
      </c>
      <c r="AG140" s="86"/>
      <c r="AH140" s="124">
        <f>SUM(AH127:AH139)</f>
        <v>3</v>
      </c>
      <c r="AI140" s="86"/>
      <c r="AJ140" s="124">
        <f>SUM(AJ127:AJ139)</f>
        <v>5</v>
      </c>
      <c r="AK140" s="86"/>
      <c r="AL140" s="124">
        <f>SUM(AL127:AL139)</f>
        <v>2</v>
      </c>
      <c r="AM140" s="86"/>
      <c r="AN140" s="124">
        <f>SUM(AN127:AN139)</f>
        <v>1</v>
      </c>
      <c r="AO140" s="86"/>
      <c r="AP140" s="124">
        <f>SUM(AP127:AP139)</f>
        <v>0</v>
      </c>
      <c r="AQ140" s="86"/>
      <c r="AR140" s="124">
        <f>SUM(AR127:AR139)</f>
        <v>6</v>
      </c>
      <c r="AS140" s="86"/>
      <c r="AT140" s="124">
        <f>SUM(AT127:AT139)</f>
        <v>4</v>
      </c>
      <c r="AU140" s="86"/>
      <c r="AV140" s="125">
        <f>SUM(AV127:AV139)</f>
        <v>27</v>
      </c>
      <c r="AW140" s="101"/>
      <c r="AX140" s="102"/>
      <c r="BA140" s="212">
        <f>+AV140</f>
        <v>27</v>
      </c>
      <c r="BB140" s="213">
        <f>+AU139</f>
        <v>5825</v>
      </c>
      <c r="BC140" s="214">
        <f>+AA122</f>
        <v>5</v>
      </c>
      <c r="BF140" s="215">
        <f>SUM(BF121:BF139)</f>
        <v>36</v>
      </c>
      <c r="BQ140" s="212">
        <f>+BB140/1000000+BA140</f>
        <v>27.005825000000002</v>
      </c>
      <c r="BR140" s="214">
        <f>RANK(BQ140,BQ:BQ)</f>
        <v>6</v>
      </c>
      <c r="BV140" s="214"/>
      <c r="BZ140" s="214"/>
    </row>
    <row r="141" spans="1:78" ht="11.25" customHeight="1" x14ac:dyDescent="0.3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35">
      <c r="B142" s="88" t="str">
        <f t="shared" ref="B142:K144" si="168">IF(AA142=0,"",AA142)</f>
        <v>Gegner-Nr.:</v>
      </c>
      <c r="C142" s="89" t="str">
        <f t="shared" si="168"/>
        <v>&gt;&gt;&gt;&gt;</v>
      </c>
      <c r="D142" s="346">
        <f t="shared" si="168"/>
        <v>1</v>
      </c>
      <c r="E142" s="346" t="str">
        <f t="shared" si="168"/>
        <v/>
      </c>
      <c r="F142" s="346">
        <f t="shared" si="168"/>
        <v>4</v>
      </c>
      <c r="G142" s="346" t="str">
        <f t="shared" si="168"/>
        <v/>
      </c>
      <c r="H142" s="346">
        <f t="shared" si="168"/>
        <v>6</v>
      </c>
      <c r="I142" s="346" t="str">
        <f t="shared" si="168"/>
        <v/>
      </c>
      <c r="J142" s="346">
        <f t="shared" si="168"/>
        <v>9</v>
      </c>
      <c r="K142" s="346" t="str">
        <f t="shared" si="168"/>
        <v/>
      </c>
      <c r="L142" s="346">
        <f t="shared" ref="L142:U144" si="169">IF(AK142=0,"",AK142)</f>
        <v>10</v>
      </c>
      <c r="M142" s="346" t="str">
        <f t="shared" si="169"/>
        <v/>
      </c>
      <c r="N142" s="346">
        <f t="shared" si="169"/>
        <v>8</v>
      </c>
      <c r="O142" s="346" t="str">
        <f t="shared" si="169"/>
        <v/>
      </c>
      <c r="P142" s="346">
        <f t="shared" si="169"/>
        <v>3</v>
      </c>
      <c r="Q142" s="346" t="str">
        <f t="shared" si="169"/>
        <v/>
      </c>
      <c r="R142" s="346">
        <f t="shared" si="169"/>
        <v>2</v>
      </c>
      <c r="S142" s="346" t="str">
        <f t="shared" si="169"/>
        <v/>
      </c>
      <c r="T142" s="346">
        <f t="shared" si="169"/>
        <v>7</v>
      </c>
      <c r="U142" s="346" t="str">
        <f t="shared" si="169"/>
        <v/>
      </c>
      <c r="V142" s="347"/>
      <c r="W142" s="347"/>
      <c r="AA142" s="88" t="s">
        <v>1797</v>
      </c>
      <c r="AB142" s="89" t="s">
        <v>1798</v>
      </c>
      <c r="AC142" s="370">
        <f>VLOOKUP($AA122,Schlüssel!$A$5:$DG$14,43)</f>
        <v>1</v>
      </c>
      <c r="AD142" s="371"/>
      <c r="AE142" s="370">
        <f>VLOOKUP($AA122,Schlüssel!$A$5:$EK$14,44)</f>
        <v>4</v>
      </c>
      <c r="AF142" s="371"/>
      <c r="AG142" s="370">
        <f>VLOOKUP($AA122,Schlüssel!$A$5:$EK$14,45)</f>
        <v>6</v>
      </c>
      <c r="AH142" s="371"/>
      <c r="AI142" s="370">
        <f>VLOOKUP($AA122,Schlüssel!$A$5:$EK$14,46)</f>
        <v>9</v>
      </c>
      <c r="AJ142" s="371"/>
      <c r="AK142" s="370">
        <f>VLOOKUP($AA122,Schlüssel!$A$5:$EK$14,47)</f>
        <v>10</v>
      </c>
      <c r="AL142" s="371"/>
      <c r="AM142" s="370">
        <f>VLOOKUP($AA122,Schlüssel!$A$5:$EK$14,48)</f>
        <v>8</v>
      </c>
      <c r="AN142" s="371"/>
      <c r="AO142" s="370">
        <f>VLOOKUP($AA122,Schlüssel!$A$5:$EK$14,49)</f>
        <v>3</v>
      </c>
      <c r="AP142" s="371"/>
      <c r="AQ142" s="370">
        <f>VLOOKUP($AA122,Schlüssel!$A$5:$EK$14,50)</f>
        <v>2</v>
      </c>
      <c r="AR142" s="371"/>
      <c r="AS142" s="370">
        <f>VLOOKUP($AA122,Schlüssel!$A$5:$EK$14,51)</f>
        <v>7</v>
      </c>
      <c r="AT142" s="371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35">
      <c r="B143" s="90" t="str">
        <f t="shared" si="168"/>
        <v/>
      </c>
      <c r="C143" s="86" t="str">
        <f t="shared" si="168"/>
        <v/>
      </c>
      <c r="D143" s="343" t="str">
        <f t="shared" si="168"/>
        <v>Praetoria Regensburg</v>
      </c>
      <c r="E143" s="344" t="str">
        <f t="shared" si="168"/>
        <v/>
      </c>
      <c r="F143" s="343" t="str">
        <f t="shared" si="168"/>
        <v>BK München 3</v>
      </c>
      <c r="G143" s="344" t="str">
        <f t="shared" si="168"/>
        <v/>
      </c>
      <c r="H143" s="343" t="str">
        <f t="shared" si="168"/>
        <v>Phönix 03 Lauf</v>
      </c>
      <c r="I143" s="344" t="str">
        <f t="shared" si="168"/>
        <v/>
      </c>
      <c r="J143" s="343" t="str">
        <f t="shared" si="168"/>
        <v>RW Lichtenhof 69 Stein 2</v>
      </c>
      <c r="K143" s="344" t="str">
        <f t="shared" si="168"/>
        <v/>
      </c>
      <c r="L143" s="343" t="str">
        <f t="shared" si="169"/>
        <v>BK München 4</v>
      </c>
      <c r="M143" s="344" t="str">
        <f t="shared" si="169"/>
        <v/>
      </c>
      <c r="N143" s="343" t="str">
        <f t="shared" si="169"/>
        <v>EPA München 1</v>
      </c>
      <c r="O143" s="344" t="str">
        <f t="shared" si="169"/>
        <v/>
      </c>
      <c r="P143" s="343" t="str">
        <f t="shared" si="169"/>
        <v>Highroller Rosenheim</v>
      </c>
      <c r="Q143" s="344" t="str">
        <f t="shared" si="169"/>
        <v/>
      </c>
      <c r="R143" s="343" t="str">
        <f t="shared" si="169"/>
        <v>BK München 2</v>
      </c>
      <c r="S143" s="344" t="str">
        <f t="shared" si="169"/>
        <v/>
      </c>
      <c r="T143" s="343" t="str">
        <f t="shared" si="169"/>
        <v>Frankenpower Nürnberg</v>
      </c>
      <c r="U143" s="344" t="str">
        <f t="shared" si="169"/>
        <v/>
      </c>
      <c r="V143" s="345"/>
      <c r="W143" s="345"/>
      <c r="AA143" s="90"/>
      <c r="AB143" s="86"/>
      <c r="AC143" s="343" t="str">
        <f>VLOOKUP(AC142,Schlüssel!$A$5:$K$14,2)</f>
        <v>Praetoria Regensburg</v>
      </c>
      <c r="AD143" s="344"/>
      <c r="AE143" s="343" t="str">
        <f>VLOOKUP(AE142,Schlüssel!$A$5:$K$14,2)</f>
        <v>BK München 3</v>
      </c>
      <c r="AF143" s="344"/>
      <c r="AG143" s="343" t="str">
        <f>VLOOKUP(AG142,Schlüssel!$A$5:$K$14,2)</f>
        <v>Phönix 03 Lauf</v>
      </c>
      <c r="AH143" s="344"/>
      <c r="AI143" s="343" t="str">
        <f>VLOOKUP(AI142,Schlüssel!$A$5:$K$14,2)</f>
        <v>RW Lichtenhof 69 Stein 2</v>
      </c>
      <c r="AJ143" s="344"/>
      <c r="AK143" s="343" t="str">
        <f>VLOOKUP(AK142,Schlüssel!$A$5:$K$14,2)</f>
        <v>BK München 4</v>
      </c>
      <c r="AL143" s="344"/>
      <c r="AM143" s="343" t="str">
        <f>VLOOKUP(AM142,Schlüssel!$A$5:$K$14,2)</f>
        <v>EPA München 1</v>
      </c>
      <c r="AN143" s="344"/>
      <c r="AO143" s="343" t="str">
        <f>VLOOKUP(AO142,Schlüssel!$A$5:$K$14,2)</f>
        <v>Highroller Rosenheim</v>
      </c>
      <c r="AP143" s="344"/>
      <c r="AQ143" s="343" t="str">
        <f>VLOOKUP(AQ142,Schlüssel!$A$5:$K$14,2)</f>
        <v>BK München 2</v>
      </c>
      <c r="AR143" s="344"/>
      <c r="AS143" s="343" t="str">
        <f>VLOOKUP(AS142,Schlüssel!$A$5:$K$14,2)</f>
        <v>Frankenpower Nürnberg</v>
      </c>
      <c r="AT143" s="344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35">
      <c r="B144" s="90" t="str">
        <f t="shared" si="168"/>
        <v/>
      </c>
      <c r="C144" s="86" t="str">
        <f t="shared" si="168"/>
        <v/>
      </c>
      <c r="D144" s="341" t="str">
        <f t="shared" si="168"/>
        <v/>
      </c>
      <c r="E144" s="341" t="str">
        <f t="shared" si="168"/>
        <v/>
      </c>
      <c r="F144" s="341" t="str">
        <f t="shared" si="168"/>
        <v/>
      </c>
      <c r="G144" s="341" t="str">
        <f t="shared" si="168"/>
        <v/>
      </c>
      <c r="H144" s="341" t="str">
        <f t="shared" si="168"/>
        <v/>
      </c>
      <c r="I144" s="341" t="str">
        <f t="shared" si="168"/>
        <v/>
      </c>
      <c r="J144" s="341" t="str">
        <f t="shared" si="168"/>
        <v/>
      </c>
      <c r="K144" s="341" t="str">
        <f t="shared" si="168"/>
        <v/>
      </c>
      <c r="L144" s="341" t="str">
        <f t="shared" si="169"/>
        <v/>
      </c>
      <c r="M144" s="341" t="str">
        <f t="shared" si="169"/>
        <v/>
      </c>
      <c r="N144" s="341" t="str">
        <f t="shared" si="169"/>
        <v/>
      </c>
      <c r="O144" s="341" t="str">
        <f t="shared" si="169"/>
        <v/>
      </c>
      <c r="P144" s="341" t="str">
        <f t="shared" si="169"/>
        <v/>
      </c>
      <c r="Q144" s="341" t="str">
        <f t="shared" si="169"/>
        <v/>
      </c>
      <c r="R144" s="341" t="str">
        <f t="shared" si="169"/>
        <v/>
      </c>
      <c r="S144" s="341" t="str">
        <f t="shared" si="169"/>
        <v/>
      </c>
      <c r="T144" s="341" t="str">
        <f t="shared" si="169"/>
        <v/>
      </c>
      <c r="U144" s="342" t="str">
        <f t="shared" si="169"/>
        <v/>
      </c>
      <c r="V144" s="301"/>
      <c r="W144" s="301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6.05" customHeight="1" x14ac:dyDescent="0.35">
      <c r="B145" s="365" t="str">
        <f t="shared" ref="B145:C149" si="170">IF(AA145=0,"",AA145)</f>
        <v>Spieler 1</v>
      </c>
      <c r="C145" s="366" t="str">
        <f t="shared" si="170"/>
        <v/>
      </c>
      <c r="D145" s="339">
        <f>IF(AC145=301,"",AC145)</f>
        <v>195</v>
      </c>
      <c r="E145" s="339" t="str">
        <f>IF(AD145=0,"",AD145)</f>
        <v/>
      </c>
      <c r="F145" s="339">
        <f>IF(AE145=301,"",AE145)</f>
        <v>0</v>
      </c>
      <c r="G145" s="339" t="str">
        <f>IF(AF145=0,"",AF145)</f>
        <v/>
      </c>
      <c r="H145" s="339">
        <f>IF(AG145=301,"",AG145)</f>
        <v>102</v>
      </c>
      <c r="I145" s="339" t="str">
        <f>IF(AH145=0,"",AH145)</f>
        <v/>
      </c>
      <c r="J145" s="339">
        <f>IF(AI145=301,"",AI145)</f>
        <v>213</v>
      </c>
      <c r="K145" s="339" t="str">
        <f>IF(AJ145=0,"",AJ145)</f>
        <v/>
      </c>
      <c r="L145" s="339">
        <f>IF(AK145=301,"",AK145)</f>
        <v>190</v>
      </c>
      <c r="M145" s="339" t="str">
        <f>IF(AL145=0,"",AL145)</f>
        <v/>
      </c>
      <c r="N145" s="339">
        <f>IF(AM145=301,"",AM145)</f>
        <v>190</v>
      </c>
      <c r="O145" s="339" t="str">
        <f>IF(AN145=0,"",AN145)</f>
        <v/>
      </c>
      <c r="P145" s="339">
        <f>IF(AO145=301,"",AO145)</f>
        <v>178</v>
      </c>
      <c r="Q145" s="339" t="str">
        <f>IF(AP145=0,"",AP145)</f>
        <v/>
      </c>
      <c r="R145" s="339">
        <f>IF(AQ145=301,"",AQ145)</f>
        <v>141</v>
      </c>
      <c r="S145" s="339" t="str">
        <f>IF(AR145=0,"",AR145)</f>
        <v/>
      </c>
      <c r="T145" s="339">
        <f>IF(AS145=301,"",AS145)</f>
        <v>157</v>
      </c>
      <c r="U145" s="339" t="str">
        <f>IF(AT145=0,"",AT145)</f>
        <v/>
      </c>
      <c r="V145" s="340"/>
      <c r="W145" s="340"/>
      <c r="AA145" s="91" t="s">
        <v>0</v>
      </c>
      <c r="AB145" s="92"/>
      <c r="AC145" s="372">
        <f>ABS(INDEX(AC:AC,MATCH(AC142,$AA:$AA,0)+5)+INDEX(AC:AC,MATCH(AC142,$AA:$AA,0)+6)+INDEX(AC:AC,MATCH(AC142,$AA:$AA,0)+7))</f>
        <v>195</v>
      </c>
      <c r="AD145" s="373"/>
      <c r="AE145" s="372">
        <f>ABS(INDEX(AE:AE,MATCH(AE142,$AA:$AA,0)+5)+INDEX(AE:AE,MATCH(AE142,$AA:$AA,0)+6)+INDEX(AE:AE,MATCH(AE142,$AA:$AA,0)+7))</f>
        <v>0</v>
      </c>
      <c r="AF145" s="373"/>
      <c r="AG145" s="372">
        <f>ABS(INDEX(AG:AG,MATCH(AG142,$AA:$AA,0)+5)+INDEX(AG:AG,MATCH(AG142,$AA:$AA,0)+6)+INDEX(AG:AG,MATCH(AG142,$AA:$AA,0)+7))</f>
        <v>102</v>
      </c>
      <c r="AH145" s="373"/>
      <c r="AI145" s="372">
        <f>ABS(INDEX(AI:AI,MATCH(AI142,$AA:$AA,0)+5)+INDEX(AI:AI,MATCH(AI142,$AA:$AA,0)+6)+INDEX(AI:AI,MATCH(AI142,$AA:$AA,0)+7))</f>
        <v>213</v>
      </c>
      <c r="AJ145" s="373"/>
      <c r="AK145" s="372">
        <f>ABS(INDEX(AK:AK,MATCH(AK142,$AA:$AA,0)+5)+INDEX(AK:AK,MATCH(AK142,$AA:$AA,0)+6)+INDEX(AK:AK,MATCH(AK142,$AA:$AA,0)+7))</f>
        <v>190</v>
      </c>
      <c r="AL145" s="373"/>
      <c r="AM145" s="372">
        <f>ABS(INDEX(AM:AM,MATCH(AM142,$AA:$AA,0)+5)+INDEX(AM:AM,MATCH(AM142,$AA:$AA,0)+6)+INDEX(AM:AM,MATCH(AM142,$AA:$AA,0)+7))</f>
        <v>190</v>
      </c>
      <c r="AN145" s="373"/>
      <c r="AO145" s="372">
        <f>ABS(INDEX(AO:AO,MATCH(AO142,$AA:$AA,0)+5)+INDEX(AO:AO,MATCH(AO142,$AA:$AA,0)+6)+INDEX(AO:AO,MATCH(AO142,$AA:$AA,0)+7))</f>
        <v>178</v>
      </c>
      <c r="AP145" s="373"/>
      <c r="AQ145" s="372">
        <f>ABS(INDEX(AQ:AQ,MATCH(AQ142,$AA:$AA,0)+5)+INDEX(AQ:AQ,MATCH(AQ142,$AA:$AA,0)+6)+INDEX(AQ:AQ,MATCH(AQ142,$AA:$AA,0)+7))</f>
        <v>141</v>
      </c>
      <c r="AR145" s="373"/>
      <c r="AS145" s="372">
        <f>ABS(INDEX(AS:AS,MATCH(AS142,$AA:$AA,0)+5)+INDEX(AS:AS,MATCH(AS142,$AA:$AA,0)+6)+INDEX(AS:AS,MATCH(AS142,$AA:$AA,0)+7))</f>
        <v>157</v>
      </c>
      <c r="AT145" s="373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6.05" customHeight="1" x14ac:dyDescent="0.35">
      <c r="B146" s="365" t="str">
        <f t="shared" si="170"/>
        <v>Spieler 2</v>
      </c>
      <c r="C146" s="366" t="str">
        <f t="shared" si="170"/>
        <v/>
      </c>
      <c r="D146" s="339">
        <f>IF(AC146=301,"",AC146)</f>
        <v>190</v>
      </c>
      <c r="E146" s="339" t="str">
        <f>IF(AD146=0,"",AD146)</f>
        <v/>
      </c>
      <c r="F146" s="339">
        <f>IF(AE146=301,"",AE146)</f>
        <v>0</v>
      </c>
      <c r="G146" s="339" t="str">
        <f>IF(AF146=0,"",AF146)</f>
        <v/>
      </c>
      <c r="H146" s="339">
        <f>IF(AG146=301,"",AG146)</f>
        <v>189</v>
      </c>
      <c r="I146" s="339" t="str">
        <f>IF(AH146=0,"",AH146)</f>
        <v/>
      </c>
      <c r="J146" s="339">
        <f>IF(AI146=301,"",AI146)</f>
        <v>143</v>
      </c>
      <c r="K146" s="339" t="str">
        <f>IF(AJ146=0,"",AJ146)</f>
        <v/>
      </c>
      <c r="L146" s="339">
        <f>IF(AK146=301,"",AK146)</f>
        <v>158</v>
      </c>
      <c r="M146" s="339" t="str">
        <f>IF(AL146=0,"",AL146)</f>
        <v/>
      </c>
      <c r="N146" s="339">
        <f>IF(AM146=301,"",AM146)</f>
        <v>146</v>
      </c>
      <c r="O146" s="339" t="str">
        <f>IF(AN146=0,"",AN146)</f>
        <v/>
      </c>
      <c r="P146" s="339">
        <f>IF(AO146=301,"",AO146)</f>
        <v>172</v>
      </c>
      <c r="Q146" s="339" t="str">
        <f>IF(AP146=0,"",AP146)</f>
        <v/>
      </c>
      <c r="R146" s="339">
        <f>IF(AQ146=301,"",AQ146)</f>
        <v>153</v>
      </c>
      <c r="S146" s="339" t="str">
        <f>IF(AR146=0,"",AR146)</f>
        <v/>
      </c>
      <c r="T146" s="339">
        <f>IF(AS146=301,"",AS146)</f>
        <v>200</v>
      </c>
      <c r="U146" s="339" t="str">
        <f>IF(AT146=0,"",AT146)</f>
        <v/>
      </c>
      <c r="V146" s="340"/>
      <c r="W146" s="340"/>
      <c r="AA146" s="91" t="s">
        <v>2</v>
      </c>
      <c r="AB146" s="92"/>
      <c r="AC146" s="374">
        <f>ABS(INDEX(AC:AC,MATCH(AC142,$AA:$AA,0)+8)+INDEX(AC:AC,MATCH(AC142,$AA:$AA,0)+9)+INDEX(AC:AC,MATCH(AC142,$AA:$AA,0)+10))</f>
        <v>190</v>
      </c>
      <c r="AD146" s="375"/>
      <c r="AE146" s="374">
        <f>ABS(INDEX(AE:AE,MATCH(AE142,$AA:$AA,0)+8)+INDEX(AE:AE,MATCH(AE142,$AA:$AA,0)+9)+INDEX(AE:AE,MATCH(AE142,$AA:$AA,0)+10))</f>
        <v>0</v>
      </c>
      <c r="AF146" s="375"/>
      <c r="AG146" s="374">
        <f>ABS(INDEX(AG:AG,MATCH(AG142,$AA:$AA,0)+8)+INDEX(AG:AG,MATCH(AG142,$AA:$AA,0)+9)+INDEX(AG:AG,MATCH(AG142,$AA:$AA,0)+10))</f>
        <v>189</v>
      </c>
      <c r="AH146" s="375"/>
      <c r="AI146" s="374">
        <f>ABS(INDEX(AI:AI,MATCH(AI142,$AA:$AA,0)+8)+INDEX(AI:AI,MATCH(AI142,$AA:$AA,0)+9)+INDEX(AI:AI,MATCH(AI142,$AA:$AA,0)+10))</f>
        <v>143</v>
      </c>
      <c r="AJ146" s="375"/>
      <c r="AK146" s="374">
        <f>ABS(INDEX(AK:AK,MATCH(AK142,$AA:$AA,0)+8)+INDEX(AK:AK,MATCH(AK142,$AA:$AA,0)+9)+INDEX(AK:AK,MATCH(AK142,$AA:$AA,0)+10))</f>
        <v>158</v>
      </c>
      <c r="AL146" s="375"/>
      <c r="AM146" s="374">
        <f>ABS(INDEX(AM:AM,MATCH(AM142,$AA:$AA,0)+8)+INDEX(AM:AM,MATCH(AM142,$AA:$AA,0)+9)+INDEX(AM:AM,MATCH(AM142,$AA:$AA,0)+10))</f>
        <v>146</v>
      </c>
      <c r="AN146" s="375"/>
      <c r="AO146" s="374">
        <f>ABS(INDEX(AO:AO,MATCH(AO142,$AA:$AA,0)+8)+INDEX(AO:AO,MATCH(AO142,$AA:$AA,0)+9)+INDEX(AO:AO,MATCH(AO142,$AA:$AA,0)+10))</f>
        <v>172</v>
      </c>
      <c r="AP146" s="375"/>
      <c r="AQ146" s="374">
        <f>ABS(INDEX(AQ:AQ,MATCH(AQ142,$AA:$AA,0)+8)+INDEX(AQ:AQ,MATCH(AQ142,$AA:$AA,0)+9)+INDEX(AQ:AQ,MATCH(AQ142,$AA:$AA,0)+10))</f>
        <v>153</v>
      </c>
      <c r="AR146" s="375"/>
      <c r="AS146" s="374">
        <f>ABS(INDEX(AS:AS,MATCH(AS142,$AA:$AA,0)+8)+INDEX(AS:AS,MATCH(AS142,$AA:$AA,0)+9)+INDEX(AS:AS,MATCH(AS142,$AA:$AA,0)+10))</f>
        <v>200</v>
      </c>
      <c r="AT146" s="37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6.05" customHeight="1" x14ac:dyDescent="0.35">
      <c r="B147" s="365" t="str">
        <f t="shared" si="170"/>
        <v>Spieler 3</v>
      </c>
      <c r="C147" s="366" t="str">
        <f t="shared" si="170"/>
        <v/>
      </c>
      <c r="D147" s="339">
        <f>IF(AC147=301,"",AC147)</f>
        <v>177</v>
      </c>
      <c r="E147" s="339" t="str">
        <f>IF(AD147=0,"",AD147)</f>
        <v/>
      </c>
      <c r="F147" s="339">
        <f>IF(AE147=301,"",AE147)</f>
        <v>0</v>
      </c>
      <c r="G147" s="339" t="str">
        <f>IF(AF147=0,"",AF147)</f>
        <v/>
      </c>
      <c r="H147" s="339">
        <f>IF(AG147=301,"",AG147)</f>
        <v>156</v>
      </c>
      <c r="I147" s="339" t="str">
        <f>IF(AH147=0,"",AH147)</f>
        <v/>
      </c>
      <c r="J147" s="339">
        <f>IF(AI147=301,"",AI147)</f>
        <v>125</v>
      </c>
      <c r="K147" s="339" t="str">
        <f>IF(AJ147=0,"",AJ147)</f>
        <v/>
      </c>
      <c r="L147" s="339">
        <f>IF(AK147=301,"",AK147)</f>
        <v>203</v>
      </c>
      <c r="M147" s="339" t="str">
        <f>IF(AL147=0,"",AL147)</f>
        <v/>
      </c>
      <c r="N147" s="339">
        <f>IF(AM147=301,"",AM147)</f>
        <v>182</v>
      </c>
      <c r="O147" s="339" t="str">
        <f>IF(AN147=0,"",AN147)</f>
        <v/>
      </c>
      <c r="P147" s="339">
        <f>IF(AO147=301,"",AO147)</f>
        <v>192</v>
      </c>
      <c r="Q147" s="339" t="str">
        <f>IF(AP147=0,"",AP147)</f>
        <v/>
      </c>
      <c r="R147" s="339">
        <f>IF(AQ147=301,"",AQ147)</f>
        <v>164</v>
      </c>
      <c r="S147" s="339" t="str">
        <f>IF(AR147=0,"",AR147)</f>
        <v/>
      </c>
      <c r="T147" s="339">
        <f>IF(AS147=301,"",AS147)</f>
        <v>154</v>
      </c>
      <c r="U147" s="339" t="str">
        <f>IF(AT147=0,"",AT147)</f>
        <v/>
      </c>
      <c r="V147" s="340"/>
      <c r="W147" s="340"/>
      <c r="AA147" s="91" t="s">
        <v>3</v>
      </c>
      <c r="AB147" s="92"/>
      <c r="AC147" s="374">
        <f>ABS(INDEX(AC:AC,MATCH(AC142,$AA:$AA,0)+11)+INDEX(AC:AC,MATCH(AC142,$AA:$AA,0)+12)+INDEX(AC:AC,MATCH(AC142,$AA:$AA,0)+13))</f>
        <v>177</v>
      </c>
      <c r="AD147" s="375"/>
      <c r="AE147" s="374">
        <f>ABS(INDEX(AE:AE,MATCH(AE142,$AA:$AA,0)+11)+INDEX(AE:AE,MATCH(AE142,$AA:$AA,0)+12)+INDEX(AE:AE,MATCH(AE142,$AA:$AA,0)+13))</f>
        <v>0</v>
      </c>
      <c r="AF147" s="375"/>
      <c r="AG147" s="374">
        <f>ABS(INDEX(AG:AG,MATCH(AG142,$AA:$AA,0)+11)+INDEX(AG:AG,MATCH(AG142,$AA:$AA,0)+12)+INDEX(AG:AG,MATCH(AG142,$AA:$AA,0)+13))</f>
        <v>156</v>
      </c>
      <c r="AH147" s="375"/>
      <c r="AI147" s="374">
        <f>ABS(INDEX(AI:AI,MATCH(AI142,$AA:$AA,0)+11)+INDEX(AI:AI,MATCH(AI142,$AA:$AA,0)+12)+INDEX(AI:AI,MATCH(AI142,$AA:$AA,0)+13))</f>
        <v>125</v>
      </c>
      <c r="AJ147" s="375"/>
      <c r="AK147" s="374">
        <f>ABS(INDEX(AK:AK,MATCH(AK142,$AA:$AA,0)+11)+INDEX(AK:AK,MATCH(AK142,$AA:$AA,0)+12)+INDEX(AK:AK,MATCH(AK142,$AA:$AA,0)+13))</f>
        <v>203</v>
      </c>
      <c r="AL147" s="375"/>
      <c r="AM147" s="374">
        <f>ABS(INDEX(AM:AM,MATCH(AM142,$AA:$AA,0)+11)+INDEX(AM:AM,MATCH(AM142,$AA:$AA,0)+12)+INDEX(AM:AM,MATCH(AM142,$AA:$AA,0)+13))</f>
        <v>182</v>
      </c>
      <c r="AN147" s="375"/>
      <c r="AO147" s="374">
        <f>ABS(INDEX(AO:AO,MATCH(AO142,$AA:$AA,0)+11)+INDEX(AO:AO,MATCH(AO142,$AA:$AA,0)+12)+INDEX(AO:AO,MATCH(AO142,$AA:$AA,0)+13))</f>
        <v>192</v>
      </c>
      <c r="AP147" s="375"/>
      <c r="AQ147" s="374">
        <f>ABS(INDEX(AQ:AQ,MATCH(AQ142,$AA:$AA,0)+11)+INDEX(AQ:AQ,MATCH(AQ142,$AA:$AA,0)+12)+INDEX(AQ:AQ,MATCH(AQ142,$AA:$AA,0)+13))</f>
        <v>164</v>
      </c>
      <c r="AR147" s="375"/>
      <c r="AS147" s="374">
        <f>ABS(INDEX(AS:AS,MATCH(AS142,$AA:$AA,0)+11)+INDEX(AS:AS,MATCH(AS142,$AA:$AA,0)+12)+INDEX(AS:AS,MATCH(AS142,$AA:$AA,0)+13))</f>
        <v>154</v>
      </c>
      <c r="AT147" s="37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6.05" customHeight="1" x14ac:dyDescent="0.35">
      <c r="B148" s="365" t="str">
        <f t="shared" si="170"/>
        <v>Spieler 4</v>
      </c>
      <c r="C148" s="366" t="str">
        <f t="shared" si="170"/>
        <v/>
      </c>
      <c r="D148" s="339">
        <f>IF(AC148=301,"",AC148)</f>
        <v>214</v>
      </c>
      <c r="E148" s="339" t="str">
        <f>IF(AD148=0,"",AD148)</f>
        <v/>
      </c>
      <c r="F148" s="339">
        <f>IF(AE148=301,"",AE148)</f>
        <v>0</v>
      </c>
      <c r="G148" s="339" t="str">
        <f>IF(AF148=0,"",AF148)</f>
        <v/>
      </c>
      <c r="H148" s="339">
        <f>IF(AG148=301,"",AG148)</f>
        <v>189</v>
      </c>
      <c r="I148" s="339" t="str">
        <f>IF(AH148=0,"",AH148)</f>
        <v/>
      </c>
      <c r="J148" s="339">
        <f>IF(AI148=301,"",AI148)</f>
        <v>169</v>
      </c>
      <c r="K148" s="339" t="str">
        <f>IF(AJ148=0,"",AJ148)</f>
        <v/>
      </c>
      <c r="L148" s="339">
        <f>IF(AK148=301,"",AK148)</f>
        <v>178</v>
      </c>
      <c r="M148" s="339" t="str">
        <f>IF(AL148=0,"",AL148)</f>
        <v/>
      </c>
      <c r="N148" s="339">
        <f>IF(AM148=301,"",AM148)</f>
        <v>138</v>
      </c>
      <c r="O148" s="339" t="str">
        <f>IF(AN148=0,"",AN148)</f>
        <v/>
      </c>
      <c r="P148" s="339">
        <f>IF(AO148=301,"",AO148)</f>
        <v>206</v>
      </c>
      <c r="Q148" s="339" t="str">
        <f>IF(AP148=0,"",AP148)</f>
        <v/>
      </c>
      <c r="R148" s="339">
        <f>IF(AQ148=301,"",AQ148)</f>
        <v>154</v>
      </c>
      <c r="S148" s="339" t="str">
        <f>IF(AR148=0,"",AR148)</f>
        <v/>
      </c>
      <c r="T148" s="339">
        <f>IF(AS148=301,"",AS148)</f>
        <v>163</v>
      </c>
      <c r="U148" s="339" t="str">
        <f>IF(AT148=0,"",AT148)</f>
        <v/>
      </c>
      <c r="V148" s="340"/>
      <c r="W148" s="340"/>
      <c r="AA148" s="91" t="s">
        <v>11</v>
      </c>
      <c r="AB148" s="92"/>
      <c r="AC148" s="374">
        <f>ABS(INDEX(AC:AC,MATCH(AC142,$AA:$AA,0)+14)+INDEX(AC:AC,MATCH(AC142,$AA:$AA,0)+15)+INDEX(AC:AC,MATCH(AC142,$AA:$AA,0)+16))</f>
        <v>214</v>
      </c>
      <c r="AD148" s="375"/>
      <c r="AE148" s="374">
        <f>ABS(INDEX(AE:AE,MATCH(AE142,$AA:$AA,0)+14)+INDEX(AE:AE,MATCH(AE142,$AA:$AA,0)+15)+INDEX(AE:AE,MATCH(AE142,$AA:$AA,0)+16))</f>
        <v>0</v>
      </c>
      <c r="AF148" s="375"/>
      <c r="AG148" s="374">
        <f>ABS(INDEX(AG:AG,MATCH(AG142,$AA:$AA,0)+14)+INDEX(AG:AG,MATCH(AG142,$AA:$AA,0)+15)+INDEX(AG:AG,MATCH(AG142,$AA:$AA,0)+16))</f>
        <v>189</v>
      </c>
      <c r="AH148" s="375"/>
      <c r="AI148" s="374">
        <f>ABS(INDEX(AI:AI,MATCH(AI142,$AA:$AA,0)+14)+INDEX(AI:AI,MATCH(AI142,$AA:$AA,0)+15)+INDEX(AI:AI,MATCH(AI142,$AA:$AA,0)+16))</f>
        <v>169</v>
      </c>
      <c r="AJ148" s="375"/>
      <c r="AK148" s="374">
        <f>ABS(INDEX(AK:AK,MATCH(AK142,$AA:$AA,0)+14)+INDEX(AK:AK,MATCH(AK142,$AA:$AA,0)+15)+INDEX(AK:AK,MATCH(AK142,$AA:$AA,0)+16))</f>
        <v>178</v>
      </c>
      <c r="AL148" s="375"/>
      <c r="AM148" s="374">
        <f>ABS(INDEX(AM:AM,MATCH(AM142,$AA:$AA,0)+14)+INDEX(AM:AM,MATCH(AM142,$AA:$AA,0)+15)+INDEX(AM:AM,MATCH(AM142,$AA:$AA,0)+16))</f>
        <v>138</v>
      </c>
      <c r="AN148" s="375"/>
      <c r="AO148" s="374">
        <f>ABS(INDEX(AO:AO,MATCH(AO142,$AA:$AA,0)+14)+INDEX(AO:AO,MATCH(AO142,$AA:$AA,0)+15)+INDEX(AO:AO,MATCH(AO142,$AA:$AA,0)+16))</f>
        <v>206</v>
      </c>
      <c r="AP148" s="375"/>
      <c r="AQ148" s="374">
        <f>ABS(INDEX(AQ:AQ,MATCH(AQ142,$AA:$AA,0)+14)+INDEX(AQ:AQ,MATCH(AQ142,$AA:$AA,0)+15)+INDEX(AQ:AQ,MATCH(AQ142,$AA:$AA,0)+16))</f>
        <v>154</v>
      </c>
      <c r="AR148" s="375"/>
      <c r="AS148" s="374">
        <f>ABS(INDEX(AS:AS,MATCH(AS142,$AA:$AA,0)+14)+INDEX(AS:AS,MATCH(AS142,$AA:$AA,0)+15)+INDEX(AS:AS,MATCH(AS142,$AA:$AA,0)+16))</f>
        <v>163</v>
      </c>
      <c r="AT148" s="37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6.05" customHeight="1" x14ac:dyDescent="0.35">
      <c r="B149" s="354" t="str">
        <f t="shared" si="170"/>
        <v>Gesamt</v>
      </c>
      <c r="C149" s="355" t="str">
        <f t="shared" si="170"/>
        <v/>
      </c>
      <c r="D149" s="338">
        <f>IF(AC149=1505,"",AC149)</f>
        <v>776</v>
      </c>
      <c r="E149" s="338" t="str">
        <f>IF(AD149=0,"",AD149)</f>
        <v/>
      </c>
      <c r="F149" s="338">
        <f>IF(AE149=1505,"",AE149)</f>
        <v>0</v>
      </c>
      <c r="G149" s="338" t="str">
        <f>IF(AF149=0,"",AF149)</f>
        <v/>
      </c>
      <c r="H149" s="338">
        <f>IF(AG149=1505,"",AG149)</f>
        <v>636</v>
      </c>
      <c r="I149" s="338" t="str">
        <f>IF(AH149=0,"",AH149)</f>
        <v/>
      </c>
      <c r="J149" s="338">
        <f>IF(AI149=1505,"",AI149)</f>
        <v>650</v>
      </c>
      <c r="K149" s="338" t="str">
        <f>IF(AJ149=0,"",AJ149)</f>
        <v/>
      </c>
      <c r="L149" s="338">
        <f>IF(AK149=1505,"",AK149)</f>
        <v>729</v>
      </c>
      <c r="M149" s="338" t="str">
        <f>IF(AL149=0,"",AL149)</f>
        <v/>
      </c>
      <c r="N149" s="338">
        <f>IF(AM149=1505,"",AM149)</f>
        <v>656</v>
      </c>
      <c r="O149" s="338" t="str">
        <f>IF(AN149=0,"",AN149)</f>
        <v/>
      </c>
      <c r="P149" s="338">
        <f>IF(AO149=1505,"",AO149)</f>
        <v>748</v>
      </c>
      <c r="Q149" s="338" t="str">
        <f>IF(AP149=0,"",AP149)</f>
        <v/>
      </c>
      <c r="R149" s="338">
        <f>IF(AQ149=1505,"",AQ149)</f>
        <v>612</v>
      </c>
      <c r="S149" s="338" t="str">
        <f>IF(AR149=0,"",AR149)</f>
        <v/>
      </c>
      <c r="T149" s="338">
        <f>IF(AS149=1505,"",AS149)</f>
        <v>674</v>
      </c>
      <c r="U149" s="338" t="str">
        <f>IF(AT149=0,"",AT149)</f>
        <v/>
      </c>
      <c r="V149" s="290"/>
      <c r="W149" s="290"/>
      <c r="AA149" s="93" t="s">
        <v>1799</v>
      </c>
      <c r="AB149" s="94"/>
      <c r="AC149" s="354">
        <f>SUM(AC145:AC148)</f>
        <v>776</v>
      </c>
      <c r="AD149" s="355"/>
      <c r="AE149" s="354">
        <f>SUM(AE145:AE148)</f>
        <v>0</v>
      </c>
      <c r="AF149" s="355"/>
      <c r="AG149" s="354">
        <f>SUM(AG145:AG148)</f>
        <v>636</v>
      </c>
      <c r="AH149" s="355"/>
      <c r="AI149" s="354">
        <f>SUM(AI145:AI148)</f>
        <v>650</v>
      </c>
      <c r="AJ149" s="355"/>
      <c r="AK149" s="354">
        <f>SUM(AK145:AK148)</f>
        <v>729</v>
      </c>
      <c r="AL149" s="355"/>
      <c r="AM149" s="354">
        <f>SUM(AM145:AM148)</f>
        <v>656</v>
      </c>
      <c r="AN149" s="355"/>
      <c r="AO149" s="354">
        <f>SUM(AO145:AO148)</f>
        <v>748</v>
      </c>
      <c r="AP149" s="355"/>
      <c r="AQ149" s="354">
        <f>SUM(AQ145:AQ148)</f>
        <v>612</v>
      </c>
      <c r="AR149" s="355"/>
      <c r="AS149" s="354">
        <f>SUM(AS145:AS148)</f>
        <v>674</v>
      </c>
      <c r="AT149" s="35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3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7">
      <c r="B151" s="44" t="str">
        <f>AA151</f>
        <v>Team-Nr.</v>
      </c>
      <c r="C151" s="45"/>
      <c r="D151" s="44" t="str">
        <f>AC151</f>
        <v>Liga:</v>
      </c>
      <c r="E151" s="47"/>
      <c r="F151" s="359" t="str">
        <f>AE151</f>
        <v>Bayernliga Frauen</v>
      </c>
      <c r="G151" s="359"/>
      <c r="H151" s="359"/>
      <c r="I151" s="359"/>
      <c r="J151" s="359"/>
      <c r="K151" s="359"/>
      <c r="L151" s="359"/>
      <c r="M151" s="359"/>
      <c r="N151" s="359"/>
      <c r="O151" s="359"/>
      <c r="P151" s="359"/>
      <c r="Q151" s="359"/>
      <c r="R151" s="48"/>
      <c r="S151" s="49" t="s">
        <v>1794</v>
      </c>
      <c r="T151" s="50"/>
      <c r="U151" s="360" t="str">
        <f>AT151</f>
        <v>01.02./02.02.</v>
      </c>
      <c r="V151" s="361"/>
      <c r="W151" s="362"/>
      <c r="X151" s="363"/>
      <c r="Y151" s="364"/>
      <c r="Z151" s="364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0" t="str">
        <f>VLOOKUP(AS152,Spielorte!$A$1:$C$6,2)</f>
        <v>01.02./02.02.</v>
      </c>
      <c r="AU151" s="361"/>
      <c r="AV151" s="362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65">
      <c r="B152" s="53">
        <f>AA152</f>
        <v>6</v>
      </c>
      <c r="D152" s="46" t="s">
        <v>1793</v>
      </c>
      <c r="E152" s="54"/>
      <c r="F152" s="358" t="str">
        <f>AE152</f>
        <v>Unterföhring Dreambowl Palace</v>
      </c>
      <c r="G152" s="358"/>
      <c r="H152" s="358"/>
      <c r="I152" s="358"/>
      <c r="J152" s="358"/>
      <c r="K152" s="358"/>
      <c r="L152" s="358"/>
      <c r="M152" s="358"/>
      <c r="N152" s="358"/>
      <c r="O152" s="358"/>
      <c r="P152" s="55"/>
      <c r="Q152" s="55"/>
      <c r="S152" s="49" t="s">
        <v>1791</v>
      </c>
      <c r="T152" s="56">
        <f>AS152</f>
        <v>3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Unterföhring Dreambowl Palace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3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4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5" thickBot="1" x14ac:dyDescent="0.45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VLOOKUP(AA152,Schlüssel!$A$5:$DZ$14,53)</f>
        <v>6</v>
      </c>
      <c r="AE154" s="65" t="s">
        <v>10</v>
      </c>
      <c r="AF154" s="44">
        <f>VLOOKUP(AA152,Schlüssel!$A$5:$DZ$14,54)</f>
        <v>2</v>
      </c>
      <c r="AG154" s="65" t="s">
        <v>10</v>
      </c>
      <c r="AH154" s="44">
        <f>VLOOKUP(AA152,Schlüssel!$A$5:$DZ$14,55)</f>
        <v>8</v>
      </c>
      <c r="AI154" s="65" t="s">
        <v>10</v>
      </c>
      <c r="AJ154" s="44">
        <f>VLOOKUP(AA152,Schlüssel!$A$5:$DZ$14,56)</f>
        <v>5</v>
      </c>
      <c r="AK154" s="65" t="s">
        <v>10</v>
      </c>
      <c r="AL154" s="44">
        <f>VLOOKUP(AA152,Schlüssel!$A$5:$DZ$14,57)</f>
        <v>3</v>
      </c>
      <c r="AM154" s="65" t="s">
        <v>10</v>
      </c>
      <c r="AN154" s="44">
        <f>VLOOKUP(AA152,Schlüssel!$A$5:$DZ$14,58)</f>
        <v>10</v>
      </c>
      <c r="AO154" s="65" t="s">
        <v>10</v>
      </c>
      <c r="AP154" s="44">
        <f>VLOOKUP(AA152,Schlüssel!$A$5:$DZ$14,59)</f>
        <v>7</v>
      </c>
      <c r="AQ154" s="65" t="s">
        <v>10</v>
      </c>
      <c r="AR154" s="44">
        <f>VLOOKUP(AA152,Schlüssel!$A$5:$DZ$14,60)</f>
        <v>1</v>
      </c>
      <c r="AS154" s="65" t="s">
        <v>10</v>
      </c>
      <c r="AT154" s="44">
        <f>VLOOKUP(AA152,Schlüssel!$A$5:$DZ$14,61)</f>
        <v>9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35">
      <c r="B155" s="67" t="s">
        <v>1</v>
      </c>
      <c r="C155" s="68"/>
      <c r="D155" s="354" t="s">
        <v>1800</v>
      </c>
      <c r="E155" s="355"/>
      <c r="F155" s="354" t="s">
        <v>1801</v>
      </c>
      <c r="G155" s="355"/>
      <c r="H155" s="354" t="s">
        <v>1802</v>
      </c>
      <c r="I155" s="355"/>
      <c r="J155" s="354" t="s">
        <v>1803</v>
      </c>
      <c r="K155" s="355"/>
      <c r="L155" s="354" t="s">
        <v>1804</v>
      </c>
      <c r="M155" s="355"/>
      <c r="N155" s="354" t="s">
        <v>1805</v>
      </c>
      <c r="O155" s="355"/>
      <c r="P155" s="354" t="s">
        <v>1806</v>
      </c>
      <c r="Q155" s="355"/>
      <c r="R155" s="354" t="s">
        <v>1807</v>
      </c>
      <c r="S155" s="355"/>
      <c r="T155" s="354" t="s">
        <v>1808</v>
      </c>
      <c r="U155" s="355"/>
      <c r="V155" s="356" t="s">
        <v>1799</v>
      </c>
      <c r="W155" s="357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4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2" customHeight="1" x14ac:dyDescent="0.35">
      <c r="A157" s="367" t="s">
        <v>0</v>
      </c>
      <c r="B157" s="73" t="str">
        <f>IF(AA157=0,"",AA157)</f>
        <v>Grom-Ruffershöfer, Ilse</v>
      </c>
      <c r="C157" s="74">
        <f>IF(AB157=0,"",AB157)</f>
        <v>16900</v>
      </c>
      <c r="D157" s="75">
        <f>IF(AC157=0,"",AC157)</f>
        <v>147</v>
      </c>
      <c r="E157" s="348">
        <f>IF(AD157="","",AD157)</f>
        <v>1</v>
      </c>
      <c r="F157" s="75">
        <f t="shared" ref="F157:F170" si="171">IF(AE157=0,"",AE157)</f>
        <v>171</v>
      </c>
      <c r="G157" s="348">
        <f>IF(AF157="","",AF157)</f>
        <v>1</v>
      </c>
      <c r="H157" s="75">
        <f t="shared" ref="H157:H170" si="172">IF(AG157=0,"",AG157)</f>
        <v>102</v>
      </c>
      <c r="I157" s="348">
        <f>IF(AH157="","",AH157)</f>
        <v>0</v>
      </c>
      <c r="J157" s="75" t="str">
        <f t="shared" ref="J157:J170" si="173">IF(AI157=0,"",AI157)</f>
        <v/>
      </c>
      <c r="K157" s="348">
        <f>IF(AJ157="","",AJ157)</f>
        <v>1</v>
      </c>
      <c r="L157" s="75" t="str">
        <f t="shared" ref="L157:L170" si="174">IF(AK157=0,"",AK157)</f>
        <v/>
      </c>
      <c r="M157" s="348">
        <f>IF(AL157="","",AL157)</f>
        <v>0</v>
      </c>
      <c r="N157" s="75" t="str">
        <f>IF(AM157=0,"",AM157)</f>
        <v/>
      </c>
      <c r="O157" s="348">
        <f>IF(AN157="","",AN157)</f>
        <v>1</v>
      </c>
      <c r="P157" s="75" t="str">
        <f t="shared" ref="P157:P170" si="175">IF(AO157=0,"",AO157)</f>
        <v/>
      </c>
      <c r="Q157" s="348">
        <f>IF(AP157="","",AP157)</f>
        <v>0</v>
      </c>
      <c r="R157" s="75" t="str">
        <f t="shared" ref="R157:R170" si="176">IF(AQ157=0,"",AQ157)</f>
        <v/>
      </c>
      <c r="S157" s="348">
        <f>IF(AR157="","",AR157)</f>
        <v>1</v>
      </c>
      <c r="T157" s="75" t="str">
        <f t="shared" ref="T157:T170" si="177">IF(AS157=0,"",AS157)</f>
        <v/>
      </c>
      <c r="U157" s="348">
        <f>IF(AT157="","",AT157)</f>
        <v>0</v>
      </c>
      <c r="V157" s="75">
        <f t="shared" ref="V157:V170" si="178">IF(AU157=0,"",AU157)</f>
        <v>420</v>
      </c>
      <c r="W157" s="348">
        <f>IF(AV157="","",AV157)</f>
        <v>5</v>
      </c>
      <c r="Z157" s="351" t="s">
        <v>0</v>
      </c>
      <c r="AA157" s="108" t="str">
        <f>IF(AB157=0,"",VLOOKUP(AB157,Starter!$A$1:$D$199,2,FALSE))</f>
        <v>Grom-Ruffershöfer, Ilse</v>
      </c>
      <c r="AB157" s="99">
        <v>16900</v>
      </c>
      <c r="AC157" s="185">
        <v>147</v>
      </c>
      <c r="AD157" s="109">
        <f>IF(SUM(AC157:AC159)+AC175=0,0,IF(SUM(AC157:AC159)=AC175,0.5,IF(SUM(AC157:AC159)&gt;AC175,1,0)))</f>
        <v>1</v>
      </c>
      <c r="AE157" s="185">
        <v>171</v>
      </c>
      <c r="AF157" s="109">
        <f>IF(SUM(AE157:AE159)+AE175=0,0,IF(SUM(AE157:AE159)=AE175,0.5,IF(SUM(AE157:AE159)&gt;AE175,1,0)))</f>
        <v>1</v>
      </c>
      <c r="AG157" s="185">
        <v>102</v>
      </c>
      <c r="AH157" s="109">
        <f>IF(SUM(AG157:AG159)+AG175=0,0,IF(SUM(AG157:AG159)=AG175,0.5,IF(SUM(AG157:AG159)&gt;AG175,1,0)))</f>
        <v>0</v>
      </c>
      <c r="AI157" s="185"/>
      <c r="AJ157" s="109">
        <f>IF(SUM(AI157:AI159)+AI175=0,0,IF(SUM(AI157:AI159)=AI175,0.5,IF(SUM(AI157:AI159)&gt;AI175,1,0)))</f>
        <v>1</v>
      </c>
      <c r="AK157" s="185"/>
      <c r="AL157" s="109">
        <f>IF(SUM(AK157:AK159)+AK175=0,0,IF(SUM(AK157:AK159)=AK175,0.5,IF(SUM(AK157:AK159)&gt;AK175,1,0)))</f>
        <v>0</v>
      </c>
      <c r="AM157" s="185"/>
      <c r="AN157" s="109">
        <f>IF(SUM(AM157:AM159)+AM175=0,0,IF(SUM(AM157:AM159)=AM175,0.5,IF(SUM(AM157:AM159)&gt;AM175,1,0)))</f>
        <v>1</v>
      </c>
      <c r="AO157" s="185"/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1</v>
      </c>
      <c r="AS157" s="185"/>
      <c r="AT157" s="109">
        <f>IF(SUM(AS157:AS159)+AS175=0,0,IF(SUM(AS157:AS159)=AS175,0.5,IF(SUM(AS157:AS159)&gt;AS175,1,0)))</f>
        <v>0</v>
      </c>
      <c r="AU157" s="110">
        <f t="shared" ref="AU157:AU168" si="179">ABS(SUM(AC157:AC157))+ABS(SUM(AE157:AE157))+ABS(SUM(AG157:AG157))+ABS(SUM(AI157:AI157))+ABS(SUM(AK157:AK157))+ABS(SUM(AM157:AM157))+ABS(SUM(AO157:AO157))+ABS(SUM(AQ157:AQ157))+ABS(SUM(AS157:AS157))</f>
        <v>420</v>
      </c>
      <c r="AV157" s="111">
        <f>SUM(AD157+AF157+AH157+AJ157+AL157+AN157+AP157+AR157+AT157)</f>
        <v>5</v>
      </c>
      <c r="AW157" s="101"/>
      <c r="AX157" s="102"/>
      <c r="AZ157" s="63"/>
      <c r="BA157" s="212"/>
      <c r="BB157" s="213"/>
      <c r="BC157" s="214"/>
      <c r="BD157" s="217">
        <f>+AB157</f>
        <v>16900</v>
      </c>
      <c r="BE157" s="213">
        <f>+AU157</f>
        <v>420</v>
      </c>
      <c r="BF157" s="215">
        <f>COUNT(BH157:BP157)</f>
        <v>3</v>
      </c>
      <c r="BG157" s="215">
        <f>COUNTIF(BH157:BP157,"&gt;0")</f>
        <v>3</v>
      </c>
      <c r="BH157" s="215">
        <f t="shared" ref="BH157:BH168" si="180">IF(AC157=0,"",AC157)</f>
        <v>147</v>
      </c>
      <c r="BI157" s="215">
        <f t="shared" ref="BI157:BI168" si="181">IF(AE157=0,"",AE157)</f>
        <v>171</v>
      </c>
      <c r="BJ157" s="215">
        <f t="shared" ref="BJ157:BJ168" si="182">IF(AG157=0,"",AG157)</f>
        <v>102</v>
      </c>
      <c r="BK157" s="215" t="str">
        <f t="shared" ref="BK157:BK168" si="183">IF(AI157=0,"",AI157)</f>
        <v/>
      </c>
      <c r="BL157" s="215" t="str">
        <f t="shared" ref="BL157:BL168" si="184">IF(AK157=0,"",AK157)</f>
        <v/>
      </c>
      <c r="BM157" s="215" t="str">
        <f t="shared" ref="BM157:BM168" si="185">IF(AM157=0,"",AM157)</f>
        <v/>
      </c>
      <c r="BN157" s="215" t="str">
        <f t="shared" ref="BN157:BN168" si="186">IF(AO157=0,"",AO157)</f>
        <v/>
      </c>
      <c r="BO157" s="215" t="str">
        <f t="shared" ref="BO157:BO168" si="187">IF(AQ157=0,"",AQ157)</f>
        <v/>
      </c>
      <c r="BP157" s="215" t="str">
        <f t="shared" ref="BP157:BP168" si="188">IF(AS157=0,"",AS157)</f>
        <v/>
      </c>
      <c r="BQ157" s="216"/>
      <c r="BR157" s="214"/>
      <c r="BS157" s="215">
        <f>MAX(BH157:BP157)</f>
        <v>171</v>
      </c>
      <c r="BT157" s="215">
        <f>IF(BS157&lt;MAX(BS:BS),0,BS157+ROW()/1000000000)</f>
        <v>0</v>
      </c>
      <c r="BU157" s="215" t="str">
        <f>+AA153</f>
        <v>Phönix 03 Lauf</v>
      </c>
      <c r="BV157" s="214">
        <f>RANK(BT157,BT:BT)</f>
        <v>2</v>
      </c>
      <c r="BW157" s="215">
        <f>SUMIF(BH157:BP157,"&gt;0")</f>
        <v>420</v>
      </c>
      <c r="BX157" s="215">
        <f>IF(COUNTIF(BH157:BP157,"&gt;0")&lt;Spielorte!$A$23,0,BE157/Spielorte!$A$23)</f>
        <v>0</v>
      </c>
      <c r="BY157" s="215">
        <f>IF(BX157&lt;MAX(BX:BX),0,BX157+ROW()/1000000000)</f>
        <v>0</v>
      </c>
      <c r="BZ157" s="214">
        <f t="shared" ref="BZ157:BZ168" si="189">IF(BY157=0,0,RANK(BY157,BY:BY))</f>
        <v>0</v>
      </c>
    </row>
    <row r="158" spans="1:78" ht="17.2" customHeight="1" x14ac:dyDescent="0.35">
      <c r="A158" s="368"/>
      <c r="B158" s="76" t="str">
        <f t="shared" ref="B158:D170" si="190">IF(AA158=0,"",AA158)</f>
        <v>Kulzer, Katharina</v>
      </c>
      <c r="C158" s="77">
        <f t="shared" si="190"/>
        <v>38210</v>
      </c>
      <c r="D158" s="78" t="str">
        <f t="shared" si="190"/>
        <v/>
      </c>
      <c r="E158" s="349"/>
      <c r="F158" s="78" t="str">
        <f t="shared" si="171"/>
        <v/>
      </c>
      <c r="G158" s="349"/>
      <c r="H158" s="78" t="str">
        <f t="shared" si="172"/>
        <v/>
      </c>
      <c r="I158" s="349"/>
      <c r="J158" s="78">
        <f t="shared" si="173"/>
        <v>166</v>
      </c>
      <c r="K158" s="349"/>
      <c r="L158" s="78">
        <f t="shared" si="174"/>
        <v>162</v>
      </c>
      <c r="M158" s="349"/>
      <c r="N158" s="78">
        <f t="shared" ref="N158:N170" si="191">IF(AM158=0,"",AM158)</f>
        <v>157</v>
      </c>
      <c r="O158" s="349"/>
      <c r="P158" s="78">
        <f t="shared" si="175"/>
        <v>119</v>
      </c>
      <c r="Q158" s="349"/>
      <c r="R158" s="78">
        <f t="shared" si="176"/>
        <v>192</v>
      </c>
      <c r="S158" s="349"/>
      <c r="T158" s="78">
        <f t="shared" si="177"/>
        <v>152</v>
      </c>
      <c r="U158" s="349"/>
      <c r="V158" s="78">
        <f t="shared" si="178"/>
        <v>948</v>
      </c>
      <c r="W158" s="349"/>
      <c r="Z158" s="352"/>
      <c r="AA158" s="108" t="str">
        <f>IF(AB158=0,"",VLOOKUP(AB158,Starter!$A$1:$D$199,2,FALSE))</f>
        <v>Kulzer, Katharina</v>
      </c>
      <c r="AB158" s="98">
        <v>38210</v>
      </c>
      <c r="AC158" s="186"/>
      <c r="AD158" s="112"/>
      <c r="AE158" s="186"/>
      <c r="AF158" s="112"/>
      <c r="AG158" s="186"/>
      <c r="AH158" s="112"/>
      <c r="AI158" s="186">
        <v>166</v>
      </c>
      <c r="AJ158" s="112"/>
      <c r="AK158" s="186">
        <v>162</v>
      </c>
      <c r="AL158" s="112"/>
      <c r="AM158" s="186">
        <v>157</v>
      </c>
      <c r="AN158" s="112"/>
      <c r="AO158" s="186">
        <v>119</v>
      </c>
      <c r="AP158" s="112"/>
      <c r="AQ158" s="186">
        <v>192</v>
      </c>
      <c r="AR158" s="112"/>
      <c r="AS158" s="186">
        <v>152</v>
      </c>
      <c r="AT158" s="112"/>
      <c r="AU158" s="113">
        <f t="shared" si="179"/>
        <v>948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2">+AB158</f>
        <v>38210</v>
      </c>
      <c r="BE158" s="213">
        <f t="shared" ref="BE158:BE168" si="193">+AU158</f>
        <v>948</v>
      </c>
      <c r="BF158" s="215">
        <f t="shared" ref="BF158:BF168" si="194">COUNT(BH158:BP158)</f>
        <v>6</v>
      </c>
      <c r="BG158" s="215">
        <f t="shared" ref="BG158:BG168" si="195">COUNTIF(BH158:BP158,"&gt;0")</f>
        <v>6</v>
      </c>
      <c r="BH158" s="215" t="str">
        <f t="shared" si="180"/>
        <v/>
      </c>
      <c r="BI158" s="215" t="str">
        <f t="shared" si="181"/>
        <v/>
      </c>
      <c r="BJ158" s="215" t="str">
        <f t="shared" si="182"/>
        <v/>
      </c>
      <c r="BK158" s="215">
        <f t="shared" si="183"/>
        <v>166</v>
      </c>
      <c r="BL158" s="215">
        <f t="shared" si="184"/>
        <v>162</v>
      </c>
      <c r="BM158" s="215">
        <f t="shared" si="185"/>
        <v>157</v>
      </c>
      <c r="BN158" s="215">
        <f t="shared" si="186"/>
        <v>119</v>
      </c>
      <c r="BO158" s="215">
        <f t="shared" si="187"/>
        <v>192</v>
      </c>
      <c r="BP158" s="215">
        <f t="shared" si="188"/>
        <v>152</v>
      </c>
      <c r="BQ158" s="216"/>
      <c r="BR158" s="214"/>
      <c r="BS158" s="215">
        <f t="shared" ref="BS158:BS168" si="196">MAX(BH158:BP158)</f>
        <v>192</v>
      </c>
      <c r="BT158" s="215">
        <f t="shared" ref="BT158:BT168" si="197">IF(BS158&lt;MAX(BS:BS),0,BS158+ROW()/1000000000)</f>
        <v>0</v>
      </c>
      <c r="BU158" s="215" t="str">
        <f t="shared" ref="BU158:BU168" si="198">+BU157</f>
        <v>Phönix 03 Lauf</v>
      </c>
      <c r="BV158" s="214">
        <f t="shared" ref="BV158:BV168" si="199">RANK(BT158,BT:BT)</f>
        <v>2</v>
      </c>
      <c r="BW158" s="215">
        <f t="shared" ref="BW158:BW168" si="200">SUMIF(BH158:BP158,"&gt;0")</f>
        <v>948</v>
      </c>
      <c r="BX158" s="215">
        <f>IF(COUNTIF(BH158:BP158,"&gt;0")&lt;Spielorte!$A$23,0,BE158/Spielorte!$A$23)</f>
        <v>0</v>
      </c>
      <c r="BY158" s="215">
        <f t="shared" ref="BY158:BY168" si="201">IF(BX158&lt;MAX(BX:BX),0,BX158+ROW()/1000000000)</f>
        <v>0</v>
      </c>
      <c r="BZ158" s="214">
        <f t="shared" si="189"/>
        <v>0</v>
      </c>
    </row>
    <row r="159" spans="1:78" ht="17.2" customHeight="1" thickBot="1" x14ac:dyDescent="0.4">
      <c r="A159" s="369"/>
      <c r="B159" s="79" t="str">
        <f t="shared" si="190"/>
        <v/>
      </c>
      <c r="C159" s="80" t="str">
        <f t="shared" si="190"/>
        <v/>
      </c>
      <c r="D159" s="69" t="str">
        <f t="shared" si="190"/>
        <v/>
      </c>
      <c r="E159" s="350"/>
      <c r="F159" s="69" t="str">
        <f t="shared" si="171"/>
        <v/>
      </c>
      <c r="G159" s="350"/>
      <c r="H159" s="69" t="str">
        <f t="shared" si="172"/>
        <v/>
      </c>
      <c r="I159" s="350"/>
      <c r="J159" s="69" t="str">
        <f t="shared" si="173"/>
        <v/>
      </c>
      <c r="K159" s="350"/>
      <c r="L159" s="69" t="str">
        <f t="shared" si="174"/>
        <v/>
      </c>
      <c r="M159" s="350"/>
      <c r="N159" s="69" t="str">
        <f t="shared" si="191"/>
        <v/>
      </c>
      <c r="O159" s="350"/>
      <c r="P159" s="69" t="str">
        <f t="shared" si="175"/>
        <v/>
      </c>
      <c r="Q159" s="350"/>
      <c r="R159" s="69" t="str">
        <f t="shared" si="176"/>
        <v/>
      </c>
      <c r="S159" s="350"/>
      <c r="T159" s="69" t="str">
        <f t="shared" si="177"/>
        <v/>
      </c>
      <c r="U159" s="350"/>
      <c r="V159" s="69" t="str">
        <f t="shared" si="178"/>
        <v/>
      </c>
      <c r="W159" s="350"/>
      <c r="Z159" s="353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79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2"/>
        <v>0</v>
      </c>
      <c r="BE159" s="213">
        <f t="shared" si="193"/>
        <v>0</v>
      </c>
      <c r="BF159" s="215">
        <f t="shared" si="194"/>
        <v>0</v>
      </c>
      <c r="BG159" s="215">
        <f t="shared" si="195"/>
        <v>0</v>
      </c>
      <c r="BH159" s="215" t="str">
        <f t="shared" si="180"/>
        <v/>
      </c>
      <c r="BI159" s="215" t="str">
        <f t="shared" si="181"/>
        <v/>
      </c>
      <c r="BJ159" s="215" t="str">
        <f t="shared" si="182"/>
        <v/>
      </c>
      <c r="BK159" s="215" t="str">
        <f t="shared" si="183"/>
        <v/>
      </c>
      <c r="BL159" s="215" t="str">
        <f t="shared" si="184"/>
        <v/>
      </c>
      <c r="BM159" s="215" t="str">
        <f t="shared" si="185"/>
        <v/>
      </c>
      <c r="BN159" s="215" t="str">
        <f t="shared" si="186"/>
        <v/>
      </c>
      <c r="BO159" s="215" t="str">
        <f t="shared" si="187"/>
        <v/>
      </c>
      <c r="BP159" s="215" t="str">
        <f t="shared" si="188"/>
        <v/>
      </c>
      <c r="BQ159" s="216"/>
      <c r="BR159" s="214"/>
      <c r="BS159" s="215">
        <f t="shared" si="196"/>
        <v>0</v>
      </c>
      <c r="BT159" s="215">
        <f t="shared" si="197"/>
        <v>0</v>
      </c>
      <c r="BU159" s="215" t="str">
        <f t="shared" si="198"/>
        <v>Phönix 03 Lauf</v>
      </c>
      <c r="BV159" s="214">
        <f t="shared" si="199"/>
        <v>2</v>
      </c>
      <c r="BW159" s="215">
        <f t="shared" si="200"/>
        <v>0</v>
      </c>
      <c r="BX159" s="215">
        <f>IF(COUNTIF(BH159:BP159,"&gt;0")&lt;Spielorte!$A$23,0,BE159/Spielorte!$A$23)</f>
        <v>0</v>
      </c>
      <c r="BY159" s="215">
        <f t="shared" si="201"/>
        <v>0</v>
      </c>
      <c r="BZ159" s="214">
        <f t="shared" si="189"/>
        <v>0</v>
      </c>
    </row>
    <row r="160" spans="1:78" ht="17.2" customHeight="1" x14ac:dyDescent="0.35">
      <c r="A160" s="367" t="s">
        <v>2</v>
      </c>
      <c r="B160" s="73" t="str">
        <f t="shared" si="190"/>
        <v>Kleim, Helga</v>
      </c>
      <c r="C160" s="74">
        <f t="shared" si="190"/>
        <v>7787</v>
      </c>
      <c r="D160" s="75">
        <f t="shared" si="190"/>
        <v>177</v>
      </c>
      <c r="E160" s="348">
        <f>IF(AD160="","",AD160)</f>
        <v>1</v>
      </c>
      <c r="F160" s="75">
        <f t="shared" si="171"/>
        <v>183</v>
      </c>
      <c r="G160" s="348">
        <f>IF(AF160="","",AF160)</f>
        <v>1</v>
      </c>
      <c r="H160" s="75">
        <f t="shared" si="172"/>
        <v>189</v>
      </c>
      <c r="I160" s="348">
        <f>IF(AH160="","",AH160)</f>
        <v>1</v>
      </c>
      <c r="J160" s="75">
        <f t="shared" si="173"/>
        <v>127</v>
      </c>
      <c r="K160" s="348">
        <f>IF(AJ160="","",AJ160)</f>
        <v>0</v>
      </c>
      <c r="L160" s="75">
        <f t="shared" si="174"/>
        <v>180</v>
      </c>
      <c r="M160" s="348">
        <f>IF(AL160="","",AL160)</f>
        <v>1</v>
      </c>
      <c r="N160" s="75">
        <f t="shared" si="191"/>
        <v>191</v>
      </c>
      <c r="O160" s="348">
        <f>IF(AN160="","",AN160)</f>
        <v>1</v>
      </c>
      <c r="P160" s="75">
        <f t="shared" si="175"/>
        <v>182</v>
      </c>
      <c r="Q160" s="348">
        <f>IF(AP160="","",AP160)</f>
        <v>1</v>
      </c>
      <c r="R160" s="75">
        <f t="shared" si="176"/>
        <v>164</v>
      </c>
      <c r="S160" s="348">
        <f>IF(AR160="","",AR160)</f>
        <v>1</v>
      </c>
      <c r="T160" s="75">
        <f t="shared" si="177"/>
        <v>159</v>
      </c>
      <c r="U160" s="348">
        <f>IF(AT160="","",AT160)</f>
        <v>1</v>
      </c>
      <c r="V160" s="75">
        <f t="shared" si="178"/>
        <v>1552</v>
      </c>
      <c r="W160" s="348">
        <f>IF(AV160="","",AV160)</f>
        <v>8</v>
      </c>
      <c r="Z160" s="351" t="s">
        <v>2</v>
      </c>
      <c r="AA160" s="108" t="str">
        <f>IF(AB160=0,"",VLOOKUP(AB160,Starter!$A$1:$D$199,2,FALSE))</f>
        <v>Kleim, Helga</v>
      </c>
      <c r="AB160" s="99">
        <v>7787</v>
      </c>
      <c r="AC160" s="188">
        <v>177</v>
      </c>
      <c r="AD160" s="109">
        <f>IF(SUM(AC160:AC162)+AC176=0,0,IF(SUM(AC160:AC162)=AC176,0.5,IF(SUM(AC160:AC162)&gt;AC176,1,0)))</f>
        <v>1</v>
      </c>
      <c r="AE160" s="188">
        <v>183</v>
      </c>
      <c r="AF160" s="109">
        <f>IF(SUM(AE160:AE162)+AE176=0,0,IF(SUM(AE160:AE162)=AE176,0.5,IF(SUM(AE160:AE162)&gt;AE176,1,0)))</f>
        <v>1</v>
      </c>
      <c r="AG160" s="188">
        <v>189</v>
      </c>
      <c r="AH160" s="109">
        <f>IF(SUM(AG160:AG162)+AG176=0,0,IF(SUM(AG160:AG162)=AG176,0.5,IF(SUM(AG160:AG162)&gt;AG176,1,0)))</f>
        <v>1</v>
      </c>
      <c r="AI160" s="188">
        <v>127</v>
      </c>
      <c r="AJ160" s="109">
        <f>IF(SUM(AI160:AI162)+AI176=0,0,IF(SUM(AI160:AI162)=AI176,0.5,IF(SUM(AI160:AI162)&gt;AI176,1,0)))</f>
        <v>0</v>
      </c>
      <c r="AK160" s="188">
        <v>180</v>
      </c>
      <c r="AL160" s="109">
        <f>IF(SUM(AK160:AK162)+AK176=0,0,IF(SUM(AK160:AK162)=AK176,0.5,IF(SUM(AK160:AK162)&gt;AK176,1,0)))</f>
        <v>1</v>
      </c>
      <c r="AM160" s="188">
        <v>191</v>
      </c>
      <c r="AN160" s="109">
        <f>IF(SUM(AM160:AM162)+AM176=0,0,IF(SUM(AM160:AM162)=AM176,0.5,IF(SUM(AM160:AM162)&gt;AM176,1,0)))</f>
        <v>1</v>
      </c>
      <c r="AO160" s="188">
        <v>182</v>
      </c>
      <c r="AP160" s="109">
        <f>IF(SUM(AO160:AO162)+AO176=0,0,IF(SUM(AO160:AO162)=AO176,0.5,IF(SUM(AO160:AO162)&gt;AO176,1,0)))</f>
        <v>1</v>
      </c>
      <c r="AQ160" s="188">
        <v>164</v>
      </c>
      <c r="AR160" s="109">
        <f>IF(SUM(AQ160:AQ162)+AQ176=0,0,IF(SUM(AQ160:AQ162)=AQ176,0.5,IF(SUM(AQ160:AQ162)&gt;AQ176,1,0)))</f>
        <v>1</v>
      </c>
      <c r="AS160" s="188">
        <v>159</v>
      </c>
      <c r="AT160" s="109">
        <f>IF(SUM(AS160:AS162)+AS176=0,0,IF(SUM(AS160:AS162)=AS176,0.5,IF(SUM(AS160:AS162)&gt;AS176,1,0)))</f>
        <v>1</v>
      </c>
      <c r="AU160" s="110">
        <f t="shared" si="179"/>
        <v>1552</v>
      </c>
      <c r="AV160" s="111">
        <f>SUM(AD160+AF160+AH160+AJ160+AL160+AN160+AP160+AR160+AT160)</f>
        <v>8</v>
      </c>
      <c r="AW160" s="101"/>
      <c r="AX160" s="102"/>
      <c r="AZ160" s="63"/>
      <c r="BA160" s="212"/>
      <c r="BB160" s="213"/>
      <c r="BC160" s="214"/>
      <c r="BD160" s="217">
        <f t="shared" si="192"/>
        <v>7787</v>
      </c>
      <c r="BE160" s="213">
        <f t="shared" si="193"/>
        <v>1552</v>
      </c>
      <c r="BF160" s="215">
        <f t="shared" si="194"/>
        <v>9</v>
      </c>
      <c r="BG160" s="215">
        <f t="shared" si="195"/>
        <v>9</v>
      </c>
      <c r="BH160" s="215">
        <f t="shared" si="180"/>
        <v>177</v>
      </c>
      <c r="BI160" s="215">
        <f t="shared" si="181"/>
        <v>183</v>
      </c>
      <c r="BJ160" s="215">
        <f t="shared" si="182"/>
        <v>189</v>
      </c>
      <c r="BK160" s="215">
        <f t="shared" si="183"/>
        <v>127</v>
      </c>
      <c r="BL160" s="215">
        <f t="shared" si="184"/>
        <v>180</v>
      </c>
      <c r="BM160" s="215">
        <f t="shared" si="185"/>
        <v>191</v>
      </c>
      <c r="BN160" s="215">
        <f t="shared" si="186"/>
        <v>182</v>
      </c>
      <c r="BO160" s="215">
        <f t="shared" si="187"/>
        <v>164</v>
      </c>
      <c r="BP160" s="215">
        <f t="shared" si="188"/>
        <v>159</v>
      </c>
      <c r="BQ160" s="216"/>
      <c r="BR160" s="214"/>
      <c r="BS160" s="215">
        <f t="shared" si="196"/>
        <v>191</v>
      </c>
      <c r="BT160" s="215">
        <f t="shared" si="197"/>
        <v>0</v>
      </c>
      <c r="BU160" s="215" t="str">
        <f t="shared" si="198"/>
        <v>Phönix 03 Lauf</v>
      </c>
      <c r="BV160" s="214">
        <f t="shared" si="199"/>
        <v>2</v>
      </c>
      <c r="BW160" s="215">
        <f t="shared" si="200"/>
        <v>1552</v>
      </c>
      <c r="BX160" s="215">
        <f>IF(COUNTIF(BH160:BP160,"&gt;0")&lt;Spielorte!$A$23,0,BE160/Spielorte!$A$23)</f>
        <v>172.44444444444446</v>
      </c>
      <c r="BY160" s="215">
        <f t="shared" si="201"/>
        <v>0</v>
      </c>
      <c r="BZ160" s="214">
        <f t="shared" si="189"/>
        <v>0</v>
      </c>
    </row>
    <row r="161" spans="1:78" ht="17.2" customHeight="1" x14ac:dyDescent="0.35">
      <c r="A161" s="368"/>
      <c r="B161" s="76" t="str">
        <f t="shared" si="190"/>
        <v/>
      </c>
      <c r="C161" s="77" t="str">
        <f t="shared" si="190"/>
        <v/>
      </c>
      <c r="D161" s="78" t="str">
        <f t="shared" si="190"/>
        <v/>
      </c>
      <c r="E161" s="349"/>
      <c r="F161" s="78" t="str">
        <f t="shared" si="171"/>
        <v/>
      </c>
      <c r="G161" s="349"/>
      <c r="H161" s="78" t="str">
        <f t="shared" si="172"/>
        <v/>
      </c>
      <c r="I161" s="349"/>
      <c r="J161" s="78" t="str">
        <f t="shared" si="173"/>
        <v/>
      </c>
      <c r="K161" s="349"/>
      <c r="L161" s="78" t="str">
        <f t="shared" si="174"/>
        <v/>
      </c>
      <c r="M161" s="349"/>
      <c r="N161" s="78" t="str">
        <f t="shared" si="191"/>
        <v/>
      </c>
      <c r="O161" s="349"/>
      <c r="P161" s="78" t="str">
        <f t="shared" si="175"/>
        <v/>
      </c>
      <c r="Q161" s="349"/>
      <c r="R161" s="78" t="str">
        <f t="shared" si="176"/>
        <v/>
      </c>
      <c r="S161" s="349"/>
      <c r="T161" s="78" t="str">
        <f t="shared" si="177"/>
        <v/>
      </c>
      <c r="U161" s="349"/>
      <c r="V161" s="78" t="str">
        <f t="shared" si="178"/>
        <v/>
      </c>
      <c r="W161" s="349"/>
      <c r="Z161" s="352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79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2"/>
        <v>0</v>
      </c>
      <c r="BE161" s="213">
        <f t="shared" si="193"/>
        <v>0</v>
      </c>
      <c r="BF161" s="215">
        <f t="shared" si="194"/>
        <v>0</v>
      </c>
      <c r="BG161" s="215">
        <f t="shared" si="195"/>
        <v>0</v>
      </c>
      <c r="BH161" s="215" t="str">
        <f t="shared" si="180"/>
        <v/>
      </c>
      <c r="BI161" s="215" t="str">
        <f t="shared" si="181"/>
        <v/>
      </c>
      <c r="BJ161" s="215" t="str">
        <f t="shared" si="182"/>
        <v/>
      </c>
      <c r="BK161" s="215" t="str">
        <f t="shared" si="183"/>
        <v/>
      </c>
      <c r="BL161" s="215" t="str">
        <f t="shared" si="184"/>
        <v/>
      </c>
      <c r="BM161" s="215" t="str">
        <f t="shared" si="185"/>
        <v/>
      </c>
      <c r="BN161" s="215" t="str">
        <f t="shared" si="186"/>
        <v/>
      </c>
      <c r="BO161" s="215" t="str">
        <f t="shared" si="187"/>
        <v/>
      </c>
      <c r="BP161" s="215" t="str">
        <f t="shared" si="188"/>
        <v/>
      </c>
      <c r="BQ161" s="216"/>
      <c r="BR161" s="214"/>
      <c r="BS161" s="215">
        <f t="shared" si="196"/>
        <v>0</v>
      </c>
      <c r="BT161" s="215">
        <f t="shared" si="197"/>
        <v>0</v>
      </c>
      <c r="BU161" s="215" t="str">
        <f t="shared" si="198"/>
        <v>Phönix 03 Lauf</v>
      </c>
      <c r="BV161" s="214">
        <f t="shared" si="199"/>
        <v>2</v>
      </c>
      <c r="BW161" s="215">
        <f t="shared" si="200"/>
        <v>0</v>
      </c>
      <c r="BX161" s="215">
        <f>IF(COUNTIF(BH161:BP161,"&gt;0")&lt;Spielorte!$A$23,0,BE161/Spielorte!$A$23)</f>
        <v>0</v>
      </c>
      <c r="BY161" s="215">
        <f t="shared" si="201"/>
        <v>0</v>
      </c>
      <c r="BZ161" s="214">
        <f t="shared" si="189"/>
        <v>0</v>
      </c>
    </row>
    <row r="162" spans="1:78" ht="17.2" customHeight="1" thickBot="1" x14ac:dyDescent="0.4">
      <c r="A162" s="369"/>
      <c r="B162" s="79" t="str">
        <f t="shared" si="190"/>
        <v/>
      </c>
      <c r="C162" s="80" t="str">
        <f t="shared" si="190"/>
        <v/>
      </c>
      <c r="D162" s="69" t="str">
        <f t="shared" si="190"/>
        <v/>
      </c>
      <c r="E162" s="350"/>
      <c r="F162" s="69" t="str">
        <f t="shared" si="171"/>
        <v/>
      </c>
      <c r="G162" s="350"/>
      <c r="H162" s="69" t="str">
        <f t="shared" si="172"/>
        <v/>
      </c>
      <c r="I162" s="350"/>
      <c r="J162" s="69" t="str">
        <f t="shared" si="173"/>
        <v/>
      </c>
      <c r="K162" s="350"/>
      <c r="L162" s="69" t="str">
        <f t="shared" si="174"/>
        <v/>
      </c>
      <c r="M162" s="350"/>
      <c r="N162" s="69" t="str">
        <f t="shared" si="191"/>
        <v/>
      </c>
      <c r="O162" s="350"/>
      <c r="P162" s="69" t="str">
        <f t="shared" si="175"/>
        <v/>
      </c>
      <c r="Q162" s="350"/>
      <c r="R162" s="69" t="str">
        <f t="shared" si="176"/>
        <v/>
      </c>
      <c r="S162" s="350"/>
      <c r="T162" s="69" t="str">
        <f t="shared" si="177"/>
        <v/>
      </c>
      <c r="U162" s="350"/>
      <c r="V162" s="69" t="str">
        <f t="shared" si="178"/>
        <v/>
      </c>
      <c r="W162" s="350"/>
      <c r="Z162" s="353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79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2"/>
        <v>0</v>
      </c>
      <c r="BE162" s="213">
        <f t="shared" si="193"/>
        <v>0</v>
      </c>
      <c r="BF162" s="215">
        <f t="shared" si="194"/>
        <v>0</v>
      </c>
      <c r="BG162" s="215">
        <f t="shared" si="195"/>
        <v>0</v>
      </c>
      <c r="BH162" s="215" t="str">
        <f t="shared" si="180"/>
        <v/>
      </c>
      <c r="BI162" s="215" t="str">
        <f t="shared" si="181"/>
        <v/>
      </c>
      <c r="BJ162" s="215" t="str">
        <f t="shared" si="182"/>
        <v/>
      </c>
      <c r="BK162" s="215" t="str">
        <f t="shared" si="183"/>
        <v/>
      </c>
      <c r="BL162" s="215" t="str">
        <f t="shared" si="184"/>
        <v/>
      </c>
      <c r="BM162" s="215" t="str">
        <f t="shared" si="185"/>
        <v/>
      </c>
      <c r="BN162" s="215" t="str">
        <f t="shared" si="186"/>
        <v/>
      </c>
      <c r="BO162" s="215" t="str">
        <f t="shared" si="187"/>
        <v/>
      </c>
      <c r="BP162" s="215" t="str">
        <f t="shared" si="188"/>
        <v/>
      </c>
      <c r="BQ162" s="216"/>
      <c r="BR162" s="214"/>
      <c r="BS162" s="215">
        <f t="shared" si="196"/>
        <v>0</v>
      </c>
      <c r="BT162" s="215">
        <f t="shared" si="197"/>
        <v>0</v>
      </c>
      <c r="BU162" s="215" t="str">
        <f t="shared" si="198"/>
        <v>Phönix 03 Lauf</v>
      </c>
      <c r="BV162" s="214">
        <f t="shared" si="199"/>
        <v>2</v>
      </c>
      <c r="BW162" s="215">
        <f t="shared" si="200"/>
        <v>0</v>
      </c>
      <c r="BX162" s="215">
        <f>IF(COUNTIF(BH162:BP162,"&gt;0")&lt;Spielorte!$A$23,0,BE162/Spielorte!$A$23)</f>
        <v>0</v>
      </c>
      <c r="BY162" s="215">
        <f t="shared" si="201"/>
        <v>0</v>
      </c>
      <c r="BZ162" s="214">
        <f t="shared" si="189"/>
        <v>0</v>
      </c>
    </row>
    <row r="163" spans="1:78" ht="17.2" customHeight="1" x14ac:dyDescent="0.35">
      <c r="A163" s="367" t="s">
        <v>3</v>
      </c>
      <c r="B163" s="73" t="str">
        <f t="shared" si="190"/>
        <v>Reichel, Christina</v>
      </c>
      <c r="C163" s="74">
        <f t="shared" si="190"/>
        <v>7786</v>
      </c>
      <c r="D163" s="75">
        <f t="shared" si="190"/>
        <v>178</v>
      </c>
      <c r="E163" s="348">
        <f>IF(AD163="","",AD163)</f>
        <v>1</v>
      </c>
      <c r="F163" s="75">
        <f t="shared" si="171"/>
        <v>179</v>
      </c>
      <c r="G163" s="348">
        <f>IF(AF163="","",AF163)</f>
        <v>1</v>
      </c>
      <c r="H163" s="75">
        <f t="shared" si="172"/>
        <v>156</v>
      </c>
      <c r="I163" s="348">
        <f>IF(AH163="","",AH163)</f>
        <v>1</v>
      </c>
      <c r="J163" s="75">
        <f t="shared" si="173"/>
        <v>146</v>
      </c>
      <c r="K163" s="348">
        <f>IF(AJ163="","",AJ163)</f>
        <v>0</v>
      </c>
      <c r="L163" s="75">
        <f t="shared" si="174"/>
        <v>179</v>
      </c>
      <c r="M163" s="348">
        <f>IF(AL163="","",AL163)</f>
        <v>1</v>
      </c>
      <c r="N163" s="75">
        <f t="shared" si="191"/>
        <v>144</v>
      </c>
      <c r="O163" s="348">
        <f>IF(AN163="","",AN163)</f>
        <v>0</v>
      </c>
      <c r="P163" s="75">
        <f t="shared" si="175"/>
        <v>192</v>
      </c>
      <c r="Q163" s="348">
        <f>IF(AP163="","",AP163)</f>
        <v>1</v>
      </c>
      <c r="R163" s="75">
        <f t="shared" si="176"/>
        <v>166</v>
      </c>
      <c r="S163" s="348">
        <f>IF(AR163="","",AR163)</f>
        <v>1</v>
      </c>
      <c r="T163" s="75">
        <f t="shared" si="177"/>
        <v>181</v>
      </c>
      <c r="U163" s="348">
        <f>IF(AT163="","",AT163)</f>
        <v>0</v>
      </c>
      <c r="V163" s="75">
        <f t="shared" si="178"/>
        <v>1521</v>
      </c>
      <c r="W163" s="348">
        <f>IF(AV163="","",AV163)</f>
        <v>6</v>
      </c>
      <c r="Z163" s="351" t="s">
        <v>3</v>
      </c>
      <c r="AA163" s="108" t="str">
        <f>IF(AB163=0,"",VLOOKUP(AB163,Starter!$A$1:$D$199,2,FALSE))</f>
        <v>Reichel, Christina</v>
      </c>
      <c r="AB163" s="99">
        <v>7786</v>
      </c>
      <c r="AC163" s="188">
        <v>178</v>
      </c>
      <c r="AD163" s="109">
        <f>IF(SUM(AC163:AC165)+AC177=0,0,IF(SUM(AC163:AC165)=AC177,0.5,IF(SUM(AC163:AC165)&gt;AC177,1,0)))</f>
        <v>1</v>
      </c>
      <c r="AE163" s="188">
        <v>179</v>
      </c>
      <c r="AF163" s="109">
        <f>IF(SUM(AE163:AE165)+AE177=0,0,IF(SUM(AE163:AE165)=AE177,0.5,IF(SUM(AE163:AE165)&gt;AE177,1,0)))</f>
        <v>1</v>
      </c>
      <c r="AG163" s="188">
        <v>156</v>
      </c>
      <c r="AH163" s="109">
        <f>IF(SUM(AG163:AG165)+AG177=0,0,IF(SUM(AG163:AG165)=AG177,0.5,IF(SUM(AG163:AG165)&gt;AG177,1,0)))</f>
        <v>1</v>
      </c>
      <c r="AI163" s="188">
        <v>146</v>
      </c>
      <c r="AJ163" s="109">
        <f>IF(SUM(AI163:AI165)+AI177=0,0,IF(SUM(AI163:AI165)=AI177,0.5,IF(SUM(AI163:AI165)&gt;AI177,1,0)))</f>
        <v>0</v>
      </c>
      <c r="AK163" s="188">
        <v>179</v>
      </c>
      <c r="AL163" s="109">
        <f>IF(SUM(AK163:AK165)+AK177=0,0,IF(SUM(AK163:AK165)=AK177,0.5,IF(SUM(AK163:AK165)&gt;AK177,1,0)))</f>
        <v>1</v>
      </c>
      <c r="AM163" s="188">
        <v>144</v>
      </c>
      <c r="AN163" s="109">
        <f>IF(SUM(AM163:AM165)+AM177=0,0,IF(SUM(AM163:AM165)=AM177,0.5,IF(SUM(AM163:AM165)&gt;AM177,1,0)))</f>
        <v>0</v>
      </c>
      <c r="AO163" s="188">
        <v>192</v>
      </c>
      <c r="AP163" s="109">
        <f>IF(SUM(AO163:AO165)+AO177=0,0,IF(SUM(AO163:AO165)=AO177,0.5,IF(SUM(AO163:AO165)&gt;AO177,1,0)))</f>
        <v>1</v>
      </c>
      <c r="AQ163" s="188">
        <v>166</v>
      </c>
      <c r="AR163" s="109">
        <f>IF(SUM(AQ163:AQ165)+AQ177=0,0,IF(SUM(AQ163:AQ165)=AQ177,0.5,IF(SUM(AQ163:AQ165)&gt;AQ177,1,0)))</f>
        <v>1</v>
      </c>
      <c r="AS163" s="188">
        <v>181</v>
      </c>
      <c r="AT163" s="109">
        <f>IF(SUM(AS163:AS165)+AS177=0,0,IF(SUM(AS163:AS165)=AS177,0.5,IF(SUM(AS163:AS165)&gt;AS177,1,0)))</f>
        <v>0</v>
      </c>
      <c r="AU163" s="110">
        <f t="shared" si="179"/>
        <v>1521</v>
      </c>
      <c r="AV163" s="111">
        <f>SUM(AD163+AF163+AH163+AJ163+AL163+AN163+AP163+AR163+AT163)</f>
        <v>6</v>
      </c>
      <c r="AW163" s="101"/>
      <c r="AX163" s="102"/>
      <c r="AZ163" s="63"/>
      <c r="BA163" s="212"/>
      <c r="BB163" s="213"/>
      <c r="BC163" s="214"/>
      <c r="BD163" s="217">
        <f t="shared" si="192"/>
        <v>7786</v>
      </c>
      <c r="BE163" s="213">
        <f t="shared" si="193"/>
        <v>1521</v>
      </c>
      <c r="BF163" s="215">
        <f t="shared" si="194"/>
        <v>9</v>
      </c>
      <c r="BG163" s="215">
        <f t="shared" si="195"/>
        <v>9</v>
      </c>
      <c r="BH163" s="215">
        <f t="shared" si="180"/>
        <v>178</v>
      </c>
      <c r="BI163" s="215">
        <f t="shared" si="181"/>
        <v>179</v>
      </c>
      <c r="BJ163" s="215">
        <f t="shared" si="182"/>
        <v>156</v>
      </c>
      <c r="BK163" s="215">
        <f t="shared" si="183"/>
        <v>146</v>
      </c>
      <c r="BL163" s="215">
        <f t="shared" si="184"/>
        <v>179</v>
      </c>
      <c r="BM163" s="215">
        <f t="shared" si="185"/>
        <v>144</v>
      </c>
      <c r="BN163" s="215">
        <f t="shared" si="186"/>
        <v>192</v>
      </c>
      <c r="BO163" s="215">
        <f t="shared" si="187"/>
        <v>166</v>
      </c>
      <c r="BP163" s="215">
        <f t="shared" si="188"/>
        <v>181</v>
      </c>
      <c r="BQ163" s="216"/>
      <c r="BR163" s="214"/>
      <c r="BS163" s="215">
        <f t="shared" si="196"/>
        <v>192</v>
      </c>
      <c r="BT163" s="215">
        <f t="shared" si="197"/>
        <v>0</v>
      </c>
      <c r="BU163" s="215" t="str">
        <f t="shared" si="198"/>
        <v>Phönix 03 Lauf</v>
      </c>
      <c r="BV163" s="214">
        <f t="shared" si="199"/>
        <v>2</v>
      </c>
      <c r="BW163" s="215">
        <f t="shared" si="200"/>
        <v>1521</v>
      </c>
      <c r="BX163" s="215">
        <f>IF(COUNTIF(BH163:BP163,"&gt;0")&lt;Spielorte!$A$23,0,BE163/Spielorte!$A$23)</f>
        <v>169</v>
      </c>
      <c r="BY163" s="215">
        <f t="shared" si="201"/>
        <v>0</v>
      </c>
      <c r="BZ163" s="214">
        <f t="shared" si="189"/>
        <v>0</v>
      </c>
    </row>
    <row r="164" spans="1:78" ht="17.2" customHeight="1" x14ac:dyDescent="0.35">
      <c r="A164" s="368"/>
      <c r="B164" s="76" t="str">
        <f t="shared" si="190"/>
        <v/>
      </c>
      <c r="C164" s="77" t="str">
        <f t="shared" si="190"/>
        <v/>
      </c>
      <c r="D164" s="78" t="str">
        <f t="shared" si="190"/>
        <v/>
      </c>
      <c r="E164" s="349"/>
      <c r="F164" s="78" t="str">
        <f t="shared" si="171"/>
        <v/>
      </c>
      <c r="G164" s="349"/>
      <c r="H164" s="78" t="str">
        <f t="shared" si="172"/>
        <v/>
      </c>
      <c r="I164" s="349"/>
      <c r="J164" s="78" t="str">
        <f t="shared" si="173"/>
        <v/>
      </c>
      <c r="K164" s="349"/>
      <c r="L164" s="78" t="str">
        <f t="shared" si="174"/>
        <v/>
      </c>
      <c r="M164" s="349"/>
      <c r="N164" s="78" t="str">
        <f t="shared" si="191"/>
        <v/>
      </c>
      <c r="O164" s="349"/>
      <c r="P164" s="78" t="str">
        <f t="shared" si="175"/>
        <v/>
      </c>
      <c r="Q164" s="349"/>
      <c r="R164" s="78" t="str">
        <f t="shared" si="176"/>
        <v/>
      </c>
      <c r="S164" s="349"/>
      <c r="T164" s="78" t="str">
        <f t="shared" si="177"/>
        <v/>
      </c>
      <c r="U164" s="349"/>
      <c r="V164" s="78" t="str">
        <f t="shared" si="178"/>
        <v/>
      </c>
      <c r="W164" s="349"/>
      <c r="Z164" s="352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79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2"/>
        <v>0</v>
      </c>
      <c r="BE164" s="213">
        <f t="shared" si="193"/>
        <v>0</v>
      </c>
      <c r="BF164" s="215">
        <f t="shared" si="194"/>
        <v>0</v>
      </c>
      <c r="BG164" s="215">
        <f t="shared" si="195"/>
        <v>0</v>
      </c>
      <c r="BH164" s="215" t="str">
        <f t="shared" si="180"/>
        <v/>
      </c>
      <c r="BI164" s="215" t="str">
        <f t="shared" si="181"/>
        <v/>
      </c>
      <c r="BJ164" s="215" t="str">
        <f t="shared" si="182"/>
        <v/>
      </c>
      <c r="BK164" s="215" t="str">
        <f t="shared" si="183"/>
        <v/>
      </c>
      <c r="BL164" s="215" t="str">
        <f t="shared" si="184"/>
        <v/>
      </c>
      <c r="BM164" s="215" t="str">
        <f t="shared" si="185"/>
        <v/>
      </c>
      <c r="BN164" s="215" t="str">
        <f t="shared" si="186"/>
        <v/>
      </c>
      <c r="BO164" s="215" t="str">
        <f t="shared" si="187"/>
        <v/>
      </c>
      <c r="BP164" s="215" t="str">
        <f t="shared" si="188"/>
        <v/>
      </c>
      <c r="BQ164" s="216"/>
      <c r="BR164" s="214"/>
      <c r="BS164" s="215">
        <f t="shared" si="196"/>
        <v>0</v>
      </c>
      <c r="BT164" s="215">
        <f t="shared" si="197"/>
        <v>0</v>
      </c>
      <c r="BU164" s="215" t="str">
        <f t="shared" si="198"/>
        <v>Phönix 03 Lauf</v>
      </c>
      <c r="BV164" s="214">
        <f t="shared" si="199"/>
        <v>2</v>
      </c>
      <c r="BW164" s="215">
        <f t="shared" si="200"/>
        <v>0</v>
      </c>
      <c r="BX164" s="215">
        <f>IF(COUNTIF(BH164:BP164,"&gt;0")&lt;Spielorte!$A$23,0,BE164/Spielorte!$A$23)</f>
        <v>0</v>
      </c>
      <c r="BY164" s="215">
        <f t="shared" si="201"/>
        <v>0</v>
      </c>
      <c r="BZ164" s="214">
        <f t="shared" si="189"/>
        <v>0</v>
      </c>
    </row>
    <row r="165" spans="1:78" ht="17.2" customHeight="1" thickBot="1" x14ac:dyDescent="0.4">
      <c r="A165" s="369"/>
      <c r="B165" s="79" t="str">
        <f t="shared" si="190"/>
        <v/>
      </c>
      <c r="C165" s="80" t="str">
        <f t="shared" si="190"/>
        <v/>
      </c>
      <c r="D165" s="69" t="str">
        <f t="shared" si="190"/>
        <v/>
      </c>
      <c r="E165" s="350"/>
      <c r="F165" s="69" t="str">
        <f t="shared" si="171"/>
        <v/>
      </c>
      <c r="G165" s="350"/>
      <c r="H165" s="69" t="str">
        <f t="shared" si="172"/>
        <v/>
      </c>
      <c r="I165" s="350"/>
      <c r="J165" s="69" t="str">
        <f t="shared" si="173"/>
        <v/>
      </c>
      <c r="K165" s="350"/>
      <c r="L165" s="69" t="str">
        <f t="shared" si="174"/>
        <v/>
      </c>
      <c r="M165" s="350"/>
      <c r="N165" s="69" t="str">
        <f t="shared" si="191"/>
        <v/>
      </c>
      <c r="O165" s="350"/>
      <c r="P165" s="69" t="str">
        <f t="shared" si="175"/>
        <v/>
      </c>
      <c r="Q165" s="350"/>
      <c r="R165" s="69" t="str">
        <f t="shared" si="176"/>
        <v/>
      </c>
      <c r="S165" s="350"/>
      <c r="T165" s="69" t="str">
        <f t="shared" si="177"/>
        <v/>
      </c>
      <c r="U165" s="350"/>
      <c r="V165" s="69" t="str">
        <f t="shared" si="178"/>
        <v/>
      </c>
      <c r="W165" s="350"/>
      <c r="Z165" s="353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79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2"/>
        <v>0</v>
      </c>
      <c r="BE165" s="213">
        <f t="shared" si="193"/>
        <v>0</v>
      </c>
      <c r="BF165" s="215">
        <f t="shared" si="194"/>
        <v>0</v>
      </c>
      <c r="BG165" s="215">
        <f t="shared" si="195"/>
        <v>0</v>
      </c>
      <c r="BH165" s="215" t="str">
        <f t="shared" si="180"/>
        <v/>
      </c>
      <c r="BI165" s="215" t="str">
        <f t="shared" si="181"/>
        <v/>
      </c>
      <c r="BJ165" s="215" t="str">
        <f t="shared" si="182"/>
        <v/>
      </c>
      <c r="BK165" s="215" t="str">
        <f t="shared" si="183"/>
        <v/>
      </c>
      <c r="BL165" s="215" t="str">
        <f t="shared" si="184"/>
        <v/>
      </c>
      <c r="BM165" s="215" t="str">
        <f t="shared" si="185"/>
        <v/>
      </c>
      <c r="BN165" s="215" t="str">
        <f t="shared" si="186"/>
        <v/>
      </c>
      <c r="BO165" s="215" t="str">
        <f t="shared" si="187"/>
        <v/>
      </c>
      <c r="BP165" s="215" t="str">
        <f t="shared" si="188"/>
        <v/>
      </c>
      <c r="BQ165" s="216"/>
      <c r="BR165" s="214"/>
      <c r="BS165" s="215">
        <f t="shared" si="196"/>
        <v>0</v>
      </c>
      <c r="BT165" s="215">
        <f t="shared" si="197"/>
        <v>0</v>
      </c>
      <c r="BU165" s="215" t="str">
        <f t="shared" si="198"/>
        <v>Phönix 03 Lauf</v>
      </c>
      <c r="BV165" s="214">
        <f t="shared" si="199"/>
        <v>2</v>
      </c>
      <c r="BW165" s="215">
        <f t="shared" si="200"/>
        <v>0</v>
      </c>
      <c r="BX165" s="215">
        <f>IF(COUNTIF(BH165:BP165,"&gt;0")&lt;Spielorte!$A$23,0,BE165/Spielorte!$A$23)</f>
        <v>0</v>
      </c>
      <c r="BY165" s="215">
        <f t="shared" si="201"/>
        <v>0</v>
      </c>
      <c r="BZ165" s="214">
        <f t="shared" si="189"/>
        <v>0</v>
      </c>
    </row>
    <row r="166" spans="1:78" ht="17.2" customHeight="1" x14ac:dyDescent="0.35">
      <c r="A166" s="367" t="s">
        <v>11</v>
      </c>
      <c r="B166" s="73" t="str">
        <f>IF(AA166=0,"",AA166)</f>
        <v>Schuster, Katharina</v>
      </c>
      <c r="C166" s="74">
        <f t="shared" si="190"/>
        <v>7801</v>
      </c>
      <c r="D166" s="75">
        <f t="shared" si="190"/>
        <v>198</v>
      </c>
      <c r="E166" s="348">
        <f>IF(AD166="","",AD166)</f>
        <v>1</v>
      </c>
      <c r="F166" s="75">
        <f t="shared" si="171"/>
        <v>185</v>
      </c>
      <c r="G166" s="348">
        <f>IF(AF166="","",AF166)</f>
        <v>1</v>
      </c>
      <c r="H166" s="75">
        <f t="shared" si="172"/>
        <v>189</v>
      </c>
      <c r="I166" s="348">
        <f>IF(AH166="","",AH166)</f>
        <v>1</v>
      </c>
      <c r="J166" s="75">
        <f t="shared" si="173"/>
        <v>153</v>
      </c>
      <c r="K166" s="348">
        <f>IF(AJ166="","",AJ166)</f>
        <v>0</v>
      </c>
      <c r="L166" s="75">
        <f t="shared" si="174"/>
        <v>203</v>
      </c>
      <c r="M166" s="348">
        <f>IF(AL166="","",AL166)</f>
        <v>1</v>
      </c>
      <c r="N166" s="75">
        <f t="shared" si="191"/>
        <v>201</v>
      </c>
      <c r="O166" s="348">
        <f>IF(AN166="","",AN166)</f>
        <v>1</v>
      </c>
      <c r="P166" s="75">
        <f t="shared" si="175"/>
        <v>203</v>
      </c>
      <c r="Q166" s="348">
        <f>IF(AP166="","",AP166)</f>
        <v>1</v>
      </c>
      <c r="R166" s="75">
        <f t="shared" si="176"/>
        <v>146</v>
      </c>
      <c r="S166" s="348">
        <f>IF(AR166="","",AR166)</f>
        <v>0</v>
      </c>
      <c r="T166" s="75">
        <f t="shared" si="177"/>
        <v>201</v>
      </c>
      <c r="U166" s="348">
        <f>IF(AT166="","",AT166)</f>
        <v>1</v>
      </c>
      <c r="V166" s="75">
        <f t="shared" si="178"/>
        <v>1679</v>
      </c>
      <c r="W166" s="348">
        <f>IF(AV166="","",AV166)</f>
        <v>7</v>
      </c>
      <c r="Z166" s="351" t="s">
        <v>11</v>
      </c>
      <c r="AA166" s="108" t="str">
        <f>IF(AB166=0,"",VLOOKUP(AB166,Starter!$A$1:$D$199,2,FALSE))</f>
        <v>Schuster, Katharina</v>
      </c>
      <c r="AB166" s="99">
        <v>7801</v>
      </c>
      <c r="AC166" s="188">
        <v>198</v>
      </c>
      <c r="AD166" s="109">
        <f>IF(SUM(AC166:AC168)+AC178=0,0,IF(SUM(AC166:AC168)=AC178,0.5,IF(SUM(AC166:AC168)&gt;AC178,1,0)))</f>
        <v>1</v>
      </c>
      <c r="AE166" s="188">
        <v>185</v>
      </c>
      <c r="AF166" s="109">
        <f>IF(SUM(AE166:AE168)+AE178=0,0,IF(SUM(AE166:AE168)=AE178,0.5,IF(SUM(AE166:AE168)&gt;AE178,1,0)))</f>
        <v>1</v>
      </c>
      <c r="AG166" s="188">
        <v>189</v>
      </c>
      <c r="AH166" s="109">
        <f>IF(SUM(AG166:AG168)+AG178=0,0,IF(SUM(AG166:AG168)=AG178,0.5,IF(SUM(AG166:AG168)&gt;AG178,1,0)))</f>
        <v>1</v>
      </c>
      <c r="AI166" s="188">
        <v>153</v>
      </c>
      <c r="AJ166" s="109">
        <f>IF(SUM(AI166:AI168)+AI178=0,0,IF(SUM(AI166:AI168)=AI178,0.5,IF(SUM(AI166:AI168)&gt;AI178,1,0)))</f>
        <v>0</v>
      </c>
      <c r="AK166" s="188">
        <v>203</v>
      </c>
      <c r="AL166" s="109">
        <f>IF(SUM(AK166:AK168)+AK178=0,0,IF(SUM(AK166:AK168)=AK178,0.5,IF(SUM(AK166:AK168)&gt;AK178,1,0)))</f>
        <v>1</v>
      </c>
      <c r="AM166" s="188">
        <v>201</v>
      </c>
      <c r="AN166" s="109">
        <f>IF(SUM(AM166:AM168)+AM178=0,0,IF(SUM(AM166:AM168)=AM178,0.5,IF(SUM(AM166:AM168)&gt;AM178,1,0)))</f>
        <v>1</v>
      </c>
      <c r="AO166" s="188">
        <v>203</v>
      </c>
      <c r="AP166" s="109">
        <f>IF(SUM(AO166:AO168)+AO178=0,0,IF(SUM(AO166:AO168)=AO178,0.5,IF(SUM(AO166:AO168)&gt;AO178,1,0)))</f>
        <v>1</v>
      </c>
      <c r="AQ166" s="188">
        <v>146</v>
      </c>
      <c r="AR166" s="109">
        <f>IF(SUM(AQ166:AQ168)+AQ178=0,0,IF(SUM(AQ166:AQ168)=AQ178,0.5,IF(SUM(AQ166:AQ168)&gt;AQ178,1,0)))</f>
        <v>0</v>
      </c>
      <c r="AS166" s="188">
        <v>201</v>
      </c>
      <c r="AT166" s="109">
        <f>IF(SUM(AS166:AS168)+AS178=0,0,IF(SUM(AS166:AS168)=AS178,0.5,IF(SUM(AS166:AS168)&gt;AS178,1,0)))</f>
        <v>1</v>
      </c>
      <c r="AU166" s="110">
        <f t="shared" si="179"/>
        <v>1679</v>
      </c>
      <c r="AV166" s="111">
        <f>SUM(AD166+AF166+AH166+AJ166+AL166+AN166+AP166+AR166+AT166)</f>
        <v>7</v>
      </c>
      <c r="AW166" s="101"/>
      <c r="AX166" s="102"/>
      <c r="AZ166" s="63"/>
      <c r="BA166" s="212"/>
      <c r="BB166" s="213"/>
      <c r="BC166" s="214"/>
      <c r="BD166" s="217">
        <f t="shared" si="192"/>
        <v>7801</v>
      </c>
      <c r="BE166" s="213">
        <f t="shared" si="193"/>
        <v>1679</v>
      </c>
      <c r="BF166" s="215">
        <f t="shared" si="194"/>
        <v>9</v>
      </c>
      <c r="BG166" s="215">
        <f t="shared" si="195"/>
        <v>9</v>
      </c>
      <c r="BH166" s="215">
        <f t="shared" si="180"/>
        <v>198</v>
      </c>
      <c r="BI166" s="215">
        <f t="shared" si="181"/>
        <v>185</v>
      </c>
      <c r="BJ166" s="215">
        <f t="shared" si="182"/>
        <v>189</v>
      </c>
      <c r="BK166" s="215">
        <f t="shared" si="183"/>
        <v>153</v>
      </c>
      <c r="BL166" s="215">
        <f t="shared" si="184"/>
        <v>203</v>
      </c>
      <c r="BM166" s="215">
        <f t="shared" si="185"/>
        <v>201</v>
      </c>
      <c r="BN166" s="215">
        <f t="shared" si="186"/>
        <v>203</v>
      </c>
      <c r="BO166" s="215">
        <f t="shared" si="187"/>
        <v>146</v>
      </c>
      <c r="BP166" s="215">
        <f t="shared" si="188"/>
        <v>201</v>
      </c>
      <c r="BQ166" s="216"/>
      <c r="BR166" s="214"/>
      <c r="BS166" s="215">
        <f t="shared" si="196"/>
        <v>203</v>
      </c>
      <c r="BT166" s="215">
        <f t="shared" si="197"/>
        <v>0</v>
      </c>
      <c r="BU166" s="215" t="str">
        <f t="shared" si="198"/>
        <v>Phönix 03 Lauf</v>
      </c>
      <c r="BV166" s="214">
        <f t="shared" si="199"/>
        <v>2</v>
      </c>
      <c r="BW166" s="215">
        <f t="shared" si="200"/>
        <v>1679</v>
      </c>
      <c r="BX166" s="215">
        <f>IF(COUNTIF(BH166:BP166,"&gt;0")&lt;Spielorte!$A$23,0,BE166/Spielorte!$A$23)</f>
        <v>186.55555555555554</v>
      </c>
      <c r="BY166" s="215">
        <f t="shared" si="201"/>
        <v>0</v>
      </c>
      <c r="BZ166" s="214">
        <f t="shared" si="189"/>
        <v>0</v>
      </c>
    </row>
    <row r="167" spans="1:78" ht="17.2" customHeight="1" x14ac:dyDescent="0.35">
      <c r="A167" s="368"/>
      <c r="B167" s="76" t="str">
        <f>IF(AA167=0,"",AA167)</f>
        <v/>
      </c>
      <c r="C167" s="77" t="str">
        <f t="shared" si="190"/>
        <v/>
      </c>
      <c r="D167" s="78" t="str">
        <f t="shared" si="190"/>
        <v/>
      </c>
      <c r="E167" s="349"/>
      <c r="F167" s="78" t="str">
        <f t="shared" si="171"/>
        <v/>
      </c>
      <c r="G167" s="349"/>
      <c r="H167" s="78" t="str">
        <f t="shared" si="172"/>
        <v/>
      </c>
      <c r="I167" s="349"/>
      <c r="J167" s="78" t="str">
        <f t="shared" si="173"/>
        <v/>
      </c>
      <c r="K167" s="349"/>
      <c r="L167" s="78" t="str">
        <f t="shared" si="174"/>
        <v/>
      </c>
      <c r="M167" s="349"/>
      <c r="N167" s="78" t="str">
        <f t="shared" si="191"/>
        <v/>
      </c>
      <c r="O167" s="349"/>
      <c r="P167" s="78" t="str">
        <f t="shared" si="175"/>
        <v/>
      </c>
      <c r="Q167" s="349"/>
      <c r="R167" s="78" t="str">
        <f t="shared" si="176"/>
        <v/>
      </c>
      <c r="S167" s="349"/>
      <c r="T167" s="78" t="str">
        <f t="shared" si="177"/>
        <v/>
      </c>
      <c r="U167" s="349"/>
      <c r="V167" s="78" t="str">
        <f t="shared" si="178"/>
        <v/>
      </c>
      <c r="W167" s="349"/>
      <c r="Z167" s="352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79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2"/>
        <v>0</v>
      </c>
      <c r="BE167" s="213">
        <f t="shared" si="193"/>
        <v>0</v>
      </c>
      <c r="BF167" s="215">
        <f t="shared" si="194"/>
        <v>0</v>
      </c>
      <c r="BG167" s="215">
        <f t="shared" si="195"/>
        <v>0</v>
      </c>
      <c r="BH167" s="215" t="str">
        <f t="shared" si="180"/>
        <v/>
      </c>
      <c r="BI167" s="215" t="str">
        <f t="shared" si="181"/>
        <v/>
      </c>
      <c r="BJ167" s="215" t="str">
        <f t="shared" si="182"/>
        <v/>
      </c>
      <c r="BK167" s="215" t="str">
        <f t="shared" si="183"/>
        <v/>
      </c>
      <c r="BL167" s="215" t="str">
        <f t="shared" si="184"/>
        <v/>
      </c>
      <c r="BM167" s="215" t="str">
        <f t="shared" si="185"/>
        <v/>
      </c>
      <c r="BN167" s="215" t="str">
        <f t="shared" si="186"/>
        <v/>
      </c>
      <c r="BO167" s="215" t="str">
        <f t="shared" si="187"/>
        <v/>
      </c>
      <c r="BP167" s="215" t="str">
        <f t="shared" si="188"/>
        <v/>
      </c>
      <c r="BQ167" s="216"/>
      <c r="BR167" s="214"/>
      <c r="BS167" s="215">
        <f t="shared" si="196"/>
        <v>0</v>
      </c>
      <c r="BT167" s="215">
        <f t="shared" si="197"/>
        <v>0</v>
      </c>
      <c r="BU167" s="215" t="str">
        <f t="shared" si="198"/>
        <v>Phönix 03 Lauf</v>
      </c>
      <c r="BV167" s="214">
        <f t="shared" si="199"/>
        <v>2</v>
      </c>
      <c r="BW167" s="215">
        <f t="shared" si="200"/>
        <v>0</v>
      </c>
      <c r="BX167" s="215">
        <f>IF(COUNTIF(BH167:BP167,"&gt;0")&lt;Spielorte!$A$23,0,BE167/Spielorte!$A$23)</f>
        <v>0</v>
      </c>
      <c r="BY167" s="215">
        <f t="shared" si="201"/>
        <v>0</v>
      </c>
      <c r="BZ167" s="214">
        <f t="shared" si="189"/>
        <v>0</v>
      </c>
    </row>
    <row r="168" spans="1:78" ht="17.2" customHeight="1" thickBot="1" x14ac:dyDescent="0.4">
      <c r="A168" s="369"/>
      <c r="B168" s="79" t="str">
        <f>IF(AA168=0,"",AA168)</f>
        <v/>
      </c>
      <c r="C168" s="80" t="str">
        <f t="shared" si="190"/>
        <v/>
      </c>
      <c r="D168" s="69" t="str">
        <f t="shared" si="190"/>
        <v/>
      </c>
      <c r="E168" s="350"/>
      <c r="F168" s="69" t="str">
        <f t="shared" si="171"/>
        <v/>
      </c>
      <c r="G168" s="350"/>
      <c r="H168" s="69" t="str">
        <f t="shared" si="172"/>
        <v/>
      </c>
      <c r="I168" s="350"/>
      <c r="J168" s="69" t="str">
        <f t="shared" si="173"/>
        <v/>
      </c>
      <c r="K168" s="350"/>
      <c r="L168" s="69" t="str">
        <f t="shared" si="174"/>
        <v/>
      </c>
      <c r="M168" s="350"/>
      <c r="N168" s="69" t="str">
        <f t="shared" si="191"/>
        <v/>
      </c>
      <c r="O168" s="350"/>
      <c r="P168" s="69" t="str">
        <f t="shared" si="175"/>
        <v/>
      </c>
      <c r="Q168" s="350"/>
      <c r="R168" s="69" t="str">
        <f t="shared" si="176"/>
        <v/>
      </c>
      <c r="S168" s="350"/>
      <c r="T168" s="69" t="str">
        <f t="shared" si="177"/>
        <v/>
      </c>
      <c r="U168" s="350"/>
      <c r="V168" s="69" t="str">
        <f t="shared" si="178"/>
        <v/>
      </c>
      <c r="W168" s="350"/>
      <c r="Z168" s="353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79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2"/>
        <v>0</v>
      </c>
      <c r="BE168" s="213">
        <f t="shared" si="193"/>
        <v>0</v>
      </c>
      <c r="BF168" s="215">
        <f t="shared" si="194"/>
        <v>0</v>
      </c>
      <c r="BG168" s="215">
        <f t="shared" si="195"/>
        <v>0</v>
      </c>
      <c r="BH168" s="215" t="str">
        <f t="shared" si="180"/>
        <v/>
      </c>
      <c r="BI168" s="215" t="str">
        <f t="shared" si="181"/>
        <v/>
      </c>
      <c r="BJ168" s="215" t="str">
        <f t="shared" si="182"/>
        <v/>
      </c>
      <c r="BK168" s="215" t="str">
        <f t="shared" si="183"/>
        <v/>
      </c>
      <c r="BL168" s="215" t="str">
        <f t="shared" si="184"/>
        <v/>
      </c>
      <c r="BM168" s="215" t="str">
        <f t="shared" si="185"/>
        <v/>
      </c>
      <c r="BN168" s="215" t="str">
        <f t="shared" si="186"/>
        <v/>
      </c>
      <c r="BO168" s="215" t="str">
        <f t="shared" si="187"/>
        <v/>
      </c>
      <c r="BP168" s="215" t="str">
        <f t="shared" si="188"/>
        <v/>
      </c>
      <c r="BQ168" s="216"/>
      <c r="BR168" s="214"/>
      <c r="BS168" s="215">
        <f t="shared" si="196"/>
        <v>0</v>
      </c>
      <c r="BT168" s="215">
        <f t="shared" si="197"/>
        <v>0</v>
      </c>
      <c r="BU168" s="215" t="str">
        <f t="shared" si="198"/>
        <v>Phönix 03 Lauf</v>
      </c>
      <c r="BV168" s="214">
        <f t="shared" si="199"/>
        <v>2</v>
      </c>
      <c r="BW168" s="215">
        <f t="shared" si="200"/>
        <v>0</v>
      </c>
      <c r="BX168" s="215">
        <f>IF(COUNTIF(BH168:BP168,"&gt;0")&lt;Spielorte!$A$23,0,BE168/Spielorte!$A$23)</f>
        <v>0</v>
      </c>
      <c r="BY168" s="215">
        <f t="shared" si="201"/>
        <v>0</v>
      </c>
      <c r="BZ168" s="214">
        <f t="shared" si="189"/>
        <v>0</v>
      </c>
    </row>
    <row r="169" spans="1:78" ht="27.75" customHeight="1" thickBot="1" x14ac:dyDescent="0.4">
      <c r="B169" s="81" t="str">
        <f>IF(AA169=0,"",AA169)</f>
        <v>Gesamt</v>
      </c>
      <c r="C169" s="82" t="str">
        <f t="shared" si="190"/>
        <v/>
      </c>
      <c r="D169" s="83">
        <f t="shared" si="190"/>
        <v>700</v>
      </c>
      <c r="E169" s="84">
        <f>IF(AD169="","",AD169)</f>
        <v>2</v>
      </c>
      <c r="F169" s="83">
        <f t="shared" si="171"/>
        <v>718</v>
      </c>
      <c r="G169" s="84">
        <f>IF(AF169="","",AF169)</f>
        <v>2</v>
      </c>
      <c r="H169" s="83">
        <f t="shared" si="172"/>
        <v>636</v>
      </c>
      <c r="I169" s="84">
        <f>IF(AH169="","",AH169)</f>
        <v>0</v>
      </c>
      <c r="J169" s="83">
        <f t="shared" si="173"/>
        <v>592</v>
      </c>
      <c r="K169" s="84">
        <f>IF(AJ169="","",AJ169)</f>
        <v>0</v>
      </c>
      <c r="L169" s="83">
        <f t="shared" si="174"/>
        <v>724</v>
      </c>
      <c r="M169" s="84">
        <f>IF(AL169="","",AL169)</f>
        <v>2</v>
      </c>
      <c r="N169" s="83">
        <f t="shared" si="191"/>
        <v>693</v>
      </c>
      <c r="O169" s="84">
        <f>IF(AN169="","",AN169)</f>
        <v>2</v>
      </c>
      <c r="P169" s="83">
        <f t="shared" si="175"/>
        <v>696</v>
      </c>
      <c r="Q169" s="84">
        <f>IF(AP169="","",AP169)</f>
        <v>0</v>
      </c>
      <c r="R169" s="83">
        <f t="shared" si="176"/>
        <v>668</v>
      </c>
      <c r="S169" s="84">
        <f>IF(AR169="","",AR169)</f>
        <v>2</v>
      </c>
      <c r="T169" s="83">
        <f t="shared" si="177"/>
        <v>693</v>
      </c>
      <c r="U169" s="84">
        <f>IF(AT169="","",AT169)</f>
        <v>2</v>
      </c>
      <c r="V169" s="83">
        <f t="shared" si="178"/>
        <v>6120</v>
      </c>
      <c r="W169" s="84">
        <f>IF(AV169="","",AV169)</f>
        <v>12</v>
      </c>
      <c r="AA169" s="81" t="s">
        <v>1799</v>
      </c>
      <c r="AB169" s="120"/>
      <c r="AC169" s="211">
        <f>ABS(SUM(AC157:AC159))+ABS(SUM(AC160:AC162))+ABS(SUM(AC163:AC165))+ABS(SUM(AC166:AC168))</f>
        <v>700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718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636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592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724</v>
      </c>
      <c r="AL169" s="121">
        <f>IF(AK169+AK179=0,0,IF(AK169=AK179,1,IF(AK169&gt;AK179,2,0)))</f>
        <v>2</v>
      </c>
      <c r="AM169" s="211">
        <f>ABS(SUM(AM157:AM159))+ABS(SUM(AM160:AM162))+ABS(SUM(AM163:AM165))+ABS(SUM(AM166:AM168))</f>
        <v>693</v>
      </c>
      <c r="AN169" s="121">
        <f>IF(AM169+AM179=0,0,IF(AM169=AM179,1,IF(AM169&gt;AM179,2,0)))</f>
        <v>2</v>
      </c>
      <c r="AO169" s="211">
        <f>ABS(SUM(AO157:AO159))+ABS(SUM(AO160:AO162))+ABS(SUM(AO163:AO165))+ABS(SUM(AO166:AO168))</f>
        <v>696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668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693</v>
      </c>
      <c r="AT169" s="121">
        <f>IF(AS169+AS179=0,0,IF(AS169=AS179,1,IF(AS169&gt;AS179,2,0)))</f>
        <v>2</v>
      </c>
      <c r="AU169" s="122">
        <f>SUM(AC169+AE169+AG169+AI169+AK169+AM169+AO169+AQ169+AS169)</f>
        <v>6120</v>
      </c>
      <c r="AV169" s="123">
        <f>SUM(AD169+AF169+AH169+AJ169+AL169+AN169+AP169+AR169+AT169)</f>
        <v>12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4">
      <c r="B170" s="85" t="str">
        <f>IF(AA170=0,"",AA170)</f>
        <v>Gesamt - Punkte</v>
      </c>
      <c r="C170" s="86" t="str">
        <f t="shared" si="190"/>
        <v/>
      </c>
      <c r="D170" s="86" t="str">
        <f t="shared" si="190"/>
        <v/>
      </c>
      <c r="E170" s="87">
        <f>IF(AD170="","",AD170)</f>
        <v>6</v>
      </c>
      <c r="F170" s="86" t="str">
        <f t="shared" si="171"/>
        <v/>
      </c>
      <c r="G170" s="87">
        <f>IF(AF170="","",AF170)</f>
        <v>6</v>
      </c>
      <c r="H170" s="86" t="str">
        <f t="shared" si="172"/>
        <v/>
      </c>
      <c r="I170" s="87">
        <f>IF(AH170="","",AH170)</f>
        <v>3</v>
      </c>
      <c r="J170" s="86" t="str">
        <f t="shared" si="173"/>
        <v/>
      </c>
      <c r="K170" s="87">
        <f>IF(AJ170="","",AJ170)</f>
        <v>1</v>
      </c>
      <c r="L170" s="86" t="str">
        <f t="shared" si="174"/>
        <v/>
      </c>
      <c r="M170" s="87">
        <f>IF(AL170="","",AL170)</f>
        <v>5</v>
      </c>
      <c r="N170" s="86" t="str">
        <f t="shared" si="191"/>
        <v/>
      </c>
      <c r="O170" s="87">
        <f>IF(AN170="","",AN170)</f>
        <v>5</v>
      </c>
      <c r="P170" s="86" t="str">
        <f t="shared" si="175"/>
        <v/>
      </c>
      <c r="Q170" s="87">
        <f>IF(AP170="","",AP170)</f>
        <v>3</v>
      </c>
      <c r="R170" s="86" t="str">
        <f t="shared" si="176"/>
        <v/>
      </c>
      <c r="S170" s="87">
        <f>IF(AR170="","",AR170)</f>
        <v>5</v>
      </c>
      <c r="T170" s="86" t="str">
        <f t="shared" si="177"/>
        <v/>
      </c>
      <c r="U170" s="87">
        <f>IF(AT170="","",AT170)</f>
        <v>4</v>
      </c>
      <c r="V170" s="86" t="str">
        <f t="shared" si="178"/>
        <v/>
      </c>
      <c r="W170" s="87">
        <f>IF(AV170="","",AV170)</f>
        <v>38</v>
      </c>
      <c r="AA170" s="85" t="s">
        <v>1814</v>
      </c>
      <c r="AB170" s="86"/>
      <c r="AC170" s="86"/>
      <c r="AD170" s="124">
        <f>SUM(AD157:AD169)</f>
        <v>6</v>
      </c>
      <c r="AE170" s="86"/>
      <c r="AF170" s="124">
        <f>SUM(AF157:AF169)</f>
        <v>6</v>
      </c>
      <c r="AG170" s="86"/>
      <c r="AH170" s="124">
        <f>SUM(AH157:AH169)</f>
        <v>3</v>
      </c>
      <c r="AI170" s="86"/>
      <c r="AJ170" s="124">
        <f>SUM(AJ157:AJ169)</f>
        <v>1</v>
      </c>
      <c r="AK170" s="86"/>
      <c r="AL170" s="124">
        <f>SUM(AL157:AL169)</f>
        <v>5</v>
      </c>
      <c r="AM170" s="86"/>
      <c r="AN170" s="124">
        <f>SUM(AN157:AN169)</f>
        <v>5</v>
      </c>
      <c r="AO170" s="86"/>
      <c r="AP170" s="124">
        <f>SUM(AP157:AP169)</f>
        <v>3</v>
      </c>
      <c r="AQ170" s="86"/>
      <c r="AR170" s="124">
        <f>SUM(AR157:AR169)</f>
        <v>5</v>
      </c>
      <c r="AS170" s="86"/>
      <c r="AT170" s="124">
        <f>SUM(AT157:AT169)</f>
        <v>4</v>
      </c>
      <c r="AU170" s="86"/>
      <c r="AV170" s="125">
        <f>SUM(AV157:AV169)</f>
        <v>38</v>
      </c>
      <c r="AW170" s="101"/>
      <c r="AX170" s="102"/>
      <c r="BA170" s="212">
        <f>+AV170</f>
        <v>38</v>
      </c>
      <c r="BB170" s="213">
        <f>+AU169</f>
        <v>6120</v>
      </c>
      <c r="BC170" s="214">
        <f>+AA152</f>
        <v>6</v>
      </c>
      <c r="BF170" s="215">
        <f>SUM(BF151:BF169)</f>
        <v>36</v>
      </c>
      <c r="BQ170" s="212">
        <f>+BB170/1000000+BA170</f>
        <v>38.006120000000003</v>
      </c>
      <c r="BR170" s="214">
        <f>RANK(BQ170,BQ:BQ)</f>
        <v>1</v>
      </c>
      <c r="BV170" s="214"/>
      <c r="BZ170" s="214"/>
    </row>
    <row r="171" spans="1:78" ht="11.25" customHeight="1" x14ac:dyDescent="0.3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35">
      <c r="B172" s="88" t="str">
        <f t="shared" ref="B172:K174" si="202">IF(AA172=0,"",AA172)</f>
        <v>Gegner-Nr.:</v>
      </c>
      <c r="C172" s="89" t="str">
        <f t="shared" si="202"/>
        <v>&gt;&gt;&gt;&gt;</v>
      </c>
      <c r="D172" s="346">
        <f t="shared" si="202"/>
        <v>4</v>
      </c>
      <c r="E172" s="346" t="str">
        <f t="shared" si="202"/>
        <v/>
      </c>
      <c r="F172" s="346">
        <f t="shared" si="202"/>
        <v>7</v>
      </c>
      <c r="G172" s="346" t="str">
        <f t="shared" si="202"/>
        <v/>
      </c>
      <c r="H172" s="346">
        <f t="shared" si="202"/>
        <v>5</v>
      </c>
      <c r="I172" s="346" t="str">
        <f t="shared" si="202"/>
        <v/>
      </c>
      <c r="J172" s="346">
        <f t="shared" si="202"/>
        <v>3</v>
      </c>
      <c r="K172" s="346" t="str">
        <f t="shared" si="202"/>
        <v/>
      </c>
      <c r="L172" s="346">
        <f t="shared" ref="L172:U174" si="203">IF(AK172=0,"",AK172)</f>
        <v>1</v>
      </c>
      <c r="M172" s="346" t="str">
        <f t="shared" si="203"/>
        <v/>
      </c>
      <c r="N172" s="346">
        <f t="shared" si="203"/>
        <v>2</v>
      </c>
      <c r="O172" s="346" t="str">
        <f t="shared" si="203"/>
        <v/>
      </c>
      <c r="P172" s="346">
        <f t="shared" si="203"/>
        <v>8</v>
      </c>
      <c r="Q172" s="346" t="str">
        <f t="shared" si="203"/>
        <v/>
      </c>
      <c r="R172" s="346">
        <f t="shared" si="203"/>
        <v>10</v>
      </c>
      <c r="S172" s="346" t="str">
        <f t="shared" si="203"/>
        <v/>
      </c>
      <c r="T172" s="346">
        <f t="shared" si="203"/>
        <v>9</v>
      </c>
      <c r="U172" s="346" t="str">
        <f t="shared" si="203"/>
        <v/>
      </c>
      <c r="V172" s="347"/>
      <c r="W172" s="347"/>
      <c r="AA172" s="88" t="s">
        <v>1797</v>
      </c>
      <c r="AB172" s="89" t="s">
        <v>1798</v>
      </c>
      <c r="AC172" s="370">
        <f>VLOOKUP($AA152,Schlüssel!$A$5:$DG$14,43)</f>
        <v>4</v>
      </c>
      <c r="AD172" s="371"/>
      <c r="AE172" s="370">
        <f>VLOOKUP($AA152,Schlüssel!$A$5:$EK$14,44)</f>
        <v>7</v>
      </c>
      <c r="AF172" s="371"/>
      <c r="AG172" s="370">
        <f>VLOOKUP($AA152,Schlüssel!$A$5:$EK$14,45)</f>
        <v>5</v>
      </c>
      <c r="AH172" s="371"/>
      <c r="AI172" s="370">
        <f>VLOOKUP($AA152,Schlüssel!$A$5:$EK$14,46)</f>
        <v>3</v>
      </c>
      <c r="AJ172" s="371"/>
      <c r="AK172" s="370">
        <f>VLOOKUP($AA152,Schlüssel!$A$5:$EK$14,47)</f>
        <v>1</v>
      </c>
      <c r="AL172" s="371"/>
      <c r="AM172" s="370">
        <f>VLOOKUP($AA152,Schlüssel!$A$5:$EK$14,48)</f>
        <v>2</v>
      </c>
      <c r="AN172" s="371"/>
      <c r="AO172" s="370">
        <f>VLOOKUP($AA152,Schlüssel!$A$5:$EK$14,49)</f>
        <v>8</v>
      </c>
      <c r="AP172" s="371"/>
      <c r="AQ172" s="370">
        <f>VLOOKUP($AA152,Schlüssel!$A$5:$EK$14,50)</f>
        <v>10</v>
      </c>
      <c r="AR172" s="371"/>
      <c r="AS172" s="370">
        <f>VLOOKUP($AA152,Schlüssel!$A$5:$EK$14,51)</f>
        <v>9</v>
      </c>
      <c r="AT172" s="371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35">
      <c r="B173" s="90" t="str">
        <f t="shared" si="202"/>
        <v/>
      </c>
      <c r="C173" s="86" t="str">
        <f t="shared" si="202"/>
        <v/>
      </c>
      <c r="D173" s="343" t="str">
        <f t="shared" si="202"/>
        <v>BK München 3</v>
      </c>
      <c r="E173" s="344" t="str">
        <f t="shared" si="202"/>
        <v/>
      </c>
      <c r="F173" s="343" t="str">
        <f t="shared" si="202"/>
        <v>Frankenpower Nürnberg</v>
      </c>
      <c r="G173" s="344" t="str">
        <f t="shared" si="202"/>
        <v/>
      </c>
      <c r="H173" s="343" t="str">
        <f t="shared" si="202"/>
        <v xml:space="preserve">Weiß Blau Unterföhring </v>
      </c>
      <c r="I173" s="344" t="str">
        <f t="shared" si="202"/>
        <v/>
      </c>
      <c r="J173" s="343" t="str">
        <f t="shared" si="202"/>
        <v>Highroller Rosenheim</v>
      </c>
      <c r="K173" s="344" t="str">
        <f t="shared" si="202"/>
        <v/>
      </c>
      <c r="L173" s="343" t="str">
        <f t="shared" si="203"/>
        <v>Praetoria Regensburg</v>
      </c>
      <c r="M173" s="344" t="str">
        <f t="shared" si="203"/>
        <v/>
      </c>
      <c r="N173" s="343" t="str">
        <f t="shared" si="203"/>
        <v>BK München 2</v>
      </c>
      <c r="O173" s="344" t="str">
        <f t="shared" si="203"/>
        <v/>
      </c>
      <c r="P173" s="343" t="str">
        <f t="shared" si="203"/>
        <v>EPA München 1</v>
      </c>
      <c r="Q173" s="344" t="str">
        <f t="shared" si="203"/>
        <v/>
      </c>
      <c r="R173" s="343" t="str">
        <f t="shared" si="203"/>
        <v>BK München 4</v>
      </c>
      <c r="S173" s="344" t="str">
        <f t="shared" si="203"/>
        <v/>
      </c>
      <c r="T173" s="343" t="str">
        <f t="shared" si="203"/>
        <v>RW Lichtenhof 69 Stein 2</v>
      </c>
      <c r="U173" s="344" t="str">
        <f t="shared" si="203"/>
        <v/>
      </c>
      <c r="V173" s="345"/>
      <c r="W173" s="345"/>
      <c r="AA173" s="90"/>
      <c r="AB173" s="86"/>
      <c r="AC173" s="343" t="str">
        <f>VLOOKUP(AC172,Schlüssel!$A$5:$K$14,2)</f>
        <v>BK München 3</v>
      </c>
      <c r="AD173" s="344"/>
      <c r="AE173" s="343" t="str">
        <f>VLOOKUP(AE172,Schlüssel!$A$5:$K$14,2)</f>
        <v>Frankenpower Nürnberg</v>
      </c>
      <c r="AF173" s="344"/>
      <c r="AG173" s="343" t="str">
        <f>VLOOKUP(AG172,Schlüssel!$A$5:$K$14,2)</f>
        <v xml:space="preserve">Weiß Blau Unterföhring </v>
      </c>
      <c r="AH173" s="344"/>
      <c r="AI173" s="343" t="str">
        <f>VLOOKUP(AI172,Schlüssel!$A$5:$K$14,2)</f>
        <v>Highroller Rosenheim</v>
      </c>
      <c r="AJ173" s="344"/>
      <c r="AK173" s="343" t="str">
        <f>VLOOKUP(AK172,Schlüssel!$A$5:$K$14,2)</f>
        <v>Praetoria Regensburg</v>
      </c>
      <c r="AL173" s="344"/>
      <c r="AM173" s="343" t="str">
        <f>VLOOKUP(AM172,Schlüssel!$A$5:$K$14,2)</f>
        <v>BK München 2</v>
      </c>
      <c r="AN173" s="344"/>
      <c r="AO173" s="343" t="str">
        <f>VLOOKUP(AO172,Schlüssel!$A$5:$K$14,2)</f>
        <v>EPA München 1</v>
      </c>
      <c r="AP173" s="344"/>
      <c r="AQ173" s="343" t="str">
        <f>VLOOKUP(AQ172,Schlüssel!$A$5:$K$14,2)</f>
        <v>BK München 4</v>
      </c>
      <c r="AR173" s="344"/>
      <c r="AS173" s="343" t="str">
        <f>VLOOKUP(AS172,Schlüssel!$A$5:$K$14,2)</f>
        <v>RW Lichtenhof 69 Stein 2</v>
      </c>
      <c r="AT173" s="344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35">
      <c r="B174" s="90" t="str">
        <f t="shared" si="202"/>
        <v/>
      </c>
      <c r="C174" s="86" t="str">
        <f t="shared" si="202"/>
        <v/>
      </c>
      <c r="D174" s="341" t="str">
        <f t="shared" si="202"/>
        <v/>
      </c>
      <c r="E174" s="341" t="str">
        <f t="shared" si="202"/>
        <v/>
      </c>
      <c r="F174" s="341" t="str">
        <f t="shared" si="202"/>
        <v/>
      </c>
      <c r="G174" s="341" t="str">
        <f t="shared" si="202"/>
        <v/>
      </c>
      <c r="H174" s="341" t="str">
        <f t="shared" si="202"/>
        <v/>
      </c>
      <c r="I174" s="341" t="str">
        <f t="shared" si="202"/>
        <v/>
      </c>
      <c r="J174" s="341" t="str">
        <f t="shared" si="202"/>
        <v/>
      </c>
      <c r="K174" s="341" t="str">
        <f t="shared" si="202"/>
        <v/>
      </c>
      <c r="L174" s="341" t="str">
        <f t="shared" si="203"/>
        <v/>
      </c>
      <c r="M174" s="341" t="str">
        <f t="shared" si="203"/>
        <v/>
      </c>
      <c r="N174" s="341" t="str">
        <f t="shared" si="203"/>
        <v/>
      </c>
      <c r="O174" s="341" t="str">
        <f t="shared" si="203"/>
        <v/>
      </c>
      <c r="P174" s="341" t="str">
        <f t="shared" si="203"/>
        <v/>
      </c>
      <c r="Q174" s="341" t="str">
        <f t="shared" si="203"/>
        <v/>
      </c>
      <c r="R174" s="341" t="str">
        <f t="shared" si="203"/>
        <v/>
      </c>
      <c r="S174" s="341" t="str">
        <f t="shared" si="203"/>
        <v/>
      </c>
      <c r="T174" s="341" t="str">
        <f t="shared" si="203"/>
        <v/>
      </c>
      <c r="U174" s="342" t="str">
        <f t="shared" si="203"/>
        <v/>
      </c>
      <c r="V174" s="301"/>
      <c r="W174" s="301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6.05" customHeight="1" x14ac:dyDescent="0.35">
      <c r="B175" s="365" t="str">
        <f t="shared" ref="B175:C179" si="204">IF(AA175=0,"",AA175)</f>
        <v>Spieler 1</v>
      </c>
      <c r="C175" s="366" t="str">
        <f t="shared" si="204"/>
        <v/>
      </c>
      <c r="D175" s="339">
        <f>IF(AC175=301,"",AC175)</f>
        <v>0</v>
      </c>
      <c r="E175" s="339" t="str">
        <f>IF(AD175=0,"",AD175)</f>
        <v/>
      </c>
      <c r="F175" s="339">
        <f>IF(AE175=301,"",AE175)</f>
        <v>160</v>
      </c>
      <c r="G175" s="339" t="str">
        <f>IF(AF175=0,"",AF175)</f>
        <v/>
      </c>
      <c r="H175" s="339">
        <f>IF(AG175=301,"",AG175)</f>
        <v>210</v>
      </c>
      <c r="I175" s="339" t="str">
        <f>IF(AH175=0,"",AH175)</f>
        <v/>
      </c>
      <c r="J175" s="339">
        <f>IF(AI175=301,"",AI175)</f>
        <v>150</v>
      </c>
      <c r="K175" s="339" t="str">
        <f>IF(AJ175=0,"",AJ175)</f>
        <v/>
      </c>
      <c r="L175" s="339">
        <f>IF(AK175=301,"",AK175)</f>
        <v>174</v>
      </c>
      <c r="M175" s="339" t="str">
        <f>IF(AL175=0,"",AL175)</f>
        <v/>
      </c>
      <c r="N175" s="339">
        <f>IF(AM175=301,"",AM175)</f>
        <v>134</v>
      </c>
      <c r="O175" s="339" t="str">
        <f>IF(AN175=0,"",AN175)</f>
        <v/>
      </c>
      <c r="P175" s="339">
        <f>IF(AO175=301,"",AO175)</f>
        <v>192</v>
      </c>
      <c r="Q175" s="339" t="str">
        <f>IF(AP175=0,"",AP175)</f>
        <v/>
      </c>
      <c r="R175" s="339">
        <f>IF(AQ175=301,"",AQ175)</f>
        <v>173</v>
      </c>
      <c r="S175" s="339" t="str">
        <f>IF(AR175=0,"",AR175)</f>
        <v/>
      </c>
      <c r="T175" s="339">
        <f>IF(AS175=301,"",AS175)</f>
        <v>179</v>
      </c>
      <c r="U175" s="339" t="str">
        <f>IF(AT175=0,"",AT175)</f>
        <v/>
      </c>
      <c r="V175" s="340"/>
      <c r="W175" s="340"/>
      <c r="AA175" s="91" t="s">
        <v>0</v>
      </c>
      <c r="AB175" s="92"/>
      <c r="AC175" s="372">
        <f>ABS(INDEX(AC:AC,MATCH(AC172,$AA:$AA,0)+5)+INDEX(AC:AC,MATCH(AC172,$AA:$AA,0)+6)+INDEX(AC:AC,MATCH(AC172,$AA:$AA,0)+7))</f>
        <v>0</v>
      </c>
      <c r="AD175" s="373"/>
      <c r="AE175" s="372">
        <f>ABS(INDEX(AE:AE,MATCH(AE172,$AA:$AA,0)+5)+INDEX(AE:AE,MATCH(AE172,$AA:$AA,0)+6)+INDEX(AE:AE,MATCH(AE172,$AA:$AA,0)+7))</f>
        <v>160</v>
      </c>
      <c r="AF175" s="373"/>
      <c r="AG175" s="372">
        <f>ABS(INDEX(AG:AG,MATCH(AG172,$AA:$AA,0)+5)+INDEX(AG:AG,MATCH(AG172,$AA:$AA,0)+6)+INDEX(AG:AG,MATCH(AG172,$AA:$AA,0)+7))</f>
        <v>210</v>
      </c>
      <c r="AH175" s="373"/>
      <c r="AI175" s="372">
        <f>ABS(INDEX(AI:AI,MATCH(AI172,$AA:$AA,0)+5)+INDEX(AI:AI,MATCH(AI172,$AA:$AA,0)+6)+INDEX(AI:AI,MATCH(AI172,$AA:$AA,0)+7))</f>
        <v>150</v>
      </c>
      <c r="AJ175" s="373"/>
      <c r="AK175" s="372">
        <f>ABS(INDEX(AK:AK,MATCH(AK172,$AA:$AA,0)+5)+INDEX(AK:AK,MATCH(AK172,$AA:$AA,0)+6)+INDEX(AK:AK,MATCH(AK172,$AA:$AA,0)+7))</f>
        <v>174</v>
      </c>
      <c r="AL175" s="373"/>
      <c r="AM175" s="372">
        <f>ABS(INDEX(AM:AM,MATCH(AM172,$AA:$AA,0)+5)+INDEX(AM:AM,MATCH(AM172,$AA:$AA,0)+6)+INDEX(AM:AM,MATCH(AM172,$AA:$AA,0)+7))</f>
        <v>134</v>
      </c>
      <c r="AN175" s="373"/>
      <c r="AO175" s="372">
        <f>ABS(INDEX(AO:AO,MATCH(AO172,$AA:$AA,0)+5)+INDEX(AO:AO,MATCH(AO172,$AA:$AA,0)+6)+INDEX(AO:AO,MATCH(AO172,$AA:$AA,0)+7))</f>
        <v>192</v>
      </c>
      <c r="AP175" s="373"/>
      <c r="AQ175" s="372">
        <f>ABS(INDEX(AQ:AQ,MATCH(AQ172,$AA:$AA,0)+5)+INDEX(AQ:AQ,MATCH(AQ172,$AA:$AA,0)+6)+INDEX(AQ:AQ,MATCH(AQ172,$AA:$AA,0)+7))</f>
        <v>173</v>
      </c>
      <c r="AR175" s="373"/>
      <c r="AS175" s="372">
        <f>ABS(INDEX(AS:AS,MATCH(AS172,$AA:$AA,0)+5)+INDEX(AS:AS,MATCH(AS172,$AA:$AA,0)+6)+INDEX(AS:AS,MATCH(AS172,$AA:$AA,0)+7))</f>
        <v>179</v>
      </c>
      <c r="AT175" s="373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6.05" customHeight="1" x14ac:dyDescent="0.35">
      <c r="B176" s="365" t="str">
        <f t="shared" si="204"/>
        <v>Spieler 2</v>
      </c>
      <c r="C176" s="366" t="str">
        <f t="shared" si="204"/>
        <v/>
      </c>
      <c r="D176" s="339">
        <f>IF(AC176=301,"",AC176)</f>
        <v>0</v>
      </c>
      <c r="E176" s="339" t="str">
        <f>IF(AD176=0,"",AD176)</f>
        <v/>
      </c>
      <c r="F176" s="339">
        <f>IF(AE176=301,"",AE176)</f>
        <v>156</v>
      </c>
      <c r="G176" s="339" t="str">
        <f>IF(AF176=0,"",AF176)</f>
        <v/>
      </c>
      <c r="H176" s="339">
        <f>IF(AG176=301,"",AG176)</f>
        <v>179</v>
      </c>
      <c r="I176" s="339" t="str">
        <f>IF(AH176=0,"",AH176)</f>
        <v/>
      </c>
      <c r="J176" s="339">
        <f>IF(AI176=301,"",AI176)</f>
        <v>146</v>
      </c>
      <c r="K176" s="339" t="str">
        <f>IF(AJ176=0,"",AJ176)</f>
        <v/>
      </c>
      <c r="L176" s="339">
        <f>IF(AK176=301,"",AK176)</f>
        <v>179</v>
      </c>
      <c r="M176" s="339" t="str">
        <f>IF(AL176=0,"",AL176)</f>
        <v/>
      </c>
      <c r="N176" s="339">
        <f>IF(AM176=301,"",AM176)</f>
        <v>169</v>
      </c>
      <c r="O176" s="339" t="str">
        <f>IF(AN176=0,"",AN176)</f>
        <v/>
      </c>
      <c r="P176" s="339">
        <f>IF(AO176=301,"",AO176)</f>
        <v>176</v>
      </c>
      <c r="Q176" s="339" t="str">
        <f>IF(AP176=0,"",AP176)</f>
        <v/>
      </c>
      <c r="R176" s="339">
        <f>IF(AQ176=301,"",AQ176)</f>
        <v>152</v>
      </c>
      <c r="S176" s="339" t="str">
        <f>IF(AR176=0,"",AR176)</f>
        <v/>
      </c>
      <c r="T176" s="339">
        <f>IF(AS176=301,"",AS176)</f>
        <v>154</v>
      </c>
      <c r="U176" s="339" t="str">
        <f>IF(AT176=0,"",AT176)</f>
        <v/>
      </c>
      <c r="V176" s="340"/>
      <c r="W176" s="340"/>
      <c r="AA176" s="91" t="s">
        <v>2</v>
      </c>
      <c r="AB176" s="92"/>
      <c r="AC176" s="374">
        <f>ABS(INDEX(AC:AC,MATCH(AC172,$AA:$AA,0)+8)+INDEX(AC:AC,MATCH(AC172,$AA:$AA,0)+9)+INDEX(AC:AC,MATCH(AC172,$AA:$AA,0)+10))</f>
        <v>0</v>
      </c>
      <c r="AD176" s="375"/>
      <c r="AE176" s="374">
        <f>ABS(INDEX(AE:AE,MATCH(AE172,$AA:$AA,0)+8)+INDEX(AE:AE,MATCH(AE172,$AA:$AA,0)+9)+INDEX(AE:AE,MATCH(AE172,$AA:$AA,0)+10))</f>
        <v>156</v>
      </c>
      <c r="AF176" s="375"/>
      <c r="AG176" s="374">
        <f>ABS(INDEX(AG:AG,MATCH(AG172,$AA:$AA,0)+8)+INDEX(AG:AG,MATCH(AG172,$AA:$AA,0)+9)+INDEX(AG:AG,MATCH(AG172,$AA:$AA,0)+10))</f>
        <v>179</v>
      </c>
      <c r="AH176" s="375"/>
      <c r="AI176" s="374">
        <f>ABS(INDEX(AI:AI,MATCH(AI172,$AA:$AA,0)+8)+INDEX(AI:AI,MATCH(AI172,$AA:$AA,0)+9)+INDEX(AI:AI,MATCH(AI172,$AA:$AA,0)+10))</f>
        <v>146</v>
      </c>
      <c r="AJ176" s="375"/>
      <c r="AK176" s="374">
        <f>ABS(INDEX(AK:AK,MATCH(AK172,$AA:$AA,0)+8)+INDEX(AK:AK,MATCH(AK172,$AA:$AA,0)+9)+INDEX(AK:AK,MATCH(AK172,$AA:$AA,0)+10))</f>
        <v>179</v>
      </c>
      <c r="AL176" s="375"/>
      <c r="AM176" s="374">
        <f>ABS(INDEX(AM:AM,MATCH(AM172,$AA:$AA,0)+8)+INDEX(AM:AM,MATCH(AM172,$AA:$AA,0)+9)+INDEX(AM:AM,MATCH(AM172,$AA:$AA,0)+10))</f>
        <v>169</v>
      </c>
      <c r="AN176" s="375"/>
      <c r="AO176" s="374">
        <f>ABS(INDEX(AO:AO,MATCH(AO172,$AA:$AA,0)+8)+INDEX(AO:AO,MATCH(AO172,$AA:$AA,0)+9)+INDEX(AO:AO,MATCH(AO172,$AA:$AA,0)+10))</f>
        <v>176</v>
      </c>
      <c r="AP176" s="375"/>
      <c r="AQ176" s="374">
        <f>ABS(INDEX(AQ:AQ,MATCH(AQ172,$AA:$AA,0)+8)+INDEX(AQ:AQ,MATCH(AQ172,$AA:$AA,0)+9)+INDEX(AQ:AQ,MATCH(AQ172,$AA:$AA,0)+10))</f>
        <v>152</v>
      </c>
      <c r="AR176" s="375"/>
      <c r="AS176" s="374">
        <f>ABS(INDEX(AS:AS,MATCH(AS172,$AA:$AA,0)+8)+INDEX(AS:AS,MATCH(AS172,$AA:$AA,0)+9)+INDEX(AS:AS,MATCH(AS172,$AA:$AA,0)+10))</f>
        <v>154</v>
      </c>
      <c r="AT176" s="37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6.05" customHeight="1" x14ac:dyDescent="0.35">
      <c r="B177" s="365" t="str">
        <f t="shared" si="204"/>
        <v>Spieler 3</v>
      </c>
      <c r="C177" s="366" t="str">
        <f t="shared" si="204"/>
        <v/>
      </c>
      <c r="D177" s="339">
        <f>IF(AC177=301,"",AC177)</f>
        <v>0</v>
      </c>
      <c r="E177" s="339" t="str">
        <f>IF(AD177=0,"",AD177)</f>
        <v/>
      </c>
      <c r="F177" s="339">
        <f>IF(AE177=301,"",AE177)</f>
        <v>159</v>
      </c>
      <c r="G177" s="339" t="str">
        <f>IF(AF177=0,"",AF177)</f>
        <v/>
      </c>
      <c r="H177" s="339">
        <f>IF(AG177=301,"",AG177)</f>
        <v>129</v>
      </c>
      <c r="I177" s="339" t="str">
        <f>IF(AH177=0,"",AH177)</f>
        <v/>
      </c>
      <c r="J177" s="339">
        <f>IF(AI177=301,"",AI177)</f>
        <v>179</v>
      </c>
      <c r="K177" s="339" t="str">
        <f>IF(AJ177=0,"",AJ177)</f>
        <v/>
      </c>
      <c r="L177" s="339">
        <f>IF(AK177=301,"",AK177)</f>
        <v>157</v>
      </c>
      <c r="M177" s="339" t="str">
        <f>IF(AL177=0,"",AL177)</f>
        <v/>
      </c>
      <c r="N177" s="339">
        <f>IF(AM177=301,"",AM177)</f>
        <v>156</v>
      </c>
      <c r="O177" s="339" t="str">
        <f>IF(AN177=0,"",AN177)</f>
        <v/>
      </c>
      <c r="P177" s="339">
        <f>IF(AO177=301,"",AO177)</f>
        <v>185</v>
      </c>
      <c r="Q177" s="339" t="str">
        <f>IF(AP177=0,"",AP177)</f>
        <v/>
      </c>
      <c r="R177" s="339">
        <f>IF(AQ177=301,"",AQ177)</f>
        <v>158</v>
      </c>
      <c r="S177" s="339" t="str">
        <f>IF(AR177=0,"",AR177)</f>
        <v/>
      </c>
      <c r="T177" s="339">
        <f>IF(AS177=301,"",AS177)</f>
        <v>194</v>
      </c>
      <c r="U177" s="339" t="str">
        <f>IF(AT177=0,"",AT177)</f>
        <v/>
      </c>
      <c r="V177" s="340"/>
      <c r="W177" s="340"/>
      <c r="AA177" s="91" t="s">
        <v>3</v>
      </c>
      <c r="AB177" s="92"/>
      <c r="AC177" s="374">
        <f>ABS(INDEX(AC:AC,MATCH(AC172,$AA:$AA,0)+11)+INDEX(AC:AC,MATCH(AC172,$AA:$AA,0)+12)+INDEX(AC:AC,MATCH(AC172,$AA:$AA,0)+13))</f>
        <v>0</v>
      </c>
      <c r="AD177" s="375"/>
      <c r="AE177" s="374">
        <f>ABS(INDEX(AE:AE,MATCH(AE172,$AA:$AA,0)+11)+INDEX(AE:AE,MATCH(AE172,$AA:$AA,0)+12)+INDEX(AE:AE,MATCH(AE172,$AA:$AA,0)+13))</f>
        <v>159</v>
      </c>
      <c r="AF177" s="375"/>
      <c r="AG177" s="374">
        <f>ABS(INDEX(AG:AG,MATCH(AG172,$AA:$AA,0)+11)+INDEX(AG:AG,MATCH(AG172,$AA:$AA,0)+12)+INDEX(AG:AG,MATCH(AG172,$AA:$AA,0)+13))</f>
        <v>129</v>
      </c>
      <c r="AH177" s="375"/>
      <c r="AI177" s="374">
        <f>ABS(INDEX(AI:AI,MATCH(AI172,$AA:$AA,0)+11)+INDEX(AI:AI,MATCH(AI172,$AA:$AA,0)+12)+INDEX(AI:AI,MATCH(AI172,$AA:$AA,0)+13))</f>
        <v>179</v>
      </c>
      <c r="AJ177" s="375"/>
      <c r="AK177" s="374">
        <f>ABS(INDEX(AK:AK,MATCH(AK172,$AA:$AA,0)+11)+INDEX(AK:AK,MATCH(AK172,$AA:$AA,0)+12)+INDEX(AK:AK,MATCH(AK172,$AA:$AA,0)+13))</f>
        <v>157</v>
      </c>
      <c r="AL177" s="375"/>
      <c r="AM177" s="374">
        <f>ABS(INDEX(AM:AM,MATCH(AM172,$AA:$AA,0)+11)+INDEX(AM:AM,MATCH(AM172,$AA:$AA,0)+12)+INDEX(AM:AM,MATCH(AM172,$AA:$AA,0)+13))</f>
        <v>156</v>
      </c>
      <c r="AN177" s="375"/>
      <c r="AO177" s="374">
        <f>ABS(INDEX(AO:AO,MATCH(AO172,$AA:$AA,0)+11)+INDEX(AO:AO,MATCH(AO172,$AA:$AA,0)+12)+INDEX(AO:AO,MATCH(AO172,$AA:$AA,0)+13))</f>
        <v>185</v>
      </c>
      <c r="AP177" s="375"/>
      <c r="AQ177" s="374">
        <f>ABS(INDEX(AQ:AQ,MATCH(AQ172,$AA:$AA,0)+11)+INDEX(AQ:AQ,MATCH(AQ172,$AA:$AA,0)+12)+INDEX(AQ:AQ,MATCH(AQ172,$AA:$AA,0)+13))</f>
        <v>158</v>
      </c>
      <c r="AR177" s="375"/>
      <c r="AS177" s="374">
        <f>ABS(INDEX(AS:AS,MATCH(AS172,$AA:$AA,0)+11)+INDEX(AS:AS,MATCH(AS172,$AA:$AA,0)+12)+INDEX(AS:AS,MATCH(AS172,$AA:$AA,0)+13))</f>
        <v>194</v>
      </c>
      <c r="AT177" s="37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6.05" customHeight="1" x14ac:dyDescent="0.35">
      <c r="B178" s="365" t="str">
        <f t="shared" si="204"/>
        <v>Spieler 4</v>
      </c>
      <c r="C178" s="366" t="str">
        <f t="shared" si="204"/>
        <v/>
      </c>
      <c r="D178" s="339">
        <f>IF(AC178=301,"",AC178)</f>
        <v>0</v>
      </c>
      <c r="E178" s="339" t="str">
        <f>IF(AD178=0,"",AD178)</f>
        <v/>
      </c>
      <c r="F178" s="339">
        <f>IF(AE178=301,"",AE178)</f>
        <v>167</v>
      </c>
      <c r="G178" s="339" t="str">
        <f>IF(AF178=0,"",AF178)</f>
        <v/>
      </c>
      <c r="H178" s="339">
        <f>IF(AG178=301,"",AG178)</f>
        <v>161</v>
      </c>
      <c r="I178" s="339" t="str">
        <f>IF(AH178=0,"",AH178)</f>
        <v/>
      </c>
      <c r="J178" s="339">
        <f>IF(AI178=301,"",AI178)</f>
        <v>177</v>
      </c>
      <c r="K178" s="339" t="str">
        <f>IF(AJ178=0,"",AJ178)</f>
        <v/>
      </c>
      <c r="L178" s="339">
        <f>IF(AK178=301,"",AK178)</f>
        <v>198</v>
      </c>
      <c r="M178" s="339" t="str">
        <f>IF(AL178=0,"",AL178)</f>
        <v/>
      </c>
      <c r="N178" s="339">
        <f>IF(AM178=301,"",AM178)</f>
        <v>173</v>
      </c>
      <c r="O178" s="339" t="str">
        <f>IF(AN178=0,"",AN178)</f>
        <v/>
      </c>
      <c r="P178" s="339">
        <f>IF(AO178=301,"",AO178)</f>
        <v>174</v>
      </c>
      <c r="Q178" s="339" t="str">
        <f>IF(AP178=0,"",AP178)</f>
        <v/>
      </c>
      <c r="R178" s="339">
        <f>IF(AQ178=301,"",AQ178)</f>
        <v>149</v>
      </c>
      <c r="S178" s="339" t="str">
        <f>IF(AR178=0,"",AR178)</f>
        <v/>
      </c>
      <c r="T178" s="339">
        <f>IF(AS178=301,"",AS178)</f>
        <v>164</v>
      </c>
      <c r="U178" s="339" t="str">
        <f>IF(AT178=0,"",AT178)</f>
        <v/>
      </c>
      <c r="V178" s="340"/>
      <c r="W178" s="340"/>
      <c r="AA178" s="91" t="s">
        <v>11</v>
      </c>
      <c r="AB178" s="92"/>
      <c r="AC178" s="374">
        <f>ABS(INDEX(AC:AC,MATCH(AC172,$AA:$AA,0)+14)+INDEX(AC:AC,MATCH(AC172,$AA:$AA,0)+15)+INDEX(AC:AC,MATCH(AC172,$AA:$AA,0)+16))</f>
        <v>0</v>
      </c>
      <c r="AD178" s="375"/>
      <c r="AE178" s="374">
        <f>ABS(INDEX(AE:AE,MATCH(AE172,$AA:$AA,0)+14)+INDEX(AE:AE,MATCH(AE172,$AA:$AA,0)+15)+INDEX(AE:AE,MATCH(AE172,$AA:$AA,0)+16))</f>
        <v>167</v>
      </c>
      <c r="AF178" s="375"/>
      <c r="AG178" s="374">
        <f>ABS(INDEX(AG:AG,MATCH(AG172,$AA:$AA,0)+14)+INDEX(AG:AG,MATCH(AG172,$AA:$AA,0)+15)+INDEX(AG:AG,MATCH(AG172,$AA:$AA,0)+16))</f>
        <v>161</v>
      </c>
      <c r="AH178" s="375"/>
      <c r="AI178" s="374">
        <f>ABS(INDEX(AI:AI,MATCH(AI172,$AA:$AA,0)+14)+INDEX(AI:AI,MATCH(AI172,$AA:$AA,0)+15)+INDEX(AI:AI,MATCH(AI172,$AA:$AA,0)+16))</f>
        <v>177</v>
      </c>
      <c r="AJ178" s="375"/>
      <c r="AK178" s="374">
        <f>ABS(INDEX(AK:AK,MATCH(AK172,$AA:$AA,0)+14)+INDEX(AK:AK,MATCH(AK172,$AA:$AA,0)+15)+INDEX(AK:AK,MATCH(AK172,$AA:$AA,0)+16))</f>
        <v>198</v>
      </c>
      <c r="AL178" s="375"/>
      <c r="AM178" s="374">
        <f>ABS(INDEX(AM:AM,MATCH(AM172,$AA:$AA,0)+14)+INDEX(AM:AM,MATCH(AM172,$AA:$AA,0)+15)+INDEX(AM:AM,MATCH(AM172,$AA:$AA,0)+16))</f>
        <v>173</v>
      </c>
      <c r="AN178" s="375"/>
      <c r="AO178" s="374">
        <f>ABS(INDEX(AO:AO,MATCH(AO172,$AA:$AA,0)+14)+INDEX(AO:AO,MATCH(AO172,$AA:$AA,0)+15)+INDEX(AO:AO,MATCH(AO172,$AA:$AA,0)+16))</f>
        <v>174</v>
      </c>
      <c r="AP178" s="375"/>
      <c r="AQ178" s="374">
        <f>ABS(INDEX(AQ:AQ,MATCH(AQ172,$AA:$AA,0)+14)+INDEX(AQ:AQ,MATCH(AQ172,$AA:$AA,0)+15)+INDEX(AQ:AQ,MATCH(AQ172,$AA:$AA,0)+16))</f>
        <v>149</v>
      </c>
      <c r="AR178" s="375"/>
      <c r="AS178" s="374">
        <f>ABS(INDEX(AS:AS,MATCH(AS172,$AA:$AA,0)+14)+INDEX(AS:AS,MATCH(AS172,$AA:$AA,0)+15)+INDEX(AS:AS,MATCH(AS172,$AA:$AA,0)+16))</f>
        <v>164</v>
      </c>
      <c r="AT178" s="37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6.05" customHeight="1" x14ac:dyDescent="0.35">
      <c r="B179" s="354" t="str">
        <f t="shared" si="204"/>
        <v>Gesamt</v>
      </c>
      <c r="C179" s="355" t="str">
        <f t="shared" si="204"/>
        <v/>
      </c>
      <c r="D179" s="338">
        <f>IF(AC179=1505,"",AC179)</f>
        <v>0</v>
      </c>
      <c r="E179" s="338" t="str">
        <f>IF(AD179=0,"",AD179)</f>
        <v/>
      </c>
      <c r="F179" s="338">
        <f>IF(AE179=1505,"",AE179)</f>
        <v>642</v>
      </c>
      <c r="G179" s="338" t="str">
        <f>IF(AF179=0,"",AF179)</f>
        <v/>
      </c>
      <c r="H179" s="338">
        <f>IF(AG179=1505,"",AG179)</f>
        <v>679</v>
      </c>
      <c r="I179" s="338" t="str">
        <f>IF(AH179=0,"",AH179)</f>
        <v/>
      </c>
      <c r="J179" s="338">
        <f>IF(AI179=1505,"",AI179)</f>
        <v>652</v>
      </c>
      <c r="K179" s="338" t="str">
        <f>IF(AJ179=0,"",AJ179)</f>
        <v/>
      </c>
      <c r="L179" s="338">
        <f>IF(AK179=1505,"",AK179)</f>
        <v>708</v>
      </c>
      <c r="M179" s="338" t="str">
        <f>IF(AL179=0,"",AL179)</f>
        <v/>
      </c>
      <c r="N179" s="338">
        <f>IF(AM179=1505,"",AM179)</f>
        <v>632</v>
      </c>
      <c r="O179" s="338" t="str">
        <f>IF(AN179=0,"",AN179)</f>
        <v/>
      </c>
      <c r="P179" s="338">
        <f>IF(AO179=1505,"",AO179)</f>
        <v>727</v>
      </c>
      <c r="Q179" s="338" t="str">
        <f>IF(AP179=0,"",AP179)</f>
        <v/>
      </c>
      <c r="R179" s="338">
        <f>IF(AQ179=1505,"",AQ179)</f>
        <v>632</v>
      </c>
      <c r="S179" s="338" t="str">
        <f>IF(AR179=0,"",AR179)</f>
        <v/>
      </c>
      <c r="T179" s="338">
        <f>IF(AS179=1505,"",AS179)</f>
        <v>691</v>
      </c>
      <c r="U179" s="338" t="str">
        <f>IF(AT179=0,"",AT179)</f>
        <v/>
      </c>
      <c r="V179" s="290"/>
      <c r="W179" s="290"/>
      <c r="AA179" s="93" t="s">
        <v>1799</v>
      </c>
      <c r="AB179" s="94"/>
      <c r="AC179" s="354">
        <f>SUM(AC175:AC178)</f>
        <v>0</v>
      </c>
      <c r="AD179" s="355"/>
      <c r="AE179" s="354">
        <f>SUM(AE175:AE178)</f>
        <v>642</v>
      </c>
      <c r="AF179" s="355"/>
      <c r="AG179" s="354">
        <f>SUM(AG175:AG178)</f>
        <v>679</v>
      </c>
      <c r="AH179" s="355"/>
      <c r="AI179" s="354">
        <f>SUM(AI175:AI178)</f>
        <v>652</v>
      </c>
      <c r="AJ179" s="355"/>
      <c r="AK179" s="354">
        <f>SUM(AK175:AK178)</f>
        <v>708</v>
      </c>
      <c r="AL179" s="355"/>
      <c r="AM179" s="354">
        <f>SUM(AM175:AM178)</f>
        <v>632</v>
      </c>
      <c r="AN179" s="355"/>
      <c r="AO179" s="354">
        <f>SUM(AO175:AO178)</f>
        <v>727</v>
      </c>
      <c r="AP179" s="355"/>
      <c r="AQ179" s="354">
        <f>SUM(AQ175:AQ178)</f>
        <v>632</v>
      </c>
      <c r="AR179" s="355"/>
      <c r="AS179" s="354">
        <f>SUM(AS175:AS178)</f>
        <v>691</v>
      </c>
      <c r="AT179" s="35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3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7">
      <c r="B181" s="44" t="str">
        <f>AA181</f>
        <v>Team-Nr.</v>
      </c>
      <c r="C181" s="45"/>
      <c r="D181" s="44" t="str">
        <f>AC181</f>
        <v>Liga:</v>
      </c>
      <c r="E181" s="47"/>
      <c r="F181" s="359" t="str">
        <f>AE181</f>
        <v>Bayernliga Frauen</v>
      </c>
      <c r="G181" s="359"/>
      <c r="H181" s="359"/>
      <c r="I181" s="359"/>
      <c r="J181" s="359"/>
      <c r="K181" s="359"/>
      <c r="L181" s="359"/>
      <c r="M181" s="359"/>
      <c r="N181" s="359"/>
      <c r="O181" s="359"/>
      <c r="P181" s="359"/>
      <c r="Q181" s="359"/>
      <c r="R181" s="48"/>
      <c r="S181" s="49" t="s">
        <v>1794</v>
      </c>
      <c r="T181" s="50"/>
      <c r="U181" s="360" t="str">
        <f>AT181</f>
        <v>01.02./02.02.</v>
      </c>
      <c r="V181" s="361"/>
      <c r="W181" s="362"/>
      <c r="X181" s="363"/>
      <c r="Y181" s="364"/>
      <c r="Z181" s="364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0" t="str">
        <f>VLOOKUP(AS182,Spielorte!$A$1:$C$6,2)</f>
        <v>01.02./02.02.</v>
      </c>
      <c r="AU181" s="361"/>
      <c r="AV181" s="362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65">
      <c r="B182" s="53">
        <f>AA182</f>
        <v>7</v>
      </c>
      <c r="D182" s="46" t="s">
        <v>1793</v>
      </c>
      <c r="E182" s="54"/>
      <c r="F182" s="358" t="str">
        <f>AE182</f>
        <v>Unterföhring Dreambowl Palace</v>
      </c>
      <c r="G182" s="358"/>
      <c r="H182" s="358"/>
      <c r="I182" s="358"/>
      <c r="J182" s="358"/>
      <c r="K182" s="358"/>
      <c r="L182" s="358"/>
      <c r="M182" s="358"/>
      <c r="N182" s="358"/>
      <c r="O182" s="358"/>
      <c r="P182" s="55"/>
      <c r="Q182" s="55"/>
      <c r="S182" s="49" t="s">
        <v>1791</v>
      </c>
      <c r="T182" s="56">
        <f>AS182</f>
        <v>3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Unterföhring Dreambowl Palace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3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4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5" thickBot="1" x14ac:dyDescent="0.45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VLOOKUP(AA182,Schlüssel!$A$5:$DZ$14,53)</f>
        <v>3</v>
      </c>
      <c r="AE184" s="65" t="s">
        <v>10</v>
      </c>
      <c r="AF184" s="44">
        <f>VLOOKUP(AA182,Schlüssel!$A$5:$DZ$14,54)</f>
        <v>1</v>
      </c>
      <c r="AG184" s="65" t="s">
        <v>10</v>
      </c>
      <c r="AH184" s="44">
        <f>VLOOKUP(AA182,Schlüssel!$A$5:$DZ$14,55)</f>
        <v>10</v>
      </c>
      <c r="AI184" s="65" t="s">
        <v>10</v>
      </c>
      <c r="AJ184" s="44">
        <f>VLOOKUP(AA182,Schlüssel!$A$5:$DZ$14,56)</f>
        <v>8</v>
      </c>
      <c r="AK184" s="65" t="s">
        <v>10</v>
      </c>
      <c r="AL184" s="44">
        <f>VLOOKUP(AA182,Schlüssel!$A$5:$DZ$14,57)</f>
        <v>5</v>
      </c>
      <c r="AM184" s="65" t="s">
        <v>10</v>
      </c>
      <c r="AN184" s="44">
        <f>VLOOKUP(AA182,Schlüssel!$A$5:$DZ$14,58)</f>
        <v>2</v>
      </c>
      <c r="AO184" s="65" t="s">
        <v>10</v>
      </c>
      <c r="AP184" s="44">
        <f>VLOOKUP(AA182,Schlüssel!$A$5:$DZ$14,59)</f>
        <v>9</v>
      </c>
      <c r="AQ184" s="65" t="s">
        <v>10</v>
      </c>
      <c r="AR184" s="44">
        <f>VLOOKUP(AA182,Schlüssel!$A$5:$DZ$14,60)</f>
        <v>4</v>
      </c>
      <c r="AS184" s="65" t="s">
        <v>10</v>
      </c>
      <c r="AT184" s="44">
        <f>VLOOKUP(AA182,Schlüssel!$A$5:$DZ$14,61)</f>
        <v>6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35">
      <c r="B185" s="67" t="s">
        <v>1</v>
      </c>
      <c r="C185" s="68"/>
      <c r="D185" s="354" t="s">
        <v>1800</v>
      </c>
      <c r="E185" s="355"/>
      <c r="F185" s="354" t="s">
        <v>1801</v>
      </c>
      <c r="G185" s="355"/>
      <c r="H185" s="354" t="s">
        <v>1802</v>
      </c>
      <c r="I185" s="355"/>
      <c r="J185" s="354" t="s">
        <v>1803</v>
      </c>
      <c r="K185" s="355"/>
      <c r="L185" s="354" t="s">
        <v>1804</v>
      </c>
      <c r="M185" s="355"/>
      <c r="N185" s="354" t="s">
        <v>1805</v>
      </c>
      <c r="O185" s="355"/>
      <c r="P185" s="354" t="s">
        <v>1806</v>
      </c>
      <c r="Q185" s="355"/>
      <c r="R185" s="354" t="s">
        <v>1807</v>
      </c>
      <c r="S185" s="355"/>
      <c r="T185" s="354" t="s">
        <v>1808</v>
      </c>
      <c r="U185" s="355"/>
      <c r="V185" s="356" t="s">
        <v>1799</v>
      </c>
      <c r="W185" s="357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4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2" customHeight="1" x14ac:dyDescent="0.35">
      <c r="A187" s="367" t="s">
        <v>0</v>
      </c>
      <c r="B187" s="73" t="str">
        <f>IF(AA187=0,"",AA187)</f>
        <v>Deinlein, Christine</v>
      </c>
      <c r="C187" s="74">
        <f>IF(AB187=0,"",AB187)</f>
        <v>7758</v>
      </c>
      <c r="D187" s="75">
        <f>IF(AC187=0,"",AC187)</f>
        <v>159</v>
      </c>
      <c r="E187" s="348">
        <f>IF(AD187="","",AD187)</f>
        <v>0</v>
      </c>
      <c r="F187" s="75">
        <f t="shared" ref="F187:F200" si="205">IF(AE187=0,"",AE187)</f>
        <v>160</v>
      </c>
      <c r="G187" s="348">
        <f>IF(AF187="","",AF187)</f>
        <v>0</v>
      </c>
      <c r="H187" s="75">
        <f t="shared" ref="H187:H200" si="206">IF(AG187=0,"",AG187)</f>
        <v>180</v>
      </c>
      <c r="I187" s="348">
        <f>IF(AH187="","",AH187)</f>
        <v>1</v>
      </c>
      <c r="J187" s="75">
        <f t="shared" ref="J187:J200" si="207">IF(AI187=0,"",AI187)</f>
        <v>123</v>
      </c>
      <c r="K187" s="348">
        <f>IF(AJ187="","",AJ187)</f>
        <v>1</v>
      </c>
      <c r="L187" s="75">
        <f t="shared" ref="L187:L200" si="208">IF(AK187=0,"",AK187)</f>
        <v>154</v>
      </c>
      <c r="M187" s="348">
        <f>IF(AL187="","",AL187)</f>
        <v>0</v>
      </c>
      <c r="N187" s="75">
        <f>IF(AM187=0,"",AM187)</f>
        <v>168</v>
      </c>
      <c r="O187" s="348">
        <f>IF(AN187="","",AN187)</f>
        <v>0</v>
      </c>
      <c r="P187" s="75">
        <f t="shared" ref="P187:P200" si="209">IF(AO187=0,"",AO187)</f>
        <v>141</v>
      </c>
      <c r="Q187" s="348">
        <f>IF(AP187="","",AP187)</f>
        <v>0</v>
      </c>
      <c r="R187" s="75">
        <f t="shared" ref="R187:R200" si="210">IF(AQ187=0,"",AQ187)</f>
        <v>193</v>
      </c>
      <c r="S187" s="348">
        <f>IF(AR187="","",AR187)</f>
        <v>0</v>
      </c>
      <c r="T187" s="75">
        <f t="shared" ref="T187:T200" si="211">IF(AS187=0,"",AS187)</f>
        <v>157</v>
      </c>
      <c r="U187" s="348">
        <f>IF(AT187="","",AT187)</f>
        <v>1</v>
      </c>
      <c r="V187" s="75">
        <f t="shared" ref="V187:V200" si="212">IF(AU187=0,"",AU187)</f>
        <v>1435</v>
      </c>
      <c r="W187" s="348">
        <f>IF(AV187="","",AV187)</f>
        <v>3</v>
      </c>
      <c r="Z187" s="351" t="s">
        <v>0</v>
      </c>
      <c r="AA187" s="108" t="str">
        <f>IF(AB187=0,"",VLOOKUP(AB187,Starter!$A$1:$D$199,2,FALSE))</f>
        <v>Deinlein, Christine</v>
      </c>
      <c r="AB187" s="99">
        <v>7758</v>
      </c>
      <c r="AC187" s="185">
        <v>159</v>
      </c>
      <c r="AD187" s="109">
        <f>IF(SUM(AC187:AC189)+AC205=0,0,IF(SUM(AC187:AC189)=AC205,0.5,IF(SUM(AC187:AC189)&gt;AC205,1,0)))</f>
        <v>0</v>
      </c>
      <c r="AE187" s="185">
        <v>160</v>
      </c>
      <c r="AF187" s="109">
        <f>IF(SUM(AE187:AE189)+AE205=0,0,IF(SUM(AE187:AE189)=AE205,0.5,IF(SUM(AE187:AE189)&gt;AE205,1,0)))</f>
        <v>0</v>
      </c>
      <c r="AG187" s="185">
        <v>180</v>
      </c>
      <c r="AH187" s="109">
        <f>IF(SUM(AG187:AG189)+AG205=0,0,IF(SUM(AG187:AG189)=AG205,0.5,IF(SUM(AG187:AG189)&gt;AG205,1,0)))</f>
        <v>1</v>
      </c>
      <c r="AI187" s="185">
        <v>123</v>
      </c>
      <c r="AJ187" s="109">
        <f>IF(SUM(AI187:AI189)+AI205=0,0,IF(SUM(AI187:AI189)=AI205,0.5,IF(SUM(AI187:AI189)&gt;AI205,1,0)))</f>
        <v>1</v>
      </c>
      <c r="AK187" s="185">
        <v>154</v>
      </c>
      <c r="AL187" s="109">
        <f>IF(SUM(AK187:AK189)+AK205=0,0,IF(SUM(AK187:AK189)=AK205,0.5,IF(SUM(AK187:AK189)&gt;AK205,1,0)))</f>
        <v>0</v>
      </c>
      <c r="AM187" s="185">
        <v>168</v>
      </c>
      <c r="AN187" s="109">
        <f>IF(SUM(AM187:AM189)+AM205=0,0,IF(SUM(AM187:AM189)=AM205,0.5,IF(SUM(AM187:AM189)&gt;AM205,1,0)))</f>
        <v>0</v>
      </c>
      <c r="AO187" s="185">
        <v>141</v>
      </c>
      <c r="AP187" s="109">
        <f>IF(SUM(AO187:AO189)+AO205=0,0,IF(SUM(AO187:AO189)=AO205,0.5,IF(SUM(AO187:AO189)&gt;AO205,1,0)))</f>
        <v>0</v>
      </c>
      <c r="AQ187" s="185">
        <v>193</v>
      </c>
      <c r="AR187" s="109">
        <f>IF(SUM(AQ187:AQ189)+AQ205=0,0,IF(SUM(AQ187:AQ189)=AQ205,0.5,IF(SUM(AQ187:AQ189)&gt;AQ205,1,0)))</f>
        <v>0</v>
      </c>
      <c r="AS187" s="185">
        <v>157</v>
      </c>
      <c r="AT187" s="109">
        <f>IF(SUM(AS187:AS189)+AS205=0,0,IF(SUM(AS187:AS189)=AS205,0.5,IF(SUM(AS187:AS189)&gt;AS205,1,0)))</f>
        <v>1</v>
      </c>
      <c r="AU187" s="110">
        <f t="shared" ref="AU187:AU198" si="213">ABS(SUM(AC187:AC187))+ABS(SUM(AE187:AE187))+ABS(SUM(AG187:AG187))+ABS(SUM(AI187:AI187))+ABS(SUM(AK187:AK187))+ABS(SUM(AM187:AM187))+ABS(SUM(AO187:AO187))+ABS(SUM(AQ187:AQ187))+ABS(SUM(AS187:AS187))</f>
        <v>1435</v>
      </c>
      <c r="AV187" s="111">
        <f>SUM(AD187+AF187+AH187+AJ187+AL187+AN187+AP187+AR187+AT187)</f>
        <v>3</v>
      </c>
      <c r="AW187" s="101"/>
      <c r="AX187" s="102"/>
      <c r="AZ187" s="63"/>
      <c r="BA187" s="212"/>
      <c r="BB187" s="213"/>
      <c r="BC187" s="214"/>
      <c r="BD187" s="217">
        <f>+AB187</f>
        <v>7758</v>
      </c>
      <c r="BE187" s="213">
        <f>+AU187</f>
        <v>1435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4">IF(AC187=0,"",AC187)</f>
        <v>159</v>
      </c>
      <c r="BI187" s="215">
        <f t="shared" ref="BI187:BI198" si="215">IF(AE187=0,"",AE187)</f>
        <v>160</v>
      </c>
      <c r="BJ187" s="215">
        <f t="shared" ref="BJ187:BJ198" si="216">IF(AG187=0,"",AG187)</f>
        <v>180</v>
      </c>
      <c r="BK187" s="215">
        <f t="shared" ref="BK187:BK198" si="217">IF(AI187=0,"",AI187)</f>
        <v>123</v>
      </c>
      <c r="BL187" s="215">
        <f t="shared" ref="BL187:BL198" si="218">IF(AK187=0,"",AK187)</f>
        <v>154</v>
      </c>
      <c r="BM187" s="215">
        <f t="shared" ref="BM187:BM198" si="219">IF(AM187=0,"",AM187)</f>
        <v>168</v>
      </c>
      <c r="BN187" s="215">
        <f t="shared" ref="BN187:BN198" si="220">IF(AO187=0,"",AO187)</f>
        <v>141</v>
      </c>
      <c r="BO187" s="215">
        <f t="shared" ref="BO187:BO198" si="221">IF(AQ187=0,"",AQ187)</f>
        <v>193</v>
      </c>
      <c r="BP187" s="215">
        <f t="shared" ref="BP187:BP198" si="222">IF(AS187=0,"",AS187)</f>
        <v>157</v>
      </c>
      <c r="BQ187" s="216"/>
      <c r="BR187" s="214"/>
      <c r="BS187" s="215">
        <f>MAX(BH187:BP187)</f>
        <v>193</v>
      </c>
      <c r="BT187" s="215">
        <f>IF(BS187&lt;MAX(BS:BS),0,BS187+ROW()/1000000000)</f>
        <v>0</v>
      </c>
      <c r="BU187" s="215" t="str">
        <f>+AA183</f>
        <v>Frankenpower Nürnberg</v>
      </c>
      <c r="BV187" s="214">
        <f>RANK(BT187,BT:BT)</f>
        <v>2</v>
      </c>
      <c r="BW187" s="215">
        <f>SUMIF(BH187:BP187,"&gt;0")</f>
        <v>1435</v>
      </c>
      <c r="BX187" s="215">
        <f>IF(COUNTIF(BH187:BP187,"&gt;0")&lt;Spielorte!$A$23,0,BE187/Spielorte!$A$23)</f>
        <v>159.44444444444446</v>
      </c>
      <c r="BY187" s="215">
        <f>IF(BX187&lt;MAX(BX:BX),0,BX187+ROW()/1000000000)</f>
        <v>0</v>
      </c>
      <c r="BZ187" s="214">
        <f t="shared" ref="BZ187:BZ198" si="223">IF(BY187=0,0,RANK(BY187,BY:BY))</f>
        <v>0</v>
      </c>
    </row>
    <row r="188" spans="1:78" ht="17.2" customHeight="1" x14ac:dyDescent="0.35">
      <c r="A188" s="368"/>
      <c r="B188" s="76" t="str">
        <f t="shared" ref="B188:D200" si="224">IF(AA188=0,"",AA188)</f>
        <v/>
      </c>
      <c r="C188" s="77" t="str">
        <f t="shared" si="224"/>
        <v/>
      </c>
      <c r="D188" s="78" t="str">
        <f t="shared" si="224"/>
        <v/>
      </c>
      <c r="E188" s="349"/>
      <c r="F188" s="78" t="str">
        <f t="shared" si="205"/>
        <v/>
      </c>
      <c r="G188" s="349"/>
      <c r="H188" s="78" t="str">
        <f t="shared" si="206"/>
        <v/>
      </c>
      <c r="I188" s="349"/>
      <c r="J188" s="78" t="str">
        <f t="shared" si="207"/>
        <v/>
      </c>
      <c r="K188" s="349"/>
      <c r="L188" s="78" t="str">
        <f t="shared" si="208"/>
        <v/>
      </c>
      <c r="M188" s="349"/>
      <c r="N188" s="78" t="str">
        <f t="shared" ref="N188:N200" si="225">IF(AM188=0,"",AM188)</f>
        <v/>
      </c>
      <c r="O188" s="349"/>
      <c r="P188" s="78" t="str">
        <f t="shared" si="209"/>
        <v/>
      </c>
      <c r="Q188" s="349"/>
      <c r="R188" s="78" t="str">
        <f t="shared" si="210"/>
        <v/>
      </c>
      <c r="S188" s="349"/>
      <c r="T188" s="78" t="str">
        <f t="shared" si="211"/>
        <v/>
      </c>
      <c r="U188" s="349"/>
      <c r="V188" s="78" t="str">
        <f t="shared" si="212"/>
        <v/>
      </c>
      <c r="W188" s="349"/>
      <c r="Z188" s="352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3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26">+AB188</f>
        <v>0</v>
      </c>
      <c r="BE188" s="213">
        <f t="shared" ref="BE188:BE198" si="227">+AU188</f>
        <v>0</v>
      </c>
      <c r="BF188" s="215">
        <f t="shared" ref="BF188:BF198" si="228">COUNT(BH188:BP188)</f>
        <v>0</v>
      </c>
      <c r="BG188" s="215">
        <f t="shared" ref="BG188:BG198" si="229">COUNTIF(BH188:BP188,"&gt;0")</f>
        <v>0</v>
      </c>
      <c r="BH188" s="215" t="str">
        <f t="shared" si="214"/>
        <v/>
      </c>
      <c r="BI188" s="215" t="str">
        <f t="shared" si="215"/>
        <v/>
      </c>
      <c r="BJ188" s="215" t="str">
        <f t="shared" si="216"/>
        <v/>
      </c>
      <c r="BK188" s="215" t="str">
        <f t="shared" si="217"/>
        <v/>
      </c>
      <c r="BL188" s="215" t="str">
        <f t="shared" si="218"/>
        <v/>
      </c>
      <c r="BM188" s="215" t="str">
        <f t="shared" si="219"/>
        <v/>
      </c>
      <c r="BN188" s="215" t="str">
        <f t="shared" si="220"/>
        <v/>
      </c>
      <c r="BO188" s="215" t="str">
        <f t="shared" si="221"/>
        <v/>
      </c>
      <c r="BP188" s="215" t="str">
        <f t="shared" si="222"/>
        <v/>
      </c>
      <c r="BQ188" s="216"/>
      <c r="BR188" s="214"/>
      <c r="BS188" s="215">
        <f t="shared" ref="BS188:BS198" si="230">MAX(BH188:BP188)</f>
        <v>0</v>
      </c>
      <c r="BT188" s="215">
        <f t="shared" ref="BT188:BT198" si="231">IF(BS188&lt;MAX(BS:BS),0,BS188+ROW()/1000000000)</f>
        <v>0</v>
      </c>
      <c r="BU188" s="215" t="str">
        <f t="shared" ref="BU188:BU198" si="232">+BU187</f>
        <v>Frankenpower Nürnberg</v>
      </c>
      <c r="BV188" s="214">
        <f t="shared" ref="BV188:BV198" si="233">RANK(BT188,BT:BT)</f>
        <v>2</v>
      </c>
      <c r="BW188" s="215">
        <f t="shared" ref="BW188:BW198" si="234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5">IF(BX188&lt;MAX(BX:BX),0,BX188+ROW()/1000000000)</f>
        <v>0</v>
      </c>
      <c r="BZ188" s="214">
        <f t="shared" si="223"/>
        <v>0</v>
      </c>
    </row>
    <row r="189" spans="1:78" ht="17.2" customHeight="1" thickBot="1" x14ac:dyDescent="0.4">
      <c r="A189" s="369"/>
      <c r="B189" s="79" t="str">
        <f t="shared" si="224"/>
        <v/>
      </c>
      <c r="C189" s="80" t="str">
        <f t="shared" si="224"/>
        <v/>
      </c>
      <c r="D189" s="69" t="str">
        <f t="shared" si="224"/>
        <v/>
      </c>
      <c r="E189" s="350"/>
      <c r="F189" s="69" t="str">
        <f t="shared" si="205"/>
        <v/>
      </c>
      <c r="G189" s="350"/>
      <c r="H189" s="69" t="str">
        <f t="shared" si="206"/>
        <v/>
      </c>
      <c r="I189" s="350"/>
      <c r="J189" s="69" t="str">
        <f t="shared" si="207"/>
        <v/>
      </c>
      <c r="K189" s="350"/>
      <c r="L189" s="69" t="str">
        <f t="shared" si="208"/>
        <v/>
      </c>
      <c r="M189" s="350"/>
      <c r="N189" s="69" t="str">
        <f t="shared" si="225"/>
        <v/>
      </c>
      <c r="O189" s="350"/>
      <c r="P189" s="69" t="str">
        <f t="shared" si="209"/>
        <v/>
      </c>
      <c r="Q189" s="350"/>
      <c r="R189" s="69" t="str">
        <f t="shared" si="210"/>
        <v/>
      </c>
      <c r="S189" s="350"/>
      <c r="T189" s="69" t="str">
        <f t="shared" si="211"/>
        <v/>
      </c>
      <c r="U189" s="350"/>
      <c r="V189" s="69" t="str">
        <f t="shared" si="212"/>
        <v/>
      </c>
      <c r="W189" s="350"/>
      <c r="Z189" s="353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3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26"/>
        <v>0</v>
      </c>
      <c r="BE189" s="213">
        <f t="shared" si="227"/>
        <v>0</v>
      </c>
      <c r="BF189" s="215">
        <f t="shared" si="228"/>
        <v>0</v>
      </c>
      <c r="BG189" s="215">
        <f t="shared" si="229"/>
        <v>0</v>
      </c>
      <c r="BH189" s="215" t="str">
        <f t="shared" si="214"/>
        <v/>
      </c>
      <c r="BI189" s="215" t="str">
        <f t="shared" si="215"/>
        <v/>
      </c>
      <c r="BJ189" s="215" t="str">
        <f t="shared" si="216"/>
        <v/>
      </c>
      <c r="BK189" s="215" t="str">
        <f t="shared" si="217"/>
        <v/>
      </c>
      <c r="BL189" s="215" t="str">
        <f t="shared" si="218"/>
        <v/>
      </c>
      <c r="BM189" s="215" t="str">
        <f t="shared" si="219"/>
        <v/>
      </c>
      <c r="BN189" s="215" t="str">
        <f t="shared" si="220"/>
        <v/>
      </c>
      <c r="BO189" s="215" t="str">
        <f t="shared" si="221"/>
        <v/>
      </c>
      <c r="BP189" s="215" t="str">
        <f t="shared" si="222"/>
        <v/>
      </c>
      <c r="BQ189" s="216"/>
      <c r="BR189" s="214"/>
      <c r="BS189" s="215">
        <f t="shared" si="230"/>
        <v>0</v>
      </c>
      <c r="BT189" s="215">
        <f t="shared" si="231"/>
        <v>0</v>
      </c>
      <c r="BU189" s="215" t="str">
        <f t="shared" si="232"/>
        <v>Frankenpower Nürnberg</v>
      </c>
      <c r="BV189" s="214">
        <f t="shared" si="233"/>
        <v>2</v>
      </c>
      <c r="BW189" s="215">
        <f t="shared" si="234"/>
        <v>0</v>
      </c>
      <c r="BX189" s="215">
        <f>IF(COUNTIF(BH189:BP189,"&gt;0")&lt;Spielorte!$A$23,0,BE189/Spielorte!$A$23)</f>
        <v>0</v>
      </c>
      <c r="BY189" s="215">
        <f t="shared" si="235"/>
        <v>0</v>
      </c>
      <c r="BZ189" s="214">
        <f t="shared" si="223"/>
        <v>0</v>
      </c>
    </row>
    <row r="190" spans="1:78" ht="17.2" customHeight="1" x14ac:dyDescent="0.35">
      <c r="A190" s="367" t="s">
        <v>2</v>
      </c>
      <c r="B190" s="73" t="str">
        <f t="shared" si="224"/>
        <v>Legl, Renate</v>
      </c>
      <c r="C190" s="74">
        <f t="shared" si="224"/>
        <v>7757</v>
      </c>
      <c r="D190" s="75">
        <f t="shared" si="224"/>
        <v>129</v>
      </c>
      <c r="E190" s="348">
        <f>IF(AD190="","",AD190)</f>
        <v>0</v>
      </c>
      <c r="F190" s="75">
        <f t="shared" si="205"/>
        <v>156</v>
      </c>
      <c r="G190" s="348">
        <f>IF(AF190="","",AF190)</f>
        <v>0</v>
      </c>
      <c r="H190" s="75">
        <f t="shared" si="206"/>
        <v>173</v>
      </c>
      <c r="I190" s="348">
        <f>IF(AH190="","",AH190)</f>
        <v>1</v>
      </c>
      <c r="J190" s="75">
        <f t="shared" si="207"/>
        <v>145</v>
      </c>
      <c r="K190" s="348">
        <f>IF(AJ190="","",AJ190)</f>
        <v>1</v>
      </c>
      <c r="L190" s="75">
        <f t="shared" si="208"/>
        <v>160</v>
      </c>
      <c r="M190" s="348">
        <f>IF(AL190="","",AL190)</f>
        <v>1</v>
      </c>
      <c r="N190" s="75">
        <f t="shared" si="225"/>
        <v>184</v>
      </c>
      <c r="O190" s="348">
        <f>IF(AN190="","",AN190)</f>
        <v>1</v>
      </c>
      <c r="P190" s="75">
        <f t="shared" si="209"/>
        <v>157</v>
      </c>
      <c r="Q190" s="348">
        <f>IF(AP190="","",AP190)</f>
        <v>0</v>
      </c>
      <c r="R190" s="75">
        <f t="shared" si="210"/>
        <v>139</v>
      </c>
      <c r="S190" s="348">
        <f>IF(AR190="","",AR190)</f>
        <v>0</v>
      </c>
      <c r="T190" s="75">
        <f t="shared" si="211"/>
        <v>200</v>
      </c>
      <c r="U190" s="348">
        <f>IF(AT190="","",AT190)</f>
        <v>1</v>
      </c>
      <c r="V190" s="75">
        <f t="shared" si="212"/>
        <v>1443</v>
      </c>
      <c r="W190" s="348">
        <f>IF(AV190="","",AV190)</f>
        <v>5</v>
      </c>
      <c r="Z190" s="351" t="s">
        <v>2</v>
      </c>
      <c r="AA190" s="108" t="str">
        <f>IF(AB190=0,"",VLOOKUP(AB190,Starter!$A$1:$D$199,2,FALSE))</f>
        <v>Legl, Renate</v>
      </c>
      <c r="AB190" s="99">
        <v>7757</v>
      </c>
      <c r="AC190" s="188">
        <v>129</v>
      </c>
      <c r="AD190" s="109">
        <f>IF(SUM(AC190:AC192)+AC206=0,0,IF(SUM(AC190:AC192)=AC206,0.5,IF(SUM(AC190:AC192)&gt;AC206,1,0)))</f>
        <v>0</v>
      </c>
      <c r="AE190" s="188">
        <v>156</v>
      </c>
      <c r="AF190" s="109">
        <f>IF(SUM(AE190:AE192)+AE206=0,0,IF(SUM(AE190:AE192)=AE206,0.5,IF(SUM(AE190:AE192)&gt;AE206,1,0)))</f>
        <v>0</v>
      </c>
      <c r="AG190" s="188">
        <v>173</v>
      </c>
      <c r="AH190" s="109">
        <f>IF(SUM(AG190:AG192)+AG206=0,0,IF(SUM(AG190:AG192)=AG206,0.5,IF(SUM(AG190:AG192)&gt;AG206,1,0)))</f>
        <v>1</v>
      </c>
      <c r="AI190" s="188">
        <v>145</v>
      </c>
      <c r="AJ190" s="109">
        <f>IF(SUM(AI190:AI192)+AI206=0,0,IF(SUM(AI190:AI192)=AI206,0.5,IF(SUM(AI190:AI192)&gt;AI206,1,0)))</f>
        <v>1</v>
      </c>
      <c r="AK190" s="188">
        <v>160</v>
      </c>
      <c r="AL190" s="109">
        <f>IF(SUM(AK190:AK192)+AK206=0,0,IF(SUM(AK190:AK192)=AK206,0.5,IF(SUM(AK190:AK192)&gt;AK206,1,0)))</f>
        <v>1</v>
      </c>
      <c r="AM190" s="188">
        <v>184</v>
      </c>
      <c r="AN190" s="109">
        <f>IF(SUM(AM190:AM192)+AM206=0,0,IF(SUM(AM190:AM192)=AM206,0.5,IF(SUM(AM190:AM192)&gt;AM206,1,0)))</f>
        <v>1</v>
      </c>
      <c r="AO190" s="188">
        <v>157</v>
      </c>
      <c r="AP190" s="109">
        <f>IF(SUM(AO190:AO192)+AO206=0,0,IF(SUM(AO190:AO192)=AO206,0.5,IF(SUM(AO190:AO192)&gt;AO206,1,0)))</f>
        <v>0</v>
      </c>
      <c r="AQ190" s="188">
        <v>139</v>
      </c>
      <c r="AR190" s="109">
        <f>IF(SUM(AQ190:AQ192)+AQ206=0,0,IF(SUM(AQ190:AQ192)=AQ206,0.5,IF(SUM(AQ190:AQ192)&gt;AQ206,1,0)))</f>
        <v>0</v>
      </c>
      <c r="AS190" s="188">
        <v>200</v>
      </c>
      <c r="AT190" s="109">
        <f>IF(SUM(AS190:AS192)+AS206=0,0,IF(SUM(AS190:AS192)=AS206,0.5,IF(SUM(AS190:AS192)&gt;AS206,1,0)))</f>
        <v>1</v>
      </c>
      <c r="AU190" s="110">
        <f t="shared" si="213"/>
        <v>1443</v>
      </c>
      <c r="AV190" s="111">
        <f>SUM(AD190+AF190+AH190+AJ190+AL190+AN190+AP190+AR190+AT190)</f>
        <v>5</v>
      </c>
      <c r="AW190" s="101"/>
      <c r="AX190" s="102"/>
      <c r="AZ190" s="63"/>
      <c r="BA190" s="212"/>
      <c r="BB190" s="213"/>
      <c r="BC190" s="214"/>
      <c r="BD190" s="217">
        <f t="shared" si="226"/>
        <v>7757</v>
      </c>
      <c r="BE190" s="213">
        <f t="shared" si="227"/>
        <v>1443</v>
      </c>
      <c r="BF190" s="215">
        <f t="shared" si="228"/>
        <v>9</v>
      </c>
      <c r="BG190" s="215">
        <f t="shared" si="229"/>
        <v>9</v>
      </c>
      <c r="BH190" s="215">
        <f t="shared" si="214"/>
        <v>129</v>
      </c>
      <c r="BI190" s="215">
        <f t="shared" si="215"/>
        <v>156</v>
      </c>
      <c r="BJ190" s="215">
        <f t="shared" si="216"/>
        <v>173</v>
      </c>
      <c r="BK190" s="215">
        <f t="shared" si="217"/>
        <v>145</v>
      </c>
      <c r="BL190" s="215">
        <f t="shared" si="218"/>
        <v>160</v>
      </c>
      <c r="BM190" s="215">
        <f t="shared" si="219"/>
        <v>184</v>
      </c>
      <c r="BN190" s="215">
        <f t="shared" si="220"/>
        <v>157</v>
      </c>
      <c r="BO190" s="215">
        <f t="shared" si="221"/>
        <v>139</v>
      </c>
      <c r="BP190" s="215">
        <f t="shared" si="222"/>
        <v>200</v>
      </c>
      <c r="BQ190" s="216"/>
      <c r="BR190" s="214"/>
      <c r="BS190" s="215">
        <f t="shared" si="230"/>
        <v>200</v>
      </c>
      <c r="BT190" s="215">
        <f t="shared" si="231"/>
        <v>0</v>
      </c>
      <c r="BU190" s="215" t="str">
        <f t="shared" si="232"/>
        <v>Frankenpower Nürnberg</v>
      </c>
      <c r="BV190" s="214">
        <f t="shared" si="233"/>
        <v>2</v>
      </c>
      <c r="BW190" s="215">
        <f t="shared" si="234"/>
        <v>1443</v>
      </c>
      <c r="BX190" s="215">
        <f>IF(COUNTIF(BH190:BP190,"&gt;0")&lt;Spielorte!$A$23,0,BE190/Spielorte!$A$23)</f>
        <v>160.33333333333334</v>
      </c>
      <c r="BY190" s="215">
        <f t="shared" si="235"/>
        <v>0</v>
      </c>
      <c r="BZ190" s="214">
        <f t="shared" si="223"/>
        <v>0</v>
      </c>
    </row>
    <row r="191" spans="1:78" ht="17.2" customHeight="1" x14ac:dyDescent="0.35">
      <c r="A191" s="368"/>
      <c r="B191" s="76" t="str">
        <f t="shared" si="224"/>
        <v/>
      </c>
      <c r="C191" s="77" t="str">
        <f t="shared" si="224"/>
        <v/>
      </c>
      <c r="D191" s="78" t="str">
        <f t="shared" si="224"/>
        <v/>
      </c>
      <c r="E191" s="349"/>
      <c r="F191" s="78" t="str">
        <f t="shared" si="205"/>
        <v/>
      </c>
      <c r="G191" s="349"/>
      <c r="H191" s="78" t="str">
        <f t="shared" si="206"/>
        <v/>
      </c>
      <c r="I191" s="349"/>
      <c r="J191" s="78" t="str">
        <f t="shared" si="207"/>
        <v/>
      </c>
      <c r="K191" s="349"/>
      <c r="L191" s="78" t="str">
        <f t="shared" si="208"/>
        <v/>
      </c>
      <c r="M191" s="349"/>
      <c r="N191" s="78" t="str">
        <f t="shared" si="225"/>
        <v/>
      </c>
      <c r="O191" s="349"/>
      <c r="P191" s="78" t="str">
        <f t="shared" si="209"/>
        <v/>
      </c>
      <c r="Q191" s="349"/>
      <c r="R191" s="78" t="str">
        <f t="shared" si="210"/>
        <v/>
      </c>
      <c r="S191" s="349"/>
      <c r="T191" s="78" t="str">
        <f t="shared" si="211"/>
        <v/>
      </c>
      <c r="U191" s="349"/>
      <c r="V191" s="78" t="str">
        <f t="shared" si="212"/>
        <v/>
      </c>
      <c r="W191" s="349"/>
      <c r="Z191" s="352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3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26"/>
        <v>0</v>
      </c>
      <c r="BE191" s="213">
        <f t="shared" si="227"/>
        <v>0</v>
      </c>
      <c r="BF191" s="215">
        <f t="shared" si="228"/>
        <v>0</v>
      </c>
      <c r="BG191" s="215">
        <f t="shared" si="229"/>
        <v>0</v>
      </c>
      <c r="BH191" s="215" t="str">
        <f t="shared" si="214"/>
        <v/>
      </c>
      <c r="BI191" s="215" t="str">
        <f t="shared" si="215"/>
        <v/>
      </c>
      <c r="BJ191" s="215" t="str">
        <f t="shared" si="216"/>
        <v/>
      </c>
      <c r="BK191" s="215" t="str">
        <f t="shared" si="217"/>
        <v/>
      </c>
      <c r="BL191" s="215" t="str">
        <f t="shared" si="218"/>
        <v/>
      </c>
      <c r="BM191" s="215" t="str">
        <f t="shared" si="219"/>
        <v/>
      </c>
      <c r="BN191" s="215" t="str">
        <f t="shared" si="220"/>
        <v/>
      </c>
      <c r="BO191" s="215" t="str">
        <f t="shared" si="221"/>
        <v/>
      </c>
      <c r="BP191" s="215" t="str">
        <f t="shared" si="222"/>
        <v/>
      </c>
      <c r="BQ191" s="216"/>
      <c r="BR191" s="214"/>
      <c r="BS191" s="215">
        <f t="shared" si="230"/>
        <v>0</v>
      </c>
      <c r="BT191" s="215">
        <f t="shared" si="231"/>
        <v>0</v>
      </c>
      <c r="BU191" s="215" t="str">
        <f t="shared" si="232"/>
        <v>Frankenpower Nürnberg</v>
      </c>
      <c r="BV191" s="214">
        <f t="shared" si="233"/>
        <v>2</v>
      </c>
      <c r="BW191" s="215">
        <f t="shared" si="234"/>
        <v>0</v>
      </c>
      <c r="BX191" s="215">
        <f>IF(COUNTIF(BH191:BP191,"&gt;0")&lt;Spielorte!$A$23,0,BE191/Spielorte!$A$23)</f>
        <v>0</v>
      </c>
      <c r="BY191" s="215">
        <f t="shared" si="235"/>
        <v>0</v>
      </c>
      <c r="BZ191" s="214">
        <f t="shared" si="223"/>
        <v>0</v>
      </c>
    </row>
    <row r="192" spans="1:78" ht="17.2" customHeight="1" thickBot="1" x14ac:dyDescent="0.4">
      <c r="A192" s="369"/>
      <c r="B192" s="79" t="str">
        <f t="shared" si="224"/>
        <v/>
      </c>
      <c r="C192" s="80" t="str">
        <f t="shared" si="224"/>
        <v/>
      </c>
      <c r="D192" s="69" t="str">
        <f t="shared" si="224"/>
        <v/>
      </c>
      <c r="E192" s="350"/>
      <c r="F192" s="69" t="str">
        <f t="shared" si="205"/>
        <v/>
      </c>
      <c r="G192" s="350"/>
      <c r="H192" s="69" t="str">
        <f t="shared" si="206"/>
        <v/>
      </c>
      <c r="I192" s="350"/>
      <c r="J192" s="69" t="str">
        <f t="shared" si="207"/>
        <v/>
      </c>
      <c r="K192" s="350"/>
      <c r="L192" s="69" t="str">
        <f t="shared" si="208"/>
        <v/>
      </c>
      <c r="M192" s="350"/>
      <c r="N192" s="69" t="str">
        <f t="shared" si="225"/>
        <v/>
      </c>
      <c r="O192" s="350"/>
      <c r="P192" s="69" t="str">
        <f t="shared" si="209"/>
        <v/>
      </c>
      <c r="Q192" s="350"/>
      <c r="R192" s="69" t="str">
        <f t="shared" si="210"/>
        <v/>
      </c>
      <c r="S192" s="350"/>
      <c r="T192" s="69" t="str">
        <f t="shared" si="211"/>
        <v/>
      </c>
      <c r="U192" s="350"/>
      <c r="V192" s="69" t="str">
        <f t="shared" si="212"/>
        <v/>
      </c>
      <c r="W192" s="350"/>
      <c r="Z192" s="353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3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26"/>
        <v>0</v>
      </c>
      <c r="BE192" s="213">
        <f t="shared" si="227"/>
        <v>0</v>
      </c>
      <c r="BF192" s="215">
        <f t="shared" si="228"/>
        <v>0</v>
      </c>
      <c r="BG192" s="215">
        <f t="shared" si="229"/>
        <v>0</v>
      </c>
      <c r="BH192" s="215" t="str">
        <f t="shared" si="214"/>
        <v/>
      </c>
      <c r="BI192" s="215" t="str">
        <f t="shared" si="215"/>
        <v/>
      </c>
      <c r="BJ192" s="215" t="str">
        <f t="shared" si="216"/>
        <v/>
      </c>
      <c r="BK192" s="215" t="str">
        <f t="shared" si="217"/>
        <v/>
      </c>
      <c r="BL192" s="215" t="str">
        <f t="shared" si="218"/>
        <v/>
      </c>
      <c r="BM192" s="215" t="str">
        <f t="shared" si="219"/>
        <v/>
      </c>
      <c r="BN192" s="215" t="str">
        <f t="shared" si="220"/>
        <v/>
      </c>
      <c r="BO192" s="215" t="str">
        <f t="shared" si="221"/>
        <v/>
      </c>
      <c r="BP192" s="215" t="str">
        <f t="shared" si="222"/>
        <v/>
      </c>
      <c r="BQ192" s="216"/>
      <c r="BR192" s="214"/>
      <c r="BS192" s="215">
        <f t="shared" si="230"/>
        <v>0</v>
      </c>
      <c r="BT192" s="215">
        <f t="shared" si="231"/>
        <v>0</v>
      </c>
      <c r="BU192" s="215" t="str">
        <f t="shared" si="232"/>
        <v>Frankenpower Nürnberg</v>
      </c>
      <c r="BV192" s="214">
        <f t="shared" si="233"/>
        <v>2</v>
      </c>
      <c r="BW192" s="215">
        <f t="shared" si="234"/>
        <v>0</v>
      </c>
      <c r="BX192" s="215">
        <f>IF(COUNTIF(BH192:BP192,"&gt;0")&lt;Spielorte!$A$23,0,BE192/Spielorte!$A$23)</f>
        <v>0</v>
      </c>
      <c r="BY192" s="215">
        <f t="shared" si="235"/>
        <v>0</v>
      </c>
      <c r="BZ192" s="214">
        <f t="shared" si="223"/>
        <v>0</v>
      </c>
    </row>
    <row r="193" spans="1:78" ht="17.2" customHeight="1" x14ac:dyDescent="0.35">
      <c r="A193" s="367" t="s">
        <v>3</v>
      </c>
      <c r="B193" s="73" t="str">
        <f t="shared" si="224"/>
        <v>Krämer, Gisela</v>
      </c>
      <c r="C193" s="74">
        <f t="shared" si="224"/>
        <v>7753</v>
      </c>
      <c r="D193" s="75">
        <f t="shared" si="224"/>
        <v>168</v>
      </c>
      <c r="E193" s="348">
        <f>IF(AD193="","",AD193)</f>
        <v>0</v>
      </c>
      <c r="F193" s="75">
        <f t="shared" si="205"/>
        <v>159</v>
      </c>
      <c r="G193" s="348">
        <f>IF(AF193="","",AF193)</f>
        <v>0</v>
      </c>
      <c r="H193" s="75">
        <f t="shared" si="206"/>
        <v>178</v>
      </c>
      <c r="I193" s="348">
        <f>IF(AH193="","",AH193)</f>
        <v>1</v>
      </c>
      <c r="J193" s="75">
        <f t="shared" si="207"/>
        <v>232</v>
      </c>
      <c r="K193" s="348">
        <f>IF(AJ193="","",AJ193)</f>
        <v>1</v>
      </c>
      <c r="L193" s="75">
        <f t="shared" si="208"/>
        <v>201</v>
      </c>
      <c r="M193" s="348">
        <f>IF(AL193="","",AL193)</f>
        <v>1</v>
      </c>
      <c r="N193" s="75">
        <f t="shared" si="225"/>
        <v>189</v>
      </c>
      <c r="O193" s="348">
        <f>IF(AN193="","",AN193)</f>
        <v>1</v>
      </c>
      <c r="P193" s="75">
        <f t="shared" si="209"/>
        <v>172</v>
      </c>
      <c r="Q193" s="348">
        <f>IF(AP193="","",AP193)</f>
        <v>1</v>
      </c>
      <c r="R193" s="75">
        <f t="shared" si="210"/>
        <v>190</v>
      </c>
      <c r="S193" s="348">
        <f>IF(AR193="","",AR193)</f>
        <v>0</v>
      </c>
      <c r="T193" s="75">
        <f t="shared" si="211"/>
        <v>154</v>
      </c>
      <c r="U193" s="348">
        <f>IF(AT193="","",AT193)</f>
        <v>0</v>
      </c>
      <c r="V193" s="75">
        <f t="shared" si="212"/>
        <v>1643</v>
      </c>
      <c r="W193" s="348">
        <f>IF(AV193="","",AV193)</f>
        <v>5</v>
      </c>
      <c r="Z193" s="351" t="s">
        <v>3</v>
      </c>
      <c r="AA193" s="108" t="str">
        <f>IF(AB193=0,"",VLOOKUP(AB193,Starter!$A$1:$D$199,2,FALSE))</f>
        <v>Krämer, Gisela</v>
      </c>
      <c r="AB193" s="99">
        <v>7753</v>
      </c>
      <c r="AC193" s="188">
        <v>168</v>
      </c>
      <c r="AD193" s="109">
        <f>IF(SUM(AC193:AC195)+AC207=0,0,IF(SUM(AC193:AC195)=AC207,0.5,IF(SUM(AC193:AC195)&gt;AC207,1,0)))</f>
        <v>0</v>
      </c>
      <c r="AE193" s="188">
        <v>159</v>
      </c>
      <c r="AF193" s="109">
        <f>IF(SUM(AE193:AE195)+AE207=0,0,IF(SUM(AE193:AE195)=AE207,0.5,IF(SUM(AE193:AE195)&gt;AE207,1,0)))</f>
        <v>0</v>
      </c>
      <c r="AG193" s="188">
        <v>178</v>
      </c>
      <c r="AH193" s="109">
        <f>IF(SUM(AG193:AG195)+AG207=0,0,IF(SUM(AG193:AG195)=AG207,0.5,IF(SUM(AG193:AG195)&gt;AG207,1,0)))</f>
        <v>1</v>
      </c>
      <c r="AI193" s="188">
        <v>232</v>
      </c>
      <c r="AJ193" s="109">
        <f>IF(SUM(AI193:AI195)+AI207=0,0,IF(SUM(AI193:AI195)=AI207,0.5,IF(SUM(AI193:AI195)&gt;AI207,1,0)))</f>
        <v>1</v>
      </c>
      <c r="AK193" s="188">
        <v>201</v>
      </c>
      <c r="AL193" s="109">
        <f>IF(SUM(AK193:AK195)+AK207=0,0,IF(SUM(AK193:AK195)=AK207,0.5,IF(SUM(AK193:AK195)&gt;AK207,1,0)))</f>
        <v>1</v>
      </c>
      <c r="AM193" s="188">
        <v>189</v>
      </c>
      <c r="AN193" s="109">
        <f>IF(SUM(AM193:AM195)+AM207=0,0,IF(SUM(AM193:AM195)=AM207,0.5,IF(SUM(AM193:AM195)&gt;AM207,1,0)))</f>
        <v>1</v>
      </c>
      <c r="AO193" s="188">
        <v>172</v>
      </c>
      <c r="AP193" s="109">
        <f>IF(SUM(AO193:AO195)+AO207=0,0,IF(SUM(AO193:AO195)=AO207,0.5,IF(SUM(AO193:AO195)&gt;AO207,1,0)))</f>
        <v>1</v>
      </c>
      <c r="AQ193" s="188">
        <v>190</v>
      </c>
      <c r="AR193" s="109">
        <f>IF(SUM(AQ193:AQ195)+AQ207=0,0,IF(SUM(AQ193:AQ195)=AQ207,0.5,IF(SUM(AQ193:AQ195)&gt;AQ207,1,0)))</f>
        <v>0</v>
      </c>
      <c r="AS193" s="188">
        <v>154</v>
      </c>
      <c r="AT193" s="109">
        <f>IF(SUM(AS193:AS195)+AS207=0,0,IF(SUM(AS193:AS195)=AS207,0.5,IF(SUM(AS193:AS195)&gt;AS207,1,0)))</f>
        <v>0</v>
      </c>
      <c r="AU193" s="110">
        <f t="shared" si="213"/>
        <v>1643</v>
      </c>
      <c r="AV193" s="111">
        <f>SUM(AD193+AF193+AH193+AJ193+AL193+AN193+AP193+AR193+AT193)</f>
        <v>5</v>
      </c>
      <c r="AW193" s="101"/>
      <c r="AX193" s="102"/>
      <c r="AZ193" s="63"/>
      <c r="BA193" s="212"/>
      <c r="BB193" s="213"/>
      <c r="BC193" s="214"/>
      <c r="BD193" s="217">
        <f t="shared" si="226"/>
        <v>7753</v>
      </c>
      <c r="BE193" s="213">
        <f t="shared" si="227"/>
        <v>1643</v>
      </c>
      <c r="BF193" s="215">
        <f t="shared" si="228"/>
        <v>9</v>
      </c>
      <c r="BG193" s="215">
        <f t="shared" si="229"/>
        <v>9</v>
      </c>
      <c r="BH193" s="215">
        <f t="shared" si="214"/>
        <v>168</v>
      </c>
      <c r="BI193" s="215">
        <f t="shared" si="215"/>
        <v>159</v>
      </c>
      <c r="BJ193" s="215">
        <f t="shared" si="216"/>
        <v>178</v>
      </c>
      <c r="BK193" s="215">
        <f t="shared" si="217"/>
        <v>232</v>
      </c>
      <c r="BL193" s="215">
        <f t="shared" si="218"/>
        <v>201</v>
      </c>
      <c r="BM193" s="215">
        <f t="shared" si="219"/>
        <v>189</v>
      </c>
      <c r="BN193" s="215">
        <f t="shared" si="220"/>
        <v>172</v>
      </c>
      <c r="BO193" s="215">
        <f t="shared" si="221"/>
        <v>190</v>
      </c>
      <c r="BP193" s="215">
        <f t="shared" si="222"/>
        <v>154</v>
      </c>
      <c r="BQ193" s="216"/>
      <c r="BR193" s="214"/>
      <c r="BS193" s="215">
        <f t="shared" si="230"/>
        <v>232</v>
      </c>
      <c r="BT193" s="215">
        <f t="shared" si="231"/>
        <v>0</v>
      </c>
      <c r="BU193" s="215" t="str">
        <f t="shared" si="232"/>
        <v>Frankenpower Nürnberg</v>
      </c>
      <c r="BV193" s="214">
        <f t="shared" si="233"/>
        <v>2</v>
      </c>
      <c r="BW193" s="215">
        <f t="shared" si="234"/>
        <v>1643</v>
      </c>
      <c r="BX193" s="215">
        <f>IF(COUNTIF(BH193:BP193,"&gt;0")&lt;Spielorte!$A$23,0,BE193/Spielorte!$A$23)</f>
        <v>182.55555555555554</v>
      </c>
      <c r="BY193" s="215">
        <f t="shared" si="235"/>
        <v>0</v>
      </c>
      <c r="BZ193" s="214">
        <f t="shared" si="223"/>
        <v>0</v>
      </c>
    </row>
    <row r="194" spans="1:78" ht="17.2" customHeight="1" x14ac:dyDescent="0.35">
      <c r="A194" s="368"/>
      <c r="B194" s="76" t="str">
        <f t="shared" si="224"/>
        <v/>
      </c>
      <c r="C194" s="77" t="str">
        <f t="shared" si="224"/>
        <v/>
      </c>
      <c r="D194" s="78" t="str">
        <f t="shared" si="224"/>
        <v/>
      </c>
      <c r="E194" s="349"/>
      <c r="F194" s="78" t="str">
        <f t="shared" si="205"/>
        <v/>
      </c>
      <c r="G194" s="349"/>
      <c r="H194" s="78" t="str">
        <f t="shared" si="206"/>
        <v/>
      </c>
      <c r="I194" s="349"/>
      <c r="J194" s="78" t="str">
        <f t="shared" si="207"/>
        <v/>
      </c>
      <c r="K194" s="349"/>
      <c r="L194" s="78" t="str">
        <f t="shared" si="208"/>
        <v/>
      </c>
      <c r="M194" s="349"/>
      <c r="N194" s="78" t="str">
        <f t="shared" si="225"/>
        <v/>
      </c>
      <c r="O194" s="349"/>
      <c r="P194" s="78" t="str">
        <f t="shared" si="209"/>
        <v/>
      </c>
      <c r="Q194" s="349"/>
      <c r="R194" s="78" t="str">
        <f t="shared" si="210"/>
        <v/>
      </c>
      <c r="S194" s="349"/>
      <c r="T194" s="78" t="str">
        <f t="shared" si="211"/>
        <v/>
      </c>
      <c r="U194" s="349"/>
      <c r="V194" s="78" t="str">
        <f t="shared" si="212"/>
        <v/>
      </c>
      <c r="W194" s="349"/>
      <c r="Z194" s="352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3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26"/>
        <v>0</v>
      </c>
      <c r="BE194" s="213">
        <f t="shared" si="227"/>
        <v>0</v>
      </c>
      <c r="BF194" s="215">
        <f t="shared" si="228"/>
        <v>0</v>
      </c>
      <c r="BG194" s="215">
        <f t="shared" si="229"/>
        <v>0</v>
      </c>
      <c r="BH194" s="215" t="str">
        <f t="shared" si="214"/>
        <v/>
      </c>
      <c r="BI194" s="215" t="str">
        <f t="shared" si="215"/>
        <v/>
      </c>
      <c r="BJ194" s="215" t="str">
        <f t="shared" si="216"/>
        <v/>
      </c>
      <c r="BK194" s="215" t="str">
        <f t="shared" si="217"/>
        <v/>
      </c>
      <c r="BL194" s="215" t="str">
        <f t="shared" si="218"/>
        <v/>
      </c>
      <c r="BM194" s="215" t="str">
        <f t="shared" si="219"/>
        <v/>
      </c>
      <c r="BN194" s="215" t="str">
        <f t="shared" si="220"/>
        <v/>
      </c>
      <c r="BO194" s="215" t="str">
        <f t="shared" si="221"/>
        <v/>
      </c>
      <c r="BP194" s="215" t="str">
        <f t="shared" si="222"/>
        <v/>
      </c>
      <c r="BQ194" s="216"/>
      <c r="BR194" s="214"/>
      <c r="BS194" s="215">
        <f t="shared" si="230"/>
        <v>0</v>
      </c>
      <c r="BT194" s="215">
        <f t="shared" si="231"/>
        <v>0</v>
      </c>
      <c r="BU194" s="215" t="str">
        <f t="shared" si="232"/>
        <v>Frankenpower Nürnberg</v>
      </c>
      <c r="BV194" s="214">
        <f t="shared" si="233"/>
        <v>2</v>
      </c>
      <c r="BW194" s="215">
        <f t="shared" si="234"/>
        <v>0</v>
      </c>
      <c r="BX194" s="215">
        <f>IF(COUNTIF(BH194:BP194,"&gt;0")&lt;Spielorte!$A$23,0,BE194/Spielorte!$A$23)</f>
        <v>0</v>
      </c>
      <c r="BY194" s="215">
        <f t="shared" si="235"/>
        <v>0</v>
      </c>
      <c r="BZ194" s="214">
        <f t="shared" si="223"/>
        <v>0</v>
      </c>
    </row>
    <row r="195" spans="1:78" ht="17.2" customHeight="1" thickBot="1" x14ac:dyDescent="0.4">
      <c r="A195" s="369"/>
      <c r="B195" s="79" t="str">
        <f t="shared" si="224"/>
        <v/>
      </c>
      <c r="C195" s="80" t="str">
        <f t="shared" si="224"/>
        <v/>
      </c>
      <c r="D195" s="69" t="str">
        <f t="shared" si="224"/>
        <v/>
      </c>
      <c r="E195" s="350"/>
      <c r="F195" s="69" t="str">
        <f t="shared" si="205"/>
        <v/>
      </c>
      <c r="G195" s="350"/>
      <c r="H195" s="69" t="str">
        <f t="shared" si="206"/>
        <v/>
      </c>
      <c r="I195" s="350"/>
      <c r="J195" s="69" t="str">
        <f t="shared" si="207"/>
        <v/>
      </c>
      <c r="K195" s="350"/>
      <c r="L195" s="69" t="str">
        <f t="shared" si="208"/>
        <v/>
      </c>
      <c r="M195" s="350"/>
      <c r="N195" s="69" t="str">
        <f t="shared" si="225"/>
        <v/>
      </c>
      <c r="O195" s="350"/>
      <c r="P195" s="69" t="str">
        <f t="shared" si="209"/>
        <v/>
      </c>
      <c r="Q195" s="350"/>
      <c r="R195" s="69" t="str">
        <f t="shared" si="210"/>
        <v/>
      </c>
      <c r="S195" s="350"/>
      <c r="T195" s="69" t="str">
        <f t="shared" si="211"/>
        <v/>
      </c>
      <c r="U195" s="350"/>
      <c r="V195" s="69" t="str">
        <f t="shared" si="212"/>
        <v/>
      </c>
      <c r="W195" s="350"/>
      <c r="Z195" s="353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3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26"/>
        <v>0</v>
      </c>
      <c r="BE195" s="213">
        <f t="shared" si="227"/>
        <v>0</v>
      </c>
      <c r="BF195" s="215">
        <f t="shared" si="228"/>
        <v>0</v>
      </c>
      <c r="BG195" s="215">
        <f t="shared" si="229"/>
        <v>0</v>
      </c>
      <c r="BH195" s="215" t="str">
        <f t="shared" si="214"/>
        <v/>
      </c>
      <c r="BI195" s="215" t="str">
        <f t="shared" si="215"/>
        <v/>
      </c>
      <c r="BJ195" s="215" t="str">
        <f t="shared" si="216"/>
        <v/>
      </c>
      <c r="BK195" s="215" t="str">
        <f t="shared" si="217"/>
        <v/>
      </c>
      <c r="BL195" s="215" t="str">
        <f t="shared" si="218"/>
        <v/>
      </c>
      <c r="BM195" s="215" t="str">
        <f t="shared" si="219"/>
        <v/>
      </c>
      <c r="BN195" s="215" t="str">
        <f t="shared" si="220"/>
        <v/>
      </c>
      <c r="BO195" s="215" t="str">
        <f t="shared" si="221"/>
        <v/>
      </c>
      <c r="BP195" s="215" t="str">
        <f t="shared" si="222"/>
        <v/>
      </c>
      <c r="BQ195" s="216"/>
      <c r="BR195" s="214"/>
      <c r="BS195" s="215">
        <f t="shared" si="230"/>
        <v>0</v>
      </c>
      <c r="BT195" s="215">
        <f t="shared" si="231"/>
        <v>0</v>
      </c>
      <c r="BU195" s="215" t="str">
        <f t="shared" si="232"/>
        <v>Frankenpower Nürnberg</v>
      </c>
      <c r="BV195" s="214">
        <f t="shared" si="233"/>
        <v>2</v>
      </c>
      <c r="BW195" s="215">
        <f t="shared" si="234"/>
        <v>0</v>
      </c>
      <c r="BX195" s="215">
        <f>IF(COUNTIF(BH195:BP195,"&gt;0")&lt;Spielorte!$A$23,0,BE195/Spielorte!$A$23)</f>
        <v>0</v>
      </c>
      <c r="BY195" s="215">
        <f t="shared" si="235"/>
        <v>0</v>
      </c>
      <c r="BZ195" s="214">
        <f t="shared" si="223"/>
        <v>0</v>
      </c>
    </row>
    <row r="196" spans="1:78" ht="17.2" customHeight="1" x14ac:dyDescent="0.35">
      <c r="A196" s="367" t="s">
        <v>11</v>
      </c>
      <c r="B196" s="73" t="str">
        <f>IF(AA196=0,"",AA196)</f>
        <v>Reng, Verena</v>
      </c>
      <c r="C196" s="74">
        <f t="shared" si="224"/>
        <v>38560</v>
      </c>
      <c r="D196" s="75">
        <f t="shared" si="224"/>
        <v>165</v>
      </c>
      <c r="E196" s="348">
        <f>IF(AD196="","",AD196)</f>
        <v>0</v>
      </c>
      <c r="F196" s="75">
        <f t="shared" si="205"/>
        <v>167</v>
      </c>
      <c r="G196" s="348">
        <f>IF(AF196="","",AF196)</f>
        <v>0</v>
      </c>
      <c r="H196" s="75">
        <f t="shared" si="206"/>
        <v>181</v>
      </c>
      <c r="I196" s="348">
        <f>IF(AH196="","",AH196)</f>
        <v>1</v>
      </c>
      <c r="J196" s="75">
        <f t="shared" si="207"/>
        <v>173</v>
      </c>
      <c r="K196" s="348">
        <f>IF(AJ196="","",AJ196)</f>
        <v>1</v>
      </c>
      <c r="L196" s="75">
        <f t="shared" si="208"/>
        <v>176</v>
      </c>
      <c r="M196" s="348">
        <f>IF(AL196="","",AL196)</f>
        <v>1</v>
      </c>
      <c r="N196" s="75">
        <f t="shared" si="225"/>
        <v>131</v>
      </c>
      <c r="O196" s="348">
        <f>IF(AN196="","",AN196)</f>
        <v>0</v>
      </c>
      <c r="P196" s="75">
        <f t="shared" si="209"/>
        <v>173</v>
      </c>
      <c r="Q196" s="348">
        <f>IF(AP196="","",AP196)</f>
        <v>1</v>
      </c>
      <c r="R196" s="75">
        <f t="shared" si="210"/>
        <v>156</v>
      </c>
      <c r="S196" s="348">
        <f>IF(AR196="","",AR196)</f>
        <v>0</v>
      </c>
      <c r="T196" s="75">
        <f t="shared" si="211"/>
        <v>163</v>
      </c>
      <c r="U196" s="348">
        <f>IF(AT196="","",AT196)</f>
        <v>0</v>
      </c>
      <c r="V196" s="75">
        <f t="shared" si="212"/>
        <v>1485</v>
      </c>
      <c r="W196" s="348">
        <f>IF(AV196="","",AV196)</f>
        <v>4</v>
      </c>
      <c r="Z196" s="351" t="s">
        <v>11</v>
      </c>
      <c r="AA196" s="108" t="str">
        <f>IF(AB196=0,"",VLOOKUP(AB196,Starter!$A$1:$D$199,2,FALSE))</f>
        <v>Reng, Verena</v>
      </c>
      <c r="AB196" s="99">
        <v>38560</v>
      </c>
      <c r="AC196" s="188">
        <v>165</v>
      </c>
      <c r="AD196" s="109">
        <f>IF(SUM(AC196:AC198)+AC208=0,0,IF(SUM(AC196:AC198)=AC208,0.5,IF(SUM(AC196:AC198)&gt;AC208,1,0)))</f>
        <v>0</v>
      </c>
      <c r="AE196" s="188">
        <v>167</v>
      </c>
      <c r="AF196" s="109">
        <f>IF(SUM(AE196:AE198)+AE208=0,0,IF(SUM(AE196:AE198)=AE208,0.5,IF(SUM(AE196:AE198)&gt;AE208,1,0)))</f>
        <v>0</v>
      </c>
      <c r="AG196" s="188">
        <v>181</v>
      </c>
      <c r="AH196" s="109">
        <f>IF(SUM(AG196:AG198)+AG208=0,0,IF(SUM(AG196:AG198)=AG208,0.5,IF(SUM(AG196:AG198)&gt;AG208,1,0)))</f>
        <v>1</v>
      </c>
      <c r="AI196" s="188">
        <v>173</v>
      </c>
      <c r="AJ196" s="109">
        <f>IF(SUM(AI196:AI198)+AI208=0,0,IF(SUM(AI196:AI198)=AI208,0.5,IF(SUM(AI196:AI198)&gt;AI208,1,0)))</f>
        <v>1</v>
      </c>
      <c r="AK196" s="188">
        <v>176</v>
      </c>
      <c r="AL196" s="109">
        <f>IF(SUM(AK196:AK198)+AK208=0,0,IF(SUM(AK196:AK198)=AK208,0.5,IF(SUM(AK196:AK198)&gt;AK208,1,0)))</f>
        <v>1</v>
      </c>
      <c r="AM196" s="188">
        <v>131</v>
      </c>
      <c r="AN196" s="109">
        <f>IF(SUM(AM196:AM198)+AM208=0,0,IF(SUM(AM196:AM198)=AM208,0.5,IF(SUM(AM196:AM198)&gt;AM208,1,0)))</f>
        <v>0</v>
      </c>
      <c r="AO196" s="188">
        <v>173</v>
      </c>
      <c r="AP196" s="109">
        <f>IF(SUM(AO196:AO198)+AO208=0,0,IF(SUM(AO196:AO198)=AO208,0.5,IF(SUM(AO196:AO198)&gt;AO208,1,0)))</f>
        <v>1</v>
      </c>
      <c r="AQ196" s="188">
        <v>156</v>
      </c>
      <c r="AR196" s="109">
        <f>IF(SUM(AQ196:AQ198)+AQ208=0,0,IF(SUM(AQ196:AQ198)=AQ208,0.5,IF(SUM(AQ196:AQ198)&gt;AQ208,1,0)))</f>
        <v>0</v>
      </c>
      <c r="AS196" s="188">
        <v>163</v>
      </c>
      <c r="AT196" s="109">
        <f>IF(SUM(AS196:AS198)+AS208=0,0,IF(SUM(AS196:AS198)=AS208,0.5,IF(SUM(AS196:AS198)&gt;AS208,1,0)))</f>
        <v>0</v>
      </c>
      <c r="AU196" s="110">
        <f t="shared" si="213"/>
        <v>1485</v>
      </c>
      <c r="AV196" s="111">
        <f>SUM(AD196+AF196+AH196+AJ196+AL196+AN196+AP196+AR196+AT196)</f>
        <v>4</v>
      </c>
      <c r="AW196" s="101"/>
      <c r="AX196" s="102"/>
      <c r="AZ196" s="63"/>
      <c r="BA196" s="212"/>
      <c r="BB196" s="213"/>
      <c r="BC196" s="214"/>
      <c r="BD196" s="217">
        <f t="shared" si="226"/>
        <v>38560</v>
      </c>
      <c r="BE196" s="213">
        <f t="shared" si="227"/>
        <v>1485</v>
      </c>
      <c r="BF196" s="215">
        <f t="shared" si="228"/>
        <v>9</v>
      </c>
      <c r="BG196" s="215">
        <f t="shared" si="229"/>
        <v>9</v>
      </c>
      <c r="BH196" s="215">
        <f t="shared" si="214"/>
        <v>165</v>
      </c>
      <c r="BI196" s="215">
        <f t="shared" si="215"/>
        <v>167</v>
      </c>
      <c r="BJ196" s="215">
        <f t="shared" si="216"/>
        <v>181</v>
      </c>
      <c r="BK196" s="215">
        <f t="shared" si="217"/>
        <v>173</v>
      </c>
      <c r="BL196" s="215">
        <f t="shared" si="218"/>
        <v>176</v>
      </c>
      <c r="BM196" s="215">
        <f t="shared" si="219"/>
        <v>131</v>
      </c>
      <c r="BN196" s="215">
        <f t="shared" si="220"/>
        <v>173</v>
      </c>
      <c r="BO196" s="215">
        <f t="shared" si="221"/>
        <v>156</v>
      </c>
      <c r="BP196" s="215">
        <f t="shared" si="222"/>
        <v>163</v>
      </c>
      <c r="BQ196" s="216"/>
      <c r="BR196" s="214"/>
      <c r="BS196" s="215">
        <f t="shared" si="230"/>
        <v>181</v>
      </c>
      <c r="BT196" s="215">
        <f t="shared" si="231"/>
        <v>0</v>
      </c>
      <c r="BU196" s="215" t="str">
        <f t="shared" si="232"/>
        <v>Frankenpower Nürnberg</v>
      </c>
      <c r="BV196" s="214">
        <f t="shared" si="233"/>
        <v>2</v>
      </c>
      <c r="BW196" s="215">
        <f t="shared" si="234"/>
        <v>1485</v>
      </c>
      <c r="BX196" s="215">
        <f>IF(COUNTIF(BH196:BP196,"&gt;0")&lt;Spielorte!$A$23,0,BE196/Spielorte!$A$23)</f>
        <v>165</v>
      </c>
      <c r="BY196" s="215">
        <f t="shared" si="235"/>
        <v>0</v>
      </c>
      <c r="BZ196" s="214">
        <f t="shared" si="223"/>
        <v>0</v>
      </c>
    </row>
    <row r="197" spans="1:78" ht="17.2" customHeight="1" x14ac:dyDescent="0.35">
      <c r="A197" s="368"/>
      <c r="B197" s="76" t="str">
        <f>IF(AA197=0,"",AA197)</f>
        <v/>
      </c>
      <c r="C197" s="77" t="str">
        <f t="shared" si="224"/>
        <v/>
      </c>
      <c r="D197" s="78" t="str">
        <f t="shared" si="224"/>
        <v/>
      </c>
      <c r="E197" s="349"/>
      <c r="F197" s="78" t="str">
        <f t="shared" si="205"/>
        <v/>
      </c>
      <c r="G197" s="349"/>
      <c r="H197" s="78" t="str">
        <f t="shared" si="206"/>
        <v/>
      </c>
      <c r="I197" s="349"/>
      <c r="J197" s="78" t="str">
        <f t="shared" si="207"/>
        <v/>
      </c>
      <c r="K197" s="349"/>
      <c r="L197" s="78" t="str">
        <f t="shared" si="208"/>
        <v/>
      </c>
      <c r="M197" s="349"/>
      <c r="N197" s="78" t="str">
        <f t="shared" si="225"/>
        <v/>
      </c>
      <c r="O197" s="349"/>
      <c r="P197" s="78" t="str">
        <f t="shared" si="209"/>
        <v/>
      </c>
      <c r="Q197" s="349"/>
      <c r="R197" s="78" t="str">
        <f t="shared" si="210"/>
        <v/>
      </c>
      <c r="S197" s="349"/>
      <c r="T197" s="78" t="str">
        <f t="shared" si="211"/>
        <v/>
      </c>
      <c r="U197" s="349"/>
      <c r="V197" s="78" t="str">
        <f t="shared" si="212"/>
        <v/>
      </c>
      <c r="W197" s="349"/>
      <c r="Z197" s="352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3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26"/>
        <v>0</v>
      </c>
      <c r="BE197" s="213">
        <f t="shared" si="227"/>
        <v>0</v>
      </c>
      <c r="BF197" s="215">
        <f t="shared" si="228"/>
        <v>0</v>
      </c>
      <c r="BG197" s="215">
        <f t="shared" si="229"/>
        <v>0</v>
      </c>
      <c r="BH197" s="215" t="str">
        <f t="shared" si="214"/>
        <v/>
      </c>
      <c r="BI197" s="215" t="str">
        <f t="shared" si="215"/>
        <v/>
      </c>
      <c r="BJ197" s="215" t="str">
        <f t="shared" si="216"/>
        <v/>
      </c>
      <c r="BK197" s="215" t="str">
        <f t="shared" si="217"/>
        <v/>
      </c>
      <c r="BL197" s="215" t="str">
        <f t="shared" si="218"/>
        <v/>
      </c>
      <c r="BM197" s="215" t="str">
        <f t="shared" si="219"/>
        <v/>
      </c>
      <c r="BN197" s="215" t="str">
        <f t="shared" si="220"/>
        <v/>
      </c>
      <c r="BO197" s="215" t="str">
        <f t="shared" si="221"/>
        <v/>
      </c>
      <c r="BP197" s="215" t="str">
        <f t="shared" si="222"/>
        <v/>
      </c>
      <c r="BQ197" s="216"/>
      <c r="BR197" s="214"/>
      <c r="BS197" s="215">
        <f t="shared" si="230"/>
        <v>0</v>
      </c>
      <c r="BT197" s="215">
        <f t="shared" si="231"/>
        <v>0</v>
      </c>
      <c r="BU197" s="215" t="str">
        <f t="shared" si="232"/>
        <v>Frankenpower Nürnberg</v>
      </c>
      <c r="BV197" s="214">
        <f t="shared" si="233"/>
        <v>2</v>
      </c>
      <c r="BW197" s="215">
        <f t="shared" si="234"/>
        <v>0</v>
      </c>
      <c r="BX197" s="215">
        <f>IF(COUNTIF(BH197:BP197,"&gt;0")&lt;Spielorte!$A$23,0,BE197/Spielorte!$A$23)</f>
        <v>0</v>
      </c>
      <c r="BY197" s="215">
        <f t="shared" si="235"/>
        <v>0</v>
      </c>
      <c r="BZ197" s="214">
        <f t="shared" si="223"/>
        <v>0</v>
      </c>
    </row>
    <row r="198" spans="1:78" ht="17.2" customHeight="1" thickBot="1" x14ac:dyDescent="0.4">
      <c r="A198" s="369"/>
      <c r="B198" s="79" t="str">
        <f>IF(AA198=0,"",AA198)</f>
        <v/>
      </c>
      <c r="C198" s="80" t="str">
        <f t="shared" si="224"/>
        <v/>
      </c>
      <c r="D198" s="69" t="str">
        <f t="shared" si="224"/>
        <v/>
      </c>
      <c r="E198" s="350"/>
      <c r="F198" s="69" t="str">
        <f t="shared" si="205"/>
        <v/>
      </c>
      <c r="G198" s="350"/>
      <c r="H198" s="69" t="str">
        <f t="shared" si="206"/>
        <v/>
      </c>
      <c r="I198" s="350"/>
      <c r="J198" s="69" t="str">
        <f t="shared" si="207"/>
        <v/>
      </c>
      <c r="K198" s="350"/>
      <c r="L198" s="69" t="str">
        <f t="shared" si="208"/>
        <v/>
      </c>
      <c r="M198" s="350"/>
      <c r="N198" s="69" t="str">
        <f t="shared" si="225"/>
        <v/>
      </c>
      <c r="O198" s="350"/>
      <c r="P198" s="69" t="str">
        <f t="shared" si="209"/>
        <v/>
      </c>
      <c r="Q198" s="350"/>
      <c r="R198" s="69" t="str">
        <f t="shared" si="210"/>
        <v/>
      </c>
      <c r="S198" s="350"/>
      <c r="T198" s="69" t="str">
        <f t="shared" si="211"/>
        <v/>
      </c>
      <c r="U198" s="350"/>
      <c r="V198" s="69" t="str">
        <f t="shared" si="212"/>
        <v/>
      </c>
      <c r="W198" s="350"/>
      <c r="Z198" s="353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3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26"/>
        <v>0</v>
      </c>
      <c r="BE198" s="213">
        <f t="shared" si="227"/>
        <v>0</v>
      </c>
      <c r="BF198" s="215">
        <f t="shared" si="228"/>
        <v>0</v>
      </c>
      <c r="BG198" s="215">
        <f t="shared" si="229"/>
        <v>0</v>
      </c>
      <c r="BH198" s="215" t="str">
        <f t="shared" si="214"/>
        <v/>
      </c>
      <c r="BI198" s="215" t="str">
        <f t="shared" si="215"/>
        <v/>
      </c>
      <c r="BJ198" s="215" t="str">
        <f t="shared" si="216"/>
        <v/>
      </c>
      <c r="BK198" s="215" t="str">
        <f t="shared" si="217"/>
        <v/>
      </c>
      <c r="BL198" s="215" t="str">
        <f t="shared" si="218"/>
        <v/>
      </c>
      <c r="BM198" s="215" t="str">
        <f t="shared" si="219"/>
        <v/>
      </c>
      <c r="BN198" s="215" t="str">
        <f t="shared" si="220"/>
        <v/>
      </c>
      <c r="BO198" s="215" t="str">
        <f t="shared" si="221"/>
        <v/>
      </c>
      <c r="BP198" s="215" t="str">
        <f t="shared" si="222"/>
        <v/>
      </c>
      <c r="BQ198" s="216"/>
      <c r="BR198" s="214"/>
      <c r="BS198" s="215">
        <f t="shared" si="230"/>
        <v>0</v>
      </c>
      <c r="BT198" s="215">
        <f t="shared" si="231"/>
        <v>0</v>
      </c>
      <c r="BU198" s="215" t="str">
        <f t="shared" si="232"/>
        <v>Frankenpower Nürnberg</v>
      </c>
      <c r="BV198" s="214">
        <f t="shared" si="233"/>
        <v>2</v>
      </c>
      <c r="BW198" s="215">
        <f t="shared" si="234"/>
        <v>0</v>
      </c>
      <c r="BX198" s="215">
        <f>IF(COUNTIF(BH198:BP198,"&gt;0")&lt;Spielorte!$A$23,0,BE198/Spielorte!$A$23)</f>
        <v>0</v>
      </c>
      <c r="BY198" s="215">
        <f t="shared" si="235"/>
        <v>0</v>
      </c>
      <c r="BZ198" s="214">
        <f t="shared" si="223"/>
        <v>0</v>
      </c>
    </row>
    <row r="199" spans="1:78" ht="27.75" customHeight="1" thickBot="1" x14ac:dyDescent="0.4">
      <c r="B199" s="81" t="str">
        <f>IF(AA199=0,"",AA199)</f>
        <v>Gesamt</v>
      </c>
      <c r="C199" s="82" t="str">
        <f t="shared" si="224"/>
        <v/>
      </c>
      <c r="D199" s="83">
        <f t="shared" si="224"/>
        <v>621</v>
      </c>
      <c r="E199" s="84">
        <f>IF(AD199="","",AD199)</f>
        <v>0</v>
      </c>
      <c r="F199" s="83">
        <f t="shared" si="205"/>
        <v>642</v>
      </c>
      <c r="G199" s="84">
        <f>IF(AF199="","",AF199)</f>
        <v>0</v>
      </c>
      <c r="H199" s="83">
        <f t="shared" si="206"/>
        <v>712</v>
      </c>
      <c r="I199" s="84">
        <f>IF(AH199="","",AH199)</f>
        <v>2</v>
      </c>
      <c r="J199" s="83">
        <f t="shared" si="207"/>
        <v>673</v>
      </c>
      <c r="K199" s="84">
        <f>IF(AJ199="","",AJ199)</f>
        <v>2</v>
      </c>
      <c r="L199" s="83">
        <f t="shared" si="208"/>
        <v>691</v>
      </c>
      <c r="M199" s="84">
        <f>IF(AL199="","",AL199)</f>
        <v>2</v>
      </c>
      <c r="N199" s="83">
        <f t="shared" si="225"/>
        <v>672</v>
      </c>
      <c r="O199" s="84">
        <f>IF(AN199="","",AN199)</f>
        <v>0</v>
      </c>
      <c r="P199" s="83">
        <f t="shared" si="209"/>
        <v>643</v>
      </c>
      <c r="Q199" s="84">
        <f>IF(AP199="","",AP199)</f>
        <v>0</v>
      </c>
      <c r="R199" s="83">
        <f t="shared" si="210"/>
        <v>678</v>
      </c>
      <c r="S199" s="84">
        <f>IF(AR199="","",AR199)</f>
        <v>0</v>
      </c>
      <c r="T199" s="83">
        <f t="shared" si="211"/>
        <v>674</v>
      </c>
      <c r="U199" s="84">
        <f>IF(AT199="","",AT199)</f>
        <v>0</v>
      </c>
      <c r="V199" s="83">
        <f t="shared" si="212"/>
        <v>6006</v>
      </c>
      <c r="W199" s="84">
        <f>IF(AV199="","",AV199)</f>
        <v>6</v>
      </c>
      <c r="AA199" s="81" t="s">
        <v>1799</v>
      </c>
      <c r="AB199" s="120"/>
      <c r="AC199" s="211">
        <f>ABS(SUM(AC187:AC189))+ABS(SUM(AC190:AC192))+ABS(SUM(AC193:AC195))+ABS(SUM(AC196:AC198))</f>
        <v>621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642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712</v>
      </c>
      <c r="AH199" s="121">
        <f>IF(AG199+AG209=0,0,IF(AG199=AG209,1,IF(AG199&gt;AG209,2,0)))</f>
        <v>2</v>
      </c>
      <c r="AI199" s="211">
        <f>ABS(SUM(AI187:AI189))+ABS(SUM(AI190:AI192))+ABS(SUM(AI193:AI195))+ABS(SUM(AI196:AI198))</f>
        <v>673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691</v>
      </c>
      <c r="AL199" s="121">
        <f>IF(AK199+AK209=0,0,IF(AK199=AK209,1,IF(AK199&gt;AK209,2,0)))</f>
        <v>2</v>
      </c>
      <c r="AM199" s="211">
        <f>ABS(SUM(AM187:AM189))+ABS(SUM(AM190:AM192))+ABS(SUM(AM193:AM195))+ABS(SUM(AM196:AM198))</f>
        <v>672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643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678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674</v>
      </c>
      <c r="AT199" s="121">
        <f>IF(AS199+AS209=0,0,IF(AS199=AS209,1,IF(AS199&gt;AS209,2,0)))</f>
        <v>0</v>
      </c>
      <c r="AU199" s="122">
        <f>SUM(AC199+AE199+AG199+AI199+AK199+AM199+AO199+AQ199+AS199)</f>
        <v>6006</v>
      </c>
      <c r="AV199" s="123">
        <f>SUM(AD199+AF199+AH199+AJ199+AL199+AN199+AP199+AR199+AT199)</f>
        <v>6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4">
      <c r="B200" s="85" t="str">
        <f>IF(AA200=0,"",AA200)</f>
        <v>Gesamt - Punkte</v>
      </c>
      <c r="C200" s="86" t="str">
        <f t="shared" si="224"/>
        <v/>
      </c>
      <c r="D200" s="86" t="str">
        <f t="shared" si="224"/>
        <v/>
      </c>
      <c r="E200" s="87">
        <f>IF(AD200="","",AD200)</f>
        <v>0</v>
      </c>
      <c r="F200" s="86" t="str">
        <f t="shared" si="205"/>
        <v/>
      </c>
      <c r="G200" s="87">
        <f>IF(AF200="","",AF200)</f>
        <v>0</v>
      </c>
      <c r="H200" s="86" t="str">
        <f t="shared" si="206"/>
        <v/>
      </c>
      <c r="I200" s="87">
        <f>IF(AH200="","",AH200)</f>
        <v>6</v>
      </c>
      <c r="J200" s="86" t="str">
        <f t="shared" si="207"/>
        <v/>
      </c>
      <c r="K200" s="87">
        <f>IF(AJ200="","",AJ200)</f>
        <v>6</v>
      </c>
      <c r="L200" s="86" t="str">
        <f t="shared" si="208"/>
        <v/>
      </c>
      <c r="M200" s="87">
        <f>IF(AL200="","",AL200)</f>
        <v>5</v>
      </c>
      <c r="N200" s="86" t="str">
        <f t="shared" si="225"/>
        <v/>
      </c>
      <c r="O200" s="87">
        <f>IF(AN200="","",AN200)</f>
        <v>2</v>
      </c>
      <c r="P200" s="86" t="str">
        <f t="shared" si="209"/>
        <v/>
      </c>
      <c r="Q200" s="87">
        <f>IF(AP200="","",AP200)</f>
        <v>2</v>
      </c>
      <c r="R200" s="86" t="str">
        <f t="shared" si="210"/>
        <v/>
      </c>
      <c r="S200" s="87">
        <f>IF(AR200="","",AR200)</f>
        <v>0</v>
      </c>
      <c r="T200" s="86" t="str">
        <f t="shared" si="211"/>
        <v/>
      </c>
      <c r="U200" s="87">
        <f>IF(AT200="","",AT200)</f>
        <v>2</v>
      </c>
      <c r="V200" s="86" t="str">
        <f t="shared" si="212"/>
        <v/>
      </c>
      <c r="W200" s="87">
        <f>IF(AV200="","",AV200)</f>
        <v>23</v>
      </c>
      <c r="AA200" s="85" t="s">
        <v>1814</v>
      </c>
      <c r="AB200" s="86"/>
      <c r="AC200" s="86"/>
      <c r="AD200" s="124">
        <f>SUM(AD187:AD199)</f>
        <v>0</v>
      </c>
      <c r="AE200" s="86"/>
      <c r="AF200" s="124">
        <f>SUM(AF187:AF199)</f>
        <v>0</v>
      </c>
      <c r="AG200" s="86"/>
      <c r="AH200" s="124">
        <f>SUM(AH187:AH199)</f>
        <v>6</v>
      </c>
      <c r="AI200" s="86"/>
      <c r="AJ200" s="124">
        <f>SUM(AJ187:AJ199)</f>
        <v>6</v>
      </c>
      <c r="AK200" s="86"/>
      <c r="AL200" s="124">
        <f>SUM(AL187:AL199)</f>
        <v>5</v>
      </c>
      <c r="AM200" s="86"/>
      <c r="AN200" s="124">
        <f>SUM(AN187:AN199)</f>
        <v>2</v>
      </c>
      <c r="AO200" s="86"/>
      <c r="AP200" s="124">
        <f>SUM(AP187:AP199)</f>
        <v>2</v>
      </c>
      <c r="AQ200" s="86"/>
      <c r="AR200" s="124">
        <f>SUM(AR187:AR199)</f>
        <v>0</v>
      </c>
      <c r="AS200" s="86"/>
      <c r="AT200" s="124">
        <f>SUM(AT187:AT199)</f>
        <v>2</v>
      </c>
      <c r="AU200" s="86"/>
      <c r="AV200" s="125">
        <f>SUM(AV187:AV199)</f>
        <v>23</v>
      </c>
      <c r="AW200" s="101"/>
      <c r="AX200" s="102"/>
      <c r="BA200" s="212">
        <f>+AV200</f>
        <v>23</v>
      </c>
      <c r="BB200" s="213">
        <f>+AU199</f>
        <v>6006</v>
      </c>
      <c r="BC200" s="214">
        <f>+AA182</f>
        <v>7</v>
      </c>
      <c r="BF200" s="215">
        <f>SUM(BF181:BF199)</f>
        <v>36</v>
      </c>
      <c r="BQ200" s="212">
        <f>+BB200/1000000+BA200</f>
        <v>23.006005999999999</v>
      </c>
      <c r="BR200" s="214">
        <f>RANK(BQ200,BQ:BQ)</f>
        <v>8</v>
      </c>
      <c r="BV200" s="214"/>
      <c r="BZ200" s="214"/>
    </row>
    <row r="201" spans="1:78" ht="11.25" customHeight="1" x14ac:dyDescent="0.3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35">
      <c r="B202" s="88" t="str">
        <f t="shared" ref="B202:K204" si="236">IF(AA202=0,"",AA202)</f>
        <v>Gegner-Nr.:</v>
      </c>
      <c r="C202" s="89" t="str">
        <f t="shared" si="236"/>
        <v>&gt;&gt;&gt;&gt;</v>
      </c>
      <c r="D202" s="346">
        <f t="shared" si="236"/>
        <v>9</v>
      </c>
      <c r="E202" s="346" t="str">
        <f t="shared" si="236"/>
        <v/>
      </c>
      <c r="F202" s="346">
        <f t="shared" si="236"/>
        <v>6</v>
      </c>
      <c r="G202" s="346" t="str">
        <f t="shared" si="236"/>
        <v/>
      </c>
      <c r="H202" s="346">
        <f t="shared" si="236"/>
        <v>10</v>
      </c>
      <c r="I202" s="346" t="str">
        <f t="shared" si="236"/>
        <v/>
      </c>
      <c r="J202" s="346">
        <f t="shared" si="236"/>
        <v>4</v>
      </c>
      <c r="K202" s="346" t="str">
        <f t="shared" si="236"/>
        <v/>
      </c>
      <c r="L202" s="346">
        <f t="shared" ref="L202:U204" si="237">IF(AK202=0,"",AK202)</f>
        <v>2</v>
      </c>
      <c r="M202" s="346" t="str">
        <f t="shared" si="237"/>
        <v/>
      </c>
      <c r="N202" s="346">
        <f t="shared" si="237"/>
        <v>3</v>
      </c>
      <c r="O202" s="346" t="str">
        <f t="shared" si="237"/>
        <v/>
      </c>
      <c r="P202" s="346">
        <f t="shared" si="237"/>
        <v>1</v>
      </c>
      <c r="Q202" s="346" t="str">
        <f t="shared" si="237"/>
        <v/>
      </c>
      <c r="R202" s="346">
        <f t="shared" si="237"/>
        <v>8</v>
      </c>
      <c r="S202" s="346" t="str">
        <f t="shared" si="237"/>
        <v/>
      </c>
      <c r="T202" s="346">
        <f t="shared" si="237"/>
        <v>5</v>
      </c>
      <c r="U202" s="346" t="str">
        <f t="shared" si="237"/>
        <v/>
      </c>
      <c r="V202" s="347"/>
      <c r="W202" s="347"/>
      <c r="AA202" s="88" t="s">
        <v>1797</v>
      </c>
      <c r="AB202" s="89" t="s">
        <v>1798</v>
      </c>
      <c r="AC202" s="370">
        <f>VLOOKUP($AA182,Schlüssel!$A$5:$DG$14,43)</f>
        <v>9</v>
      </c>
      <c r="AD202" s="371"/>
      <c r="AE202" s="370">
        <f>VLOOKUP($AA182,Schlüssel!$A$5:$EK$14,44)</f>
        <v>6</v>
      </c>
      <c r="AF202" s="371"/>
      <c r="AG202" s="370">
        <f>VLOOKUP($AA182,Schlüssel!$A$5:$EK$14,45)</f>
        <v>10</v>
      </c>
      <c r="AH202" s="371"/>
      <c r="AI202" s="370">
        <f>VLOOKUP($AA182,Schlüssel!$A$5:$EK$14,46)</f>
        <v>4</v>
      </c>
      <c r="AJ202" s="371"/>
      <c r="AK202" s="370">
        <f>VLOOKUP($AA182,Schlüssel!$A$5:$EK$14,47)</f>
        <v>2</v>
      </c>
      <c r="AL202" s="371"/>
      <c r="AM202" s="370">
        <f>VLOOKUP($AA182,Schlüssel!$A$5:$EK$14,48)</f>
        <v>3</v>
      </c>
      <c r="AN202" s="371"/>
      <c r="AO202" s="370">
        <f>VLOOKUP($AA182,Schlüssel!$A$5:$EK$14,49)</f>
        <v>1</v>
      </c>
      <c r="AP202" s="371"/>
      <c r="AQ202" s="370">
        <f>VLOOKUP($AA182,Schlüssel!$A$5:$EK$14,50)</f>
        <v>8</v>
      </c>
      <c r="AR202" s="371"/>
      <c r="AS202" s="370">
        <f>VLOOKUP($AA182,Schlüssel!$A$5:$EK$14,51)</f>
        <v>5</v>
      </c>
      <c r="AT202" s="371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35">
      <c r="B203" s="90" t="str">
        <f t="shared" si="236"/>
        <v/>
      </c>
      <c r="C203" s="86" t="str">
        <f t="shared" si="236"/>
        <v/>
      </c>
      <c r="D203" s="343" t="str">
        <f t="shared" si="236"/>
        <v>RW Lichtenhof 69 Stein 2</v>
      </c>
      <c r="E203" s="344" t="str">
        <f t="shared" si="236"/>
        <v/>
      </c>
      <c r="F203" s="343" t="str">
        <f t="shared" si="236"/>
        <v>Phönix 03 Lauf</v>
      </c>
      <c r="G203" s="344" t="str">
        <f t="shared" si="236"/>
        <v/>
      </c>
      <c r="H203" s="343" t="str">
        <f t="shared" si="236"/>
        <v>BK München 4</v>
      </c>
      <c r="I203" s="344" t="str">
        <f t="shared" si="236"/>
        <v/>
      </c>
      <c r="J203" s="343" t="str">
        <f t="shared" si="236"/>
        <v>BK München 3</v>
      </c>
      <c r="K203" s="344" t="str">
        <f t="shared" si="236"/>
        <v/>
      </c>
      <c r="L203" s="343" t="str">
        <f t="shared" si="237"/>
        <v>BK München 2</v>
      </c>
      <c r="M203" s="344" t="str">
        <f t="shared" si="237"/>
        <v/>
      </c>
      <c r="N203" s="343" t="str">
        <f t="shared" si="237"/>
        <v>Highroller Rosenheim</v>
      </c>
      <c r="O203" s="344" t="str">
        <f t="shared" si="237"/>
        <v/>
      </c>
      <c r="P203" s="343" t="str">
        <f t="shared" si="237"/>
        <v>Praetoria Regensburg</v>
      </c>
      <c r="Q203" s="344" t="str">
        <f t="shared" si="237"/>
        <v/>
      </c>
      <c r="R203" s="343" t="str">
        <f t="shared" si="237"/>
        <v>EPA München 1</v>
      </c>
      <c r="S203" s="344" t="str">
        <f t="shared" si="237"/>
        <v/>
      </c>
      <c r="T203" s="343" t="str">
        <f t="shared" si="237"/>
        <v xml:space="preserve">Weiß Blau Unterföhring </v>
      </c>
      <c r="U203" s="344" t="str">
        <f t="shared" si="237"/>
        <v/>
      </c>
      <c r="V203" s="345"/>
      <c r="W203" s="345"/>
      <c r="AA203" s="90"/>
      <c r="AB203" s="86"/>
      <c r="AC203" s="343" t="str">
        <f>VLOOKUP(AC202,Schlüssel!$A$5:$K$14,2)</f>
        <v>RW Lichtenhof 69 Stein 2</v>
      </c>
      <c r="AD203" s="344"/>
      <c r="AE203" s="343" t="str">
        <f>VLOOKUP(AE202,Schlüssel!$A$5:$K$14,2)</f>
        <v>Phönix 03 Lauf</v>
      </c>
      <c r="AF203" s="344"/>
      <c r="AG203" s="343" t="str">
        <f>VLOOKUP(AG202,Schlüssel!$A$5:$K$14,2)</f>
        <v>BK München 4</v>
      </c>
      <c r="AH203" s="344"/>
      <c r="AI203" s="343" t="str">
        <f>VLOOKUP(AI202,Schlüssel!$A$5:$K$14,2)</f>
        <v>BK München 3</v>
      </c>
      <c r="AJ203" s="344"/>
      <c r="AK203" s="343" t="str">
        <f>VLOOKUP(AK202,Schlüssel!$A$5:$K$14,2)</f>
        <v>BK München 2</v>
      </c>
      <c r="AL203" s="344"/>
      <c r="AM203" s="343" t="str">
        <f>VLOOKUP(AM202,Schlüssel!$A$5:$K$14,2)</f>
        <v>Highroller Rosenheim</v>
      </c>
      <c r="AN203" s="344"/>
      <c r="AO203" s="343" t="str">
        <f>VLOOKUP(AO202,Schlüssel!$A$5:$K$14,2)</f>
        <v>Praetoria Regensburg</v>
      </c>
      <c r="AP203" s="344"/>
      <c r="AQ203" s="343" t="str">
        <f>VLOOKUP(AQ202,Schlüssel!$A$5:$K$14,2)</f>
        <v>EPA München 1</v>
      </c>
      <c r="AR203" s="344"/>
      <c r="AS203" s="343" t="str">
        <f>VLOOKUP(AS202,Schlüssel!$A$5:$K$14,2)</f>
        <v xml:space="preserve">Weiß Blau Unterföhring </v>
      </c>
      <c r="AT203" s="344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35">
      <c r="B204" s="90" t="str">
        <f t="shared" si="236"/>
        <v/>
      </c>
      <c r="C204" s="86" t="str">
        <f t="shared" si="236"/>
        <v/>
      </c>
      <c r="D204" s="341" t="str">
        <f t="shared" si="236"/>
        <v/>
      </c>
      <c r="E204" s="341" t="str">
        <f t="shared" si="236"/>
        <v/>
      </c>
      <c r="F204" s="341" t="str">
        <f t="shared" si="236"/>
        <v/>
      </c>
      <c r="G204" s="341" t="str">
        <f t="shared" si="236"/>
        <v/>
      </c>
      <c r="H204" s="341" t="str">
        <f t="shared" si="236"/>
        <v/>
      </c>
      <c r="I204" s="341" t="str">
        <f t="shared" si="236"/>
        <v/>
      </c>
      <c r="J204" s="341" t="str">
        <f t="shared" si="236"/>
        <v/>
      </c>
      <c r="K204" s="341" t="str">
        <f t="shared" si="236"/>
        <v/>
      </c>
      <c r="L204" s="341" t="str">
        <f t="shared" si="237"/>
        <v/>
      </c>
      <c r="M204" s="341" t="str">
        <f t="shared" si="237"/>
        <v/>
      </c>
      <c r="N204" s="341" t="str">
        <f t="shared" si="237"/>
        <v/>
      </c>
      <c r="O204" s="341" t="str">
        <f t="shared" si="237"/>
        <v/>
      </c>
      <c r="P204" s="341" t="str">
        <f t="shared" si="237"/>
        <v/>
      </c>
      <c r="Q204" s="341" t="str">
        <f t="shared" si="237"/>
        <v/>
      </c>
      <c r="R204" s="341" t="str">
        <f t="shared" si="237"/>
        <v/>
      </c>
      <c r="S204" s="341" t="str">
        <f t="shared" si="237"/>
        <v/>
      </c>
      <c r="T204" s="341" t="str">
        <f t="shared" si="237"/>
        <v/>
      </c>
      <c r="U204" s="342" t="str">
        <f t="shared" si="237"/>
        <v/>
      </c>
      <c r="V204" s="301"/>
      <c r="W204" s="301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6.05" customHeight="1" x14ac:dyDescent="0.35">
      <c r="B205" s="365" t="str">
        <f t="shared" ref="B205:C209" si="238">IF(AA205=0,"",AA205)</f>
        <v>Spieler 1</v>
      </c>
      <c r="C205" s="366" t="str">
        <f t="shared" si="238"/>
        <v/>
      </c>
      <c r="D205" s="339">
        <f>IF(AC205=301,"",AC205)</f>
        <v>168</v>
      </c>
      <c r="E205" s="339" t="str">
        <f>IF(AD205=0,"",AD205)</f>
        <v/>
      </c>
      <c r="F205" s="339">
        <f>IF(AE205=301,"",AE205)</f>
        <v>171</v>
      </c>
      <c r="G205" s="339" t="str">
        <f>IF(AF205=0,"",AF205)</f>
        <v/>
      </c>
      <c r="H205" s="339">
        <f>IF(AG205=301,"",AG205)</f>
        <v>149</v>
      </c>
      <c r="I205" s="339" t="str">
        <f>IF(AH205=0,"",AH205)</f>
        <v/>
      </c>
      <c r="J205" s="339">
        <f>IF(AI205=301,"",AI205)</f>
        <v>0</v>
      </c>
      <c r="K205" s="339" t="str">
        <f>IF(AJ205=0,"",AJ205)</f>
        <v/>
      </c>
      <c r="L205" s="339">
        <f>IF(AK205=301,"",AK205)</f>
        <v>173</v>
      </c>
      <c r="M205" s="339" t="str">
        <f>IF(AL205=0,"",AL205)</f>
        <v/>
      </c>
      <c r="N205" s="339">
        <f>IF(AM205=301,"",AM205)</f>
        <v>177</v>
      </c>
      <c r="O205" s="339" t="str">
        <f>IF(AN205=0,"",AN205)</f>
        <v/>
      </c>
      <c r="P205" s="339">
        <f>IF(AO205=301,"",AO205)</f>
        <v>191</v>
      </c>
      <c r="Q205" s="339" t="str">
        <f>IF(AP205=0,"",AP205)</f>
        <v/>
      </c>
      <c r="R205" s="339">
        <f>IF(AQ205=301,"",AQ205)</f>
        <v>215</v>
      </c>
      <c r="S205" s="339" t="str">
        <f>IF(AR205=0,"",AR205)</f>
        <v/>
      </c>
      <c r="T205" s="339">
        <f>IF(AS205=301,"",AS205)</f>
        <v>156</v>
      </c>
      <c r="U205" s="339" t="str">
        <f>IF(AT205=0,"",AT205)</f>
        <v/>
      </c>
      <c r="V205" s="340"/>
      <c r="W205" s="340"/>
      <c r="AA205" s="91" t="s">
        <v>0</v>
      </c>
      <c r="AB205" s="92"/>
      <c r="AC205" s="372">
        <f>ABS(INDEX(AC:AC,MATCH(AC202,$AA:$AA,0)+5)+INDEX(AC:AC,MATCH(AC202,$AA:$AA,0)+6)+INDEX(AC:AC,MATCH(AC202,$AA:$AA,0)+7))</f>
        <v>168</v>
      </c>
      <c r="AD205" s="373"/>
      <c r="AE205" s="372">
        <f>ABS(INDEX(AE:AE,MATCH(AE202,$AA:$AA,0)+5)+INDEX(AE:AE,MATCH(AE202,$AA:$AA,0)+6)+INDEX(AE:AE,MATCH(AE202,$AA:$AA,0)+7))</f>
        <v>171</v>
      </c>
      <c r="AF205" s="373"/>
      <c r="AG205" s="372">
        <f>ABS(INDEX(AG:AG,MATCH(AG202,$AA:$AA,0)+5)+INDEX(AG:AG,MATCH(AG202,$AA:$AA,0)+6)+INDEX(AG:AG,MATCH(AG202,$AA:$AA,0)+7))</f>
        <v>149</v>
      </c>
      <c r="AH205" s="373"/>
      <c r="AI205" s="372">
        <f>ABS(INDEX(AI:AI,MATCH(AI202,$AA:$AA,0)+5)+INDEX(AI:AI,MATCH(AI202,$AA:$AA,0)+6)+INDEX(AI:AI,MATCH(AI202,$AA:$AA,0)+7))</f>
        <v>0</v>
      </c>
      <c r="AJ205" s="373"/>
      <c r="AK205" s="372">
        <f>ABS(INDEX(AK:AK,MATCH(AK202,$AA:$AA,0)+5)+INDEX(AK:AK,MATCH(AK202,$AA:$AA,0)+6)+INDEX(AK:AK,MATCH(AK202,$AA:$AA,0)+7))</f>
        <v>173</v>
      </c>
      <c r="AL205" s="373"/>
      <c r="AM205" s="372">
        <f>ABS(INDEX(AM:AM,MATCH(AM202,$AA:$AA,0)+5)+INDEX(AM:AM,MATCH(AM202,$AA:$AA,0)+6)+INDEX(AM:AM,MATCH(AM202,$AA:$AA,0)+7))</f>
        <v>177</v>
      </c>
      <c r="AN205" s="373"/>
      <c r="AO205" s="372">
        <f>ABS(INDEX(AO:AO,MATCH(AO202,$AA:$AA,0)+5)+INDEX(AO:AO,MATCH(AO202,$AA:$AA,0)+6)+INDEX(AO:AO,MATCH(AO202,$AA:$AA,0)+7))</f>
        <v>191</v>
      </c>
      <c r="AP205" s="373"/>
      <c r="AQ205" s="372">
        <f>ABS(INDEX(AQ:AQ,MATCH(AQ202,$AA:$AA,0)+5)+INDEX(AQ:AQ,MATCH(AQ202,$AA:$AA,0)+6)+INDEX(AQ:AQ,MATCH(AQ202,$AA:$AA,0)+7))</f>
        <v>215</v>
      </c>
      <c r="AR205" s="373"/>
      <c r="AS205" s="372">
        <f>ABS(INDEX(AS:AS,MATCH(AS202,$AA:$AA,0)+5)+INDEX(AS:AS,MATCH(AS202,$AA:$AA,0)+6)+INDEX(AS:AS,MATCH(AS202,$AA:$AA,0)+7))</f>
        <v>156</v>
      </c>
      <c r="AT205" s="373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6.05" customHeight="1" x14ac:dyDescent="0.35">
      <c r="B206" s="365" t="str">
        <f t="shared" si="238"/>
        <v>Spieler 2</v>
      </c>
      <c r="C206" s="366" t="str">
        <f t="shared" si="238"/>
        <v/>
      </c>
      <c r="D206" s="339">
        <f>IF(AC206=301,"",AC206)</f>
        <v>183</v>
      </c>
      <c r="E206" s="339" t="str">
        <f>IF(AD206=0,"",AD206)</f>
        <v/>
      </c>
      <c r="F206" s="339">
        <f>IF(AE206=301,"",AE206)</f>
        <v>183</v>
      </c>
      <c r="G206" s="339" t="str">
        <f>IF(AF206=0,"",AF206)</f>
        <v/>
      </c>
      <c r="H206" s="339">
        <f>IF(AG206=301,"",AG206)</f>
        <v>168</v>
      </c>
      <c r="I206" s="339" t="str">
        <f>IF(AH206=0,"",AH206)</f>
        <v/>
      </c>
      <c r="J206" s="339">
        <f>IF(AI206=301,"",AI206)</f>
        <v>0</v>
      </c>
      <c r="K206" s="339" t="str">
        <f>IF(AJ206=0,"",AJ206)</f>
        <v/>
      </c>
      <c r="L206" s="339">
        <f>IF(AK206=301,"",AK206)</f>
        <v>145</v>
      </c>
      <c r="M206" s="339" t="str">
        <f>IF(AL206=0,"",AL206)</f>
        <v/>
      </c>
      <c r="N206" s="339">
        <f>IF(AM206=301,"",AM206)</f>
        <v>159</v>
      </c>
      <c r="O206" s="339" t="str">
        <f>IF(AN206=0,"",AN206)</f>
        <v/>
      </c>
      <c r="P206" s="339">
        <f>IF(AO206=301,"",AO206)</f>
        <v>170</v>
      </c>
      <c r="Q206" s="339" t="str">
        <f>IF(AP206=0,"",AP206)</f>
        <v/>
      </c>
      <c r="R206" s="339">
        <f>IF(AQ206=301,"",AQ206)</f>
        <v>146</v>
      </c>
      <c r="S206" s="339" t="str">
        <f>IF(AR206=0,"",AR206)</f>
        <v/>
      </c>
      <c r="T206" s="339">
        <f>IF(AS206=301,"",AS206)</f>
        <v>160</v>
      </c>
      <c r="U206" s="339" t="str">
        <f>IF(AT206=0,"",AT206)</f>
        <v/>
      </c>
      <c r="V206" s="340"/>
      <c r="W206" s="340"/>
      <c r="AA206" s="91" t="s">
        <v>2</v>
      </c>
      <c r="AB206" s="92"/>
      <c r="AC206" s="374">
        <f>ABS(INDEX(AC:AC,MATCH(AC202,$AA:$AA,0)+8)+INDEX(AC:AC,MATCH(AC202,$AA:$AA,0)+9)+INDEX(AC:AC,MATCH(AC202,$AA:$AA,0)+10))</f>
        <v>183</v>
      </c>
      <c r="AD206" s="375"/>
      <c r="AE206" s="374">
        <f>ABS(INDEX(AE:AE,MATCH(AE202,$AA:$AA,0)+8)+INDEX(AE:AE,MATCH(AE202,$AA:$AA,0)+9)+INDEX(AE:AE,MATCH(AE202,$AA:$AA,0)+10))</f>
        <v>183</v>
      </c>
      <c r="AF206" s="375"/>
      <c r="AG206" s="374">
        <f>ABS(INDEX(AG:AG,MATCH(AG202,$AA:$AA,0)+8)+INDEX(AG:AG,MATCH(AG202,$AA:$AA,0)+9)+INDEX(AG:AG,MATCH(AG202,$AA:$AA,0)+10))</f>
        <v>168</v>
      </c>
      <c r="AH206" s="375"/>
      <c r="AI206" s="374">
        <f>ABS(INDEX(AI:AI,MATCH(AI202,$AA:$AA,0)+8)+INDEX(AI:AI,MATCH(AI202,$AA:$AA,0)+9)+INDEX(AI:AI,MATCH(AI202,$AA:$AA,0)+10))</f>
        <v>0</v>
      </c>
      <c r="AJ206" s="375"/>
      <c r="AK206" s="374">
        <f>ABS(INDEX(AK:AK,MATCH(AK202,$AA:$AA,0)+8)+INDEX(AK:AK,MATCH(AK202,$AA:$AA,0)+9)+INDEX(AK:AK,MATCH(AK202,$AA:$AA,0)+10))</f>
        <v>145</v>
      </c>
      <c r="AL206" s="375"/>
      <c r="AM206" s="374">
        <f>ABS(INDEX(AM:AM,MATCH(AM202,$AA:$AA,0)+8)+INDEX(AM:AM,MATCH(AM202,$AA:$AA,0)+9)+INDEX(AM:AM,MATCH(AM202,$AA:$AA,0)+10))</f>
        <v>159</v>
      </c>
      <c r="AN206" s="375"/>
      <c r="AO206" s="374">
        <f>ABS(INDEX(AO:AO,MATCH(AO202,$AA:$AA,0)+8)+INDEX(AO:AO,MATCH(AO202,$AA:$AA,0)+9)+INDEX(AO:AO,MATCH(AO202,$AA:$AA,0)+10))</f>
        <v>170</v>
      </c>
      <c r="AP206" s="375"/>
      <c r="AQ206" s="374">
        <f>ABS(INDEX(AQ:AQ,MATCH(AQ202,$AA:$AA,0)+8)+INDEX(AQ:AQ,MATCH(AQ202,$AA:$AA,0)+9)+INDEX(AQ:AQ,MATCH(AQ202,$AA:$AA,0)+10))</f>
        <v>146</v>
      </c>
      <c r="AR206" s="375"/>
      <c r="AS206" s="374">
        <f>ABS(INDEX(AS:AS,MATCH(AS202,$AA:$AA,0)+8)+INDEX(AS:AS,MATCH(AS202,$AA:$AA,0)+9)+INDEX(AS:AS,MATCH(AS202,$AA:$AA,0)+10))</f>
        <v>160</v>
      </c>
      <c r="AT206" s="37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6.05" customHeight="1" x14ac:dyDescent="0.35">
      <c r="B207" s="365" t="str">
        <f t="shared" si="238"/>
        <v>Spieler 3</v>
      </c>
      <c r="C207" s="366" t="str">
        <f t="shared" si="238"/>
        <v/>
      </c>
      <c r="D207" s="339">
        <f>IF(AC207=301,"",AC207)</f>
        <v>181</v>
      </c>
      <c r="E207" s="339" t="str">
        <f>IF(AD207=0,"",AD207)</f>
        <v/>
      </c>
      <c r="F207" s="339">
        <f>IF(AE207=301,"",AE207)</f>
        <v>179</v>
      </c>
      <c r="G207" s="339" t="str">
        <f>IF(AF207=0,"",AF207)</f>
        <v/>
      </c>
      <c r="H207" s="339">
        <f>IF(AG207=301,"",AG207)</f>
        <v>133</v>
      </c>
      <c r="I207" s="339" t="str">
        <f>IF(AH207=0,"",AH207)</f>
        <v/>
      </c>
      <c r="J207" s="339">
        <f>IF(AI207=301,"",AI207)</f>
        <v>0</v>
      </c>
      <c r="K207" s="339" t="str">
        <f>IF(AJ207=0,"",AJ207)</f>
        <v/>
      </c>
      <c r="L207" s="339">
        <f>IF(AK207=301,"",AK207)</f>
        <v>149</v>
      </c>
      <c r="M207" s="339" t="str">
        <f>IF(AL207=0,"",AL207)</f>
        <v/>
      </c>
      <c r="N207" s="339">
        <f>IF(AM207=301,"",AM207)</f>
        <v>179</v>
      </c>
      <c r="O207" s="339" t="str">
        <f>IF(AN207=0,"",AN207)</f>
        <v/>
      </c>
      <c r="P207" s="339">
        <f>IF(AO207=301,"",AO207)</f>
        <v>167</v>
      </c>
      <c r="Q207" s="339" t="str">
        <f>IF(AP207=0,"",AP207)</f>
        <v/>
      </c>
      <c r="R207" s="339">
        <f>IF(AQ207=301,"",AQ207)</f>
        <v>196</v>
      </c>
      <c r="S207" s="339" t="str">
        <f>IF(AR207=0,"",AR207)</f>
        <v/>
      </c>
      <c r="T207" s="339">
        <f>IF(AS207=301,"",AS207)</f>
        <v>167</v>
      </c>
      <c r="U207" s="339" t="str">
        <f>IF(AT207=0,"",AT207)</f>
        <v/>
      </c>
      <c r="V207" s="340"/>
      <c r="W207" s="340"/>
      <c r="AA207" s="91" t="s">
        <v>3</v>
      </c>
      <c r="AB207" s="92"/>
      <c r="AC207" s="374">
        <f>ABS(INDEX(AC:AC,MATCH(AC202,$AA:$AA,0)+11)+INDEX(AC:AC,MATCH(AC202,$AA:$AA,0)+12)+INDEX(AC:AC,MATCH(AC202,$AA:$AA,0)+13))</f>
        <v>181</v>
      </c>
      <c r="AD207" s="375"/>
      <c r="AE207" s="374">
        <f>ABS(INDEX(AE:AE,MATCH(AE202,$AA:$AA,0)+11)+INDEX(AE:AE,MATCH(AE202,$AA:$AA,0)+12)+INDEX(AE:AE,MATCH(AE202,$AA:$AA,0)+13))</f>
        <v>179</v>
      </c>
      <c r="AF207" s="375"/>
      <c r="AG207" s="374">
        <f>ABS(INDEX(AG:AG,MATCH(AG202,$AA:$AA,0)+11)+INDEX(AG:AG,MATCH(AG202,$AA:$AA,0)+12)+INDEX(AG:AG,MATCH(AG202,$AA:$AA,0)+13))</f>
        <v>133</v>
      </c>
      <c r="AH207" s="375"/>
      <c r="AI207" s="374">
        <f>ABS(INDEX(AI:AI,MATCH(AI202,$AA:$AA,0)+11)+INDEX(AI:AI,MATCH(AI202,$AA:$AA,0)+12)+INDEX(AI:AI,MATCH(AI202,$AA:$AA,0)+13))</f>
        <v>0</v>
      </c>
      <c r="AJ207" s="375"/>
      <c r="AK207" s="374">
        <f>ABS(INDEX(AK:AK,MATCH(AK202,$AA:$AA,0)+11)+INDEX(AK:AK,MATCH(AK202,$AA:$AA,0)+12)+INDEX(AK:AK,MATCH(AK202,$AA:$AA,0)+13))</f>
        <v>149</v>
      </c>
      <c r="AL207" s="375"/>
      <c r="AM207" s="374">
        <f>ABS(INDEX(AM:AM,MATCH(AM202,$AA:$AA,0)+11)+INDEX(AM:AM,MATCH(AM202,$AA:$AA,0)+12)+INDEX(AM:AM,MATCH(AM202,$AA:$AA,0)+13))</f>
        <v>179</v>
      </c>
      <c r="AN207" s="375"/>
      <c r="AO207" s="374">
        <f>ABS(INDEX(AO:AO,MATCH(AO202,$AA:$AA,0)+11)+INDEX(AO:AO,MATCH(AO202,$AA:$AA,0)+12)+INDEX(AO:AO,MATCH(AO202,$AA:$AA,0)+13))</f>
        <v>167</v>
      </c>
      <c r="AP207" s="375"/>
      <c r="AQ207" s="374">
        <f>ABS(INDEX(AQ:AQ,MATCH(AQ202,$AA:$AA,0)+11)+INDEX(AQ:AQ,MATCH(AQ202,$AA:$AA,0)+12)+INDEX(AQ:AQ,MATCH(AQ202,$AA:$AA,0)+13))</f>
        <v>196</v>
      </c>
      <c r="AR207" s="375"/>
      <c r="AS207" s="374">
        <f>ABS(INDEX(AS:AS,MATCH(AS202,$AA:$AA,0)+11)+INDEX(AS:AS,MATCH(AS202,$AA:$AA,0)+12)+INDEX(AS:AS,MATCH(AS202,$AA:$AA,0)+13))</f>
        <v>167</v>
      </c>
      <c r="AT207" s="37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6.05" customHeight="1" x14ac:dyDescent="0.35">
      <c r="B208" s="365" t="str">
        <f t="shared" si="238"/>
        <v>Spieler 4</v>
      </c>
      <c r="C208" s="366" t="str">
        <f t="shared" si="238"/>
        <v/>
      </c>
      <c r="D208" s="339">
        <f>IF(AC208=301,"",AC208)</f>
        <v>202</v>
      </c>
      <c r="E208" s="339" t="str">
        <f>IF(AD208=0,"",AD208)</f>
        <v/>
      </c>
      <c r="F208" s="339">
        <f>IF(AE208=301,"",AE208)</f>
        <v>185</v>
      </c>
      <c r="G208" s="339" t="str">
        <f>IF(AF208=0,"",AF208)</f>
        <v/>
      </c>
      <c r="H208" s="339">
        <f>IF(AG208=301,"",AG208)</f>
        <v>152</v>
      </c>
      <c r="I208" s="339" t="str">
        <f>IF(AH208=0,"",AH208)</f>
        <v/>
      </c>
      <c r="J208" s="339">
        <f>IF(AI208=301,"",AI208)</f>
        <v>0</v>
      </c>
      <c r="K208" s="339" t="str">
        <f>IF(AJ208=0,"",AJ208)</f>
        <v/>
      </c>
      <c r="L208" s="339">
        <f>IF(AK208=301,"",AK208)</f>
        <v>158</v>
      </c>
      <c r="M208" s="339" t="str">
        <f>IF(AL208=0,"",AL208)</f>
        <v/>
      </c>
      <c r="N208" s="339">
        <f>IF(AM208=301,"",AM208)</f>
        <v>221</v>
      </c>
      <c r="O208" s="339" t="str">
        <f>IF(AN208=0,"",AN208)</f>
        <v/>
      </c>
      <c r="P208" s="339">
        <f>IF(AO208=301,"",AO208)</f>
        <v>171</v>
      </c>
      <c r="Q208" s="339" t="str">
        <f>IF(AP208=0,"",AP208)</f>
        <v/>
      </c>
      <c r="R208" s="339">
        <f>IF(AQ208=301,"",AQ208)</f>
        <v>171</v>
      </c>
      <c r="S208" s="339" t="str">
        <f>IF(AR208=0,"",AR208)</f>
        <v/>
      </c>
      <c r="T208" s="339">
        <f>IF(AS208=301,"",AS208)</f>
        <v>193</v>
      </c>
      <c r="U208" s="339" t="str">
        <f>IF(AT208=0,"",AT208)</f>
        <v/>
      </c>
      <c r="V208" s="340"/>
      <c r="W208" s="340"/>
      <c r="AA208" s="91" t="s">
        <v>11</v>
      </c>
      <c r="AB208" s="92"/>
      <c r="AC208" s="374">
        <f>ABS(INDEX(AC:AC,MATCH(AC202,$AA:$AA,0)+14)+INDEX(AC:AC,MATCH(AC202,$AA:$AA,0)+15)+INDEX(AC:AC,MATCH(AC202,$AA:$AA,0)+16))</f>
        <v>202</v>
      </c>
      <c r="AD208" s="375"/>
      <c r="AE208" s="374">
        <f>ABS(INDEX(AE:AE,MATCH(AE202,$AA:$AA,0)+14)+INDEX(AE:AE,MATCH(AE202,$AA:$AA,0)+15)+INDEX(AE:AE,MATCH(AE202,$AA:$AA,0)+16))</f>
        <v>185</v>
      </c>
      <c r="AF208" s="375"/>
      <c r="AG208" s="374">
        <f>ABS(INDEX(AG:AG,MATCH(AG202,$AA:$AA,0)+14)+INDEX(AG:AG,MATCH(AG202,$AA:$AA,0)+15)+INDEX(AG:AG,MATCH(AG202,$AA:$AA,0)+16))</f>
        <v>152</v>
      </c>
      <c r="AH208" s="375"/>
      <c r="AI208" s="374">
        <f>ABS(INDEX(AI:AI,MATCH(AI202,$AA:$AA,0)+14)+INDEX(AI:AI,MATCH(AI202,$AA:$AA,0)+15)+INDEX(AI:AI,MATCH(AI202,$AA:$AA,0)+16))</f>
        <v>0</v>
      </c>
      <c r="AJ208" s="375"/>
      <c r="AK208" s="374">
        <f>ABS(INDEX(AK:AK,MATCH(AK202,$AA:$AA,0)+14)+INDEX(AK:AK,MATCH(AK202,$AA:$AA,0)+15)+INDEX(AK:AK,MATCH(AK202,$AA:$AA,0)+16))</f>
        <v>158</v>
      </c>
      <c r="AL208" s="375"/>
      <c r="AM208" s="374">
        <f>ABS(INDEX(AM:AM,MATCH(AM202,$AA:$AA,0)+14)+INDEX(AM:AM,MATCH(AM202,$AA:$AA,0)+15)+INDEX(AM:AM,MATCH(AM202,$AA:$AA,0)+16))</f>
        <v>221</v>
      </c>
      <c r="AN208" s="375"/>
      <c r="AO208" s="374">
        <f>ABS(INDEX(AO:AO,MATCH(AO202,$AA:$AA,0)+14)+INDEX(AO:AO,MATCH(AO202,$AA:$AA,0)+15)+INDEX(AO:AO,MATCH(AO202,$AA:$AA,0)+16))</f>
        <v>171</v>
      </c>
      <c r="AP208" s="375"/>
      <c r="AQ208" s="374">
        <f>ABS(INDEX(AQ:AQ,MATCH(AQ202,$AA:$AA,0)+14)+INDEX(AQ:AQ,MATCH(AQ202,$AA:$AA,0)+15)+INDEX(AQ:AQ,MATCH(AQ202,$AA:$AA,0)+16))</f>
        <v>171</v>
      </c>
      <c r="AR208" s="375"/>
      <c r="AS208" s="374">
        <f>ABS(INDEX(AS:AS,MATCH(AS202,$AA:$AA,0)+14)+INDEX(AS:AS,MATCH(AS202,$AA:$AA,0)+15)+INDEX(AS:AS,MATCH(AS202,$AA:$AA,0)+16))</f>
        <v>193</v>
      </c>
      <c r="AT208" s="37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6.05" customHeight="1" x14ac:dyDescent="0.35">
      <c r="B209" s="354" t="str">
        <f t="shared" si="238"/>
        <v>Gesamt</v>
      </c>
      <c r="C209" s="355" t="str">
        <f t="shared" si="238"/>
        <v/>
      </c>
      <c r="D209" s="338">
        <f>IF(AC209=1505,"",AC209)</f>
        <v>734</v>
      </c>
      <c r="E209" s="338" t="str">
        <f>IF(AD209=0,"",AD209)</f>
        <v/>
      </c>
      <c r="F209" s="338">
        <f>IF(AE209=1505,"",AE209)</f>
        <v>718</v>
      </c>
      <c r="G209" s="338" t="str">
        <f>IF(AF209=0,"",AF209)</f>
        <v/>
      </c>
      <c r="H209" s="338">
        <f>IF(AG209=1505,"",AG209)</f>
        <v>602</v>
      </c>
      <c r="I209" s="338" t="str">
        <f>IF(AH209=0,"",AH209)</f>
        <v/>
      </c>
      <c r="J209" s="338">
        <f>IF(AI209=1505,"",AI209)</f>
        <v>0</v>
      </c>
      <c r="K209" s="338" t="str">
        <f>IF(AJ209=0,"",AJ209)</f>
        <v/>
      </c>
      <c r="L209" s="338">
        <f>IF(AK209=1505,"",AK209)</f>
        <v>625</v>
      </c>
      <c r="M209" s="338" t="str">
        <f>IF(AL209=0,"",AL209)</f>
        <v/>
      </c>
      <c r="N209" s="338">
        <f>IF(AM209=1505,"",AM209)</f>
        <v>736</v>
      </c>
      <c r="O209" s="338" t="str">
        <f>IF(AN209=0,"",AN209)</f>
        <v/>
      </c>
      <c r="P209" s="338">
        <f>IF(AO209=1505,"",AO209)</f>
        <v>699</v>
      </c>
      <c r="Q209" s="338" t="str">
        <f>IF(AP209=0,"",AP209)</f>
        <v/>
      </c>
      <c r="R209" s="338">
        <f>IF(AQ209=1505,"",AQ209)</f>
        <v>728</v>
      </c>
      <c r="S209" s="338" t="str">
        <f>IF(AR209=0,"",AR209)</f>
        <v/>
      </c>
      <c r="T209" s="338">
        <f>IF(AS209=1505,"",AS209)</f>
        <v>676</v>
      </c>
      <c r="U209" s="338" t="str">
        <f>IF(AT209=0,"",AT209)</f>
        <v/>
      </c>
      <c r="V209" s="290"/>
      <c r="W209" s="290"/>
      <c r="AA209" s="93" t="s">
        <v>1799</v>
      </c>
      <c r="AB209" s="94"/>
      <c r="AC209" s="354">
        <f>SUM(AC205:AC208)</f>
        <v>734</v>
      </c>
      <c r="AD209" s="355"/>
      <c r="AE209" s="354">
        <f>SUM(AE205:AE208)</f>
        <v>718</v>
      </c>
      <c r="AF209" s="355"/>
      <c r="AG209" s="354">
        <f>SUM(AG205:AG208)</f>
        <v>602</v>
      </c>
      <c r="AH209" s="355"/>
      <c r="AI209" s="354">
        <f>SUM(AI205:AI208)</f>
        <v>0</v>
      </c>
      <c r="AJ209" s="355"/>
      <c r="AK209" s="354">
        <f>SUM(AK205:AK208)</f>
        <v>625</v>
      </c>
      <c r="AL209" s="355"/>
      <c r="AM209" s="354">
        <f>SUM(AM205:AM208)</f>
        <v>736</v>
      </c>
      <c r="AN209" s="355"/>
      <c r="AO209" s="354">
        <f>SUM(AO205:AO208)</f>
        <v>699</v>
      </c>
      <c r="AP209" s="355"/>
      <c r="AQ209" s="354">
        <f>SUM(AQ205:AQ208)</f>
        <v>728</v>
      </c>
      <c r="AR209" s="355"/>
      <c r="AS209" s="354">
        <f>SUM(AS205:AS208)</f>
        <v>676</v>
      </c>
      <c r="AT209" s="35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3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7">
      <c r="B211" s="44" t="str">
        <f>AA211</f>
        <v>Team-Nr.</v>
      </c>
      <c r="C211" s="45"/>
      <c r="D211" s="44" t="str">
        <f>AC211</f>
        <v>Liga:</v>
      </c>
      <c r="E211" s="47"/>
      <c r="F211" s="359" t="str">
        <f>AE211</f>
        <v>Bayernliga Frauen</v>
      </c>
      <c r="G211" s="359"/>
      <c r="H211" s="359"/>
      <c r="I211" s="359"/>
      <c r="J211" s="359"/>
      <c r="K211" s="359"/>
      <c r="L211" s="359"/>
      <c r="M211" s="359"/>
      <c r="N211" s="359"/>
      <c r="O211" s="359"/>
      <c r="P211" s="359"/>
      <c r="Q211" s="359"/>
      <c r="R211" s="48"/>
      <c r="S211" s="49" t="s">
        <v>1794</v>
      </c>
      <c r="T211" s="50"/>
      <c r="U211" s="360" t="str">
        <f>AT211</f>
        <v>01.02./02.02.</v>
      </c>
      <c r="V211" s="361"/>
      <c r="W211" s="362"/>
      <c r="X211" s="363"/>
      <c r="Y211" s="364"/>
      <c r="Z211" s="364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0" t="str">
        <f>VLOOKUP(AS212,Spielorte!$A$1:$C$6,2)</f>
        <v>01.02./02.02.</v>
      </c>
      <c r="AU211" s="361"/>
      <c r="AV211" s="362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65">
      <c r="B212" s="53">
        <f>AA212</f>
        <v>8</v>
      </c>
      <c r="D212" s="46" t="s">
        <v>1793</v>
      </c>
      <c r="E212" s="54"/>
      <c r="F212" s="358" t="str">
        <f>AE212</f>
        <v>Unterföhring Dreambowl Palace</v>
      </c>
      <c r="G212" s="358"/>
      <c r="H212" s="358"/>
      <c r="I212" s="358"/>
      <c r="J212" s="358"/>
      <c r="K212" s="358"/>
      <c r="L212" s="358"/>
      <c r="M212" s="358"/>
      <c r="N212" s="358"/>
      <c r="O212" s="358"/>
      <c r="P212" s="55"/>
      <c r="Q212" s="55"/>
      <c r="S212" s="49" t="s">
        <v>1791</v>
      </c>
      <c r="T212" s="56">
        <f>AS212</f>
        <v>3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Unterföhring Dreambowl Palace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3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4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5" thickBot="1" x14ac:dyDescent="0.45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VLOOKUP(AA212,Schlüssel!$A$5:$DZ$14,53)</f>
        <v>9</v>
      </c>
      <c r="AE214" s="65" t="s">
        <v>10</v>
      </c>
      <c r="AF214" s="44">
        <f>VLOOKUP(AA212,Schlüssel!$A$5:$DZ$14,54)</f>
        <v>7</v>
      </c>
      <c r="AG214" s="65" t="s">
        <v>10</v>
      </c>
      <c r="AH214" s="44">
        <f>VLOOKUP(AA212,Schlüssel!$A$5:$DZ$14,55)</f>
        <v>6</v>
      </c>
      <c r="AI214" s="65" t="s">
        <v>10</v>
      </c>
      <c r="AJ214" s="44">
        <f>VLOOKUP(AA212,Schlüssel!$A$5:$DZ$14,56)</f>
        <v>4</v>
      </c>
      <c r="AK214" s="65" t="s">
        <v>10</v>
      </c>
      <c r="AL214" s="44">
        <f>VLOOKUP(AA212,Schlüssel!$A$5:$DZ$14,57)</f>
        <v>10</v>
      </c>
      <c r="AM214" s="65" t="s">
        <v>10</v>
      </c>
      <c r="AN214" s="44">
        <f>VLOOKUP(AA212,Schlüssel!$A$5:$DZ$14,58)</f>
        <v>5</v>
      </c>
      <c r="AO214" s="65" t="s">
        <v>10</v>
      </c>
      <c r="AP214" s="44">
        <f>VLOOKUP(AA212,Schlüssel!$A$5:$DZ$14,59)</f>
        <v>8</v>
      </c>
      <c r="AQ214" s="65" t="s">
        <v>10</v>
      </c>
      <c r="AR214" s="44">
        <f>VLOOKUP(AA212,Schlüssel!$A$5:$DZ$14,60)</f>
        <v>3</v>
      </c>
      <c r="AS214" s="65" t="s">
        <v>10</v>
      </c>
      <c r="AT214" s="44">
        <f>VLOOKUP(AA212,Schlüssel!$A$5:$DZ$14,61)</f>
        <v>1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35">
      <c r="B215" s="67" t="s">
        <v>1</v>
      </c>
      <c r="C215" s="68"/>
      <c r="D215" s="354" t="s">
        <v>1800</v>
      </c>
      <c r="E215" s="355"/>
      <c r="F215" s="354" t="s">
        <v>1801</v>
      </c>
      <c r="G215" s="355"/>
      <c r="H215" s="354" t="s">
        <v>1802</v>
      </c>
      <c r="I215" s="355"/>
      <c r="J215" s="354" t="s">
        <v>1803</v>
      </c>
      <c r="K215" s="355"/>
      <c r="L215" s="354" t="s">
        <v>1804</v>
      </c>
      <c r="M215" s="355"/>
      <c r="N215" s="354" t="s">
        <v>1805</v>
      </c>
      <c r="O215" s="355"/>
      <c r="P215" s="354" t="s">
        <v>1806</v>
      </c>
      <c r="Q215" s="355"/>
      <c r="R215" s="354" t="s">
        <v>1807</v>
      </c>
      <c r="S215" s="355"/>
      <c r="T215" s="354" t="s">
        <v>1808</v>
      </c>
      <c r="U215" s="355"/>
      <c r="V215" s="356" t="s">
        <v>1799</v>
      </c>
      <c r="W215" s="357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4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2" customHeight="1" x14ac:dyDescent="0.35">
      <c r="A217" s="367" t="s">
        <v>0</v>
      </c>
      <c r="B217" s="73" t="str">
        <f>IF(AA217=0,"",AA217)</f>
        <v>Bess, Vanessa</v>
      </c>
      <c r="C217" s="74">
        <f>IF(AB217=0,"",AB217)</f>
        <v>25192</v>
      </c>
      <c r="D217" s="75">
        <f>IF(AC217=0,"",AC217)</f>
        <v>141</v>
      </c>
      <c r="E217" s="348">
        <f>IF(AD217="","",AD217)</f>
        <v>0</v>
      </c>
      <c r="F217" s="75">
        <f t="shared" ref="F217:F230" si="239">IF(AE217=0,"",AE217)</f>
        <v>190</v>
      </c>
      <c r="G217" s="348">
        <f>IF(AF217="","",AF217)</f>
        <v>1</v>
      </c>
      <c r="H217" s="75">
        <f t="shared" ref="H217:H230" si="240">IF(AG217=0,"",AG217)</f>
        <v>170</v>
      </c>
      <c r="I217" s="348">
        <f>IF(AH217="","",AH217)</f>
        <v>1</v>
      </c>
      <c r="J217" s="75">
        <f t="shared" ref="J217:J230" si="241">IF(AI217=0,"",AI217)</f>
        <v>170</v>
      </c>
      <c r="K217" s="348">
        <f>IF(AJ217="","",AJ217)</f>
        <v>1</v>
      </c>
      <c r="L217" s="75">
        <f t="shared" ref="L217:L230" si="242">IF(AK217=0,"",AK217)</f>
        <v>142</v>
      </c>
      <c r="M217" s="348">
        <f>IF(AL217="","",AL217)</f>
        <v>1</v>
      </c>
      <c r="N217" s="75" t="str">
        <f>IF(AM217=0,"",AM217)</f>
        <v/>
      </c>
      <c r="O217" s="348">
        <f>IF(AN217="","",AN217)</f>
        <v>1</v>
      </c>
      <c r="P217" s="75" t="str">
        <f t="shared" ref="P217:P230" si="243">IF(AO217=0,"",AO217)</f>
        <v/>
      </c>
      <c r="Q217" s="348">
        <f>IF(AP217="","",AP217)</f>
        <v>1</v>
      </c>
      <c r="R217" s="75" t="str">
        <f t="shared" ref="R217:R230" si="244">IF(AQ217=0,"",AQ217)</f>
        <v/>
      </c>
      <c r="S217" s="348">
        <f>IF(AR217="","",AR217)</f>
        <v>1</v>
      </c>
      <c r="T217" s="75" t="str">
        <f t="shared" ref="T217:T230" si="245">IF(AS217=0,"",AS217)</f>
        <v/>
      </c>
      <c r="U217" s="348">
        <f>IF(AT217="","",AT217)</f>
        <v>1</v>
      </c>
      <c r="V217" s="75">
        <f t="shared" ref="V217:V230" si="246">IF(AU217=0,"",AU217)</f>
        <v>813</v>
      </c>
      <c r="W217" s="348">
        <f>IF(AV217="","",AV217)</f>
        <v>8</v>
      </c>
      <c r="Z217" s="351" t="s">
        <v>0</v>
      </c>
      <c r="AA217" s="108" t="str">
        <f>IF(AB217=0,"",VLOOKUP(AB217,Starter!$A$1:$D$199,2,FALSE))</f>
        <v>Bess, Vanessa</v>
      </c>
      <c r="AB217" s="99">
        <v>25192</v>
      </c>
      <c r="AC217" s="185">
        <v>141</v>
      </c>
      <c r="AD217" s="109">
        <f>IF(SUM(AC217:AC219)+AC235=0,0,IF(SUM(AC217:AC219)=AC235,0.5,IF(SUM(AC217:AC219)&gt;AC235,1,0)))</f>
        <v>0</v>
      </c>
      <c r="AE217" s="185">
        <v>190</v>
      </c>
      <c r="AF217" s="109">
        <f>IF(SUM(AE217:AE219)+AE235=0,0,IF(SUM(AE217:AE219)=AE235,0.5,IF(SUM(AE217:AE219)&gt;AE235,1,0)))</f>
        <v>1</v>
      </c>
      <c r="AG217" s="185">
        <v>170</v>
      </c>
      <c r="AH217" s="109">
        <f>IF(SUM(AG217:AG219)+AG235=0,0,IF(SUM(AG217:AG219)=AG235,0.5,IF(SUM(AG217:AG219)&gt;AG235,1,0)))</f>
        <v>1</v>
      </c>
      <c r="AI217" s="185">
        <v>170</v>
      </c>
      <c r="AJ217" s="109">
        <f>IF(SUM(AI217:AI219)+AI235=0,0,IF(SUM(AI217:AI219)=AI235,0.5,IF(SUM(AI217:AI219)&gt;AI235,1,0)))</f>
        <v>1</v>
      </c>
      <c r="AK217" s="185">
        <v>142</v>
      </c>
      <c r="AL217" s="109">
        <f>IF(SUM(AK217:AK219)+AK235=0,0,IF(SUM(AK217:AK219)=AK235,0.5,IF(SUM(AK217:AK219)&gt;AK235,1,0)))</f>
        <v>1</v>
      </c>
      <c r="AM217" s="185"/>
      <c r="AN217" s="109">
        <f>IF(SUM(AM217:AM219)+AM235=0,0,IF(SUM(AM217:AM219)=AM235,0.5,IF(SUM(AM217:AM219)&gt;AM235,1,0)))</f>
        <v>1</v>
      </c>
      <c r="AO217" s="185"/>
      <c r="AP217" s="109">
        <f>IF(SUM(AO217:AO219)+AO235=0,0,IF(SUM(AO217:AO219)=AO235,0.5,IF(SUM(AO217:AO219)&gt;AO235,1,0)))</f>
        <v>1</v>
      </c>
      <c r="AQ217" s="185"/>
      <c r="AR217" s="109">
        <f>IF(SUM(AQ217:AQ219)+AQ235=0,0,IF(SUM(AQ217:AQ219)=AQ235,0.5,IF(SUM(AQ217:AQ219)&gt;AQ235,1,0)))</f>
        <v>1</v>
      </c>
      <c r="AS217" s="185"/>
      <c r="AT217" s="109">
        <f>IF(SUM(AS217:AS219)+AS235=0,0,IF(SUM(AS217:AS219)=AS235,0.5,IF(SUM(AS217:AS219)&gt;AS235,1,0)))</f>
        <v>1</v>
      </c>
      <c r="AU217" s="110">
        <f t="shared" ref="AU217:AU228" si="247">ABS(SUM(AC217:AC217))+ABS(SUM(AE217:AE217))+ABS(SUM(AG217:AG217))+ABS(SUM(AI217:AI217))+ABS(SUM(AK217:AK217))+ABS(SUM(AM217:AM217))+ABS(SUM(AO217:AO217))+ABS(SUM(AQ217:AQ217))+ABS(SUM(AS217:AS217))</f>
        <v>813</v>
      </c>
      <c r="AV217" s="111">
        <f>SUM(AD217+AF217+AH217+AJ217+AL217+AN217+AP217+AR217+AT217)</f>
        <v>8</v>
      </c>
      <c r="AW217" s="101"/>
      <c r="AX217" s="102"/>
      <c r="AZ217" s="63"/>
      <c r="BA217" s="212"/>
      <c r="BB217" s="213"/>
      <c r="BC217" s="214"/>
      <c r="BD217" s="217">
        <f>+AB217</f>
        <v>25192</v>
      </c>
      <c r="BE217" s="213">
        <f>+AU217</f>
        <v>813</v>
      </c>
      <c r="BF217" s="215">
        <f>COUNT(BH217:BP217)</f>
        <v>5</v>
      </c>
      <c r="BG217" s="215">
        <f>COUNTIF(BH217:BP217,"&gt;0")</f>
        <v>5</v>
      </c>
      <c r="BH217" s="215">
        <f t="shared" ref="BH217:BH228" si="248">IF(AC217=0,"",AC217)</f>
        <v>141</v>
      </c>
      <c r="BI217" s="215">
        <f t="shared" ref="BI217:BI228" si="249">IF(AE217=0,"",AE217)</f>
        <v>190</v>
      </c>
      <c r="BJ217" s="215">
        <f t="shared" ref="BJ217:BJ228" si="250">IF(AG217=0,"",AG217)</f>
        <v>170</v>
      </c>
      <c r="BK217" s="215">
        <f t="shared" ref="BK217:BK228" si="251">IF(AI217=0,"",AI217)</f>
        <v>170</v>
      </c>
      <c r="BL217" s="215">
        <f t="shared" ref="BL217:BL228" si="252">IF(AK217=0,"",AK217)</f>
        <v>142</v>
      </c>
      <c r="BM217" s="215" t="str">
        <f t="shared" ref="BM217:BM228" si="253">IF(AM217=0,"",AM217)</f>
        <v/>
      </c>
      <c r="BN217" s="215" t="str">
        <f t="shared" ref="BN217:BN228" si="254">IF(AO217=0,"",AO217)</f>
        <v/>
      </c>
      <c r="BO217" s="215" t="str">
        <f t="shared" ref="BO217:BO228" si="255">IF(AQ217=0,"",AQ217)</f>
        <v/>
      </c>
      <c r="BP217" s="215" t="str">
        <f t="shared" ref="BP217:BP228" si="256">IF(AS217=0,"",AS217)</f>
        <v/>
      </c>
      <c r="BQ217" s="216"/>
      <c r="BR217" s="214"/>
      <c r="BS217" s="215">
        <f>MAX(BH217:BP217)</f>
        <v>190</v>
      </c>
      <c r="BT217" s="215">
        <f>IF(BS217&lt;MAX(BS:BS),0,BS217+ROW()/1000000000)</f>
        <v>0</v>
      </c>
      <c r="BU217" s="215" t="str">
        <f>+AA213</f>
        <v>EPA München 1</v>
      </c>
      <c r="BV217" s="214">
        <f>RANK(BT217,BT:BT)</f>
        <v>2</v>
      </c>
      <c r="BW217" s="215">
        <f>SUMIF(BH217:BP217,"&gt;0")</f>
        <v>813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57">IF(BY217=0,0,RANK(BY217,BY:BY))</f>
        <v>0</v>
      </c>
    </row>
    <row r="218" spans="1:78" ht="17.2" customHeight="1" x14ac:dyDescent="0.35">
      <c r="A218" s="368"/>
      <c r="B218" s="76" t="str">
        <f t="shared" ref="B218:D230" si="258">IF(AA218=0,"",AA218)</f>
        <v>Schulz, Carolin</v>
      </c>
      <c r="C218" s="77">
        <f t="shared" si="258"/>
        <v>25714</v>
      </c>
      <c r="D218" s="78" t="str">
        <f t="shared" si="258"/>
        <v/>
      </c>
      <c r="E218" s="349"/>
      <c r="F218" s="78" t="str">
        <f t="shared" si="239"/>
        <v/>
      </c>
      <c r="G218" s="349"/>
      <c r="H218" s="78" t="str">
        <f t="shared" si="240"/>
        <v/>
      </c>
      <c r="I218" s="349"/>
      <c r="J218" s="78" t="str">
        <f t="shared" si="241"/>
        <v/>
      </c>
      <c r="K218" s="349"/>
      <c r="L218" s="78" t="str">
        <f t="shared" si="242"/>
        <v/>
      </c>
      <c r="M218" s="349"/>
      <c r="N218" s="78">
        <f t="shared" ref="N218:N230" si="259">IF(AM218=0,"",AM218)</f>
        <v>190</v>
      </c>
      <c r="O218" s="349"/>
      <c r="P218" s="78">
        <f t="shared" si="243"/>
        <v>192</v>
      </c>
      <c r="Q218" s="349"/>
      <c r="R218" s="78">
        <f t="shared" si="244"/>
        <v>215</v>
      </c>
      <c r="S218" s="349"/>
      <c r="T218" s="78">
        <f t="shared" si="245"/>
        <v>168</v>
      </c>
      <c r="U218" s="349"/>
      <c r="V218" s="78">
        <f t="shared" si="246"/>
        <v>765</v>
      </c>
      <c r="W218" s="349"/>
      <c r="Z218" s="352"/>
      <c r="AA218" s="108" t="str">
        <f>IF(AB218=0,"",VLOOKUP(AB218,Starter!$A$1:$D$199,2,FALSE))</f>
        <v>Schulz, Carolin</v>
      </c>
      <c r="AB218" s="98">
        <v>25714</v>
      </c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>
        <v>190</v>
      </c>
      <c r="AN218" s="112"/>
      <c r="AO218" s="186">
        <v>192</v>
      </c>
      <c r="AP218" s="112"/>
      <c r="AQ218" s="186">
        <v>215</v>
      </c>
      <c r="AR218" s="112"/>
      <c r="AS218" s="186">
        <v>168</v>
      </c>
      <c r="AT218" s="112"/>
      <c r="AU218" s="113">
        <f t="shared" si="247"/>
        <v>765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0">+AB218</f>
        <v>25714</v>
      </c>
      <c r="BE218" s="213">
        <f t="shared" ref="BE218:BE228" si="261">+AU218</f>
        <v>765</v>
      </c>
      <c r="BF218" s="215">
        <f t="shared" ref="BF218:BF228" si="262">COUNT(BH218:BP218)</f>
        <v>4</v>
      </c>
      <c r="BG218" s="215">
        <f t="shared" ref="BG218:BG228" si="263">COUNTIF(BH218:BP218,"&gt;0")</f>
        <v>4</v>
      </c>
      <c r="BH218" s="215" t="str">
        <f t="shared" si="248"/>
        <v/>
      </c>
      <c r="BI218" s="215" t="str">
        <f t="shared" si="249"/>
        <v/>
      </c>
      <c r="BJ218" s="215" t="str">
        <f t="shared" si="250"/>
        <v/>
      </c>
      <c r="BK218" s="215" t="str">
        <f t="shared" si="251"/>
        <v/>
      </c>
      <c r="BL218" s="215" t="str">
        <f t="shared" si="252"/>
        <v/>
      </c>
      <c r="BM218" s="215">
        <f t="shared" si="253"/>
        <v>190</v>
      </c>
      <c r="BN218" s="215">
        <f t="shared" si="254"/>
        <v>192</v>
      </c>
      <c r="BO218" s="215">
        <f t="shared" si="255"/>
        <v>215</v>
      </c>
      <c r="BP218" s="215">
        <f t="shared" si="256"/>
        <v>168</v>
      </c>
      <c r="BQ218" s="216"/>
      <c r="BR218" s="214"/>
      <c r="BS218" s="215">
        <f t="shared" ref="BS218:BS228" si="264">MAX(BH218:BP218)</f>
        <v>215</v>
      </c>
      <c r="BT218" s="215">
        <f t="shared" ref="BT218:BT228" si="265">IF(BS218&lt;MAX(BS:BS),0,BS218+ROW()/1000000000)</f>
        <v>0</v>
      </c>
      <c r="BU218" s="215" t="str">
        <f t="shared" ref="BU218:BU228" si="266">+BU217</f>
        <v>EPA München 1</v>
      </c>
      <c r="BV218" s="214">
        <f t="shared" ref="BV218:BV228" si="267">RANK(BT218,BT:BT)</f>
        <v>2</v>
      </c>
      <c r="BW218" s="215">
        <f t="shared" ref="BW218:BW228" si="268">SUMIF(BH218:BP218,"&gt;0")</f>
        <v>765</v>
      </c>
      <c r="BX218" s="215">
        <f>IF(COUNTIF(BH218:BP218,"&gt;0")&lt;Spielorte!$A$23,0,BE218/Spielorte!$A$23)</f>
        <v>0</v>
      </c>
      <c r="BY218" s="215">
        <f t="shared" ref="BY218:BY228" si="269">IF(BX218&lt;MAX(BX:BX),0,BX218+ROW()/1000000000)</f>
        <v>0</v>
      </c>
      <c r="BZ218" s="214">
        <f t="shared" si="257"/>
        <v>0</v>
      </c>
    </row>
    <row r="219" spans="1:78" ht="17.2" customHeight="1" thickBot="1" x14ac:dyDescent="0.4">
      <c r="A219" s="369"/>
      <c r="B219" s="79" t="str">
        <f t="shared" si="258"/>
        <v/>
      </c>
      <c r="C219" s="80" t="str">
        <f t="shared" si="258"/>
        <v/>
      </c>
      <c r="D219" s="69" t="str">
        <f t="shared" si="258"/>
        <v/>
      </c>
      <c r="E219" s="350"/>
      <c r="F219" s="69" t="str">
        <f t="shared" si="239"/>
        <v/>
      </c>
      <c r="G219" s="350"/>
      <c r="H219" s="69" t="str">
        <f t="shared" si="240"/>
        <v/>
      </c>
      <c r="I219" s="350"/>
      <c r="J219" s="69" t="str">
        <f t="shared" si="241"/>
        <v/>
      </c>
      <c r="K219" s="350"/>
      <c r="L219" s="69" t="str">
        <f t="shared" si="242"/>
        <v/>
      </c>
      <c r="M219" s="350"/>
      <c r="N219" s="69" t="str">
        <f t="shared" si="259"/>
        <v/>
      </c>
      <c r="O219" s="350"/>
      <c r="P219" s="69" t="str">
        <f t="shared" si="243"/>
        <v/>
      </c>
      <c r="Q219" s="350"/>
      <c r="R219" s="69" t="str">
        <f t="shared" si="244"/>
        <v/>
      </c>
      <c r="S219" s="350"/>
      <c r="T219" s="69" t="str">
        <f t="shared" si="245"/>
        <v/>
      </c>
      <c r="U219" s="350"/>
      <c r="V219" s="69" t="str">
        <f t="shared" si="246"/>
        <v/>
      </c>
      <c r="W219" s="350"/>
      <c r="Z219" s="353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47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0"/>
        <v>0</v>
      </c>
      <c r="BE219" s="213">
        <f t="shared" si="261"/>
        <v>0</v>
      </c>
      <c r="BF219" s="215">
        <f t="shared" si="262"/>
        <v>0</v>
      </c>
      <c r="BG219" s="215">
        <f t="shared" si="263"/>
        <v>0</v>
      </c>
      <c r="BH219" s="215" t="str">
        <f t="shared" si="248"/>
        <v/>
      </c>
      <c r="BI219" s="215" t="str">
        <f t="shared" si="249"/>
        <v/>
      </c>
      <c r="BJ219" s="215" t="str">
        <f t="shared" si="250"/>
        <v/>
      </c>
      <c r="BK219" s="215" t="str">
        <f t="shared" si="251"/>
        <v/>
      </c>
      <c r="BL219" s="215" t="str">
        <f t="shared" si="252"/>
        <v/>
      </c>
      <c r="BM219" s="215" t="str">
        <f t="shared" si="253"/>
        <v/>
      </c>
      <c r="BN219" s="215" t="str">
        <f t="shared" si="254"/>
        <v/>
      </c>
      <c r="BO219" s="215" t="str">
        <f t="shared" si="255"/>
        <v/>
      </c>
      <c r="BP219" s="215" t="str">
        <f t="shared" si="256"/>
        <v/>
      </c>
      <c r="BQ219" s="216"/>
      <c r="BR219" s="214"/>
      <c r="BS219" s="215">
        <f t="shared" si="264"/>
        <v>0</v>
      </c>
      <c r="BT219" s="215">
        <f t="shared" si="265"/>
        <v>0</v>
      </c>
      <c r="BU219" s="215" t="str">
        <f t="shared" si="266"/>
        <v>EPA München 1</v>
      </c>
      <c r="BV219" s="214">
        <f t="shared" si="267"/>
        <v>2</v>
      </c>
      <c r="BW219" s="215">
        <f t="shared" si="268"/>
        <v>0</v>
      </c>
      <c r="BX219" s="215">
        <f>IF(COUNTIF(BH219:BP219,"&gt;0")&lt;Spielorte!$A$23,0,BE219/Spielorte!$A$23)</f>
        <v>0</v>
      </c>
      <c r="BY219" s="215">
        <f t="shared" si="269"/>
        <v>0</v>
      </c>
      <c r="BZ219" s="214">
        <f t="shared" si="257"/>
        <v>0</v>
      </c>
    </row>
    <row r="220" spans="1:78" ht="17.2" customHeight="1" x14ac:dyDescent="0.35">
      <c r="A220" s="367" t="s">
        <v>2</v>
      </c>
      <c r="B220" s="73" t="str">
        <f t="shared" si="258"/>
        <v>Schulz, Carolin</v>
      </c>
      <c r="C220" s="74">
        <f t="shared" si="258"/>
        <v>25714</v>
      </c>
      <c r="D220" s="75">
        <f t="shared" si="258"/>
        <v>228</v>
      </c>
      <c r="E220" s="348">
        <f>IF(AD220="","",AD220)</f>
        <v>1</v>
      </c>
      <c r="F220" s="75">
        <f t="shared" si="239"/>
        <v>192</v>
      </c>
      <c r="G220" s="348">
        <f>IF(AF220="","",AF220)</f>
        <v>1</v>
      </c>
      <c r="H220" s="75">
        <f t="shared" si="240"/>
        <v>160</v>
      </c>
      <c r="I220" s="348">
        <f>IF(AH220="","",AH220)</f>
        <v>0</v>
      </c>
      <c r="J220" s="75">
        <f t="shared" si="241"/>
        <v>174</v>
      </c>
      <c r="K220" s="348">
        <f>IF(AJ220="","",AJ220)</f>
        <v>0</v>
      </c>
      <c r="L220" s="75" t="str">
        <f t="shared" si="242"/>
        <v/>
      </c>
      <c r="M220" s="348">
        <f>IF(AL220="","",AL220)</f>
        <v>1</v>
      </c>
      <c r="N220" s="75" t="str">
        <f t="shared" si="259"/>
        <v/>
      </c>
      <c r="O220" s="348">
        <f>IF(AN220="","",AN220)</f>
        <v>1</v>
      </c>
      <c r="P220" s="75" t="str">
        <f t="shared" si="243"/>
        <v/>
      </c>
      <c r="Q220" s="348">
        <f>IF(AP220="","",AP220)</f>
        <v>0</v>
      </c>
      <c r="R220" s="75" t="str">
        <f t="shared" si="244"/>
        <v/>
      </c>
      <c r="S220" s="348">
        <f>IF(AR220="","",AR220)</f>
        <v>1</v>
      </c>
      <c r="T220" s="75" t="str">
        <f t="shared" si="245"/>
        <v/>
      </c>
      <c r="U220" s="348">
        <f>IF(AT220="","",AT220)</f>
        <v>0</v>
      </c>
      <c r="V220" s="75">
        <f t="shared" si="246"/>
        <v>754</v>
      </c>
      <c r="W220" s="348">
        <f>IF(AV220="","",AV220)</f>
        <v>5</v>
      </c>
      <c r="Z220" s="351" t="s">
        <v>2</v>
      </c>
      <c r="AA220" s="108" t="str">
        <f>IF(AB220=0,"",VLOOKUP(AB220,Starter!$A$1:$D$199,2,FALSE))</f>
        <v>Schulz, Carolin</v>
      </c>
      <c r="AB220" s="99">
        <v>25714</v>
      </c>
      <c r="AC220" s="188">
        <v>228</v>
      </c>
      <c r="AD220" s="109">
        <f>IF(SUM(AC220:AC222)+AC236=0,0,IF(SUM(AC220:AC222)=AC236,0.5,IF(SUM(AC220:AC222)&gt;AC236,1,0)))</f>
        <v>1</v>
      </c>
      <c r="AE220" s="188">
        <v>192</v>
      </c>
      <c r="AF220" s="109">
        <f>IF(SUM(AE220:AE222)+AE236=0,0,IF(SUM(AE220:AE222)=AE236,0.5,IF(SUM(AE220:AE222)&gt;AE236,1,0)))</f>
        <v>1</v>
      </c>
      <c r="AG220" s="188">
        <v>160</v>
      </c>
      <c r="AH220" s="109">
        <f>IF(SUM(AG220:AG222)+AG236=0,0,IF(SUM(AG220:AG222)=AG236,0.5,IF(SUM(AG220:AG222)&gt;AG236,1,0)))</f>
        <v>0</v>
      </c>
      <c r="AI220" s="188">
        <v>174</v>
      </c>
      <c r="AJ220" s="109">
        <f>IF(SUM(AI220:AI222)+AI236=0,0,IF(SUM(AI220:AI222)=AI236,0.5,IF(SUM(AI220:AI222)&gt;AI236,1,0)))</f>
        <v>0</v>
      </c>
      <c r="AK220" s="188"/>
      <c r="AL220" s="109">
        <f>IF(SUM(AK220:AK222)+AK236=0,0,IF(SUM(AK220:AK222)=AK236,0.5,IF(SUM(AK220:AK222)&gt;AK236,1,0)))</f>
        <v>1</v>
      </c>
      <c r="AM220" s="188"/>
      <c r="AN220" s="109">
        <f>IF(SUM(AM220:AM222)+AM236=0,0,IF(SUM(AM220:AM222)=AM236,0.5,IF(SUM(AM220:AM222)&gt;AM236,1,0)))</f>
        <v>1</v>
      </c>
      <c r="AO220" s="188"/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1</v>
      </c>
      <c r="AS220" s="188"/>
      <c r="AT220" s="109">
        <f>IF(SUM(AS220:AS222)+AS236=0,0,IF(SUM(AS220:AS222)=AS236,0.5,IF(SUM(AS220:AS222)&gt;AS236,1,0)))</f>
        <v>0</v>
      </c>
      <c r="AU220" s="110">
        <f t="shared" si="247"/>
        <v>754</v>
      </c>
      <c r="AV220" s="111">
        <f>SUM(AD220+AF220+AH220+AJ220+AL220+AN220+AP220+AR220+AT220)</f>
        <v>5</v>
      </c>
      <c r="AW220" s="101"/>
      <c r="AX220" s="102"/>
      <c r="AZ220" s="63"/>
      <c r="BA220" s="212"/>
      <c r="BB220" s="213"/>
      <c r="BC220" s="214"/>
      <c r="BD220" s="217">
        <f t="shared" si="260"/>
        <v>25714</v>
      </c>
      <c r="BE220" s="213">
        <f t="shared" si="261"/>
        <v>754</v>
      </c>
      <c r="BF220" s="215">
        <f t="shared" si="262"/>
        <v>4</v>
      </c>
      <c r="BG220" s="215">
        <f t="shared" si="263"/>
        <v>4</v>
      </c>
      <c r="BH220" s="215">
        <f t="shared" si="248"/>
        <v>228</v>
      </c>
      <c r="BI220" s="215">
        <f t="shared" si="249"/>
        <v>192</v>
      </c>
      <c r="BJ220" s="215">
        <f t="shared" si="250"/>
        <v>160</v>
      </c>
      <c r="BK220" s="215">
        <f t="shared" si="251"/>
        <v>174</v>
      </c>
      <c r="BL220" s="215" t="str">
        <f t="shared" si="252"/>
        <v/>
      </c>
      <c r="BM220" s="215" t="str">
        <f t="shared" si="253"/>
        <v/>
      </c>
      <c r="BN220" s="215" t="str">
        <f t="shared" si="254"/>
        <v/>
      </c>
      <c r="BO220" s="215" t="str">
        <f t="shared" si="255"/>
        <v/>
      </c>
      <c r="BP220" s="215" t="str">
        <f t="shared" si="256"/>
        <v/>
      </c>
      <c r="BQ220" s="216"/>
      <c r="BR220" s="214"/>
      <c r="BS220" s="215">
        <f t="shared" si="264"/>
        <v>228</v>
      </c>
      <c r="BT220" s="215">
        <f t="shared" si="265"/>
        <v>0</v>
      </c>
      <c r="BU220" s="215" t="str">
        <f t="shared" si="266"/>
        <v>EPA München 1</v>
      </c>
      <c r="BV220" s="214">
        <f t="shared" si="267"/>
        <v>2</v>
      </c>
      <c r="BW220" s="215">
        <f t="shared" si="268"/>
        <v>754</v>
      </c>
      <c r="BX220" s="215">
        <f>IF(COUNTIF(BH220:BP220,"&gt;0")&lt;Spielorte!$A$23,0,BE220/Spielorte!$A$23)</f>
        <v>0</v>
      </c>
      <c r="BY220" s="215">
        <f t="shared" si="269"/>
        <v>0</v>
      </c>
      <c r="BZ220" s="214">
        <f t="shared" si="257"/>
        <v>0</v>
      </c>
    </row>
    <row r="221" spans="1:78" ht="17.2" customHeight="1" x14ac:dyDescent="0.35">
      <c r="A221" s="368"/>
      <c r="B221" s="76" t="str">
        <f t="shared" si="258"/>
        <v>Lieb, Anja</v>
      </c>
      <c r="C221" s="77">
        <f t="shared" si="258"/>
        <v>7534</v>
      </c>
      <c r="D221" s="78" t="str">
        <f t="shared" si="258"/>
        <v/>
      </c>
      <c r="E221" s="349"/>
      <c r="F221" s="78" t="str">
        <f t="shared" si="239"/>
        <v/>
      </c>
      <c r="G221" s="349"/>
      <c r="H221" s="78" t="str">
        <f t="shared" si="240"/>
        <v/>
      </c>
      <c r="I221" s="349"/>
      <c r="J221" s="78" t="str">
        <f t="shared" si="241"/>
        <v/>
      </c>
      <c r="K221" s="349"/>
      <c r="L221" s="78">
        <f t="shared" si="242"/>
        <v>165</v>
      </c>
      <c r="M221" s="349"/>
      <c r="N221" s="78">
        <f t="shared" si="259"/>
        <v>146</v>
      </c>
      <c r="O221" s="349"/>
      <c r="P221" s="78">
        <f t="shared" si="243"/>
        <v>176</v>
      </c>
      <c r="Q221" s="349"/>
      <c r="R221" s="78">
        <f t="shared" si="244"/>
        <v>146</v>
      </c>
      <c r="S221" s="349"/>
      <c r="T221" s="78" t="str">
        <f t="shared" si="245"/>
        <v/>
      </c>
      <c r="U221" s="349"/>
      <c r="V221" s="78">
        <f t="shared" si="246"/>
        <v>633</v>
      </c>
      <c r="W221" s="349"/>
      <c r="Z221" s="352"/>
      <c r="AA221" s="108" t="str">
        <f>IF(AB221=0,"",VLOOKUP(AB221,Starter!$A$1:$D$199,2,FALSE))</f>
        <v>Lieb, Anja</v>
      </c>
      <c r="AB221" s="98">
        <v>7534</v>
      </c>
      <c r="AC221" s="186"/>
      <c r="AD221" s="112"/>
      <c r="AE221" s="186"/>
      <c r="AF221" s="112"/>
      <c r="AG221" s="186"/>
      <c r="AH221" s="112"/>
      <c r="AI221" s="186"/>
      <c r="AJ221" s="112"/>
      <c r="AK221" s="186">
        <v>165</v>
      </c>
      <c r="AL221" s="112"/>
      <c r="AM221" s="186">
        <v>146</v>
      </c>
      <c r="AN221" s="112"/>
      <c r="AO221" s="190">
        <v>176</v>
      </c>
      <c r="AP221" s="112"/>
      <c r="AQ221" s="190">
        <v>146</v>
      </c>
      <c r="AR221" s="112"/>
      <c r="AS221" s="190"/>
      <c r="AT221" s="112"/>
      <c r="AU221" s="113">
        <f t="shared" si="247"/>
        <v>633</v>
      </c>
      <c r="AV221" s="114"/>
      <c r="AW221" s="101"/>
      <c r="AX221" s="102"/>
      <c r="AZ221" s="63"/>
      <c r="BA221" s="212"/>
      <c r="BB221" s="213"/>
      <c r="BC221" s="214"/>
      <c r="BD221" s="217">
        <f t="shared" si="260"/>
        <v>7534</v>
      </c>
      <c r="BE221" s="213">
        <f t="shared" si="261"/>
        <v>633</v>
      </c>
      <c r="BF221" s="215">
        <f t="shared" si="262"/>
        <v>4</v>
      </c>
      <c r="BG221" s="215">
        <f t="shared" si="263"/>
        <v>4</v>
      </c>
      <c r="BH221" s="215" t="str">
        <f t="shared" si="248"/>
        <v/>
      </c>
      <c r="BI221" s="215" t="str">
        <f t="shared" si="249"/>
        <v/>
      </c>
      <c r="BJ221" s="215" t="str">
        <f t="shared" si="250"/>
        <v/>
      </c>
      <c r="BK221" s="215" t="str">
        <f t="shared" si="251"/>
        <v/>
      </c>
      <c r="BL221" s="215">
        <f t="shared" si="252"/>
        <v>165</v>
      </c>
      <c r="BM221" s="215">
        <f t="shared" si="253"/>
        <v>146</v>
      </c>
      <c r="BN221" s="215">
        <f t="shared" si="254"/>
        <v>176</v>
      </c>
      <c r="BO221" s="215">
        <f t="shared" si="255"/>
        <v>146</v>
      </c>
      <c r="BP221" s="215" t="str">
        <f t="shared" si="256"/>
        <v/>
      </c>
      <c r="BQ221" s="216"/>
      <c r="BR221" s="214"/>
      <c r="BS221" s="215">
        <f t="shared" si="264"/>
        <v>176</v>
      </c>
      <c r="BT221" s="215">
        <f t="shared" si="265"/>
        <v>0</v>
      </c>
      <c r="BU221" s="215" t="str">
        <f t="shared" si="266"/>
        <v>EPA München 1</v>
      </c>
      <c r="BV221" s="214">
        <f t="shared" si="267"/>
        <v>2</v>
      </c>
      <c r="BW221" s="215">
        <f t="shared" si="268"/>
        <v>633</v>
      </c>
      <c r="BX221" s="215">
        <f>IF(COUNTIF(BH221:BP221,"&gt;0")&lt;Spielorte!$A$23,0,BE221/Spielorte!$A$23)</f>
        <v>0</v>
      </c>
      <c r="BY221" s="215">
        <f t="shared" si="269"/>
        <v>0</v>
      </c>
      <c r="BZ221" s="214">
        <f t="shared" si="257"/>
        <v>0</v>
      </c>
    </row>
    <row r="222" spans="1:78" ht="17.2" customHeight="1" thickBot="1" x14ac:dyDescent="0.4">
      <c r="A222" s="369"/>
      <c r="B222" s="79" t="str">
        <f t="shared" si="258"/>
        <v>Weninger, Diana</v>
      </c>
      <c r="C222" s="80">
        <f t="shared" si="258"/>
        <v>25397</v>
      </c>
      <c r="D222" s="69" t="str">
        <f t="shared" si="258"/>
        <v/>
      </c>
      <c r="E222" s="350"/>
      <c r="F222" s="69" t="str">
        <f t="shared" si="239"/>
        <v/>
      </c>
      <c r="G222" s="350"/>
      <c r="H222" s="69" t="str">
        <f t="shared" si="240"/>
        <v/>
      </c>
      <c r="I222" s="350"/>
      <c r="J222" s="69" t="str">
        <f t="shared" si="241"/>
        <v/>
      </c>
      <c r="K222" s="350"/>
      <c r="L222" s="69" t="str">
        <f t="shared" si="242"/>
        <v/>
      </c>
      <c r="M222" s="350"/>
      <c r="N222" s="69" t="str">
        <f t="shared" si="259"/>
        <v/>
      </c>
      <c r="O222" s="350"/>
      <c r="P222" s="69" t="str">
        <f t="shared" si="243"/>
        <v/>
      </c>
      <c r="Q222" s="350"/>
      <c r="R222" s="69" t="str">
        <f t="shared" si="244"/>
        <v/>
      </c>
      <c r="S222" s="350"/>
      <c r="T222" s="69">
        <f t="shared" si="245"/>
        <v>178</v>
      </c>
      <c r="U222" s="350"/>
      <c r="V222" s="69">
        <f t="shared" si="246"/>
        <v>178</v>
      </c>
      <c r="W222" s="350"/>
      <c r="Z222" s="353"/>
      <c r="AA222" s="118" t="str">
        <f>IF(AB222=0,"",VLOOKUP(AB222,Starter!$A$1:$D$199,2,FALSE))</f>
        <v>Weninger, Diana</v>
      </c>
      <c r="AB222" s="100">
        <v>25397</v>
      </c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>
        <v>178</v>
      </c>
      <c r="AT222" s="119"/>
      <c r="AU222" s="116">
        <f t="shared" si="247"/>
        <v>178</v>
      </c>
      <c r="AV222" s="117"/>
      <c r="AW222" s="101"/>
      <c r="AX222" s="102"/>
      <c r="AZ222" s="63"/>
      <c r="BA222" s="212"/>
      <c r="BB222" s="213"/>
      <c r="BC222" s="214"/>
      <c r="BD222" s="217">
        <f t="shared" si="260"/>
        <v>25397</v>
      </c>
      <c r="BE222" s="213">
        <f t="shared" si="261"/>
        <v>178</v>
      </c>
      <c r="BF222" s="215">
        <f t="shared" si="262"/>
        <v>1</v>
      </c>
      <c r="BG222" s="215">
        <f t="shared" si="263"/>
        <v>1</v>
      </c>
      <c r="BH222" s="215" t="str">
        <f t="shared" si="248"/>
        <v/>
      </c>
      <c r="BI222" s="215" t="str">
        <f t="shared" si="249"/>
        <v/>
      </c>
      <c r="BJ222" s="215" t="str">
        <f t="shared" si="250"/>
        <v/>
      </c>
      <c r="BK222" s="215" t="str">
        <f t="shared" si="251"/>
        <v/>
      </c>
      <c r="BL222" s="215" t="str">
        <f t="shared" si="252"/>
        <v/>
      </c>
      <c r="BM222" s="215" t="str">
        <f t="shared" si="253"/>
        <v/>
      </c>
      <c r="BN222" s="215" t="str">
        <f t="shared" si="254"/>
        <v/>
      </c>
      <c r="BO222" s="215" t="str">
        <f t="shared" si="255"/>
        <v/>
      </c>
      <c r="BP222" s="215">
        <f t="shared" si="256"/>
        <v>178</v>
      </c>
      <c r="BQ222" s="216"/>
      <c r="BR222" s="214"/>
      <c r="BS222" s="215">
        <f t="shared" si="264"/>
        <v>178</v>
      </c>
      <c r="BT222" s="215">
        <f t="shared" si="265"/>
        <v>0</v>
      </c>
      <c r="BU222" s="215" t="str">
        <f t="shared" si="266"/>
        <v>EPA München 1</v>
      </c>
      <c r="BV222" s="214">
        <f t="shared" si="267"/>
        <v>2</v>
      </c>
      <c r="BW222" s="215">
        <f t="shared" si="268"/>
        <v>178</v>
      </c>
      <c r="BX222" s="215">
        <f>IF(COUNTIF(BH222:BP222,"&gt;0")&lt;Spielorte!$A$23,0,BE222/Spielorte!$A$23)</f>
        <v>0</v>
      </c>
      <c r="BY222" s="215">
        <f t="shared" si="269"/>
        <v>0</v>
      </c>
      <c r="BZ222" s="214">
        <f t="shared" si="257"/>
        <v>0</v>
      </c>
    </row>
    <row r="223" spans="1:78" ht="17.2" customHeight="1" x14ac:dyDescent="0.35">
      <c r="A223" s="367" t="s">
        <v>3</v>
      </c>
      <c r="B223" s="73" t="str">
        <f t="shared" si="258"/>
        <v>Hernitschek, Angelika</v>
      </c>
      <c r="C223" s="74">
        <f t="shared" si="258"/>
        <v>7549</v>
      </c>
      <c r="D223" s="75">
        <f t="shared" si="258"/>
        <v>157</v>
      </c>
      <c r="E223" s="348">
        <f>IF(AD223="","",AD223)</f>
        <v>0</v>
      </c>
      <c r="F223" s="75">
        <f t="shared" si="239"/>
        <v>179</v>
      </c>
      <c r="G223" s="348">
        <f>IF(AF223="","",AF223)</f>
        <v>0.5</v>
      </c>
      <c r="H223" s="75">
        <f t="shared" si="240"/>
        <v>167</v>
      </c>
      <c r="I223" s="348">
        <f>IF(AH223="","",AH223)</f>
        <v>1</v>
      </c>
      <c r="J223" s="75">
        <f t="shared" si="241"/>
        <v>135</v>
      </c>
      <c r="K223" s="348">
        <f>IF(AJ223="","",AJ223)</f>
        <v>0</v>
      </c>
      <c r="L223" s="75">
        <f t="shared" si="242"/>
        <v>168</v>
      </c>
      <c r="M223" s="348">
        <f>IF(AL223="","",AL223)</f>
        <v>1</v>
      </c>
      <c r="N223" s="75">
        <f t="shared" si="259"/>
        <v>182</v>
      </c>
      <c r="O223" s="348">
        <f>IF(AN223="","",AN223)</f>
        <v>1</v>
      </c>
      <c r="P223" s="75">
        <f t="shared" si="243"/>
        <v>185</v>
      </c>
      <c r="Q223" s="348">
        <f>IF(AP223="","",AP223)</f>
        <v>0</v>
      </c>
      <c r="R223" s="75">
        <f t="shared" si="244"/>
        <v>196</v>
      </c>
      <c r="S223" s="348">
        <f>IF(AR223="","",AR223)</f>
        <v>1</v>
      </c>
      <c r="T223" s="75">
        <f t="shared" si="245"/>
        <v>211</v>
      </c>
      <c r="U223" s="348">
        <f>IF(AT223="","",AT223)</f>
        <v>0</v>
      </c>
      <c r="V223" s="75">
        <f t="shared" si="246"/>
        <v>1580</v>
      </c>
      <c r="W223" s="348">
        <f>IF(AV223="","",AV223)</f>
        <v>4.5</v>
      </c>
      <c r="Z223" s="351" t="s">
        <v>3</v>
      </c>
      <c r="AA223" s="108" t="str">
        <f>IF(AB223=0,"",VLOOKUP(AB223,Starter!$A$1:$D$199,2,FALSE))</f>
        <v>Hernitschek, Angelika</v>
      </c>
      <c r="AB223" s="99">
        <v>7549</v>
      </c>
      <c r="AC223" s="188">
        <v>157</v>
      </c>
      <c r="AD223" s="109">
        <f>IF(SUM(AC223:AC225)+AC237=0,0,IF(SUM(AC223:AC225)=AC237,0.5,IF(SUM(AC223:AC225)&gt;AC237,1,0)))</f>
        <v>0</v>
      </c>
      <c r="AE223" s="188">
        <v>179</v>
      </c>
      <c r="AF223" s="109">
        <f>IF(SUM(AE223:AE225)+AE237=0,0,IF(SUM(AE223:AE225)=AE237,0.5,IF(SUM(AE223:AE225)&gt;AE237,1,0)))</f>
        <v>0.5</v>
      </c>
      <c r="AG223" s="188">
        <v>167</v>
      </c>
      <c r="AH223" s="109">
        <f>IF(SUM(AG223:AG225)+AG237=0,0,IF(SUM(AG223:AG225)=AG237,0.5,IF(SUM(AG223:AG225)&gt;AG237,1,0)))</f>
        <v>1</v>
      </c>
      <c r="AI223" s="188">
        <v>135</v>
      </c>
      <c r="AJ223" s="109">
        <f>IF(SUM(AI223:AI225)+AI237=0,0,IF(SUM(AI223:AI225)=AI237,0.5,IF(SUM(AI223:AI225)&gt;AI237,1,0)))</f>
        <v>0</v>
      </c>
      <c r="AK223" s="188">
        <v>168</v>
      </c>
      <c r="AL223" s="109">
        <f>IF(SUM(AK223:AK225)+AK237=0,0,IF(SUM(AK223:AK225)=AK237,0.5,IF(SUM(AK223:AK225)&gt;AK237,1,0)))</f>
        <v>1</v>
      </c>
      <c r="AM223" s="188">
        <v>182</v>
      </c>
      <c r="AN223" s="109">
        <f>IF(SUM(AM223:AM225)+AM237=0,0,IF(SUM(AM223:AM225)=AM237,0.5,IF(SUM(AM223:AM225)&gt;AM237,1,0)))</f>
        <v>1</v>
      </c>
      <c r="AO223" s="188">
        <v>185</v>
      </c>
      <c r="AP223" s="109">
        <f>IF(SUM(AO223:AO225)+AO237=0,0,IF(SUM(AO223:AO225)=AO237,0.5,IF(SUM(AO223:AO225)&gt;AO237,1,0)))</f>
        <v>0</v>
      </c>
      <c r="AQ223" s="188">
        <v>196</v>
      </c>
      <c r="AR223" s="109">
        <f>IF(SUM(AQ223:AQ225)+AQ237=0,0,IF(SUM(AQ223:AQ225)=AQ237,0.5,IF(SUM(AQ223:AQ225)&gt;AQ237,1,0)))</f>
        <v>1</v>
      </c>
      <c r="AS223" s="188">
        <v>211</v>
      </c>
      <c r="AT223" s="109">
        <f>IF(SUM(AS223:AS225)+AS237=0,0,IF(SUM(AS223:AS225)=AS237,0.5,IF(SUM(AS223:AS225)&gt;AS237,1,0)))</f>
        <v>0</v>
      </c>
      <c r="AU223" s="110">
        <f t="shared" si="247"/>
        <v>1580</v>
      </c>
      <c r="AV223" s="111">
        <f>SUM(AD223+AF223+AH223+AJ223+AL223+AN223+AP223+AR223+AT223)</f>
        <v>4.5</v>
      </c>
      <c r="AW223" s="101"/>
      <c r="AX223" s="102"/>
      <c r="AZ223" s="63"/>
      <c r="BA223" s="212"/>
      <c r="BB223" s="213"/>
      <c r="BC223" s="214"/>
      <c r="BD223" s="217">
        <f t="shared" si="260"/>
        <v>7549</v>
      </c>
      <c r="BE223" s="213">
        <f t="shared" si="261"/>
        <v>1580</v>
      </c>
      <c r="BF223" s="215">
        <f t="shared" si="262"/>
        <v>9</v>
      </c>
      <c r="BG223" s="215">
        <f t="shared" si="263"/>
        <v>9</v>
      </c>
      <c r="BH223" s="215">
        <f t="shared" si="248"/>
        <v>157</v>
      </c>
      <c r="BI223" s="215">
        <f t="shared" si="249"/>
        <v>179</v>
      </c>
      <c r="BJ223" s="215">
        <f t="shared" si="250"/>
        <v>167</v>
      </c>
      <c r="BK223" s="215">
        <f t="shared" si="251"/>
        <v>135</v>
      </c>
      <c r="BL223" s="215">
        <f t="shared" si="252"/>
        <v>168</v>
      </c>
      <c r="BM223" s="215">
        <f t="shared" si="253"/>
        <v>182</v>
      </c>
      <c r="BN223" s="215">
        <f t="shared" si="254"/>
        <v>185</v>
      </c>
      <c r="BO223" s="215">
        <f t="shared" si="255"/>
        <v>196</v>
      </c>
      <c r="BP223" s="215">
        <f t="shared" si="256"/>
        <v>211</v>
      </c>
      <c r="BQ223" s="216"/>
      <c r="BR223" s="214"/>
      <c r="BS223" s="215">
        <f t="shared" si="264"/>
        <v>211</v>
      </c>
      <c r="BT223" s="215">
        <f t="shared" si="265"/>
        <v>0</v>
      </c>
      <c r="BU223" s="215" t="str">
        <f t="shared" si="266"/>
        <v>EPA München 1</v>
      </c>
      <c r="BV223" s="214">
        <f t="shared" si="267"/>
        <v>2</v>
      </c>
      <c r="BW223" s="215">
        <f t="shared" si="268"/>
        <v>1580</v>
      </c>
      <c r="BX223" s="215">
        <f>IF(COUNTIF(BH223:BP223,"&gt;0")&lt;Spielorte!$A$23,0,BE223/Spielorte!$A$23)</f>
        <v>175.55555555555554</v>
      </c>
      <c r="BY223" s="215">
        <f t="shared" si="269"/>
        <v>0</v>
      </c>
      <c r="BZ223" s="214">
        <f t="shared" si="257"/>
        <v>0</v>
      </c>
    </row>
    <row r="224" spans="1:78" ht="17.2" customHeight="1" x14ac:dyDescent="0.35">
      <c r="A224" s="368"/>
      <c r="B224" s="76" t="str">
        <f t="shared" si="258"/>
        <v/>
      </c>
      <c r="C224" s="77" t="str">
        <f t="shared" si="258"/>
        <v/>
      </c>
      <c r="D224" s="78" t="str">
        <f t="shared" si="258"/>
        <v/>
      </c>
      <c r="E224" s="349"/>
      <c r="F224" s="78" t="str">
        <f t="shared" si="239"/>
        <v/>
      </c>
      <c r="G224" s="349"/>
      <c r="H224" s="78" t="str">
        <f t="shared" si="240"/>
        <v/>
      </c>
      <c r="I224" s="349"/>
      <c r="J224" s="78" t="str">
        <f t="shared" si="241"/>
        <v/>
      </c>
      <c r="K224" s="349"/>
      <c r="L224" s="78" t="str">
        <f t="shared" si="242"/>
        <v/>
      </c>
      <c r="M224" s="349"/>
      <c r="N224" s="78" t="str">
        <f t="shared" si="259"/>
        <v/>
      </c>
      <c r="O224" s="349"/>
      <c r="P224" s="78" t="str">
        <f t="shared" si="243"/>
        <v/>
      </c>
      <c r="Q224" s="349"/>
      <c r="R224" s="78" t="str">
        <f t="shared" si="244"/>
        <v/>
      </c>
      <c r="S224" s="349"/>
      <c r="T224" s="78" t="str">
        <f t="shared" si="245"/>
        <v/>
      </c>
      <c r="U224" s="349"/>
      <c r="V224" s="78" t="str">
        <f t="shared" si="246"/>
        <v/>
      </c>
      <c r="W224" s="349"/>
      <c r="Z224" s="352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47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0"/>
        <v>0</v>
      </c>
      <c r="BE224" s="213">
        <f t="shared" si="261"/>
        <v>0</v>
      </c>
      <c r="BF224" s="215">
        <f t="shared" si="262"/>
        <v>0</v>
      </c>
      <c r="BG224" s="215">
        <f t="shared" si="263"/>
        <v>0</v>
      </c>
      <c r="BH224" s="215" t="str">
        <f t="shared" si="248"/>
        <v/>
      </c>
      <c r="BI224" s="215" t="str">
        <f t="shared" si="249"/>
        <v/>
      </c>
      <c r="BJ224" s="215" t="str">
        <f t="shared" si="250"/>
        <v/>
      </c>
      <c r="BK224" s="215" t="str">
        <f t="shared" si="251"/>
        <v/>
      </c>
      <c r="BL224" s="215" t="str">
        <f t="shared" si="252"/>
        <v/>
      </c>
      <c r="BM224" s="215" t="str">
        <f t="shared" si="253"/>
        <v/>
      </c>
      <c r="BN224" s="215" t="str">
        <f t="shared" si="254"/>
        <v/>
      </c>
      <c r="BO224" s="215" t="str">
        <f t="shared" si="255"/>
        <v/>
      </c>
      <c r="BP224" s="215" t="str">
        <f t="shared" si="256"/>
        <v/>
      </c>
      <c r="BQ224" s="216"/>
      <c r="BR224" s="214"/>
      <c r="BS224" s="215">
        <f t="shared" si="264"/>
        <v>0</v>
      </c>
      <c r="BT224" s="215">
        <f t="shared" si="265"/>
        <v>0</v>
      </c>
      <c r="BU224" s="215" t="str">
        <f t="shared" si="266"/>
        <v>EPA München 1</v>
      </c>
      <c r="BV224" s="214">
        <f t="shared" si="267"/>
        <v>2</v>
      </c>
      <c r="BW224" s="215">
        <f t="shared" si="268"/>
        <v>0</v>
      </c>
      <c r="BX224" s="215">
        <f>IF(COUNTIF(BH224:BP224,"&gt;0")&lt;Spielorte!$A$23,0,BE224/Spielorte!$A$23)</f>
        <v>0</v>
      </c>
      <c r="BY224" s="215">
        <f t="shared" si="269"/>
        <v>0</v>
      </c>
      <c r="BZ224" s="214">
        <f t="shared" si="257"/>
        <v>0</v>
      </c>
    </row>
    <row r="225" spans="1:78" ht="17.2" customHeight="1" thickBot="1" x14ac:dyDescent="0.4">
      <c r="A225" s="369"/>
      <c r="B225" s="79" t="str">
        <f t="shared" si="258"/>
        <v/>
      </c>
      <c r="C225" s="80" t="str">
        <f t="shared" si="258"/>
        <v/>
      </c>
      <c r="D225" s="69" t="str">
        <f t="shared" si="258"/>
        <v/>
      </c>
      <c r="E225" s="350"/>
      <c r="F225" s="69" t="str">
        <f t="shared" si="239"/>
        <v/>
      </c>
      <c r="G225" s="350"/>
      <c r="H225" s="69" t="str">
        <f t="shared" si="240"/>
        <v/>
      </c>
      <c r="I225" s="350"/>
      <c r="J225" s="69" t="str">
        <f t="shared" si="241"/>
        <v/>
      </c>
      <c r="K225" s="350"/>
      <c r="L225" s="69" t="str">
        <f t="shared" si="242"/>
        <v/>
      </c>
      <c r="M225" s="350"/>
      <c r="N225" s="69" t="str">
        <f t="shared" si="259"/>
        <v/>
      </c>
      <c r="O225" s="350"/>
      <c r="P225" s="69" t="str">
        <f t="shared" si="243"/>
        <v/>
      </c>
      <c r="Q225" s="350"/>
      <c r="R225" s="69" t="str">
        <f t="shared" si="244"/>
        <v/>
      </c>
      <c r="S225" s="350"/>
      <c r="T225" s="69" t="str">
        <f t="shared" si="245"/>
        <v/>
      </c>
      <c r="U225" s="350"/>
      <c r="V225" s="69" t="str">
        <f t="shared" si="246"/>
        <v/>
      </c>
      <c r="W225" s="350"/>
      <c r="Z225" s="353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47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0"/>
        <v>0</v>
      </c>
      <c r="BE225" s="213">
        <f t="shared" si="261"/>
        <v>0</v>
      </c>
      <c r="BF225" s="215">
        <f t="shared" si="262"/>
        <v>0</v>
      </c>
      <c r="BG225" s="215">
        <f t="shared" si="263"/>
        <v>0</v>
      </c>
      <c r="BH225" s="215" t="str">
        <f t="shared" si="248"/>
        <v/>
      </c>
      <c r="BI225" s="215" t="str">
        <f t="shared" si="249"/>
        <v/>
      </c>
      <c r="BJ225" s="215" t="str">
        <f t="shared" si="250"/>
        <v/>
      </c>
      <c r="BK225" s="215" t="str">
        <f t="shared" si="251"/>
        <v/>
      </c>
      <c r="BL225" s="215" t="str">
        <f t="shared" si="252"/>
        <v/>
      </c>
      <c r="BM225" s="215" t="str">
        <f t="shared" si="253"/>
        <v/>
      </c>
      <c r="BN225" s="215" t="str">
        <f t="shared" si="254"/>
        <v/>
      </c>
      <c r="BO225" s="215" t="str">
        <f t="shared" si="255"/>
        <v/>
      </c>
      <c r="BP225" s="215" t="str">
        <f t="shared" si="256"/>
        <v/>
      </c>
      <c r="BQ225" s="216"/>
      <c r="BR225" s="214"/>
      <c r="BS225" s="215">
        <f t="shared" si="264"/>
        <v>0</v>
      </c>
      <c r="BT225" s="215">
        <f t="shared" si="265"/>
        <v>0</v>
      </c>
      <c r="BU225" s="215" t="str">
        <f t="shared" si="266"/>
        <v>EPA München 1</v>
      </c>
      <c r="BV225" s="214">
        <f t="shared" si="267"/>
        <v>2</v>
      </c>
      <c r="BW225" s="215">
        <f t="shared" si="268"/>
        <v>0</v>
      </c>
      <c r="BX225" s="215">
        <f>IF(COUNTIF(BH225:BP225,"&gt;0")&lt;Spielorte!$A$23,0,BE225/Spielorte!$A$23)</f>
        <v>0</v>
      </c>
      <c r="BY225" s="215">
        <f t="shared" si="269"/>
        <v>0</v>
      </c>
      <c r="BZ225" s="214">
        <f t="shared" si="257"/>
        <v>0</v>
      </c>
    </row>
    <row r="226" spans="1:78" ht="17.2" customHeight="1" x14ac:dyDescent="0.35">
      <c r="A226" s="367" t="s">
        <v>11</v>
      </c>
      <c r="B226" s="73" t="str">
        <f>IF(AA226=0,"",AA226)</f>
        <v>Lieb, Anja</v>
      </c>
      <c r="C226" s="74">
        <f t="shared" si="258"/>
        <v>7534</v>
      </c>
      <c r="D226" s="75">
        <f t="shared" si="258"/>
        <v>158</v>
      </c>
      <c r="E226" s="348">
        <f>IF(AD226="","",AD226)</f>
        <v>0</v>
      </c>
      <c r="F226" s="75">
        <f t="shared" si="239"/>
        <v>164</v>
      </c>
      <c r="G226" s="348">
        <f>IF(AF226="","",AF226)</f>
        <v>1</v>
      </c>
      <c r="H226" s="75">
        <f t="shared" si="240"/>
        <v>135</v>
      </c>
      <c r="I226" s="348">
        <f>IF(AH226="","",AH226)</f>
        <v>0</v>
      </c>
      <c r="J226" s="75" t="str">
        <f t="shared" si="241"/>
        <v/>
      </c>
      <c r="K226" s="348">
        <f>IF(AJ226="","",AJ226)</f>
        <v>0</v>
      </c>
      <c r="L226" s="75" t="str">
        <f t="shared" si="242"/>
        <v/>
      </c>
      <c r="M226" s="348">
        <f>IF(AL226="","",AL226)</f>
        <v>1</v>
      </c>
      <c r="N226" s="75" t="str">
        <f t="shared" si="259"/>
        <v/>
      </c>
      <c r="O226" s="348">
        <f>IF(AN226="","",AN226)</f>
        <v>0</v>
      </c>
      <c r="P226" s="75" t="str">
        <f t="shared" si="243"/>
        <v/>
      </c>
      <c r="Q226" s="348">
        <f>IF(AP226="","",AP226)</f>
        <v>0</v>
      </c>
      <c r="R226" s="75" t="str">
        <f t="shared" si="244"/>
        <v/>
      </c>
      <c r="S226" s="348">
        <f>IF(AR226="","",AR226)</f>
        <v>1</v>
      </c>
      <c r="T226" s="75" t="str">
        <f t="shared" si="245"/>
        <v/>
      </c>
      <c r="U226" s="348">
        <f>IF(AT226="","",AT226)</f>
        <v>1</v>
      </c>
      <c r="V226" s="75">
        <f t="shared" si="246"/>
        <v>457</v>
      </c>
      <c r="W226" s="348">
        <f>IF(AV226="","",AV226)</f>
        <v>4</v>
      </c>
      <c r="Z226" s="351" t="s">
        <v>11</v>
      </c>
      <c r="AA226" s="108" t="str">
        <f>IF(AB226=0,"",VLOOKUP(AB226,Starter!$A$1:$D$199,2,FALSE))</f>
        <v>Lieb, Anja</v>
      </c>
      <c r="AB226" s="99">
        <v>7534</v>
      </c>
      <c r="AC226" s="188">
        <v>158</v>
      </c>
      <c r="AD226" s="109">
        <f>IF(SUM(AC226:AC228)+AC238=0,0,IF(SUM(AC226:AC228)=AC238,0.5,IF(SUM(AC226:AC228)&gt;AC238,1,0)))</f>
        <v>0</v>
      </c>
      <c r="AE226" s="188">
        <v>164</v>
      </c>
      <c r="AF226" s="109">
        <f>IF(SUM(AE226:AE228)+AE238=0,0,IF(SUM(AE226:AE228)=AE238,0.5,IF(SUM(AE226:AE228)&gt;AE238,1,0)))</f>
        <v>1</v>
      </c>
      <c r="AG226" s="188">
        <v>135</v>
      </c>
      <c r="AH226" s="109">
        <f>IF(SUM(AG226:AG228)+AG238=0,0,IF(SUM(AG226:AG228)=AG238,0.5,IF(SUM(AG226:AG228)&gt;AG238,1,0)))</f>
        <v>0</v>
      </c>
      <c r="AI226" s="188"/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1</v>
      </c>
      <c r="AM226" s="188"/>
      <c r="AN226" s="109">
        <f>IF(SUM(AM226:AM228)+AM238=0,0,IF(SUM(AM226:AM228)=AM238,0.5,IF(SUM(AM226:AM228)&gt;AM238,1,0)))</f>
        <v>0</v>
      </c>
      <c r="AO226" s="188"/>
      <c r="AP226" s="109">
        <f>IF(SUM(AO226:AO228)+AO238=0,0,IF(SUM(AO226:AO228)=AO238,0.5,IF(SUM(AO226:AO228)&gt;AO238,1,0)))</f>
        <v>0</v>
      </c>
      <c r="AQ226" s="188"/>
      <c r="AR226" s="109">
        <f>IF(SUM(AQ226:AQ228)+AQ238=0,0,IF(SUM(AQ226:AQ228)=AQ238,0.5,IF(SUM(AQ226:AQ228)&gt;AQ238,1,0)))</f>
        <v>1</v>
      </c>
      <c r="AS226" s="188"/>
      <c r="AT226" s="109">
        <f>IF(SUM(AS226:AS228)+AS238=0,0,IF(SUM(AS226:AS228)=AS238,0.5,IF(SUM(AS226:AS228)&gt;AS238,1,0)))</f>
        <v>1</v>
      </c>
      <c r="AU226" s="110">
        <f t="shared" si="247"/>
        <v>457</v>
      </c>
      <c r="AV226" s="111">
        <f>SUM(AD226+AF226+AH226+AJ226+AL226+AN226+AP226+AR226+AT226)</f>
        <v>4</v>
      </c>
      <c r="AW226" s="101"/>
      <c r="AX226" s="102"/>
      <c r="AZ226" s="63"/>
      <c r="BA226" s="212"/>
      <c r="BB226" s="213"/>
      <c r="BC226" s="214"/>
      <c r="BD226" s="217">
        <f t="shared" si="260"/>
        <v>7534</v>
      </c>
      <c r="BE226" s="213">
        <f t="shared" si="261"/>
        <v>457</v>
      </c>
      <c r="BF226" s="215">
        <f t="shared" si="262"/>
        <v>3</v>
      </c>
      <c r="BG226" s="215">
        <f t="shared" si="263"/>
        <v>3</v>
      </c>
      <c r="BH226" s="215">
        <f t="shared" si="248"/>
        <v>158</v>
      </c>
      <c r="BI226" s="215">
        <f t="shared" si="249"/>
        <v>164</v>
      </c>
      <c r="BJ226" s="215">
        <f t="shared" si="250"/>
        <v>135</v>
      </c>
      <c r="BK226" s="215" t="str">
        <f t="shared" si="251"/>
        <v/>
      </c>
      <c r="BL226" s="215" t="str">
        <f t="shared" si="252"/>
        <v/>
      </c>
      <c r="BM226" s="215" t="str">
        <f t="shared" si="253"/>
        <v/>
      </c>
      <c r="BN226" s="215" t="str">
        <f t="shared" si="254"/>
        <v/>
      </c>
      <c r="BO226" s="215" t="str">
        <f t="shared" si="255"/>
        <v/>
      </c>
      <c r="BP226" s="215" t="str">
        <f t="shared" si="256"/>
        <v/>
      </c>
      <c r="BQ226" s="216"/>
      <c r="BR226" s="214"/>
      <c r="BS226" s="215">
        <f t="shared" si="264"/>
        <v>164</v>
      </c>
      <c r="BT226" s="215">
        <f t="shared" si="265"/>
        <v>0</v>
      </c>
      <c r="BU226" s="215" t="str">
        <f t="shared" si="266"/>
        <v>EPA München 1</v>
      </c>
      <c r="BV226" s="214">
        <f t="shared" si="267"/>
        <v>2</v>
      </c>
      <c r="BW226" s="215">
        <f t="shared" si="268"/>
        <v>457</v>
      </c>
      <c r="BX226" s="215">
        <f>IF(COUNTIF(BH226:BP226,"&gt;0")&lt;Spielorte!$A$23,0,BE226/Spielorte!$A$23)</f>
        <v>0</v>
      </c>
      <c r="BY226" s="215">
        <f t="shared" si="269"/>
        <v>0</v>
      </c>
      <c r="BZ226" s="214">
        <f t="shared" si="257"/>
        <v>0</v>
      </c>
    </row>
    <row r="227" spans="1:78" ht="17.2" customHeight="1" x14ac:dyDescent="0.35">
      <c r="A227" s="368"/>
      <c r="B227" s="76" t="str">
        <f>IF(AA227=0,"",AA227)</f>
        <v>Weninger, Diana</v>
      </c>
      <c r="C227" s="77">
        <f t="shared" si="258"/>
        <v>25397</v>
      </c>
      <c r="D227" s="78" t="str">
        <f t="shared" si="258"/>
        <v/>
      </c>
      <c r="E227" s="349"/>
      <c r="F227" s="78" t="str">
        <f t="shared" si="239"/>
        <v/>
      </c>
      <c r="G227" s="349"/>
      <c r="H227" s="78" t="str">
        <f t="shared" si="240"/>
        <v/>
      </c>
      <c r="I227" s="349"/>
      <c r="J227" s="78">
        <f t="shared" si="241"/>
        <v>189</v>
      </c>
      <c r="K227" s="349"/>
      <c r="L227" s="78">
        <f t="shared" si="242"/>
        <v>146</v>
      </c>
      <c r="M227" s="349"/>
      <c r="N227" s="78">
        <f t="shared" si="259"/>
        <v>138</v>
      </c>
      <c r="O227" s="349"/>
      <c r="P227" s="78" t="str">
        <f t="shared" si="243"/>
        <v/>
      </c>
      <c r="Q227" s="349"/>
      <c r="R227" s="78" t="str">
        <f t="shared" si="244"/>
        <v/>
      </c>
      <c r="S227" s="349"/>
      <c r="T227" s="78" t="str">
        <f t="shared" si="245"/>
        <v/>
      </c>
      <c r="U227" s="349"/>
      <c r="V227" s="78">
        <f t="shared" si="246"/>
        <v>473</v>
      </c>
      <c r="W227" s="349"/>
      <c r="Z227" s="352"/>
      <c r="AA227" s="108" t="str">
        <f>IF(AB227=0,"",VLOOKUP(AB227,Starter!$A$1:$D$199,2,FALSE))</f>
        <v>Weninger, Diana</v>
      </c>
      <c r="AB227" s="98">
        <v>25397</v>
      </c>
      <c r="AC227" s="186"/>
      <c r="AD227" s="112"/>
      <c r="AE227" s="186"/>
      <c r="AF227" s="112"/>
      <c r="AG227" s="186"/>
      <c r="AH227" s="112"/>
      <c r="AI227" s="186">
        <v>189</v>
      </c>
      <c r="AJ227" s="112"/>
      <c r="AK227" s="186">
        <v>146</v>
      </c>
      <c r="AL227" s="112"/>
      <c r="AM227" s="186">
        <v>138</v>
      </c>
      <c r="AN227" s="112"/>
      <c r="AO227" s="186"/>
      <c r="AP227" s="112"/>
      <c r="AQ227" s="186"/>
      <c r="AR227" s="112"/>
      <c r="AS227" s="186"/>
      <c r="AT227" s="112"/>
      <c r="AU227" s="113">
        <f t="shared" si="247"/>
        <v>473</v>
      </c>
      <c r="AV227" s="114"/>
      <c r="AW227" s="101"/>
      <c r="AX227" s="102"/>
      <c r="AZ227" s="63"/>
      <c r="BA227" s="212"/>
      <c r="BB227" s="213"/>
      <c r="BC227" s="214"/>
      <c r="BD227" s="217">
        <f t="shared" si="260"/>
        <v>25397</v>
      </c>
      <c r="BE227" s="213">
        <f t="shared" si="261"/>
        <v>473</v>
      </c>
      <c r="BF227" s="215">
        <f t="shared" si="262"/>
        <v>3</v>
      </c>
      <c r="BG227" s="215">
        <f t="shared" si="263"/>
        <v>3</v>
      </c>
      <c r="BH227" s="215" t="str">
        <f t="shared" si="248"/>
        <v/>
      </c>
      <c r="BI227" s="215" t="str">
        <f t="shared" si="249"/>
        <v/>
      </c>
      <c r="BJ227" s="215" t="str">
        <f t="shared" si="250"/>
        <v/>
      </c>
      <c r="BK227" s="215">
        <f t="shared" si="251"/>
        <v>189</v>
      </c>
      <c r="BL227" s="215">
        <f t="shared" si="252"/>
        <v>146</v>
      </c>
      <c r="BM227" s="215">
        <f t="shared" si="253"/>
        <v>138</v>
      </c>
      <c r="BN227" s="215" t="str">
        <f t="shared" si="254"/>
        <v/>
      </c>
      <c r="BO227" s="215" t="str">
        <f t="shared" si="255"/>
        <v/>
      </c>
      <c r="BP227" s="215" t="str">
        <f t="shared" si="256"/>
        <v/>
      </c>
      <c r="BQ227" s="216"/>
      <c r="BR227" s="214"/>
      <c r="BS227" s="215">
        <f t="shared" si="264"/>
        <v>189</v>
      </c>
      <c r="BT227" s="215">
        <f t="shared" si="265"/>
        <v>0</v>
      </c>
      <c r="BU227" s="215" t="str">
        <f t="shared" si="266"/>
        <v>EPA München 1</v>
      </c>
      <c r="BV227" s="214">
        <f t="shared" si="267"/>
        <v>2</v>
      </c>
      <c r="BW227" s="215">
        <f t="shared" si="268"/>
        <v>473</v>
      </c>
      <c r="BX227" s="215">
        <f>IF(COUNTIF(BH227:BP227,"&gt;0")&lt;Spielorte!$A$23,0,BE227/Spielorte!$A$23)</f>
        <v>0</v>
      </c>
      <c r="BY227" s="215">
        <f t="shared" si="269"/>
        <v>0</v>
      </c>
      <c r="BZ227" s="214">
        <f t="shared" si="257"/>
        <v>0</v>
      </c>
    </row>
    <row r="228" spans="1:78" ht="17.2" customHeight="1" thickBot="1" x14ac:dyDescent="0.4">
      <c r="A228" s="369"/>
      <c r="B228" s="79" t="str">
        <f>IF(AA228=0,"",AA228)</f>
        <v>Bess, Vanessa</v>
      </c>
      <c r="C228" s="80">
        <f t="shared" si="258"/>
        <v>25192</v>
      </c>
      <c r="D228" s="69" t="str">
        <f t="shared" si="258"/>
        <v/>
      </c>
      <c r="E228" s="350"/>
      <c r="F228" s="69" t="str">
        <f t="shared" si="239"/>
        <v/>
      </c>
      <c r="G228" s="350"/>
      <c r="H228" s="69" t="str">
        <f t="shared" si="240"/>
        <v/>
      </c>
      <c r="I228" s="350"/>
      <c r="J228" s="69" t="str">
        <f t="shared" si="241"/>
        <v/>
      </c>
      <c r="K228" s="350"/>
      <c r="L228" s="69" t="str">
        <f t="shared" si="242"/>
        <v/>
      </c>
      <c r="M228" s="350"/>
      <c r="N228" s="69" t="str">
        <f t="shared" si="259"/>
        <v/>
      </c>
      <c r="O228" s="350"/>
      <c r="P228" s="69">
        <f t="shared" si="243"/>
        <v>174</v>
      </c>
      <c r="Q228" s="350"/>
      <c r="R228" s="69">
        <f t="shared" si="244"/>
        <v>171</v>
      </c>
      <c r="S228" s="350"/>
      <c r="T228" s="69">
        <f t="shared" si="245"/>
        <v>175</v>
      </c>
      <c r="U228" s="350"/>
      <c r="V228" s="69">
        <f t="shared" si="246"/>
        <v>520</v>
      </c>
      <c r="W228" s="350"/>
      <c r="Z228" s="353"/>
      <c r="AA228" s="118" t="str">
        <f>IF(AB228=0,"",VLOOKUP(AB228,Starter!$A$1:$D$199,2,FALSE))</f>
        <v>Bess, Vanessa</v>
      </c>
      <c r="AB228" s="100">
        <v>25192</v>
      </c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>
        <v>174</v>
      </c>
      <c r="AP228" s="119"/>
      <c r="AQ228" s="189">
        <v>171</v>
      </c>
      <c r="AR228" s="119"/>
      <c r="AS228" s="189">
        <v>175</v>
      </c>
      <c r="AT228" s="119"/>
      <c r="AU228" s="116">
        <f t="shared" si="247"/>
        <v>520</v>
      </c>
      <c r="AV228" s="117"/>
      <c r="AW228" s="101"/>
      <c r="AX228" s="102"/>
      <c r="AZ228" s="63"/>
      <c r="BA228" s="212"/>
      <c r="BB228" s="213"/>
      <c r="BC228" s="214"/>
      <c r="BD228" s="217">
        <f t="shared" si="260"/>
        <v>25192</v>
      </c>
      <c r="BE228" s="213">
        <f t="shared" si="261"/>
        <v>520</v>
      </c>
      <c r="BF228" s="215">
        <f t="shared" si="262"/>
        <v>3</v>
      </c>
      <c r="BG228" s="215">
        <f t="shared" si="263"/>
        <v>3</v>
      </c>
      <c r="BH228" s="215" t="str">
        <f t="shared" si="248"/>
        <v/>
      </c>
      <c r="BI228" s="215" t="str">
        <f t="shared" si="249"/>
        <v/>
      </c>
      <c r="BJ228" s="215" t="str">
        <f t="shared" si="250"/>
        <v/>
      </c>
      <c r="BK228" s="215" t="str">
        <f t="shared" si="251"/>
        <v/>
      </c>
      <c r="BL228" s="215" t="str">
        <f t="shared" si="252"/>
        <v/>
      </c>
      <c r="BM228" s="215" t="str">
        <f t="shared" si="253"/>
        <v/>
      </c>
      <c r="BN228" s="215">
        <f t="shared" si="254"/>
        <v>174</v>
      </c>
      <c r="BO228" s="215">
        <f t="shared" si="255"/>
        <v>171</v>
      </c>
      <c r="BP228" s="215">
        <f t="shared" si="256"/>
        <v>175</v>
      </c>
      <c r="BQ228" s="216"/>
      <c r="BR228" s="214"/>
      <c r="BS228" s="215">
        <f t="shared" si="264"/>
        <v>175</v>
      </c>
      <c r="BT228" s="215">
        <f t="shared" si="265"/>
        <v>0</v>
      </c>
      <c r="BU228" s="215" t="str">
        <f t="shared" si="266"/>
        <v>EPA München 1</v>
      </c>
      <c r="BV228" s="214">
        <f t="shared" si="267"/>
        <v>2</v>
      </c>
      <c r="BW228" s="215">
        <f t="shared" si="268"/>
        <v>520</v>
      </c>
      <c r="BX228" s="215">
        <f>IF(COUNTIF(BH228:BP228,"&gt;0")&lt;Spielorte!$A$23,0,BE228/Spielorte!$A$23)</f>
        <v>0</v>
      </c>
      <c r="BY228" s="215">
        <f t="shared" si="269"/>
        <v>0</v>
      </c>
      <c r="BZ228" s="214">
        <f t="shared" si="257"/>
        <v>0</v>
      </c>
    </row>
    <row r="229" spans="1:78" ht="27.75" customHeight="1" thickBot="1" x14ac:dyDescent="0.4">
      <c r="B229" s="81" t="str">
        <f>IF(AA229=0,"",AA229)</f>
        <v>Gesamt</v>
      </c>
      <c r="C229" s="82" t="str">
        <f t="shared" si="258"/>
        <v/>
      </c>
      <c r="D229" s="83">
        <f t="shared" si="258"/>
        <v>684</v>
      </c>
      <c r="E229" s="84">
        <f>IF(AD229="","",AD229)</f>
        <v>0</v>
      </c>
      <c r="F229" s="83">
        <f t="shared" si="239"/>
        <v>725</v>
      </c>
      <c r="G229" s="84">
        <f>IF(AF229="","",AF229)</f>
        <v>2</v>
      </c>
      <c r="H229" s="83">
        <f t="shared" si="240"/>
        <v>632</v>
      </c>
      <c r="I229" s="84">
        <f>IF(AH229="","",AH229)</f>
        <v>0</v>
      </c>
      <c r="J229" s="83">
        <f t="shared" si="241"/>
        <v>668</v>
      </c>
      <c r="K229" s="84">
        <f>IF(AJ229="","",AJ229)</f>
        <v>0</v>
      </c>
      <c r="L229" s="83">
        <f t="shared" si="242"/>
        <v>621</v>
      </c>
      <c r="M229" s="84">
        <f>IF(AL229="","",AL229)</f>
        <v>2</v>
      </c>
      <c r="N229" s="83">
        <f t="shared" si="259"/>
        <v>656</v>
      </c>
      <c r="O229" s="84">
        <f>IF(AN229="","",AN229)</f>
        <v>2</v>
      </c>
      <c r="P229" s="83">
        <f t="shared" si="243"/>
        <v>727</v>
      </c>
      <c r="Q229" s="84">
        <f>IF(AP229="","",AP229)</f>
        <v>2</v>
      </c>
      <c r="R229" s="83">
        <f t="shared" si="244"/>
        <v>728</v>
      </c>
      <c r="S229" s="84">
        <f>IF(AR229="","",AR229)</f>
        <v>2</v>
      </c>
      <c r="T229" s="83">
        <f t="shared" si="245"/>
        <v>732</v>
      </c>
      <c r="U229" s="84">
        <f>IF(AT229="","",AT229)</f>
        <v>0</v>
      </c>
      <c r="V229" s="83">
        <f t="shared" si="246"/>
        <v>6173</v>
      </c>
      <c r="W229" s="84">
        <f>IF(AV229="","",AV229)</f>
        <v>10</v>
      </c>
      <c r="AA229" s="81" t="s">
        <v>1799</v>
      </c>
      <c r="AB229" s="120"/>
      <c r="AC229" s="211">
        <f>ABS(SUM(AC217:AC219))+ABS(SUM(AC220:AC222))+ABS(SUM(AC223:AC225))+ABS(SUM(AC226:AC228))</f>
        <v>684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725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632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668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621</v>
      </c>
      <c r="AL229" s="121">
        <f>IF(AK229+AK239=0,0,IF(AK229=AK239,1,IF(AK229&gt;AK239,2,0)))</f>
        <v>2</v>
      </c>
      <c r="AM229" s="211">
        <f>ABS(SUM(AM217:AM219))+ABS(SUM(AM220:AM222))+ABS(SUM(AM223:AM225))+ABS(SUM(AM226:AM228))</f>
        <v>656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727</v>
      </c>
      <c r="AP229" s="121">
        <f>IF(AO229+AO239=0,0,IF(AO229=AO239,1,IF(AO229&gt;AO239,2,0)))</f>
        <v>2</v>
      </c>
      <c r="AQ229" s="211">
        <f>ABS(SUM(AQ217:AQ219))+ABS(SUM(AQ220:AQ222))+ABS(SUM(AQ223:AQ225))+ABS(SUM(AQ226:AQ228))</f>
        <v>728</v>
      </c>
      <c r="AR229" s="121">
        <f>IF(AQ229+AQ239=0,0,IF(AQ229=AQ239,1,IF(AQ229&gt;AQ239,2,0)))</f>
        <v>2</v>
      </c>
      <c r="AS229" s="211">
        <f>ABS(SUM(AS217:AS219))+ABS(SUM(AS220:AS222))+ABS(SUM(AS223:AS225))+ABS(SUM(AS226:AS228))</f>
        <v>732</v>
      </c>
      <c r="AT229" s="121">
        <f>IF(AS229+AS239=0,0,IF(AS229=AS239,1,IF(AS229&gt;AS239,2,0)))</f>
        <v>0</v>
      </c>
      <c r="AU229" s="122">
        <f>SUM(AC229+AE229+AG229+AI229+AK229+AM229+AO229+AQ229+AS229)</f>
        <v>6173</v>
      </c>
      <c r="AV229" s="123">
        <f>SUM(AD229+AF229+AH229+AJ229+AL229+AN229+AP229+AR229+AT229)</f>
        <v>10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4">
      <c r="B230" s="85" t="str">
        <f>IF(AA230=0,"",AA230)</f>
        <v>Gesamt - Punkte</v>
      </c>
      <c r="C230" s="86" t="str">
        <f t="shared" si="258"/>
        <v/>
      </c>
      <c r="D230" s="86" t="str">
        <f t="shared" si="258"/>
        <v/>
      </c>
      <c r="E230" s="87">
        <f>IF(AD230="","",AD230)</f>
        <v>1</v>
      </c>
      <c r="F230" s="86" t="str">
        <f t="shared" si="239"/>
        <v/>
      </c>
      <c r="G230" s="87">
        <f>IF(AF230="","",AF230)</f>
        <v>5.5</v>
      </c>
      <c r="H230" s="86" t="str">
        <f t="shared" si="240"/>
        <v/>
      </c>
      <c r="I230" s="87">
        <f>IF(AH230="","",AH230)</f>
        <v>2</v>
      </c>
      <c r="J230" s="86" t="str">
        <f t="shared" si="241"/>
        <v/>
      </c>
      <c r="K230" s="87">
        <f>IF(AJ230="","",AJ230)</f>
        <v>1</v>
      </c>
      <c r="L230" s="86" t="str">
        <f t="shared" si="242"/>
        <v/>
      </c>
      <c r="M230" s="87">
        <f>IF(AL230="","",AL230)</f>
        <v>6</v>
      </c>
      <c r="N230" s="86" t="str">
        <f t="shared" si="259"/>
        <v/>
      </c>
      <c r="O230" s="87">
        <f>IF(AN230="","",AN230)</f>
        <v>5</v>
      </c>
      <c r="P230" s="86" t="str">
        <f t="shared" si="243"/>
        <v/>
      </c>
      <c r="Q230" s="87">
        <f>IF(AP230="","",AP230)</f>
        <v>3</v>
      </c>
      <c r="R230" s="86" t="str">
        <f t="shared" si="244"/>
        <v/>
      </c>
      <c r="S230" s="87">
        <f>IF(AR230="","",AR230)</f>
        <v>6</v>
      </c>
      <c r="T230" s="86" t="str">
        <f t="shared" si="245"/>
        <v/>
      </c>
      <c r="U230" s="87">
        <f>IF(AT230="","",AT230)</f>
        <v>2</v>
      </c>
      <c r="V230" s="86" t="str">
        <f t="shared" si="246"/>
        <v/>
      </c>
      <c r="W230" s="87">
        <f>IF(AV230="","",AV230)</f>
        <v>31.5</v>
      </c>
      <c r="AA230" s="85" t="s">
        <v>1814</v>
      </c>
      <c r="AB230" s="86"/>
      <c r="AC230" s="86"/>
      <c r="AD230" s="124">
        <f>SUM(AD217:AD229)</f>
        <v>1</v>
      </c>
      <c r="AE230" s="86"/>
      <c r="AF230" s="124">
        <f>SUM(AF217:AF229)</f>
        <v>5.5</v>
      </c>
      <c r="AG230" s="86"/>
      <c r="AH230" s="124">
        <f>SUM(AH217:AH229)</f>
        <v>2</v>
      </c>
      <c r="AI230" s="86"/>
      <c r="AJ230" s="124">
        <f>SUM(AJ217:AJ229)</f>
        <v>1</v>
      </c>
      <c r="AK230" s="86"/>
      <c r="AL230" s="124">
        <f>SUM(AL217:AL229)</f>
        <v>6</v>
      </c>
      <c r="AM230" s="86"/>
      <c r="AN230" s="124">
        <f>SUM(AN217:AN229)</f>
        <v>5</v>
      </c>
      <c r="AO230" s="86"/>
      <c r="AP230" s="124">
        <f>SUM(AP217:AP229)</f>
        <v>3</v>
      </c>
      <c r="AQ230" s="86"/>
      <c r="AR230" s="124">
        <f>SUM(AR217:AR229)</f>
        <v>6</v>
      </c>
      <c r="AS230" s="86"/>
      <c r="AT230" s="124">
        <f>SUM(AT217:AT229)</f>
        <v>2</v>
      </c>
      <c r="AU230" s="86"/>
      <c r="AV230" s="125">
        <f>SUM(AV217:AV229)</f>
        <v>31.5</v>
      </c>
      <c r="AW230" s="101"/>
      <c r="AX230" s="102"/>
      <c r="BA230" s="212">
        <f>+AV230</f>
        <v>31.5</v>
      </c>
      <c r="BB230" s="213">
        <f>+AU229</f>
        <v>6173</v>
      </c>
      <c r="BC230" s="214">
        <f>+AA212</f>
        <v>8</v>
      </c>
      <c r="BF230" s="215">
        <f>SUM(BF211:BF229)</f>
        <v>36</v>
      </c>
      <c r="BQ230" s="212">
        <f>+BB230/1000000+BA230</f>
        <v>31.506173</v>
      </c>
      <c r="BR230" s="214">
        <f>RANK(BQ230,BQ:BQ)</f>
        <v>5</v>
      </c>
      <c r="BV230" s="214"/>
      <c r="BZ230" s="214"/>
    </row>
    <row r="231" spans="1:78" ht="11.25" customHeight="1" x14ac:dyDescent="0.3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35">
      <c r="B232" s="88" t="str">
        <f t="shared" ref="B232:K234" si="270">IF(AA232=0,"",AA232)</f>
        <v>Gegner-Nr.:</v>
      </c>
      <c r="C232" s="89" t="str">
        <f t="shared" si="270"/>
        <v>&gt;&gt;&gt;&gt;</v>
      </c>
      <c r="D232" s="346">
        <f t="shared" si="270"/>
        <v>2</v>
      </c>
      <c r="E232" s="346" t="str">
        <f t="shared" si="270"/>
        <v/>
      </c>
      <c r="F232" s="346">
        <f t="shared" si="270"/>
        <v>9</v>
      </c>
      <c r="G232" s="346" t="str">
        <f t="shared" si="270"/>
        <v/>
      </c>
      <c r="H232" s="346">
        <f t="shared" si="270"/>
        <v>1</v>
      </c>
      <c r="I232" s="346" t="str">
        <f t="shared" si="270"/>
        <v/>
      </c>
      <c r="J232" s="346">
        <f t="shared" si="270"/>
        <v>10</v>
      </c>
      <c r="K232" s="346" t="str">
        <f t="shared" si="270"/>
        <v/>
      </c>
      <c r="L232" s="346">
        <f t="shared" ref="L232:U234" si="271">IF(AK232=0,"",AK232)</f>
        <v>4</v>
      </c>
      <c r="M232" s="346" t="str">
        <f t="shared" si="271"/>
        <v/>
      </c>
      <c r="N232" s="346">
        <f t="shared" si="271"/>
        <v>5</v>
      </c>
      <c r="O232" s="346" t="str">
        <f t="shared" si="271"/>
        <v/>
      </c>
      <c r="P232" s="346">
        <f t="shared" si="271"/>
        <v>6</v>
      </c>
      <c r="Q232" s="346" t="str">
        <f t="shared" si="271"/>
        <v/>
      </c>
      <c r="R232" s="346">
        <f t="shared" si="271"/>
        <v>7</v>
      </c>
      <c r="S232" s="346" t="str">
        <f t="shared" si="271"/>
        <v/>
      </c>
      <c r="T232" s="346">
        <f t="shared" si="271"/>
        <v>3</v>
      </c>
      <c r="U232" s="346" t="str">
        <f t="shared" si="271"/>
        <v/>
      </c>
      <c r="V232" s="347"/>
      <c r="W232" s="347"/>
      <c r="AA232" s="88" t="s">
        <v>1797</v>
      </c>
      <c r="AB232" s="89" t="s">
        <v>1798</v>
      </c>
      <c r="AC232" s="370">
        <f>VLOOKUP($AA212,Schlüssel!$A$5:$DG$14,43)</f>
        <v>2</v>
      </c>
      <c r="AD232" s="371"/>
      <c r="AE232" s="370">
        <f>VLOOKUP($AA212,Schlüssel!$A$5:$EK$14,44)</f>
        <v>9</v>
      </c>
      <c r="AF232" s="371"/>
      <c r="AG232" s="370">
        <f>VLOOKUP($AA212,Schlüssel!$A$5:$EK$14,45)</f>
        <v>1</v>
      </c>
      <c r="AH232" s="371"/>
      <c r="AI232" s="370">
        <f>VLOOKUP($AA212,Schlüssel!$A$5:$EK$14,46)</f>
        <v>10</v>
      </c>
      <c r="AJ232" s="371"/>
      <c r="AK232" s="370">
        <f>VLOOKUP($AA212,Schlüssel!$A$5:$EK$14,47)</f>
        <v>4</v>
      </c>
      <c r="AL232" s="371"/>
      <c r="AM232" s="370">
        <f>VLOOKUP($AA212,Schlüssel!$A$5:$EK$14,48)</f>
        <v>5</v>
      </c>
      <c r="AN232" s="371"/>
      <c r="AO232" s="370">
        <f>VLOOKUP($AA212,Schlüssel!$A$5:$EK$14,49)</f>
        <v>6</v>
      </c>
      <c r="AP232" s="371"/>
      <c r="AQ232" s="370">
        <f>VLOOKUP($AA212,Schlüssel!$A$5:$EK$14,50)</f>
        <v>7</v>
      </c>
      <c r="AR232" s="371"/>
      <c r="AS232" s="370">
        <f>VLOOKUP($AA212,Schlüssel!$A$5:$EK$14,51)</f>
        <v>3</v>
      </c>
      <c r="AT232" s="371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35">
      <c r="B233" s="90" t="str">
        <f t="shared" si="270"/>
        <v/>
      </c>
      <c r="C233" s="86" t="str">
        <f t="shared" si="270"/>
        <v/>
      </c>
      <c r="D233" s="343" t="str">
        <f t="shared" si="270"/>
        <v>BK München 2</v>
      </c>
      <c r="E233" s="344" t="str">
        <f t="shared" si="270"/>
        <v/>
      </c>
      <c r="F233" s="343" t="str">
        <f t="shared" si="270"/>
        <v>RW Lichtenhof 69 Stein 2</v>
      </c>
      <c r="G233" s="344" t="str">
        <f t="shared" si="270"/>
        <v/>
      </c>
      <c r="H233" s="343" t="str">
        <f t="shared" si="270"/>
        <v>Praetoria Regensburg</v>
      </c>
      <c r="I233" s="344" t="str">
        <f t="shared" si="270"/>
        <v/>
      </c>
      <c r="J233" s="343" t="str">
        <f t="shared" si="270"/>
        <v>BK München 4</v>
      </c>
      <c r="K233" s="344" t="str">
        <f t="shared" si="270"/>
        <v/>
      </c>
      <c r="L233" s="343" t="str">
        <f t="shared" si="271"/>
        <v>BK München 3</v>
      </c>
      <c r="M233" s="344" t="str">
        <f t="shared" si="271"/>
        <v/>
      </c>
      <c r="N233" s="343" t="str">
        <f t="shared" si="271"/>
        <v xml:space="preserve">Weiß Blau Unterföhring </v>
      </c>
      <c r="O233" s="344" t="str">
        <f t="shared" si="271"/>
        <v/>
      </c>
      <c r="P233" s="343" t="str">
        <f t="shared" si="271"/>
        <v>Phönix 03 Lauf</v>
      </c>
      <c r="Q233" s="344" t="str">
        <f t="shared" si="271"/>
        <v/>
      </c>
      <c r="R233" s="343" t="str">
        <f t="shared" si="271"/>
        <v>Frankenpower Nürnberg</v>
      </c>
      <c r="S233" s="344" t="str">
        <f t="shared" si="271"/>
        <v/>
      </c>
      <c r="T233" s="343" t="str">
        <f t="shared" si="271"/>
        <v>Highroller Rosenheim</v>
      </c>
      <c r="U233" s="344" t="str">
        <f t="shared" si="271"/>
        <v/>
      </c>
      <c r="V233" s="345"/>
      <c r="W233" s="345"/>
      <c r="AA233" s="90"/>
      <c r="AB233" s="86"/>
      <c r="AC233" s="343" t="str">
        <f>VLOOKUP(AC232,Schlüssel!$A$5:$K$14,2)</f>
        <v>BK München 2</v>
      </c>
      <c r="AD233" s="344"/>
      <c r="AE233" s="343" t="str">
        <f>VLOOKUP(AE232,Schlüssel!$A$5:$K$14,2)</f>
        <v>RW Lichtenhof 69 Stein 2</v>
      </c>
      <c r="AF233" s="344"/>
      <c r="AG233" s="343" t="str">
        <f>VLOOKUP(AG232,Schlüssel!$A$5:$K$14,2)</f>
        <v>Praetoria Regensburg</v>
      </c>
      <c r="AH233" s="344"/>
      <c r="AI233" s="343" t="str">
        <f>VLOOKUP(AI232,Schlüssel!$A$5:$K$14,2)</f>
        <v>BK München 4</v>
      </c>
      <c r="AJ233" s="344"/>
      <c r="AK233" s="343" t="str">
        <f>VLOOKUP(AK232,Schlüssel!$A$5:$K$14,2)</f>
        <v>BK München 3</v>
      </c>
      <c r="AL233" s="344"/>
      <c r="AM233" s="343" t="str">
        <f>VLOOKUP(AM232,Schlüssel!$A$5:$K$14,2)</f>
        <v xml:space="preserve">Weiß Blau Unterföhring </v>
      </c>
      <c r="AN233" s="344"/>
      <c r="AO233" s="343" t="str">
        <f>VLOOKUP(AO232,Schlüssel!$A$5:$K$14,2)</f>
        <v>Phönix 03 Lauf</v>
      </c>
      <c r="AP233" s="344"/>
      <c r="AQ233" s="343" t="str">
        <f>VLOOKUP(AQ232,Schlüssel!$A$5:$K$14,2)</f>
        <v>Frankenpower Nürnberg</v>
      </c>
      <c r="AR233" s="344"/>
      <c r="AS233" s="343" t="str">
        <f>VLOOKUP(AS232,Schlüssel!$A$5:$K$14,2)</f>
        <v>Highroller Rosenheim</v>
      </c>
      <c r="AT233" s="344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35">
      <c r="B234" s="90" t="str">
        <f t="shared" si="270"/>
        <v/>
      </c>
      <c r="C234" s="86" t="str">
        <f t="shared" si="270"/>
        <v/>
      </c>
      <c r="D234" s="341" t="str">
        <f t="shared" si="270"/>
        <v/>
      </c>
      <c r="E234" s="341" t="str">
        <f t="shared" si="270"/>
        <v/>
      </c>
      <c r="F234" s="341" t="str">
        <f t="shared" si="270"/>
        <v/>
      </c>
      <c r="G234" s="341" t="str">
        <f t="shared" si="270"/>
        <v/>
      </c>
      <c r="H234" s="341" t="str">
        <f t="shared" si="270"/>
        <v/>
      </c>
      <c r="I234" s="341" t="str">
        <f t="shared" si="270"/>
        <v/>
      </c>
      <c r="J234" s="341" t="str">
        <f t="shared" si="270"/>
        <v/>
      </c>
      <c r="K234" s="341" t="str">
        <f t="shared" si="270"/>
        <v/>
      </c>
      <c r="L234" s="341" t="str">
        <f t="shared" si="271"/>
        <v/>
      </c>
      <c r="M234" s="341" t="str">
        <f t="shared" si="271"/>
        <v/>
      </c>
      <c r="N234" s="341" t="str">
        <f t="shared" si="271"/>
        <v/>
      </c>
      <c r="O234" s="341" t="str">
        <f t="shared" si="271"/>
        <v/>
      </c>
      <c r="P234" s="341" t="str">
        <f t="shared" si="271"/>
        <v/>
      </c>
      <c r="Q234" s="341" t="str">
        <f t="shared" si="271"/>
        <v/>
      </c>
      <c r="R234" s="341" t="str">
        <f t="shared" si="271"/>
        <v/>
      </c>
      <c r="S234" s="341" t="str">
        <f t="shared" si="271"/>
        <v/>
      </c>
      <c r="T234" s="341" t="str">
        <f t="shared" si="271"/>
        <v/>
      </c>
      <c r="U234" s="342" t="str">
        <f t="shared" si="271"/>
        <v/>
      </c>
      <c r="V234" s="301"/>
      <c r="W234" s="301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6.05" customHeight="1" x14ac:dyDescent="0.35">
      <c r="B235" s="365" t="str">
        <f t="shared" ref="B235:C239" si="272">IF(AA235=0,"",AA235)</f>
        <v>Spieler 1</v>
      </c>
      <c r="C235" s="366" t="str">
        <f t="shared" si="272"/>
        <v/>
      </c>
      <c r="D235" s="339">
        <f>IF(AC235=301,"",AC235)</f>
        <v>165</v>
      </c>
      <c r="E235" s="339" t="str">
        <f>IF(AD235=0,"",AD235)</f>
        <v/>
      </c>
      <c r="F235" s="339">
        <f>IF(AE235=301,"",AE235)</f>
        <v>173</v>
      </c>
      <c r="G235" s="339" t="str">
        <f>IF(AF235=0,"",AF235)</f>
        <v/>
      </c>
      <c r="H235" s="339">
        <f>IF(AG235=301,"",AG235)</f>
        <v>166</v>
      </c>
      <c r="I235" s="339" t="str">
        <f>IF(AH235=0,"",AH235)</f>
        <v/>
      </c>
      <c r="J235" s="339">
        <f>IF(AI235=301,"",AI235)</f>
        <v>124</v>
      </c>
      <c r="K235" s="339" t="str">
        <f>IF(AJ235=0,"",AJ235)</f>
        <v/>
      </c>
      <c r="L235" s="339">
        <f>IF(AK235=301,"",AK235)</f>
        <v>0</v>
      </c>
      <c r="M235" s="339" t="str">
        <f>IF(AL235=0,"",AL235)</f>
        <v/>
      </c>
      <c r="N235" s="339">
        <f>IF(AM235=301,"",AM235)</f>
        <v>130</v>
      </c>
      <c r="O235" s="339" t="str">
        <f>IF(AN235=0,"",AN235)</f>
        <v/>
      </c>
      <c r="P235" s="339">
        <f>IF(AO235=301,"",AO235)</f>
        <v>119</v>
      </c>
      <c r="Q235" s="339" t="str">
        <f>IF(AP235=0,"",AP235)</f>
        <v/>
      </c>
      <c r="R235" s="339">
        <f>IF(AQ235=301,"",AQ235)</f>
        <v>193</v>
      </c>
      <c r="S235" s="339" t="str">
        <f>IF(AR235=0,"",AR235)</f>
        <v/>
      </c>
      <c r="T235" s="339">
        <f>IF(AS235=301,"",AS235)</f>
        <v>165</v>
      </c>
      <c r="U235" s="339" t="str">
        <f>IF(AT235=0,"",AT235)</f>
        <v/>
      </c>
      <c r="V235" s="340"/>
      <c r="W235" s="340"/>
      <c r="AA235" s="91" t="s">
        <v>0</v>
      </c>
      <c r="AB235" s="92"/>
      <c r="AC235" s="372">
        <f>ABS(INDEX(AC:AC,MATCH(AC232,$AA:$AA,0)+5)+INDEX(AC:AC,MATCH(AC232,$AA:$AA,0)+6)+INDEX(AC:AC,MATCH(AC232,$AA:$AA,0)+7))</f>
        <v>165</v>
      </c>
      <c r="AD235" s="373"/>
      <c r="AE235" s="372">
        <f>ABS(INDEX(AE:AE,MATCH(AE232,$AA:$AA,0)+5)+INDEX(AE:AE,MATCH(AE232,$AA:$AA,0)+6)+INDEX(AE:AE,MATCH(AE232,$AA:$AA,0)+7))</f>
        <v>173</v>
      </c>
      <c r="AF235" s="373"/>
      <c r="AG235" s="372">
        <f>ABS(INDEX(AG:AG,MATCH(AG232,$AA:$AA,0)+5)+INDEX(AG:AG,MATCH(AG232,$AA:$AA,0)+6)+INDEX(AG:AG,MATCH(AG232,$AA:$AA,0)+7))</f>
        <v>166</v>
      </c>
      <c r="AH235" s="373"/>
      <c r="AI235" s="372">
        <f>ABS(INDEX(AI:AI,MATCH(AI232,$AA:$AA,0)+5)+INDEX(AI:AI,MATCH(AI232,$AA:$AA,0)+6)+INDEX(AI:AI,MATCH(AI232,$AA:$AA,0)+7))</f>
        <v>124</v>
      </c>
      <c r="AJ235" s="373"/>
      <c r="AK235" s="372">
        <f>ABS(INDEX(AK:AK,MATCH(AK232,$AA:$AA,0)+5)+INDEX(AK:AK,MATCH(AK232,$AA:$AA,0)+6)+INDEX(AK:AK,MATCH(AK232,$AA:$AA,0)+7))</f>
        <v>0</v>
      </c>
      <c r="AL235" s="373"/>
      <c r="AM235" s="372">
        <f>ABS(INDEX(AM:AM,MATCH(AM232,$AA:$AA,0)+5)+INDEX(AM:AM,MATCH(AM232,$AA:$AA,0)+6)+INDEX(AM:AM,MATCH(AM232,$AA:$AA,0)+7))</f>
        <v>130</v>
      </c>
      <c r="AN235" s="373"/>
      <c r="AO235" s="372">
        <f>ABS(INDEX(AO:AO,MATCH(AO232,$AA:$AA,0)+5)+INDEX(AO:AO,MATCH(AO232,$AA:$AA,0)+6)+INDEX(AO:AO,MATCH(AO232,$AA:$AA,0)+7))</f>
        <v>119</v>
      </c>
      <c r="AP235" s="373"/>
      <c r="AQ235" s="372">
        <f>ABS(INDEX(AQ:AQ,MATCH(AQ232,$AA:$AA,0)+5)+INDEX(AQ:AQ,MATCH(AQ232,$AA:$AA,0)+6)+INDEX(AQ:AQ,MATCH(AQ232,$AA:$AA,0)+7))</f>
        <v>193</v>
      </c>
      <c r="AR235" s="373"/>
      <c r="AS235" s="372">
        <f>ABS(INDEX(AS:AS,MATCH(AS232,$AA:$AA,0)+5)+INDEX(AS:AS,MATCH(AS232,$AA:$AA,0)+6)+INDEX(AS:AS,MATCH(AS232,$AA:$AA,0)+7))</f>
        <v>165</v>
      </c>
      <c r="AT235" s="373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6.05" customHeight="1" x14ac:dyDescent="0.35">
      <c r="B236" s="365" t="str">
        <f t="shared" si="272"/>
        <v>Spieler 2</v>
      </c>
      <c r="C236" s="366" t="str">
        <f t="shared" si="272"/>
        <v/>
      </c>
      <c r="D236" s="339">
        <f>IF(AC236=301,"",AC236)</f>
        <v>161</v>
      </c>
      <c r="E236" s="339" t="str">
        <f>IF(AD236=0,"",AD236)</f>
        <v/>
      </c>
      <c r="F236" s="339">
        <f>IF(AE236=301,"",AE236)</f>
        <v>150</v>
      </c>
      <c r="G236" s="339" t="str">
        <f>IF(AF236=0,"",AF236)</f>
        <v/>
      </c>
      <c r="H236" s="339">
        <f>IF(AG236=301,"",AG236)</f>
        <v>163</v>
      </c>
      <c r="I236" s="339" t="str">
        <f>IF(AH236=0,"",AH236)</f>
        <v/>
      </c>
      <c r="J236" s="339">
        <f>IF(AI236=301,"",AI236)</f>
        <v>181</v>
      </c>
      <c r="K236" s="339" t="str">
        <f>IF(AJ236=0,"",AJ236)</f>
        <v/>
      </c>
      <c r="L236" s="339">
        <f>IF(AK236=301,"",AK236)</f>
        <v>0</v>
      </c>
      <c r="M236" s="339" t="str">
        <f>IF(AL236=0,"",AL236)</f>
        <v/>
      </c>
      <c r="N236" s="339">
        <f>IF(AM236=301,"",AM236)</f>
        <v>121</v>
      </c>
      <c r="O236" s="339" t="str">
        <f>IF(AN236=0,"",AN236)</f>
        <v/>
      </c>
      <c r="P236" s="339">
        <f>IF(AO236=301,"",AO236)</f>
        <v>182</v>
      </c>
      <c r="Q236" s="339" t="str">
        <f>IF(AP236=0,"",AP236)</f>
        <v/>
      </c>
      <c r="R236" s="339">
        <f>IF(AQ236=301,"",AQ236)</f>
        <v>139</v>
      </c>
      <c r="S236" s="339" t="str">
        <f>IF(AR236=0,"",AR236)</f>
        <v/>
      </c>
      <c r="T236" s="339">
        <f>IF(AS236=301,"",AS236)</f>
        <v>206</v>
      </c>
      <c r="U236" s="339" t="str">
        <f>IF(AT236=0,"",AT236)</f>
        <v/>
      </c>
      <c r="V236" s="340"/>
      <c r="W236" s="340"/>
      <c r="AA236" s="91" t="s">
        <v>2</v>
      </c>
      <c r="AB236" s="92"/>
      <c r="AC236" s="374">
        <f>ABS(INDEX(AC:AC,MATCH(AC232,$AA:$AA,0)+8)+INDEX(AC:AC,MATCH(AC232,$AA:$AA,0)+9)+INDEX(AC:AC,MATCH(AC232,$AA:$AA,0)+10))</f>
        <v>161</v>
      </c>
      <c r="AD236" s="375"/>
      <c r="AE236" s="374">
        <f>ABS(INDEX(AE:AE,MATCH(AE232,$AA:$AA,0)+8)+INDEX(AE:AE,MATCH(AE232,$AA:$AA,0)+9)+INDEX(AE:AE,MATCH(AE232,$AA:$AA,0)+10))</f>
        <v>150</v>
      </c>
      <c r="AF236" s="375"/>
      <c r="AG236" s="374">
        <f>ABS(INDEX(AG:AG,MATCH(AG232,$AA:$AA,0)+8)+INDEX(AG:AG,MATCH(AG232,$AA:$AA,0)+9)+INDEX(AG:AG,MATCH(AG232,$AA:$AA,0)+10))</f>
        <v>163</v>
      </c>
      <c r="AH236" s="375"/>
      <c r="AI236" s="374">
        <f>ABS(INDEX(AI:AI,MATCH(AI232,$AA:$AA,0)+8)+INDEX(AI:AI,MATCH(AI232,$AA:$AA,0)+9)+INDEX(AI:AI,MATCH(AI232,$AA:$AA,0)+10))</f>
        <v>181</v>
      </c>
      <c r="AJ236" s="375"/>
      <c r="AK236" s="374">
        <f>ABS(INDEX(AK:AK,MATCH(AK232,$AA:$AA,0)+8)+INDEX(AK:AK,MATCH(AK232,$AA:$AA,0)+9)+INDEX(AK:AK,MATCH(AK232,$AA:$AA,0)+10))</f>
        <v>0</v>
      </c>
      <c r="AL236" s="375"/>
      <c r="AM236" s="374">
        <f>ABS(INDEX(AM:AM,MATCH(AM232,$AA:$AA,0)+8)+INDEX(AM:AM,MATCH(AM232,$AA:$AA,0)+9)+INDEX(AM:AM,MATCH(AM232,$AA:$AA,0)+10))</f>
        <v>121</v>
      </c>
      <c r="AN236" s="375"/>
      <c r="AO236" s="374">
        <f>ABS(INDEX(AO:AO,MATCH(AO232,$AA:$AA,0)+8)+INDEX(AO:AO,MATCH(AO232,$AA:$AA,0)+9)+INDEX(AO:AO,MATCH(AO232,$AA:$AA,0)+10))</f>
        <v>182</v>
      </c>
      <c r="AP236" s="375"/>
      <c r="AQ236" s="374">
        <f>ABS(INDEX(AQ:AQ,MATCH(AQ232,$AA:$AA,0)+8)+INDEX(AQ:AQ,MATCH(AQ232,$AA:$AA,0)+9)+INDEX(AQ:AQ,MATCH(AQ232,$AA:$AA,0)+10))</f>
        <v>139</v>
      </c>
      <c r="AR236" s="375"/>
      <c r="AS236" s="374">
        <f>ABS(INDEX(AS:AS,MATCH(AS232,$AA:$AA,0)+8)+INDEX(AS:AS,MATCH(AS232,$AA:$AA,0)+9)+INDEX(AS:AS,MATCH(AS232,$AA:$AA,0)+10))</f>
        <v>206</v>
      </c>
      <c r="AT236" s="37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6.05" customHeight="1" x14ac:dyDescent="0.35">
      <c r="B237" s="365" t="str">
        <f t="shared" si="272"/>
        <v>Spieler 3</v>
      </c>
      <c r="C237" s="366" t="str">
        <f t="shared" si="272"/>
        <v/>
      </c>
      <c r="D237" s="339">
        <f>IF(AC237=301,"",AC237)</f>
        <v>195</v>
      </c>
      <c r="E237" s="339" t="str">
        <f>IF(AD237=0,"",AD237)</f>
        <v/>
      </c>
      <c r="F237" s="339">
        <f>IF(AE237=301,"",AE237)</f>
        <v>179</v>
      </c>
      <c r="G237" s="339" t="str">
        <f>IF(AF237=0,"",AF237)</f>
        <v/>
      </c>
      <c r="H237" s="339">
        <f>IF(AG237=301,"",AG237)</f>
        <v>150</v>
      </c>
      <c r="I237" s="339" t="str">
        <f>IF(AH237=0,"",AH237)</f>
        <v/>
      </c>
      <c r="J237" s="339">
        <f>IF(AI237=301,"",AI237)</f>
        <v>192</v>
      </c>
      <c r="K237" s="339" t="str">
        <f>IF(AJ237=0,"",AJ237)</f>
        <v/>
      </c>
      <c r="L237" s="339">
        <f>IF(AK237=301,"",AK237)</f>
        <v>0</v>
      </c>
      <c r="M237" s="339" t="str">
        <f>IF(AL237=0,"",AL237)</f>
        <v/>
      </c>
      <c r="N237" s="339">
        <f>IF(AM237=301,"",AM237)</f>
        <v>148</v>
      </c>
      <c r="O237" s="339" t="str">
        <f>IF(AN237=0,"",AN237)</f>
        <v/>
      </c>
      <c r="P237" s="339">
        <f>IF(AO237=301,"",AO237)</f>
        <v>192</v>
      </c>
      <c r="Q237" s="339" t="str">
        <f>IF(AP237=0,"",AP237)</f>
        <v/>
      </c>
      <c r="R237" s="339">
        <f>IF(AQ237=301,"",AQ237)</f>
        <v>190</v>
      </c>
      <c r="S237" s="339" t="str">
        <f>IF(AR237=0,"",AR237)</f>
        <v/>
      </c>
      <c r="T237" s="339">
        <f>IF(AS237=301,"",AS237)</f>
        <v>223</v>
      </c>
      <c r="U237" s="339" t="str">
        <f>IF(AT237=0,"",AT237)</f>
        <v/>
      </c>
      <c r="V237" s="340"/>
      <c r="W237" s="340"/>
      <c r="AA237" s="91" t="s">
        <v>3</v>
      </c>
      <c r="AB237" s="92"/>
      <c r="AC237" s="374">
        <f>ABS(INDEX(AC:AC,MATCH(AC232,$AA:$AA,0)+11)+INDEX(AC:AC,MATCH(AC232,$AA:$AA,0)+12)+INDEX(AC:AC,MATCH(AC232,$AA:$AA,0)+13))</f>
        <v>195</v>
      </c>
      <c r="AD237" s="375"/>
      <c r="AE237" s="374">
        <f>ABS(INDEX(AE:AE,MATCH(AE232,$AA:$AA,0)+11)+INDEX(AE:AE,MATCH(AE232,$AA:$AA,0)+12)+INDEX(AE:AE,MATCH(AE232,$AA:$AA,0)+13))</f>
        <v>179</v>
      </c>
      <c r="AF237" s="375"/>
      <c r="AG237" s="374">
        <f>ABS(INDEX(AG:AG,MATCH(AG232,$AA:$AA,0)+11)+INDEX(AG:AG,MATCH(AG232,$AA:$AA,0)+12)+INDEX(AG:AG,MATCH(AG232,$AA:$AA,0)+13))</f>
        <v>150</v>
      </c>
      <c r="AH237" s="375"/>
      <c r="AI237" s="374">
        <f>ABS(INDEX(AI:AI,MATCH(AI232,$AA:$AA,0)+11)+INDEX(AI:AI,MATCH(AI232,$AA:$AA,0)+12)+INDEX(AI:AI,MATCH(AI232,$AA:$AA,0)+13))</f>
        <v>192</v>
      </c>
      <c r="AJ237" s="375"/>
      <c r="AK237" s="374">
        <f>ABS(INDEX(AK:AK,MATCH(AK232,$AA:$AA,0)+11)+INDEX(AK:AK,MATCH(AK232,$AA:$AA,0)+12)+INDEX(AK:AK,MATCH(AK232,$AA:$AA,0)+13))</f>
        <v>0</v>
      </c>
      <c r="AL237" s="375"/>
      <c r="AM237" s="374">
        <f>ABS(INDEX(AM:AM,MATCH(AM232,$AA:$AA,0)+11)+INDEX(AM:AM,MATCH(AM232,$AA:$AA,0)+12)+INDEX(AM:AM,MATCH(AM232,$AA:$AA,0)+13))</f>
        <v>148</v>
      </c>
      <c r="AN237" s="375"/>
      <c r="AO237" s="374">
        <f>ABS(INDEX(AO:AO,MATCH(AO232,$AA:$AA,0)+11)+INDEX(AO:AO,MATCH(AO232,$AA:$AA,0)+12)+INDEX(AO:AO,MATCH(AO232,$AA:$AA,0)+13))</f>
        <v>192</v>
      </c>
      <c r="AP237" s="375"/>
      <c r="AQ237" s="374">
        <f>ABS(INDEX(AQ:AQ,MATCH(AQ232,$AA:$AA,0)+11)+INDEX(AQ:AQ,MATCH(AQ232,$AA:$AA,0)+12)+INDEX(AQ:AQ,MATCH(AQ232,$AA:$AA,0)+13))</f>
        <v>190</v>
      </c>
      <c r="AR237" s="375"/>
      <c r="AS237" s="374">
        <f>ABS(INDEX(AS:AS,MATCH(AS232,$AA:$AA,0)+11)+INDEX(AS:AS,MATCH(AS232,$AA:$AA,0)+12)+INDEX(AS:AS,MATCH(AS232,$AA:$AA,0)+13))</f>
        <v>223</v>
      </c>
      <c r="AT237" s="37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6.05" customHeight="1" x14ac:dyDescent="0.35">
      <c r="B238" s="365" t="str">
        <f t="shared" si="272"/>
        <v>Spieler 4</v>
      </c>
      <c r="C238" s="366" t="str">
        <f t="shared" si="272"/>
        <v/>
      </c>
      <c r="D238" s="339">
        <f>IF(AC238=301,"",AC238)</f>
        <v>177</v>
      </c>
      <c r="E238" s="339" t="str">
        <f>IF(AD238=0,"",AD238)</f>
        <v/>
      </c>
      <c r="F238" s="339">
        <f>IF(AE238=301,"",AE238)</f>
        <v>161</v>
      </c>
      <c r="G238" s="339" t="str">
        <f>IF(AF238=0,"",AF238)</f>
        <v/>
      </c>
      <c r="H238" s="339">
        <f>IF(AG238=301,"",AG238)</f>
        <v>164</v>
      </c>
      <c r="I238" s="339" t="str">
        <f>IF(AH238=0,"",AH238)</f>
        <v/>
      </c>
      <c r="J238" s="339">
        <f>IF(AI238=301,"",AI238)</f>
        <v>214</v>
      </c>
      <c r="K238" s="339" t="str">
        <f>IF(AJ238=0,"",AJ238)</f>
        <v/>
      </c>
      <c r="L238" s="339">
        <f>IF(AK238=301,"",AK238)</f>
        <v>0</v>
      </c>
      <c r="M238" s="339" t="str">
        <f>IF(AL238=0,"",AL238)</f>
        <v/>
      </c>
      <c r="N238" s="339">
        <f>IF(AM238=301,"",AM238)</f>
        <v>166</v>
      </c>
      <c r="O238" s="339" t="str">
        <f>IF(AN238=0,"",AN238)</f>
        <v/>
      </c>
      <c r="P238" s="339">
        <f>IF(AO238=301,"",AO238)</f>
        <v>203</v>
      </c>
      <c r="Q238" s="339" t="str">
        <f>IF(AP238=0,"",AP238)</f>
        <v/>
      </c>
      <c r="R238" s="339">
        <f>IF(AQ238=301,"",AQ238)</f>
        <v>156</v>
      </c>
      <c r="S238" s="339" t="str">
        <f>IF(AR238=0,"",AR238)</f>
        <v/>
      </c>
      <c r="T238" s="339">
        <f>IF(AS238=301,"",AS238)</f>
        <v>159</v>
      </c>
      <c r="U238" s="339" t="str">
        <f>IF(AT238=0,"",AT238)</f>
        <v/>
      </c>
      <c r="V238" s="340"/>
      <c r="W238" s="340"/>
      <c r="AA238" s="91" t="s">
        <v>11</v>
      </c>
      <c r="AB238" s="92"/>
      <c r="AC238" s="374">
        <f>ABS(INDEX(AC:AC,MATCH(AC232,$AA:$AA,0)+14)+INDEX(AC:AC,MATCH(AC232,$AA:$AA,0)+15)+INDEX(AC:AC,MATCH(AC232,$AA:$AA,0)+16))</f>
        <v>177</v>
      </c>
      <c r="AD238" s="375"/>
      <c r="AE238" s="374">
        <f>ABS(INDEX(AE:AE,MATCH(AE232,$AA:$AA,0)+14)+INDEX(AE:AE,MATCH(AE232,$AA:$AA,0)+15)+INDEX(AE:AE,MATCH(AE232,$AA:$AA,0)+16))</f>
        <v>161</v>
      </c>
      <c r="AF238" s="375"/>
      <c r="AG238" s="374">
        <f>ABS(INDEX(AG:AG,MATCH(AG232,$AA:$AA,0)+14)+INDEX(AG:AG,MATCH(AG232,$AA:$AA,0)+15)+INDEX(AG:AG,MATCH(AG232,$AA:$AA,0)+16))</f>
        <v>164</v>
      </c>
      <c r="AH238" s="375"/>
      <c r="AI238" s="374">
        <f>ABS(INDEX(AI:AI,MATCH(AI232,$AA:$AA,0)+14)+INDEX(AI:AI,MATCH(AI232,$AA:$AA,0)+15)+INDEX(AI:AI,MATCH(AI232,$AA:$AA,0)+16))</f>
        <v>214</v>
      </c>
      <c r="AJ238" s="375"/>
      <c r="AK238" s="374">
        <f>ABS(INDEX(AK:AK,MATCH(AK232,$AA:$AA,0)+14)+INDEX(AK:AK,MATCH(AK232,$AA:$AA,0)+15)+INDEX(AK:AK,MATCH(AK232,$AA:$AA,0)+16))</f>
        <v>0</v>
      </c>
      <c r="AL238" s="375"/>
      <c r="AM238" s="374">
        <f>ABS(INDEX(AM:AM,MATCH(AM232,$AA:$AA,0)+14)+INDEX(AM:AM,MATCH(AM232,$AA:$AA,0)+15)+INDEX(AM:AM,MATCH(AM232,$AA:$AA,0)+16))</f>
        <v>166</v>
      </c>
      <c r="AN238" s="375"/>
      <c r="AO238" s="374">
        <f>ABS(INDEX(AO:AO,MATCH(AO232,$AA:$AA,0)+14)+INDEX(AO:AO,MATCH(AO232,$AA:$AA,0)+15)+INDEX(AO:AO,MATCH(AO232,$AA:$AA,0)+16))</f>
        <v>203</v>
      </c>
      <c r="AP238" s="375"/>
      <c r="AQ238" s="374">
        <f>ABS(INDEX(AQ:AQ,MATCH(AQ232,$AA:$AA,0)+14)+INDEX(AQ:AQ,MATCH(AQ232,$AA:$AA,0)+15)+INDEX(AQ:AQ,MATCH(AQ232,$AA:$AA,0)+16))</f>
        <v>156</v>
      </c>
      <c r="AR238" s="375"/>
      <c r="AS238" s="374">
        <f>ABS(INDEX(AS:AS,MATCH(AS232,$AA:$AA,0)+14)+INDEX(AS:AS,MATCH(AS232,$AA:$AA,0)+15)+INDEX(AS:AS,MATCH(AS232,$AA:$AA,0)+16))</f>
        <v>159</v>
      </c>
      <c r="AT238" s="37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6.05" customHeight="1" x14ac:dyDescent="0.35">
      <c r="B239" s="354" t="str">
        <f t="shared" si="272"/>
        <v>Gesamt</v>
      </c>
      <c r="C239" s="355" t="str">
        <f t="shared" si="272"/>
        <v/>
      </c>
      <c r="D239" s="338">
        <f>IF(AC239=1505,"",AC239)</f>
        <v>698</v>
      </c>
      <c r="E239" s="338" t="str">
        <f>IF(AD239=0,"",AD239)</f>
        <v/>
      </c>
      <c r="F239" s="338">
        <f>IF(AE239=1505,"",AE239)</f>
        <v>663</v>
      </c>
      <c r="G239" s="338" t="str">
        <f>IF(AF239=0,"",AF239)</f>
        <v/>
      </c>
      <c r="H239" s="338">
        <f>IF(AG239=1505,"",AG239)</f>
        <v>643</v>
      </c>
      <c r="I239" s="338" t="str">
        <f>IF(AH239=0,"",AH239)</f>
        <v/>
      </c>
      <c r="J239" s="338">
        <f>IF(AI239=1505,"",AI239)</f>
        <v>711</v>
      </c>
      <c r="K239" s="338" t="str">
        <f>IF(AJ239=0,"",AJ239)</f>
        <v/>
      </c>
      <c r="L239" s="338">
        <f>IF(AK239=1505,"",AK239)</f>
        <v>0</v>
      </c>
      <c r="M239" s="338" t="str">
        <f>IF(AL239=0,"",AL239)</f>
        <v/>
      </c>
      <c r="N239" s="338">
        <f>IF(AM239=1505,"",AM239)</f>
        <v>565</v>
      </c>
      <c r="O239" s="338" t="str">
        <f>IF(AN239=0,"",AN239)</f>
        <v/>
      </c>
      <c r="P239" s="338">
        <f>IF(AO239=1505,"",AO239)</f>
        <v>696</v>
      </c>
      <c r="Q239" s="338" t="str">
        <f>IF(AP239=0,"",AP239)</f>
        <v/>
      </c>
      <c r="R239" s="338">
        <f>IF(AQ239=1505,"",AQ239)</f>
        <v>678</v>
      </c>
      <c r="S239" s="338" t="str">
        <f>IF(AR239=0,"",AR239)</f>
        <v/>
      </c>
      <c r="T239" s="338">
        <f>IF(AS239=1505,"",AS239)</f>
        <v>753</v>
      </c>
      <c r="U239" s="338" t="str">
        <f>IF(AT239=0,"",AT239)</f>
        <v/>
      </c>
      <c r="V239" s="290"/>
      <c r="W239" s="290"/>
      <c r="AA239" s="93" t="s">
        <v>1799</v>
      </c>
      <c r="AB239" s="94"/>
      <c r="AC239" s="354">
        <f>SUM(AC235:AC238)</f>
        <v>698</v>
      </c>
      <c r="AD239" s="355"/>
      <c r="AE239" s="354">
        <f>SUM(AE235:AE238)</f>
        <v>663</v>
      </c>
      <c r="AF239" s="355"/>
      <c r="AG239" s="354">
        <f>SUM(AG235:AG238)</f>
        <v>643</v>
      </c>
      <c r="AH239" s="355"/>
      <c r="AI239" s="354">
        <f>SUM(AI235:AI238)</f>
        <v>711</v>
      </c>
      <c r="AJ239" s="355"/>
      <c r="AK239" s="354">
        <f>SUM(AK235:AK238)</f>
        <v>0</v>
      </c>
      <c r="AL239" s="355"/>
      <c r="AM239" s="354">
        <f>SUM(AM235:AM238)</f>
        <v>565</v>
      </c>
      <c r="AN239" s="355"/>
      <c r="AO239" s="354">
        <f>SUM(AO235:AO238)</f>
        <v>696</v>
      </c>
      <c r="AP239" s="355"/>
      <c r="AQ239" s="354">
        <f>SUM(AQ235:AQ238)</f>
        <v>678</v>
      </c>
      <c r="AR239" s="355"/>
      <c r="AS239" s="354">
        <f>SUM(AS235:AS238)</f>
        <v>753</v>
      </c>
      <c r="AT239" s="35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3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7">
      <c r="B241" s="44" t="str">
        <f>AA241</f>
        <v>Team-Nr.</v>
      </c>
      <c r="C241" s="45"/>
      <c r="D241" s="44" t="str">
        <f>AC241</f>
        <v>Liga:</v>
      </c>
      <c r="E241" s="47"/>
      <c r="F241" s="359" t="str">
        <f>AE241</f>
        <v>Bayernliga Frauen</v>
      </c>
      <c r="G241" s="359"/>
      <c r="H241" s="359"/>
      <c r="I241" s="359"/>
      <c r="J241" s="359"/>
      <c r="K241" s="359"/>
      <c r="L241" s="359"/>
      <c r="M241" s="359"/>
      <c r="N241" s="359"/>
      <c r="O241" s="359"/>
      <c r="P241" s="359"/>
      <c r="Q241" s="359"/>
      <c r="R241" s="48"/>
      <c r="S241" s="49" t="s">
        <v>1794</v>
      </c>
      <c r="T241" s="50"/>
      <c r="U241" s="360" t="str">
        <f>AT241</f>
        <v>01.02./02.02.</v>
      </c>
      <c r="V241" s="361"/>
      <c r="W241" s="362"/>
      <c r="X241" s="363"/>
      <c r="Y241" s="364"/>
      <c r="Z241" s="364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0" t="str">
        <f>VLOOKUP(AS242,Spielorte!$A$1:$C$6,2)</f>
        <v>01.02./02.02.</v>
      </c>
      <c r="AU241" s="361"/>
      <c r="AV241" s="362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65">
      <c r="B242" s="53">
        <f>AA242</f>
        <v>9</v>
      </c>
      <c r="D242" s="46" t="s">
        <v>1793</v>
      </c>
      <c r="E242" s="54"/>
      <c r="F242" s="358" t="str">
        <f>AE242</f>
        <v>Unterföhring Dreambowl Palace</v>
      </c>
      <c r="G242" s="358"/>
      <c r="H242" s="358"/>
      <c r="I242" s="358"/>
      <c r="J242" s="358"/>
      <c r="K242" s="358"/>
      <c r="L242" s="358"/>
      <c r="M242" s="358"/>
      <c r="N242" s="358"/>
      <c r="O242" s="358"/>
      <c r="P242" s="55"/>
      <c r="Q242" s="55"/>
      <c r="S242" s="49" t="s">
        <v>1791</v>
      </c>
      <c r="T242" s="56">
        <f>AS242</f>
        <v>3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Unterföhring Dreambowl Palace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3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4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5" thickBot="1" x14ac:dyDescent="0.45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VLOOKUP(AA242,Schlüssel!$A$5:$DZ$14,53)</f>
        <v>4</v>
      </c>
      <c r="AE244" s="65" t="s">
        <v>10</v>
      </c>
      <c r="AF244" s="44">
        <f>VLOOKUP(AA242,Schlüssel!$A$5:$DZ$14,54)</f>
        <v>8</v>
      </c>
      <c r="AG244" s="65" t="s">
        <v>10</v>
      </c>
      <c r="AH244" s="44">
        <f>VLOOKUP(AA242,Schlüssel!$A$5:$DZ$14,55)</f>
        <v>1</v>
      </c>
      <c r="AI244" s="65" t="s">
        <v>10</v>
      </c>
      <c r="AJ244" s="44">
        <f>VLOOKUP(AA242,Schlüssel!$A$5:$DZ$14,56)</f>
        <v>9</v>
      </c>
      <c r="AK244" s="65" t="s">
        <v>10</v>
      </c>
      <c r="AL244" s="44">
        <f>VLOOKUP(AA242,Schlüssel!$A$5:$DZ$14,57)</f>
        <v>7</v>
      </c>
      <c r="AM244" s="65" t="s">
        <v>10</v>
      </c>
      <c r="AN244" s="44">
        <f>VLOOKUP(AA242,Schlüssel!$A$5:$DZ$14,58)</f>
        <v>3</v>
      </c>
      <c r="AO244" s="65" t="s">
        <v>10</v>
      </c>
      <c r="AP244" s="44">
        <f>VLOOKUP(AA242,Schlüssel!$A$5:$DZ$14,59)</f>
        <v>2</v>
      </c>
      <c r="AQ244" s="65" t="s">
        <v>10</v>
      </c>
      <c r="AR244" s="44">
        <f>VLOOKUP(AA242,Schlüssel!$A$5:$DZ$14,60)</f>
        <v>5</v>
      </c>
      <c r="AS244" s="65" t="s">
        <v>10</v>
      </c>
      <c r="AT244" s="44">
        <f>VLOOKUP(AA242,Schlüssel!$A$5:$DZ$14,61)</f>
        <v>10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35">
      <c r="B245" s="67" t="s">
        <v>1</v>
      </c>
      <c r="C245" s="68"/>
      <c r="D245" s="354" t="s">
        <v>1800</v>
      </c>
      <c r="E245" s="355"/>
      <c r="F245" s="354" t="s">
        <v>1801</v>
      </c>
      <c r="G245" s="355"/>
      <c r="H245" s="354" t="s">
        <v>1802</v>
      </c>
      <c r="I245" s="355"/>
      <c r="J245" s="354" t="s">
        <v>1803</v>
      </c>
      <c r="K245" s="355"/>
      <c r="L245" s="354" t="s">
        <v>1804</v>
      </c>
      <c r="M245" s="355"/>
      <c r="N245" s="354" t="s">
        <v>1805</v>
      </c>
      <c r="O245" s="355"/>
      <c r="P245" s="354" t="s">
        <v>1806</v>
      </c>
      <c r="Q245" s="355"/>
      <c r="R245" s="354" t="s">
        <v>1807</v>
      </c>
      <c r="S245" s="355"/>
      <c r="T245" s="354" t="s">
        <v>1808</v>
      </c>
      <c r="U245" s="355"/>
      <c r="V245" s="356" t="s">
        <v>1799</v>
      </c>
      <c r="W245" s="357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4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2" customHeight="1" x14ac:dyDescent="0.35">
      <c r="A247" s="367" t="s">
        <v>0</v>
      </c>
      <c r="B247" s="73" t="str">
        <f>IF(AA247=0,"",AA247)</f>
        <v>Martisko, Petra</v>
      </c>
      <c r="C247" s="74">
        <f>IF(AB247=0,"",AB247)</f>
        <v>7976</v>
      </c>
      <c r="D247" s="75">
        <f>IF(AC247=0,"",AC247)</f>
        <v>168</v>
      </c>
      <c r="E247" s="348">
        <f>IF(AD247="","",AD247)</f>
        <v>1</v>
      </c>
      <c r="F247" s="75">
        <f t="shared" ref="F247:F260" si="273">IF(AE247=0,"",AE247)</f>
        <v>173</v>
      </c>
      <c r="G247" s="348">
        <f>IF(AF247="","",AF247)</f>
        <v>0</v>
      </c>
      <c r="H247" s="75">
        <f t="shared" ref="H247:H260" si="274">IF(AG247=0,"",AG247)</f>
        <v>171</v>
      </c>
      <c r="I247" s="348">
        <f>IF(AH247="","",AH247)</f>
        <v>1</v>
      </c>
      <c r="J247" s="75">
        <f t="shared" ref="J247:J260" si="275">IF(AI247=0,"",AI247)</f>
        <v>213</v>
      </c>
      <c r="K247" s="348">
        <f>IF(AJ247="","",AJ247)</f>
        <v>1</v>
      </c>
      <c r="L247" s="75">
        <f t="shared" ref="L247:L260" si="276">IF(AK247=0,"",AK247)</f>
        <v>162</v>
      </c>
      <c r="M247" s="348">
        <f>IF(AL247="","",AL247)</f>
        <v>1</v>
      </c>
      <c r="N247" s="75">
        <f>IF(AM247=0,"",AM247)</f>
        <v>177</v>
      </c>
      <c r="O247" s="348">
        <f>IF(AN247="","",AN247)</f>
        <v>1</v>
      </c>
      <c r="P247" s="75">
        <f t="shared" ref="P247:P260" si="277">IF(AO247=0,"",AO247)</f>
        <v>192</v>
      </c>
      <c r="Q247" s="348">
        <f>IF(AP247="","",AP247)</f>
        <v>1</v>
      </c>
      <c r="R247" s="75">
        <f t="shared" ref="R247:R260" si="278">IF(AQ247=0,"",AQ247)</f>
        <v>168</v>
      </c>
      <c r="S247" s="348">
        <f>IF(AR247="","",AR247)</f>
        <v>0.5</v>
      </c>
      <c r="T247" s="75">
        <f t="shared" ref="T247:T260" si="279">IF(AS247=0,"",AS247)</f>
        <v>179</v>
      </c>
      <c r="U247" s="348">
        <f>IF(AT247="","",AT247)</f>
        <v>1</v>
      </c>
      <c r="V247" s="75">
        <f t="shared" ref="V247:V260" si="280">IF(AU247=0,"",AU247)</f>
        <v>1603</v>
      </c>
      <c r="W247" s="348">
        <f>IF(AV247="","",AV247)</f>
        <v>7.5</v>
      </c>
      <c r="Z247" s="351" t="s">
        <v>0</v>
      </c>
      <c r="AA247" s="108" t="str">
        <f>IF(AB247=0,"",VLOOKUP(AB247,Starter!$A$1:$D$199,2,FALSE))</f>
        <v>Martisko, Petra</v>
      </c>
      <c r="AB247" s="99">
        <v>7976</v>
      </c>
      <c r="AC247" s="185">
        <v>168</v>
      </c>
      <c r="AD247" s="109">
        <f>IF(SUM(AC247:AC249)+AC265=0,0,IF(SUM(AC247:AC249)=AC265,0.5,IF(SUM(AC247:AC249)&gt;AC265,1,0)))</f>
        <v>1</v>
      </c>
      <c r="AE247" s="185">
        <v>173</v>
      </c>
      <c r="AF247" s="109">
        <f>IF(SUM(AE247:AE249)+AE265=0,0,IF(SUM(AE247:AE249)=AE265,0.5,IF(SUM(AE247:AE249)&gt;AE265,1,0)))</f>
        <v>0</v>
      </c>
      <c r="AG247" s="185">
        <v>171</v>
      </c>
      <c r="AH247" s="109">
        <f>IF(SUM(AG247:AG249)+AG265=0,0,IF(SUM(AG247:AG249)=AG265,0.5,IF(SUM(AG247:AG249)&gt;AG265,1,0)))</f>
        <v>1</v>
      </c>
      <c r="AI247" s="185">
        <v>213</v>
      </c>
      <c r="AJ247" s="109">
        <f>IF(SUM(AI247:AI249)+AI265=0,0,IF(SUM(AI247:AI249)=AI265,0.5,IF(SUM(AI247:AI249)&gt;AI265,1,0)))</f>
        <v>1</v>
      </c>
      <c r="AK247" s="185">
        <v>162</v>
      </c>
      <c r="AL247" s="109">
        <f>IF(SUM(AK247:AK249)+AK265=0,0,IF(SUM(AK247:AK249)=AK265,0.5,IF(SUM(AK247:AK249)&gt;AK265,1,0)))</f>
        <v>1</v>
      </c>
      <c r="AM247" s="185">
        <v>177</v>
      </c>
      <c r="AN247" s="109">
        <f>IF(SUM(AM247:AM249)+AM265=0,0,IF(SUM(AM247:AM249)=AM265,0.5,IF(SUM(AM247:AM249)&gt;AM265,1,0)))</f>
        <v>1</v>
      </c>
      <c r="AO247" s="185">
        <v>192</v>
      </c>
      <c r="AP247" s="109">
        <f>IF(SUM(AO247:AO249)+AO265=0,0,IF(SUM(AO247:AO249)=AO265,0.5,IF(SUM(AO247:AO249)&gt;AO265,1,0)))</f>
        <v>1</v>
      </c>
      <c r="AQ247" s="185">
        <v>168</v>
      </c>
      <c r="AR247" s="109">
        <f>IF(SUM(AQ247:AQ249)+AQ265=0,0,IF(SUM(AQ247:AQ249)=AQ265,0.5,IF(SUM(AQ247:AQ249)&gt;AQ265,1,0)))</f>
        <v>0.5</v>
      </c>
      <c r="AS247" s="185">
        <v>179</v>
      </c>
      <c r="AT247" s="109">
        <f>IF(SUM(AS247:AS249)+AS265=0,0,IF(SUM(AS247:AS249)=AS265,0.5,IF(SUM(AS247:AS249)&gt;AS265,1,0)))</f>
        <v>1</v>
      </c>
      <c r="AU247" s="110">
        <f t="shared" ref="AU247:AU258" si="281">ABS(SUM(AC247:AC247))+ABS(SUM(AE247:AE247))+ABS(SUM(AG247:AG247))+ABS(SUM(AI247:AI247))+ABS(SUM(AK247:AK247))+ABS(SUM(AM247:AM247))+ABS(SUM(AO247:AO247))+ABS(SUM(AQ247:AQ247))+ABS(SUM(AS247:AS247))</f>
        <v>1603</v>
      </c>
      <c r="AV247" s="111">
        <f>SUM(AD247+AF247+AH247+AJ247+AL247+AN247+AP247+AR247+AT247)</f>
        <v>7.5</v>
      </c>
      <c r="AW247" s="101"/>
      <c r="AX247" s="102"/>
      <c r="AZ247" s="63"/>
      <c r="BA247" s="212"/>
      <c r="BB247" s="213"/>
      <c r="BC247" s="214"/>
      <c r="BD247" s="217">
        <f>+AB247</f>
        <v>7976</v>
      </c>
      <c r="BE247" s="213">
        <f>+AU247</f>
        <v>1603</v>
      </c>
      <c r="BF247" s="215">
        <f>COUNT(BH247:BP247)</f>
        <v>9</v>
      </c>
      <c r="BG247" s="215">
        <f>COUNTIF(BH247:BP247,"&gt;0")</f>
        <v>9</v>
      </c>
      <c r="BH247" s="215">
        <f t="shared" ref="BH247:BH258" si="282">IF(AC247=0,"",AC247)</f>
        <v>168</v>
      </c>
      <c r="BI247" s="215">
        <f t="shared" ref="BI247:BI258" si="283">IF(AE247=0,"",AE247)</f>
        <v>173</v>
      </c>
      <c r="BJ247" s="215">
        <f t="shared" ref="BJ247:BJ258" si="284">IF(AG247=0,"",AG247)</f>
        <v>171</v>
      </c>
      <c r="BK247" s="215">
        <f t="shared" ref="BK247:BK258" si="285">IF(AI247=0,"",AI247)</f>
        <v>213</v>
      </c>
      <c r="BL247" s="215">
        <f t="shared" ref="BL247:BL258" si="286">IF(AK247=0,"",AK247)</f>
        <v>162</v>
      </c>
      <c r="BM247" s="215">
        <f t="shared" ref="BM247:BM258" si="287">IF(AM247=0,"",AM247)</f>
        <v>177</v>
      </c>
      <c r="BN247" s="215">
        <f t="shared" ref="BN247:BN258" si="288">IF(AO247=0,"",AO247)</f>
        <v>192</v>
      </c>
      <c r="BO247" s="215">
        <f t="shared" ref="BO247:BO258" si="289">IF(AQ247=0,"",AQ247)</f>
        <v>168</v>
      </c>
      <c r="BP247" s="215">
        <f t="shared" ref="BP247:BP258" si="290">IF(AS247=0,"",AS247)</f>
        <v>179</v>
      </c>
      <c r="BQ247" s="216"/>
      <c r="BR247" s="214"/>
      <c r="BS247" s="215">
        <f>MAX(BH247:BP247)</f>
        <v>213</v>
      </c>
      <c r="BT247" s="215">
        <f>IF(BS247&lt;MAX(BS:BS),0,BS247+ROW()/1000000000)</f>
        <v>0</v>
      </c>
      <c r="BU247" s="215" t="str">
        <f>+AA243</f>
        <v>RW Lichtenhof 69 Stein 2</v>
      </c>
      <c r="BV247" s="214">
        <f>RANK(BT247,BT:BT)</f>
        <v>2</v>
      </c>
      <c r="BW247" s="215">
        <f>SUMIF(BH247:BP247,"&gt;0")</f>
        <v>1603</v>
      </c>
      <c r="BX247" s="215">
        <f>IF(COUNTIF(BH247:BP247,"&gt;0")&lt;Spielorte!$A$23,0,BE247/Spielorte!$A$23)</f>
        <v>178.11111111111111</v>
      </c>
      <c r="BY247" s="215">
        <f>IF(BX247&lt;MAX(BX:BX),0,BX247+ROW()/1000000000)</f>
        <v>0</v>
      </c>
      <c r="BZ247" s="214">
        <f t="shared" ref="BZ247:BZ258" si="291">IF(BY247=0,0,RANK(BY247,BY:BY))</f>
        <v>0</v>
      </c>
    </row>
    <row r="248" spans="1:78" ht="17.2" customHeight="1" x14ac:dyDescent="0.35">
      <c r="A248" s="368"/>
      <c r="B248" s="76" t="str">
        <f t="shared" ref="B248:D260" si="292">IF(AA248=0,"",AA248)</f>
        <v/>
      </c>
      <c r="C248" s="77" t="str">
        <f t="shared" si="292"/>
        <v/>
      </c>
      <c r="D248" s="78" t="str">
        <f t="shared" si="292"/>
        <v/>
      </c>
      <c r="E248" s="349"/>
      <c r="F248" s="78" t="str">
        <f t="shared" si="273"/>
        <v/>
      </c>
      <c r="G248" s="349"/>
      <c r="H248" s="78" t="str">
        <f t="shared" si="274"/>
        <v/>
      </c>
      <c r="I248" s="349"/>
      <c r="J248" s="78" t="str">
        <f t="shared" si="275"/>
        <v/>
      </c>
      <c r="K248" s="349"/>
      <c r="L248" s="78" t="str">
        <f t="shared" si="276"/>
        <v/>
      </c>
      <c r="M248" s="349"/>
      <c r="N248" s="78" t="str">
        <f t="shared" ref="N248:N260" si="293">IF(AM248=0,"",AM248)</f>
        <v/>
      </c>
      <c r="O248" s="349"/>
      <c r="P248" s="78" t="str">
        <f t="shared" si="277"/>
        <v/>
      </c>
      <c r="Q248" s="349"/>
      <c r="R248" s="78" t="str">
        <f t="shared" si="278"/>
        <v/>
      </c>
      <c r="S248" s="349"/>
      <c r="T248" s="78" t="str">
        <f t="shared" si="279"/>
        <v/>
      </c>
      <c r="U248" s="349"/>
      <c r="V248" s="78" t="str">
        <f t="shared" si="280"/>
        <v/>
      </c>
      <c r="W248" s="349"/>
      <c r="Z248" s="352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1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294">+AB248</f>
        <v>0</v>
      </c>
      <c r="BE248" s="213">
        <f t="shared" ref="BE248:BE258" si="295">+AU248</f>
        <v>0</v>
      </c>
      <c r="BF248" s="215">
        <f t="shared" ref="BF248:BF258" si="296">COUNT(BH248:BP248)</f>
        <v>0</v>
      </c>
      <c r="BG248" s="215">
        <f t="shared" ref="BG248:BG258" si="297">COUNTIF(BH248:BP248,"&gt;0")</f>
        <v>0</v>
      </c>
      <c r="BH248" s="215" t="str">
        <f t="shared" si="282"/>
        <v/>
      </c>
      <c r="BI248" s="215" t="str">
        <f t="shared" si="283"/>
        <v/>
      </c>
      <c r="BJ248" s="215" t="str">
        <f t="shared" si="284"/>
        <v/>
      </c>
      <c r="BK248" s="215" t="str">
        <f t="shared" si="285"/>
        <v/>
      </c>
      <c r="BL248" s="215" t="str">
        <f t="shared" si="286"/>
        <v/>
      </c>
      <c r="BM248" s="215" t="str">
        <f t="shared" si="287"/>
        <v/>
      </c>
      <c r="BN248" s="215" t="str">
        <f t="shared" si="288"/>
        <v/>
      </c>
      <c r="BO248" s="215" t="str">
        <f t="shared" si="289"/>
        <v/>
      </c>
      <c r="BP248" s="215" t="str">
        <f t="shared" si="290"/>
        <v/>
      </c>
      <c r="BQ248" s="216"/>
      <c r="BR248" s="214"/>
      <c r="BS248" s="215">
        <f t="shared" ref="BS248:BS258" si="298">MAX(BH248:BP248)</f>
        <v>0</v>
      </c>
      <c r="BT248" s="215">
        <f t="shared" ref="BT248:BT258" si="299">IF(BS248&lt;MAX(BS:BS),0,BS248+ROW()/1000000000)</f>
        <v>0</v>
      </c>
      <c r="BU248" s="215" t="str">
        <f t="shared" ref="BU248:BU258" si="300">+BU247</f>
        <v>RW Lichtenhof 69 Stein 2</v>
      </c>
      <c r="BV248" s="214">
        <f t="shared" ref="BV248:BV258" si="301">RANK(BT248,BT:BT)</f>
        <v>2</v>
      </c>
      <c r="BW248" s="215">
        <f t="shared" ref="BW248:BW258" si="302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3">IF(BX248&lt;MAX(BX:BX),0,BX248+ROW()/1000000000)</f>
        <v>0</v>
      </c>
      <c r="BZ248" s="214">
        <f t="shared" si="291"/>
        <v>0</v>
      </c>
    </row>
    <row r="249" spans="1:78" ht="17.2" customHeight="1" thickBot="1" x14ac:dyDescent="0.4">
      <c r="A249" s="369"/>
      <c r="B249" s="79" t="str">
        <f t="shared" si="292"/>
        <v/>
      </c>
      <c r="C249" s="80" t="str">
        <f t="shared" si="292"/>
        <v/>
      </c>
      <c r="D249" s="69" t="str">
        <f t="shared" si="292"/>
        <v/>
      </c>
      <c r="E249" s="350"/>
      <c r="F249" s="69" t="str">
        <f t="shared" si="273"/>
        <v/>
      </c>
      <c r="G249" s="350"/>
      <c r="H249" s="69" t="str">
        <f t="shared" si="274"/>
        <v/>
      </c>
      <c r="I249" s="350"/>
      <c r="J249" s="69" t="str">
        <f t="shared" si="275"/>
        <v/>
      </c>
      <c r="K249" s="350"/>
      <c r="L249" s="69" t="str">
        <f t="shared" si="276"/>
        <v/>
      </c>
      <c r="M249" s="350"/>
      <c r="N249" s="69" t="str">
        <f t="shared" si="293"/>
        <v/>
      </c>
      <c r="O249" s="350"/>
      <c r="P249" s="69" t="str">
        <f t="shared" si="277"/>
        <v/>
      </c>
      <c r="Q249" s="350"/>
      <c r="R249" s="69" t="str">
        <f t="shared" si="278"/>
        <v/>
      </c>
      <c r="S249" s="350"/>
      <c r="T249" s="69" t="str">
        <f t="shared" si="279"/>
        <v/>
      </c>
      <c r="U249" s="350"/>
      <c r="V249" s="69" t="str">
        <f t="shared" si="280"/>
        <v/>
      </c>
      <c r="W249" s="350"/>
      <c r="Z249" s="353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1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294"/>
        <v>0</v>
      </c>
      <c r="BE249" s="213">
        <f t="shared" si="295"/>
        <v>0</v>
      </c>
      <c r="BF249" s="215">
        <f t="shared" si="296"/>
        <v>0</v>
      </c>
      <c r="BG249" s="215">
        <f t="shared" si="297"/>
        <v>0</v>
      </c>
      <c r="BH249" s="215" t="str">
        <f t="shared" si="282"/>
        <v/>
      </c>
      <c r="BI249" s="215" t="str">
        <f t="shared" si="283"/>
        <v/>
      </c>
      <c r="BJ249" s="215" t="str">
        <f t="shared" si="284"/>
        <v/>
      </c>
      <c r="BK249" s="215" t="str">
        <f t="shared" si="285"/>
        <v/>
      </c>
      <c r="BL249" s="215" t="str">
        <f t="shared" si="286"/>
        <v/>
      </c>
      <c r="BM249" s="215" t="str">
        <f t="shared" si="287"/>
        <v/>
      </c>
      <c r="BN249" s="215" t="str">
        <f t="shared" si="288"/>
        <v/>
      </c>
      <c r="BO249" s="215" t="str">
        <f t="shared" si="289"/>
        <v/>
      </c>
      <c r="BP249" s="215" t="str">
        <f t="shared" si="290"/>
        <v/>
      </c>
      <c r="BQ249" s="216"/>
      <c r="BR249" s="214"/>
      <c r="BS249" s="215">
        <f t="shared" si="298"/>
        <v>0</v>
      </c>
      <c r="BT249" s="215">
        <f t="shared" si="299"/>
        <v>0</v>
      </c>
      <c r="BU249" s="215" t="str">
        <f t="shared" si="300"/>
        <v>RW Lichtenhof 69 Stein 2</v>
      </c>
      <c r="BV249" s="214">
        <f t="shared" si="301"/>
        <v>2</v>
      </c>
      <c r="BW249" s="215">
        <f t="shared" si="302"/>
        <v>0</v>
      </c>
      <c r="BX249" s="215">
        <f>IF(COUNTIF(BH249:BP249,"&gt;0")&lt;Spielorte!$A$23,0,BE249/Spielorte!$A$23)</f>
        <v>0</v>
      </c>
      <c r="BY249" s="215">
        <f t="shared" si="303"/>
        <v>0</v>
      </c>
      <c r="BZ249" s="214">
        <f t="shared" si="291"/>
        <v>0</v>
      </c>
    </row>
    <row r="250" spans="1:78" ht="17.2" customHeight="1" x14ac:dyDescent="0.35">
      <c r="A250" s="367" t="s">
        <v>2</v>
      </c>
      <c r="B250" s="73" t="str">
        <f t="shared" si="292"/>
        <v>Thöne, Melanie</v>
      </c>
      <c r="C250" s="74">
        <f t="shared" si="292"/>
        <v>38513</v>
      </c>
      <c r="D250" s="75">
        <f t="shared" si="292"/>
        <v>183</v>
      </c>
      <c r="E250" s="348">
        <f>IF(AD250="","",AD250)</f>
        <v>1</v>
      </c>
      <c r="F250" s="75">
        <f t="shared" si="273"/>
        <v>150</v>
      </c>
      <c r="G250" s="348">
        <f>IF(AF250="","",AF250)</f>
        <v>0</v>
      </c>
      <c r="H250" s="75">
        <f t="shared" si="274"/>
        <v>134</v>
      </c>
      <c r="I250" s="348">
        <f>IF(AH250="","",AH250)</f>
        <v>1</v>
      </c>
      <c r="J250" s="75">
        <f t="shared" si="275"/>
        <v>143</v>
      </c>
      <c r="K250" s="348">
        <f>IF(AJ250="","",AJ250)</f>
        <v>0</v>
      </c>
      <c r="L250" s="75">
        <f t="shared" si="276"/>
        <v>104</v>
      </c>
      <c r="M250" s="348">
        <f>IF(AL250="","",AL250)</f>
        <v>0</v>
      </c>
      <c r="N250" s="75" t="str">
        <f t="shared" si="293"/>
        <v/>
      </c>
      <c r="O250" s="348">
        <f>IF(AN250="","",AN250)</f>
        <v>0</v>
      </c>
      <c r="P250" s="75" t="str">
        <f t="shared" si="277"/>
        <v/>
      </c>
      <c r="Q250" s="348">
        <f>IF(AP250="","",AP250)</f>
        <v>0</v>
      </c>
      <c r="R250" s="75" t="str">
        <f t="shared" si="278"/>
        <v/>
      </c>
      <c r="S250" s="348">
        <f>IF(AR250="","",AR250)</f>
        <v>0</v>
      </c>
      <c r="T250" s="75" t="str">
        <f t="shared" si="279"/>
        <v/>
      </c>
      <c r="U250" s="348">
        <f>IF(AT250="","",AT250)</f>
        <v>0</v>
      </c>
      <c r="V250" s="75">
        <f t="shared" si="280"/>
        <v>714</v>
      </c>
      <c r="W250" s="348">
        <f>IF(AV250="","",AV250)</f>
        <v>2</v>
      </c>
      <c r="Z250" s="351" t="s">
        <v>2</v>
      </c>
      <c r="AA250" s="108" t="str">
        <f>IF(AB250=0,"",VLOOKUP(AB250,Starter!$A$1:$D$199,2,FALSE))</f>
        <v>Thöne, Melanie</v>
      </c>
      <c r="AB250" s="99">
        <v>38513</v>
      </c>
      <c r="AC250" s="188">
        <v>183</v>
      </c>
      <c r="AD250" s="109">
        <f>IF(SUM(AC250:AC252)+AC266=0,0,IF(SUM(AC250:AC252)=AC266,0.5,IF(SUM(AC250:AC252)&gt;AC266,1,0)))</f>
        <v>1</v>
      </c>
      <c r="AE250" s="188">
        <v>150</v>
      </c>
      <c r="AF250" s="109">
        <f>IF(SUM(AE250:AE252)+AE266=0,0,IF(SUM(AE250:AE252)=AE266,0.5,IF(SUM(AE250:AE252)&gt;AE266,1,0)))</f>
        <v>0</v>
      </c>
      <c r="AG250" s="188">
        <v>134</v>
      </c>
      <c r="AH250" s="109">
        <f>IF(SUM(AG250:AG252)+AG266=0,0,IF(SUM(AG250:AG252)=AG266,0.5,IF(SUM(AG250:AG252)&gt;AG266,1,0)))</f>
        <v>1</v>
      </c>
      <c r="AI250" s="188">
        <v>143</v>
      </c>
      <c r="AJ250" s="109">
        <f>IF(SUM(AI250:AI252)+AI266=0,0,IF(SUM(AI250:AI252)=AI266,0.5,IF(SUM(AI250:AI252)&gt;AI266,1,0)))</f>
        <v>0</v>
      </c>
      <c r="AK250" s="188">
        <v>104</v>
      </c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0</v>
      </c>
      <c r="AO250" s="188"/>
      <c r="AP250" s="109">
        <f>IF(SUM(AO250:AO252)+AO266=0,0,IF(SUM(AO250:AO252)=AO266,0.5,IF(SUM(AO250:AO252)&gt;AO266,1,0)))</f>
        <v>0</v>
      </c>
      <c r="AQ250" s="188"/>
      <c r="AR250" s="109">
        <f>IF(SUM(AQ250:AQ252)+AQ266=0,0,IF(SUM(AQ250:AQ252)=AQ266,0.5,IF(SUM(AQ250:AQ252)&gt;AQ266,1,0)))</f>
        <v>0</v>
      </c>
      <c r="AS250" s="188"/>
      <c r="AT250" s="109">
        <f>IF(SUM(AS250:AS252)+AS266=0,0,IF(SUM(AS250:AS252)=AS266,0.5,IF(SUM(AS250:AS252)&gt;AS266,1,0)))</f>
        <v>0</v>
      </c>
      <c r="AU250" s="110">
        <f t="shared" si="281"/>
        <v>714</v>
      </c>
      <c r="AV250" s="111">
        <f>SUM(AD250+AF250+AH250+AJ250+AL250+AN250+AP250+AR250+AT250)</f>
        <v>2</v>
      </c>
      <c r="AW250" s="101"/>
      <c r="AX250" s="102"/>
      <c r="AZ250" s="63"/>
      <c r="BA250" s="212"/>
      <c r="BB250" s="213"/>
      <c r="BC250" s="214"/>
      <c r="BD250" s="217">
        <f t="shared" si="294"/>
        <v>38513</v>
      </c>
      <c r="BE250" s="213">
        <f t="shared" si="295"/>
        <v>714</v>
      </c>
      <c r="BF250" s="215">
        <f t="shared" si="296"/>
        <v>5</v>
      </c>
      <c r="BG250" s="215">
        <f t="shared" si="297"/>
        <v>5</v>
      </c>
      <c r="BH250" s="215">
        <f t="shared" si="282"/>
        <v>183</v>
      </c>
      <c r="BI250" s="215">
        <f t="shared" si="283"/>
        <v>150</v>
      </c>
      <c r="BJ250" s="215">
        <f t="shared" si="284"/>
        <v>134</v>
      </c>
      <c r="BK250" s="215">
        <f t="shared" si="285"/>
        <v>143</v>
      </c>
      <c r="BL250" s="215">
        <f t="shared" si="286"/>
        <v>104</v>
      </c>
      <c r="BM250" s="215" t="str">
        <f t="shared" si="287"/>
        <v/>
      </c>
      <c r="BN250" s="215" t="str">
        <f t="shared" si="288"/>
        <v/>
      </c>
      <c r="BO250" s="215" t="str">
        <f t="shared" si="289"/>
        <v/>
      </c>
      <c r="BP250" s="215" t="str">
        <f t="shared" si="290"/>
        <v/>
      </c>
      <c r="BQ250" s="216"/>
      <c r="BR250" s="214"/>
      <c r="BS250" s="215">
        <f t="shared" si="298"/>
        <v>183</v>
      </c>
      <c r="BT250" s="215">
        <f t="shared" si="299"/>
        <v>0</v>
      </c>
      <c r="BU250" s="215" t="str">
        <f t="shared" si="300"/>
        <v>RW Lichtenhof 69 Stein 2</v>
      </c>
      <c r="BV250" s="214">
        <f t="shared" si="301"/>
        <v>2</v>
      </c>
      <c r="BW250" s="215">
        <f t="shared" si="302"/>
        <v>714</v>
      </c>
      <c r="BX250" s="215">
        <f>IF(COUNTIF(BH250:BP250,"&gt;0")&lt;Spielorte!$A$23,0,BE250/Spielorte!$A$23)</f>
        <v>0</v>
      </c>
      <c r="BY250" s="215">
        <f t="shared" si="303"/>
        <v>0</v>
      </c>
      <c r="BZ250" s="214">
        <f t="shared" si="291"/>
        <v>0</v>
      </c>
    </row>
    <row r="251" spans="1:78" ht="17.2" customHeight="1" x14ac:dyDescent="0.35">
      <c r="A251" s="368"/>
      <c r="B251" s="76" t="str">
        <f t="shared" si="292"/>
        <v>Hödl, Renate</v>
      </c>
      <c r="C251" s="77">
        <f t="shared" si="292"/>
        <v>7972</v>
      </c>
      <c r="D251" s="78" t="str">
        <f t="shared" si="292"/>
        <v/>
      </c>
      <c r="E251" s="349"/>
      <c r="F251" s="78" t="str">
        <f t="shared" si="273"/>
        <v/>
      </c>
      <c r="G251" s="349"/>
      <c r="H251" s="78" t="str">
        <f t="shared" si="274"/>
        <v/>
      </c>
      <c r="I251" s="349"/>
      <c r="J251" s="78" t="str">
        <f t="shared" si="275"/>
        <v/>
      </c>
      <c r="K251" s="349"/>
      <c r="L251" s="78" t="str">
        <f t="shared" si="276"/>
        <v/>
      </c>
      <c r="M251" s="349"/>
      <c r="N251" s="78">
        <f t="shared" si="293"/>
        <v>171</v>
      </c>
      <c r="O251" s="349"/>
      <c r="P251" s="78">
        <f t="shared" si="277"/>
        <v>157</v>
      </c>
      <c r="Q251" s="349"/>
      <c r="R251" s="78">
        <f t="shared" si="278"/>
        <v>111</v>
      </c>
      <c r="S251" s="349"/>
      <c r="T251" s="78">
        <f t="shared" si="279"/>
        <v>154</v>
      </c>
      <c r="U251" s="349"/>
      <c r="V251" s="78">
        <f t="shared" si="280"/>
        <v>593</v>
      </c>
      <c r="W251" s="349"/>
      <c r="Z251" s="352"/>
      <c r="AA251" s="108" t="str">
        <f>IF(AB251=0,"",VLOOKUP(AB251,Starter!$A$1:$D$199,2,FALSE))</f>
        <v>Hödl, Renate</v>
      </c>
      <c r="AB251" s="98">
        <v>7972</v>
      </c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>
        <v>171</v>
      </c>
      <c r="AN251" s="112"/>
      <c r="AO251" s="190">
        <v>157</v>
      </c>
      <c r="AP251" s="112"/>
      <c r="AQ251" s="190">
        <v>111</v>
      </c>
      <c r="AR251" s="112"/>
      <c r="AS251" s="190">
        <v>154</v>
      </c>
      <c r="AT251" s="112"/>
      <c r="AU251" s="113">
        <f t="shared" si="281"/>
        <v>593</v>
      </c>
      <c r="AV251" s="114"/>
      <c r="AW251" s="101"/>
      <c r="AX251" s="102"/>
      <c r="AZ251" s="63"/>
      <c r="BA251" s="212"/>
      <c r="BB251" s="213"/>
      <c r="BC251" s="214"/>
      <c r="BD251" s="217">
        <f t="shared" si="294"/>
        <v>7972</v>
      </c>
      <c r="BE251" s="213">
        <f t="shared" si="295"/>
        <v>593</v>
      </c>
      <c r="BF251" s="215">
        <f t="shared" si="296"/>
        <v>4</v>
      </c>
      <c r="BG251" s="215">
        <f t="shared" si="297"/>
        <v>4</v>
      </c>
      <c r="BH251" s="215" t="str">
        <f t="shared" si="282"/>
        <v/>
      </c>
      <c r="BI251" s="215" t="str">
        <f t="shared" si="283"/>
        <v/>
      </c>
      <c r="BJ251" s="215" t="str">
        <f t="shared" si="284"/>
        <v/>
      </c>
      <c r="BK251" s="215" t="str">
        <f t="shared" si="285"/>
        <v/>
      </c>
      <c r="BL251" s="215" t="str">
        <f t="shared" si="286"/>
        <v/>
      </c>
      <c r="BM251" s="215">
        <f t="shared" si="287"/>
        <v>171</v>
      </c>
      <c r="BN251" s="215">
        <f t="shared" si="288"/>
        <v>157</v>
      </c>
      <c r="BO251" s="215">
        <f t="shared" si="289"/>
        <v>111</v>
      </c>
      <c r="BP251" s="215">
        <f t="shared" si="290"/>
        <v>154</v>
      </c>
      <c r="BQ251" s="216"/>
      <c r="BR251" s="214"/>
      <c r="BS251" s="215">
        <f t="shared" si="298"/>
        <v>171</v>
      </c>
      <c r="BT251" s="215">
        <f t="shared" si="299"/>
        <v>0</v>
      </c>
      <c r="BU251" s="215" t="str">
        <f t="shared" si="300"/>
        <v>RW Lichtenhof 69 Stein 2</v>
      </c>
      <c r="BV251" s="214">
        <f t="shared" si="301"/>
        <v>2</v>
      </c>
      <c r="BW251" s="215">
        <f t="shared" si="302"/>
        <v>593</v>
      </c>
      <c r="BX251" s="215">
        <f>IF(COUNTIF(BH251:BP251,"&gt;0")&lt;Spielorte!$A$23,0,BE251/Spielorte!$A$23)</f>
        <v>0</v>
      </c>
      <c r="BY251" s="215">
        <f t="shared" si="303"/>
        <v>0</v>
      </c>
      <c r="BZ251" s="214">
        <f t="shared" si="291"/>
        <v>0</v>
      </c>
    </row>
    <row r="252" spans="1:78" ht="17.2" customHeight="1" thickBot="1" x14ac:dyDescent="0.4">
      <c r="A252" s="369"/>
      <c r="B252" s="79" t="str">
        <f t="shared" si="292"/>
        <v/>
      </c>
      <c r="C252" s="80" t="str">
        <f t="shared" si="292"/>
        <v/>
      </c>
      <c r="D252" s="69" t="str">
        <f t="shared" si="292"/>
        <v/>
      </c>
      <c r="E252" s="350"/>
      <c r="F252" s="69" t="str">
        <f t="shared" si="273"/>
        <v/>
      </c>
      <c r="G252" s="350"/>
      <c r="H252" s="69" t="str">
        <f t="shared" si="274"/>
        <v/>
      </c>
      <c r="I252" s="350"/>
      <c r="J252" s="69" t="str">
        <f t="shared" si="275"/>
        <v/>
      </c>
      <c r="K252" s="350"/>
      <c r="L252" s="69" t="str">
        <f t="shared" si="276"/>
        <v/>
      </c>
      <c r="M252" s="350"/>
      <c r="N252" s="69" t="str">
        <f t="shared" si="293"/>
        <v/>
      </c>
      <c r="O252" s="350"/>
      <c r="P252" s="69" t="str">
        <f t="shared" si="277"/>
        <v/>
      </c>
      <c r="Q252" s="350"/>
      <c r="R252" s="69" t="str">
        <f t="shared" si="278"/>
        <v/>
      </c>
      <c r="S252" s="350"/>
      <c r="T252" s="69" t="str">
        <f t="shared" si="279"/>
        <v/>
      </c>
      <c r="U252" s="350"/>
      <c r="V252" s="69" t="str">
        <f t="shared" si="280"/>
        <v/>
      </c>
      <c r="W252" s="350"/>
      <c r="Z252" s="353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1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294"/>
        <v>0</v>
      </c>
      <c r="BE252" s="213">
        <f t="shared" si="295"/>
        <v>0</v>
      </c>
      <c r="BF252" s="215">
        <f t="shared" si="296"/>
        <v>0</v>
      </c>
      <c r="BG252" s="215">
        <f t="shared" si="297"/>
        <v>0</v>
      </c>
      <c r="BH252" s="215" t="str">
        <f t="shared" si="282"/>
        <v/>
      </c>
      <c r="BI252" s="215" t="str">
        <f t="shared" si="283"/>
        <v/>
      </c>
      <c r="BJ252" s="215" t="str">
        <f t="shared" si="284"/>
        <v/>
      </c>
      <c r="BK252" s="215" t="str">
        <f t="shared" si="285"/>
        <v/>
      </c>
      <c r="BL252" s="215" t="str">
        <f t="shared" si="286"/>
        <v/>
      </c>
      <c r="BM252" s="215" t="str">
        <f t="shared" si="287"/>
        <v/>
      </c>
      <c r="BN252" s="215" t="str">
        <f t="shared" si="288"/>
        <v/>
      </c>
      <c r="BO252" s="215" t="str">
        <f t="shared" si="289"/>
        <v/>
      </c>
      <c r="BP252" s="215" t="str">
        <f t="shared" si="290"/>
        <v/>
      </c>
      <c r="BQ252" s="216"/>
      <c r="BR252" s="214"/>
      <c r="BS252" s="215">
        <f t="shared" si="298"/>
        <v>0</v>
      </c>
      <c r="BT252" s="215">
        <f t="shared" si="299"/>
        <v>0</v>
      </c>
      <c r="BU252" s="215" t="str">
        <f t="shared" si="300"/>
        <v>RW Lichtenhof 69 Stein 2</v>
      </c>
      <c r="BV252" s="214">
        <f t="shared" si="301"/>
        <v>2</v>
      </c>
      <c r="BW252" s="215">
        <f t="shared" si="302"/>
        <v>0</v>
      </c>
      <c r="BX252" s="215">
        <f>IF(COUNTIF(BH252:BP252,"&gt;0")&lt;Spielorte!$A$23,0,BE252/Spielorte!$A$23)</f>
        <v>0</v>
      </c>
      <c r="BY252" s="215">
        <f t="shared" si="303"/>
        <v>0</v>
      </c>
      <c r="BZ252" s="214">
        <f t="shared" si="291"/>
        <v>0</v>
      </c>
    </row>
    <row r="253" spans="1:78" ht="17.2" customHeight="1" x14ac:dyDescent="0.35">
      <c r="A253" s="367" t="s">
        <v>3</v>
      </c>
      <c r="B253" s="73" t="str">
        <f t="shared" si="292"/>
        <v>Wahl, Alexandra</v>
      </c>
      <c r="C253" s="74">
        <f t="shared" si="292"/>
        <v>25551</v>
      </c>
      <c r="D253" s="75">
        <f t="shared" si="292"/>
        <v>181</v>
      </c>
      <c r="E253" s="348">
        <f>IF(AD253="","",AD253)</f>
        <v>1</v>
      </c>
      <c r="F253" s="75">
        <f t="shared" si="273"/>
        <v>179</v>
      </c>
      <c r="G253" s="348">
        <f>IF(AF253="","",AF253)</f>
        <v>0.5</v>
      </c>
      <c r="H253" s="75">
        <f t="shared" si="274"/>
        <v>144</v>
      </c>
      <c r="I253" s="348">
        <f>IF(AH253="","",AH253)</f>
        <v>1</v>
      </c>
      <c r="J253" s="75">
        <f t="shared" si="275"/>
        <v>125</v>
      </c>
      <c r="K253" s="348">
        <f>IF(AJ253="","",AJ253)</f>
        <v>0</v>
      </c>
      <c r="L253" s="75">
        <f t="shared" si="276"/>
        <v>163</v>
      </c>
      <c r="M253" s="348">
        <f>IF(AL253="","",AL253)</f>
        <v>1</v>
      </c>
      <c r="N253" s="75">
        <f t="shared" si="293"/>
        <v>161</v>
      </c>
      <c r="O253" s="348">
        <f>IF(AN253="","",AN253)</f>
        <v>0</v>
      </c>
      <c r="P253" s="75">
        <f t="shared" si="277"/>
        <v>136</v>
      </c>
      <c r="Q253" s="348">
        <f>IF(AP253="","",AP253)</f>
        <v>0</v>
      </c>
      <c r="R253" s="75" t="str">
        <f t="shared" si="278"/>
        <v/>
      </c>
      <c r="S253" s="348">
        <f>IF(AR253="","",AR253)</f>
        <v>0</v>
      </c>
      <c r="T253" s="75" t="str">
        <f t="shared" si="279"/>
        <v/>
      </c>
      <c r="U253" s="348">
        <f>IF(AT253="","",AT253)</f>
        <v>1</v>
      </c>
      <c r="V253" s="75">
        <f t="shared" si="280"/>
        <v>1089</v>
      </c>
      <c r="W253" s="348">
        <f>IF(AV253="","",AV253)</f>
        <v>4.5</v>
      </c>
      <c r="Z253" s="351" t="s">
        <v>3</v>
      </c>
      <c r="AA253" s="108" t="str">
        <f>IF(AB253=0,"",VLOOKUP(AB253,Starter!$A$1:$D$199,2,FALSE))</f>
        <v>Wahl, Alexandra</v>
      </c>
      <c r="AB253" s="99">
        <v>25551</v>
      </c>
      <c r="AC253" s="188">
        <v>181</v>
      </c>
      <c r="AD253" s="109">
        <f>IF(SUM(AC253:AC255)+AC267=0,0,IF(SUM(AC253:AC255)=AC267,0.5,IF(SUM(AC253:AC255)&gt;AC267,1,0)))</f>
        <v>1</v>
      </c>
      <c r="AE253" s="188">
        <v>179</v>
      </c>
      <c r="AF253" s="109">
        <f>IF(SUM(AE253:AE255)+AE267=0,0,IF(SUM(AE253:AE255)=AE267,0.5,IF(SUM(AE253:AE255)&gt;AE267,1,0)))</f>
        <v>0.5</v>
      </c>
      <c r="AG253" s="188">
        <v>144</v>
      </c>
      <c r="AH253" s="109">
        <f>IF(SUM(AG253:AG255)+AG267=0,0,IF(SUM(AG253:AG255)=AG267,0.5,IF(SUM(AG253:AG255)&gt;AG267,1,0)))</f>
        <v>1</v>
      </c>
      <c r="AI253" s="188">
        <v>125</v>
      </c>
      <c r="AJ253" s="109">
        <f>IF(SUM(AI253:AI255)+AI267=0,0,IF(SUM(AI253:AI255)=AI267,0.5,IF(SUM(AI253:AI255)&gt;AI267,1,0)))</f>
        <v>0</v>
      </c>
      <c r="AK253" s="188">
        <v>163</v>
      </c>
      <c r="AL253" s="109">
        <f>IF(SUM(AK253:AK255)+AK267=0,0,IF(SUM(AK253:AK255)=AK267,0.5,IF(SUM(AK253:AK255)&gt;AK267,1,0)))</f>
        <v>1</v>
      </c>
      <c r="AM253" s="188">
        <v>161</v>
      </c>
      <c r="AN253" s="109">
        <f>IF(SUM(AM253:AM255)+AM267=0,0,IF(SUM(AM253:AM255)=AM267,0.5,IF(SUM(AM253:AM255)&gt;AM267,1,0)))</f>
        <v>0</v>
      </c>
      <c r="AO253" s="188">
        <v>136</v>
      </c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1</v>
      </c>
      <c r="AU253" s="110">
        <f t="shared" si="281"/>
        <v>1089</v>
      </c>
      <c r="AV253" s="111">
        <f>SUM(AD253+AF253+AH253+AJ253+AL253+AN253+AP253+AR253+AT253)</f>
        <v>4.5</v>
      </c>
      <c r="AW253" s="101"/>
      <c r="AX253" s="102"/>
      <c r="AZ253" s="63"/>
      <c r="BA253" s="212"/>
      <c r="BB253" s="213"/>
      <c r="BC253" s="214"/>
      <c r="BD253" s="217">
        <f t="shared" si="294"/>
        <v>25551</v>
      </c>
      <c r="BE253" s="213">
        <f t="shared" si="295"/>
        <v>1089</v>
      </c>
      <c r="BF253" s="215">
        <f t="shared" si="296"/>
        <v>7</v>
      </c>
      <c r="BG253" s="215">
        <f t="shared" si="297"/>
        <v>7</v>
      </c>
      <c r="BH253" s="215">
        <f t="shared" si="282"/>
        <v>181</v>
      </c>
      <c r="BI253" s="215">
        <f t="shared" si="283"/>
        <v>179</v>
      </c>
      <c r="BJ253" s="215">
        <f t="shared" si="284"/>
        <v>144</v>
      </c>
      <c r="BK253" s="215">
        <f t="shared" si="285"/>
        <v>125</v>
      </c>
      <c r="BL253" s="215">
        <f t="shared" si="286"/>
        <v>163</v>
      </c>
      <c r="BM253" s="215">
        <f t="shared" si="287"/>
        <v>161</v>
      </c>
      <c r="BN253" s="215">
        <f t="shared" si="288"/>
        <v>136</v>
      </c>
      <c r="BO253" s="215" t="str">
        <f t="shared" si="289"/>
        <v/>
      </c>
      <c r="BP253" s="215" t="str">
        <f t="shared" si="290"/>
        <v/>
      </c>
      <c r="BQ253" s="216"/>
      <c r="BR253" s="214"/>
      <c r="BS253" s="215">
        <f t="shared" si="298"/>
        <v>181</v>
      </c>
      <c r="BT253" s="215">
        <f t="shared" si="299"/>
        <v>0</v>
      </c>
      <c r="BU253" s="215" t="str">
        <f t="shared" si="300"/>
        <v>RW Lichtenhof 69 Stein 2</v>
      </c>
      <c r="BV253" s="214">
        <f t="shared" si="301"/>
        <v>2</v>
      </c>
      <c r="BW253" s="215">
        <f t="shared" si="302"/>
        <v>1089</v>
      </c>
      <c r="BX253" s="215">
        <f>IF(COUNTIF(BH253:BP253,"&gt;0")&lt;Spielorte!$A$23,0,BE253/Spielorte!$A$23)</f>
        <v>0</v>
      </c>
      <c r="BY253" s="215">
        <f t="shared" si="303"/>
        <v>0</v>
      </c>
      <c r="BZ253" s="214">
        <f t="shared" si="291"/>
        <v>0</v>
      </c>
    </row>
    <row r="254" spans="1:78" ht="17.2" customHeight="1" x14ac:dyDescent="0.35">
      <c r="A254" s="368"/>
      <c r="B254" s="76" t="str">
        <f t="shared" si="292"/>
        <v>Thöne, Melanie</v>
      </c>
      <c r="C254" s="77">
        <f t="shared" si="292"/>
        <v>38513</v>
      </c>
      <c r="D254" s="78" t="str">
        <f t="shared" si="292"/>
        <v/>
      </c>
      <c r="E254" s="349"/>
      <c r="F254" s="78" t="str">
        <f t="shared" si="273"/>
        <v/>
      </c>
      <c r="G254" s="349"/>
      <c r="H254" s="78" t="str">
        <f t="shared" si="274"/>
        <v/>
      </c>
      <c r="I254" s="349"/>
      <c r="J254" s="78" t="str">
        <f t="shared" si="275"/>
        <v/>
      </c>
      <c r="K254" s="349"/>
      <c r="L254" s="78" t="str">
        <f t="shared" si="276"/>
        <v/>
      </c>
      <c r="M254" s="349"/>
      <c r="N254" s="78" t="str">
        <f t="shared" si="293"/>
        <v/>
      </c>
      <c r="O254" s="349"/>
      <c r="P254" s="78" t="str">
        <f t="shared" si="277"/>
        <v/>
      </c>
      <c r="Q254" s="349"/>
      <c r="R254" s="78">
        <f t="shared" si="278"/>
        <v>138</v>
      </c>
      <c r="S254" s="349"/>
      <c r="T254" s="78">
        <f t="shared" si="279"/>
        <v>194</v>
      </c>
      <c r="U254" s="349"/>
      <c r="V254" s="78">
        <f t="shared" si="280"/>
        <v>332</v>
      </c>
      <c r="W254" s="349"/>
      <c r="Z254" s="352"/>
      <c r="AA254" s="108" t="str">
        <f>IF(AB254=0,"",VLOOKUP(AB254,Starter!$A$1:$D$199,2,FALSE))</f>
        <v>Thöne, Melanie</v>
      </c>
      <c r="AB254" s="98">
        <v>38513</v>
      </c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>
        <v>138</v>
      </c>
      <c r="AR254" s="112"/>
      <c r="AS254" s="186">
        <v>194</v>
      </c>
      <c r="AT254" s="112"/>
      <c r="AU254" s="113">
        <f t="shared" si="281"/>
        <v>332</v>
      </c>
      <c r="AV254" s="114"/>
      <c r="AW254" s="101"/>
      <c r="AX254" s="102"/>
      <c r="AZ254" s="63"/>
      <c r="BA254" s="212"/>
      <c r="BB254" s="213"/>
      <c r="BC254" s="214"/>
      <c r="BD254" s="217">
        <f t="shared" si="294"/>
        <v>38513</v>
      </c>
      <c r="BE254" s="213">
        <f t="shared" si="295"/>
        <v>332</v>
      </c>
      <c r="BF254" s="215">
        <f t="shared" si="296"/>
        <v>2</v>
      </c>
      <c r="BG254" s="215">
        <f t="shared" si="297"/>
        <v>2</v>
      </c>
      <c r="BH254" s="215" t="str">
        <f t="shared" si="282"/>
        <v/>
      </c>
      <c r="BI254" s="215" t="str">
        <f t="shared" si="283"/>
        <v/>
      </c>
      <c r="BJ254" s="215" t="str">
        <f t="shared" si="284"/>
        <v/>
      </c>
      <c r="BK254" s="215" t="str">
        <f t="shared" si="285"/>
        <v/>
      </c>
      <c r="BL254" s="215" t="str">
        <f t="shared" si="286"/>
        <v/>
      </c>
      <c r="BM254" s="215" t="str">
        <f t="shared" si="287"/>
        <v/>
      </c>
      <c r="BN254" s="215" t="str">
        <f t="shared" si="288"/>
        <v/>
      </c>
      <c r="BO254" s="215">
        <f t="shared" si="289"/>
        <v>138</v>
      </c>
      <c r="BP254" s="215">
        <f t="shared" si="290"/>
        <v>194</v>
      </c>
      <c r="BQ254" s="216"/>
      <c r="BR254" s="214"/>
      <c r="BS254" s="215">
        <f t="shared" si="298"/>
        <v>194</v>
      </c>
      <c r="BT254" s="215">
        <f t="shared" si="299"/>
        <v>0</v>
      </c>
      <c r="BU254" s="215" t="str">
        <f t="shared" si="300"/>
        <v>RW Lichtenhof 69 Stein 2</v>
      </c>
      <c r="BV254" s="214">
        <f t="shared" si="301"/>
        <v>2</v>
      </c>
      <c r="BW254" s="215">
        <f t="shared" si="302"/>
        <v>332</v>
      </c>
      <c r="BX254" s="215">
        <f>IF(COUNTIF(BH254:BP254,"&gt;0")&lt;Spielorte!$A$23,0,BE254/Spielorte!$A$23)</f>
        <v>0</v>
      </c>
      <c r="BY254" s="215">
        <f t="shared" si="303"/>
        <v>0</v>
      </c>
      <c r="BZ254" s="214">
        <f t="shared" si="291"/>
        <v>0</v>
      </c>
    </row>
    <row r="255" spans="1:78" ht="17.2" customHeight="1" thickBot="1" x14ac:dyDescent="0.4">
      <c r="A255" s="369"/>
      <c r="B255" s="79" t="str">
        <f t="shared" si="292"/>
        <v/>
      </c>
      <c r="C255" s="80" t="str">
        <f t="shared" si="292"/>
        <v/>
      </c>
      <c r="D255" s="69" t="str">
        <f t="shared" si="292"/>
        <v/>
      </c>
      <c r="E255" s="350"/>
      <c r="F255" s="69" t="str">
        <f t="shared" si="273"/>
        <v/>
      </c>
      <c r="G255" s="350"/>
      <c r="H255" s="69" t="str">
        <f t="shared" si="274"/>
        <v/>
      </c>
      <c r="I255" s="350"/>
      <c r="J255" s="69" t="str">
        <f t="shared" si="275"/>
        <v/>
      </c>
      <c r="K255" s="350"/>
      <c r="L255" s="69" t="str">
        <f t="shared" si="276"/>
        <v/>
      </c>
      <c r="M255" s="350"/>
      <c r="N255" s="69" t="str">
        <f t="shared" si="293"/>
        <v/>
      </c>
      <c r="O255" s="350"/>
      <c r="P255" s="69" t="str">
        <f t="shared" si="277"/>
        <v/>
      </c>
      <c r="Q255" s="350"/>
      <c r="R255" s="69" t="str">
        <f t="shared" si="278"/>
        <v/>
      </c>
      <c r="S255" s="350"/>
      <c r="T255" s="69" t="str">
        <f t="shared" si="279"/>
        <v/>
      </c>
      <c r="U255" s="350"/>
      <c r="V255" s="69" t="str">
        <f t="shared" si="280"/>
        <v/>
      </c>
      <c r="W255" s="350"/>
      <c r="Z255" s="353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1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294"/>
        <v>0</v>
      </c>
      <c r="BE255" s="213">
        <f t="shared" si="295"/>
        <v>0</v>
      </c>
      <c r="BF255" s="215">
        <f t="shared" si="296"/>
        <v>0</v>
      </c>
      <c r="BG255" s="215">
        <f t="shared" si="297"/>
        <v>0</v>
      </c>
      <c r="BH255" s="215" t="str">
        <f t="shared" si="282"/>
        <v/>
      </c>
      <c r="BI255" s="215" t="str">
        <f t="shared" si="283"/>
        <v/>
      </c>
      <c r="BJ255" s="215" t="str">
        <f t="shared" si="284"/>
        <v/>
      </c>
      <c r="BK255" s="215" t="str">
        <f t="shared" si="285"/>
        <v/>
      </c>
      <c r="BL255" s="215" t="str">
        <f t="shared" si="286"/>
        <v/>
      </c>
      <c r="BM255" s="215" t="str">
        <f t="shared" si="287"/>
        <v/>
      </c>
      <c r="BN255" s="215" t="str">
        <f t="shared" si="288"/>
        <v/>
      </c>
      <c r="BO255" s="215" t="str">
        <f t="shared" si="289"/>
        <v/>
      </c>
      <c r="BP255" s="215" t="str">
        <f t="shared" si="290"/>
        <v/>
      </c>
      <c r="BQ255" s="216"/>
      <c r="BR255" s="214"/>
      <c r="BS255" s="215">
        <f t="shared" si="298"/>
        <v>0</v>
      </c>
      <c r="BT255" s="215">
        <f t="shared" si="299"/>
        <v>0</v>
      </c>
      <c r="BU255" s="215" t="str">
        <f t="shared" si="300"/>
        <v>RW Lichtenhof 69 Stein 2</v>
      </c>
      <c r="BV255" s="214">
        <f t="shared" si="301"/>
        <v>2</v>
      </c>
      <c r="BW255" s="215">
        <f t="shared" si="302"/>
        <v>0</v>
      </c>
      <c r="BX255" s="215">
        <f>IF(COUNTIF(BH255:BP255,"&gt;0")&lt;Spielorte!$A$23,0,BE255/Spielorte!$A$23)</f>
        <v>0</v>
      </c>
      <c r="BY255" s="215">
        <f t="shared" si="303"/>
        <v>0</v>
      </c>
      <c r="BZ255" s="214">
        <f t="shared" si="291"/>
        <v>0</v>
      </c>
    </row>
    <row r="256" spans="1:78" ht="17.2" customHeight="1" x14ac:dyDescent="0.35">
      <c r="A256" s="367" t="s">
        <v>11</v>
      </c>
      <c r="B256" s="73" t="str">
        <f>IF(AA256=0,"",AA256)</f>
        <v>Panek, Sandra</v>
      </c>
      <c r="C256" s="74">
        <f t="shared" si="292"/>
        <v>25982</v>
      </c>
      <c r="D256" s="75">
        <f t="shared" si="292"/>
        <v>202</v>
      </c>
      <c r="E256" s="348">
        <f>IF(AD256="","",AD256)</f>
        <v>1</v>
      </c>
      <c r="F256" s="75">
        <f t="shared" si="273"/>
        <v>161</v>
      </c>
      <c r="G256" s="348">
        <f>IF(AF256="","",AF256)</f>
        <v>0</v>
      </c>
      <c r="H256" s="75">
        <f t="shared" si="274"/>
        <v>134</v>
      </c>
      <c r="I256" s="348">
        <f>IF(AH256="","",AH256)</f>
        <v>1</v>
      </c>
      <c r="J256" s="75">
        <f t="shared" si="275"/>
        <v>169</v>
      </c>
      <c r="K256" s="348">
        <f>IF(AJ256="","",AJ256)</f>
        <v>0</v>
      </c>
      <c r="L256" s="75">
        <f t="shared" si="276"/>
        <v>193</v>
      </c>
      <c r="M256" s="348">
        <f>IF(AL256="","",AL256)</f>
        <v>1</v>
      </c>
      <c r="N256" s="75">
        <f t="shared" si="293"/>
        <v>183</v>
      </c>
      <c r="O256" s="348">
        <f>IF(AN256="","",AN256)</f>
        <v>0</v>
      </c>
      <c r="P256" s="75">
        <f t="shared" si="277"/>
        <v>188</v>
      </c>
      <c r="Q256" s="348">
        <f>IF(AP256="","",AP256)</f>
        <v>1</v>
      </c>
      <c r="R256" s="75">
        <f t="shared" si="278"/>
        <v>171</v>
      </c>
      <c r="S256" s="348">
        <f>IF(AR256="","",AR256)</f>
        <v>1</v>
      </c>
      <c r="T256" s="75">
        <f t="shared" si="279"/>
        <v>164</v>
      </c>
      <c r="U256" s="348">
        <f>IF(AT256="","",AT256)</f>
        <v>0</v>
      </c>
      <c r="V256" s="75">
        <f t="shared" si="280"/>
        <v>1565</v>
      </c>
      <c r="W256" s="348">
        <f>IF(AV256="","",AV256)</f>
        <v>5</v>
      </c>
      <c r="Z256" s="351" t="s">
        <v>11</v>
      </c>
      <c r="AA256" s="108" t="str">
        <f>IF(AB256=0,"",VLOOKUP(AB256,Starter!$A$1:$D$199,2,FALSE))</f>
        <v>Panek, Sandra</v>
      </c>
      <c r="AB256" s="99">
        <v>25982</v>
      </c>
      <c r="AC256" s="188">
        <v>202</v>
      </c>
      <c r="AD256" s="109">
        <f>IF(SUM(AC256:AC258)+AC268=0,0,IF(SUM(AC256:AC258)=AC268,0.5,IF(SUM(AC256:AC258)&gt;AC268,1,0)))</f>
        <v>1</v>
      </c>
      <c r="AE256" s="188">
        <v>161</v>
      </c>
      <c r="AF256" s="109">
        <f>IF(SUM(AE256:AE258)+AE268=0,0,IF(SUM(AE256:AE258)=AE268,0.5,IF(SUM(AE256:AE258)&gt;AE268,1,0)))</f>
        <v>0</v>
      </c>
      <c r="AG256" s="188">
        <v>134</v>
      </c>
      <c r="AH256" s="109">
        <f>IF(SUM(AG256:AG258)+AG268=0,0,IF(SUM(AG256:AG258)=AG268,0.5,IF(SUM(AG256:AG258)&gt;AG268,1,0)))</f>
        <v>1</v>
      </c>
      <c r="AI256" s="188">
        <v>169</v>
      </c>
      <c r="AJ256" s="109">
        <f>IF(SUM(AI256:AI258)+AI268=0,0,IF(SUM(AI256:AI258)=AI268,0.5,IF(SUM(AI256:AI258)&gt;AI268,1,0)))</f>
        <v>0</v>
      </c>
      <c r="AK256" s="188">
        <v>193</v>
      </c>
      <c r="AL256" s="109">
        <f>IF(SUM(AK256:AK258)+AK268=0,0,IF(SUM(AK256:AK258)=AK268,0.5,IF(SUM(AK256:AK258)&gt;AK268,1,0)))</f>
        <v>1</v>
      </c>
      <c r="AM256" s="188">
        <v>183</v>
      </c>
      <c r="AN256" s="109">
        <f>IF(SUM(AM256:AM258)+AM268=0,0,IF(SUM(AM256:AM258)=AM268,0.5,IF(SUM(AM256:AM258)&gt;AM268,1,0)))</f>
        <v>0</v>
      </c>
      <c r="AO256" s="188">
        <v>188</v>
      </c>
      <c r="AP256" s="109">
        <f>IF(SUM(AO256:AO258)+AO268=0,0,IF(SUM(AO256:AO258)=AO268,0.5,IF(SUM(AO256:AO258)&gt;AO268,1,0)))</f>
        <v>1</v>
      </c>
      <c r="AQ256" s="188">
        <v>171</v>
      </c>
      <c r="AR256" s="109">
        <f>IF(SUM(AQ256:AQ258)+AQ268=0,0,IF(SUM(AQ256:AQ258)=AQ268,0.5,IF(SUM(AQ256:AQ258)&gt;AQ268,1,0)))</f>
        <v>1</v>
      </c>
      <c r="AS256" s="188">
        <v>164</v>
      </c>
      <c r="AT256" s="109">
        <f>IF(SUM(AS256:AS258)+AS268=0,0,IF(SUM(AS256:AS258)=AS268,0.5,IF(SUM(AS256:AS258)&gt;AS268,1,0)))</f>
        <v>0</v>
      </c>
      <c r="AU256" s="110">
        <f t="shared" si="281"/>
        <v>1565</v>
      </c>
      <c r="AV256" s="111">
        <f>SUM(AD256+AF256+AH256+AJ256+AL256+AN256+AP256+AR256+AT256)</f>
        <v>5</v>
      </c>
      <c r="AW256" s="101"/>
      <c r="AX256" s="102"/>
      <c r="AZ256" s="63"/>
      <c r="BA256" s="212"/>
      <c r="BB256" s="213"/>
      <c r="BC256" s="214"/>
      <c r="BD256" s="217">
        <f t="shared" si="294"/>
        <v>25982</v>
      </c>
      <c r="BE256" s="213">
        <f t="shared" si="295"/>
        <v>1565</v>
      </c>
      <c r="BF256" s="215">
        <f t="shared" si="296"/>
        <v>9</v>
      </c>
      <c r="BG256" s="215">
        <f t="shared" si="297"/>
        <v>9</v>
      </c>
      <c r="BH256" s="215">
        <f t="shared" si="282"/>
        <v>202</v>
      </c>
      <c r="BI256" s="215">
        <f t="shared" si="283"/>
        <v>161</v>
      </c>
      <c r="BJ256" s="215">
        <f t="shared" si="284"/>
        <v>134</v>
      </c>
      <c r="BK256" s="215">
        <f t="shared" si="285"/>
        <v>169</v>
      </c>
      <c r="BL256" s="215">
        <f t="shared" si="286"/>
        <v>193</v>
      </c>
      <c r="BM256" s="215">
        <f t="shared" si="287"/>
        <v>183</v>
      </c>
      <c r="BN256" s="215">
        <f t="shared" si="288"/>
        <v>188</v>
      </c>
      <c r="BO256" s="215">
        <f t="shared" si="289"/>
        <v>171</v>
      </c>
      <c r="BP256" s="215">
        <f t="shared" si="290"/>
        <v>164</v>
      </c>
      <c r="BQ256" s="216"/>
      <c r="BR256" s="214"/>
      <c r="BS256" s="215">
        <f t="shared" si="298"/>
        <v>202</v>
      </c>
      <c r="BT256" s="215">
        <f t="shared" si="299"/>
        <v>0</v>
      </c>
      <c r="BU256" s="215" t="str">
        <f t="shared" si="300"/>
        <v>RW Lichtenhof 69 Stein 2</v>
      </c>
      <c r="BV256" s="214">
        <f t="shared" si="301"/>
        <v>2</v>
      </c>
      <c r="BW256" s="215">
        <f t="shared" si="302"/>
        <v>1565</v>
      </c>
      <c r="BX256" s="215">
        <f>IF(COUNTIF(BH256:BP256,"&gt;0")&lt;Spielorte!$A$23,0,BE256/Spielorte!$A$23)</f>
        <v>173.88888888888889</v>
      </c>
      <c r="BY256" s="215">
        <f t="shared" si="303"/>
        <v>0</v>
      </c>
      <c r="BZ256" s="214">
        <f t="shared" si="291"/>
        <v>0</v>
      </c>
    </row>
    <row r="257" spans="1:78" ht="17.2" customHeight="1" x14ac:dyDescent="0.35">
      <c r="A257" s="368"/>
      <c r="B257" s="76" t="str">
        <f>IF(AA257=0,"",AA257)</f>
        <v/>
      </c>
      <c r="C257" s="77" t="str">
        <f t="shared" si="292"/>
        <v/>
      </c>
      <c r="D257" s="78" t="str">
        <f t="shared" si="292"/>
        <v/>
      </c>
      <c r="E257" s="349"/>
      <c r="F257" s="78" t="str">
        <f t="shared" si="273"/>
        <v/>
      </c>
      <c r="G257" s="349"/>
      <c r="H257" s="78" t="str">
        <f t="shared" si="274"/>
        <v/>
      </c>
      <c r="I257" s="349"/>
      <c r="J257" s="78" t="str">
        <f t="shared" si="275"/>
        <v/>
      </c>
      <c r="K257" s="349"/>
      <c r="L257" s="78" t="str">
        <f t="shared" si="276"/>
        <v/>
      </c>
      <c r="M257" s="349"/>
      <c r="N257" s="78" t="str">
        <f t="shared" si="293"/>
        <v/>
      </c>
      <c r="O257" s="349"/>
      <c r="P257" s="78" t="str">
        <f t="shared" si="277"/>
        <v/>
      </c>
      <c r="Q257" s="349"/>
      <c r="R257" s="78" t="str">
        <f t="shared" si="278"/>
        <v/>
      </c>
      <c r="S257" s="349"/>
      <c r="T257" s="78" t="str">
        <f t="shared" si="279"/>
        <v/>
      </c>
      <c r="U257" s="349"/>
      <c r="V257" s="78" t="str">
        <f t="shared" si="280"/>
        <v/>
      </c>
      <c r="W257" s="349"/>
      <c r="Z257" s="352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1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294"/>
        <v>0</v>
      </c>
      <c r="BE257" s="213">
        <f t="shared" si="295"/>
        <v>0</v>
      </c>
      <c r="BF257" s="215">
        <f t="shared" si="296"/>
        <v>0</v>
      </c>
      <c r="BG257" s="215">
        <f t="shared" si="297"/>
        <v>0</v>
      </c>
      <c r="BH257" s="215" t="str">
        <f t="shared" si="282"/>
        <v/>
      </c>
      <c r="BI257" s="215" t="str">
        <f t="shared" si="283"/>
        <v/>
      </c>
      <c r="BJ257" s="215" t="str">
        <f t="shared" si="284"/>
        <v/>
      </c>
      <c r="BK257" s="215" t="str">
        <f t="shared" si="285"/>
        <v/>
      </c>
      <c r="BL257" s="215" t="str">
        <f t="shared" si="286"/>
        <v/>
      </c>
      <c r="BM257" s="215" t="str">
        <f t="shared" si="287"/>
        <v/>
      </c>
      <c r="BN257" s="215" t="str">
        <f t="shared" si="288"/>
        <v/>
      </c>
      <c r="BO257" s="215" t="str">
        <f t="shared" si="289"/>
        <v/>
      </c>
      <c r="BP257" s="215" t="str">
        <f t="shared" si="290"/>
        <v/>
      </c>
      <c r="BQ257" s="216"/>
      <c r="BR257" s="214"/>
      <c r="BS257" s="215">
        <f t="shared" si="298"/>
        <v>0</v>
      </c>
      <c r="BT257" s="215">
        <f t="shared" si="299"/>
        <v>0</v>
      </c>
      <c r="BU257" s="215" t="str">
        <f t="shared" si="300"/>
        <v>RW Lichtenhof 69 Stein 2</v>
      </c>
      <c r="BV257" s="214">
        <f t="shared" si="301"/>
        <v>2</v>
      </c>
      <c r="BW257" s="215">
        <f t="shared" si="302"/>
        <v>0</v>
      </c>
      <c r="BX257" s="215">
        <f>IF(COUNTIF(BH257:BP257,"&gt;0")&lt;Spielorte!$A$23,0,BE257/Spielorte!$A$23)</f>
        <v>0</v>
      </c>
      <c r="BY257" s="215">
        <f t="shared" si="303"/>
        <v>0</v>
      </c>
      <c r="BZ257" s="214">
        <f t="shared" si="291"/>
        <v>0</v>
      </c>
    </row>
    <row r="258" spans="1:78" ht="17.2" customHeight="1" thickBot="1" x14ac:dyDescent="0.4">
      <c r="A258" s="369"/>
      <c r="B258" s="79" t="str">
        <f>IF(AA258=0,"",AA258)</f>
        <v/>
      </c>
      <c r="C258" s="80" t="str">
        <f t="shared" si="292"/>
        <v/>
      </c>
      <c r="D258" s="69" t="str">
        <f t="shared" si="292"/>
        <v/>
      </c>
      <c r="E258" s="350"/>
      <c r="F258" s="69" t="str">
        <f t="shared" si="273"/>
        <v/>
      </c>
      <c r="G258" s="350"/>
      <c r="H258" s="69" t="str">
        <f t="shared" si="274"/>
        <v/>
      </c>
      <c r="I258" s="350"/>
      <c r="J258" s="69" t="str">
        <f t="shared" si="275"/>
        <v/>
      </c>
      <c r="K258" s="350"/>
      <c r="L258" s="69" t="str">
        <f t="shared" si="276"/>
        <v/>
      </c>
      <c r="M258" s="350"/>
      <c r="N258" s="69" t="str">
        <f t="shared" si="293"/>
        <v/>
      </c>
      <c r="O258" s="350"/>
      <c r="P258" s="69" t="str">
        <f t="shared" si="277"/>
        <v/>
      </c>
      <c r="Q258" s="350"/>
      <c r="R258" s="69" t="str">
        <f t="shared" si="278"/>
        <v/>
      </c>
      <c r="S258" s="350"/>
      <c r="T258" s="69" t="str">
        <f t="shared" si="279"/>
        <v/>
      </c>
      <c r="U258" s="350"/>
      <c r="V258" s="69" t="str">
        <f t="shared" si="280"/>
        <v/>
      </c>
      <c r="W258" s="350"/>
      <c r="Z258" s="353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1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294"/>
        <v>0</v>
      </c>
      <c r="BE258" s="213">
        <f t="shared" si="295"/>
        <v>0</v>
      </c>
      <c r="BF258" s="215">
        <f t="shared" si="296"/>
        <v>0</v>
      </c>
      <c r="BG258" s="215">
        <f t="shared" si="297"/>
        <v>0</v>
      </c>
      <c r="BH258" s="215" t="str">
        <f t="shared" si="282"/>
        <v/>
      </c>
      <c r="BI258" s="215" t="str">
        <f t="shared" si="283"/>
        <v/>
      </c>
      <c r="BJ258" s="215" t="str">
        <f t="shared" si="284"/>
        <v/>
      </c>
      <c r="BK258" s="215" t="str">
        <f t="shared" si="285"/>
        <v/>
      </c>
      <c r="BL258" s="215" t="str">
        <f t="shared" si="286"/>
        <v/>
      </c>
      <c r="BM258" s="215" t="str">
        <f t="shared" si="287"/>
        <v/>
      </c>
      <c r="BN258" s="215" t="str">
        <f t="shared" si="288"/>
        <v/>
      </c>
      <c r="BO258" s="215" t="str">
        <f t="shared" si="289"/>
        <v/>
      </c>
      <c r="BP258" s="215" t="str">
        <f t="shared" si="290"/>
        <v/>
      </c>
      <c r="BQ258" s="216"/>
      <c r="BR258" s="214"/>
      <c r="BS258" s="215">
        <f t="shared" si="298"/>
        <v>0</v>
      </c>
      <c r="BT258" s="215">
        <f t="shared" si="299"/>
        <v>0</v>
      </c>
      <c r="BU258" s="215" t="str">
        <f t="shared" si="300"/>
        <v>RW Lichtenhof 69 Stein 2</v>
      </c>
      <c r="BV258" s="214">
        <f t="shared" si="301"/>
        <v>2</v>
      </c>
      <c r="BW258" s="215">
        <f t="shared" si="302"/>
        <v>0</v>
      </c>
      <c r="BX258" s="215">
        <f>IF(COUNTIF(BH258:BP258,"&gt;0")&lt;Spielorte!$A$23,0,BE258/Spielorte!$A$23)</f>
        <v>0</v>
      </c>
      <c r="BY258" s="215">
        <f t="shared" si="303"/>
        <v>0</v>
      </c>
      <c r="BZ258" s="214">
        <f t="shared" si="291"/>
        <v>0</v>
      </c>
    </row>
    <row r="259" spans="1:78" ht="27.75" customHeight="1" thickBot="1" x14ac:dyDescent="0.4">
      <c r="B259" s="81" t="str">
        <f>IF(AA259=0,"",AA259)</f>
        <v>Gesamt</v>
      </c>
      <c r="C259" s="82" t="str">
        <f t="shared" si="292"/>
        <v/>
      </c>
      <c r="D259" s="83">
        <f t="shared" si="292"/>
        <v>734</v>
      </c>
      <c r="E259" s="84">
        <f>IF(AD259="","",AD259)</f>
        <v>2</v>
      </c>
      <c r="F259" s="83">
        <f t="shared" si="273"/>
        <v>663</v>
      </c>
      <c r="G259" s="84">
        <f>IF(AF259="","",AF259)</f>
        <v>0</v>
      </c>
      <c r="H259" s="83">
        <f t="shared" si="274"/>
        <v>583</v>
      </c>
      <c r="I259" s="84">
        <f>IF(AH259="","",AH259)</f>
        <v>2</v>
      </c>
      <c r="J259" s="83">
        <f t="shared" si="275"/>
        <v>650</v>
      </c>
      <c r="K259" s="84">
        <f>IF(AJ259="","",AJ259)</f>
        <v>0</v>
      </c>
      <c r="L259" s="83">
        <f t="shared" si="276"/>
        <v>622</v>
      </c>
      <c r="M259" s="84">
        <f>IF(AL259="","",AL259)</f>
        <v>0</v>
      </c>
      <c r="N259" s="83">
        <f t="shared" si="293"/>
        <v>692</v>
      </c>
      <c r="O259" s="84">
        <f>IF(AN259="","",AN259)</f>
        <v>0</v>
      </c>
      <c r="P259" s="83">
        <f t="shared" si="277"/>
        <v>673</v>
      </c>
      <c r="Q259" s="84">
        <f>IF(AP259="","",AP259)</f>
        <v>2</v>
      </c>
      <c r="R259" s="83">
        <f t="shared" si="278"/>
        <v>588</v>
      </c>
      <c r="S259" s="84">
        <f>IF(AR259="","",AR259)</f>
        <v>0</v>
      </c>
      <c r="T259" s="83">
        <f t="shared" si="279"/>
        <v>691</v>
      </c>
      <c r="U259" s="84">
        <f>IF(AT259="","",AT259)</f>
        <v>0</v>
      </c>
      <c r="V259" s="83">
        <f t="shared" si="280"/>
        <v>5896</v>
      </c>
      <c r="W259" s="84">
        <f>IF(AV259="","",AV259)</f>
        <v>6</v>
      </c>
      <c r="AA259" s="81" t="s">
        <v>1799</v>
      </c>
      <c r="AB259" s="120"/>
      <c r="AC259" s="211">
        <f>ABS(SUM(AC247:AC249))+ABS(SUM(AC250:AC252))+ABS(SUM(AC253:AC255))+ABS(SUM(AC256:AC258))</f>
        <v>734</v>
      </c>
      <c r="AD259" s="121">
        <f>IF(AC259+AC269=0,0,IF(AC259=AC269,1,IF(AC259&gt;AC269,2,0)))</f>
        <v>2</v>
      </c>
      <c r="AE259" s="211">
        <f>ABS(SUM(AE247:AE249))+ABS(SUM(AE250:AE252))+ABS(SUM(AE253:AE255))+ABS(SUM(AE256:AE258))</f>
        <v>663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583</v>
      </c>
      <c r="AH259" s="121">
        <f>IF(AG259+AG269=0,0,IF(AG259=AG269,1,IF(AG259&gt;AG269,2,0)))</f>
        <v>2</v>
      </c>
      <c r="AI259" s="211">
        <f>ABS(SUM(AI247:AI249))+ABS(SUM(AI250:AI252))+ABS(SUM(AI253:AI255))+ABS(SUM(AI256:AI258))</f>
        <v>650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622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692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673</v>
      </c>
      <c r="AP259" s="121">
        <f>IF(AO259+AO269=0,0,IF(AO259=AO269,1,IF(AO259&gt;AO269,2,0)))</f>
        <v>2</v>
      </c>
      <c r="AQ259" s="211">
        <f>ABS(SUM(AQ247:AQ249))+ABS(SUM(AQ250:AQ252))+ABS(SUM(AQ253:AQ255))+ABS(SUM(AQ256:AQ258))</f>
        <v>588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691</v>
      </c>
      <c r="AT259" s="121">
        <f>IF(AS259+AS269=0,0,IF(AS259=AS269,1,IF(AS259&gt;AS269,2,0)))</f>
        <v>0</v>
      </c>
      <c r="AU259" s="122">
        <f>SUM(AC259+AE259+AG259+AI259+AK259+AM259+AO259+AQ259+AS259)</f>
        <v>5896</v>
      </c>
      <c r="AV259" s="123">
        <f>SUM(AD259+AF259+AH259+AJ259+AL259+AN259+AP259+AR259+AT259)</f>
        <v>6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4">
      <c r="B260" s="85" t="str">
        <f>IF(AA260=0,"",AA260)</f>
        <v>Gesamt - Punkte</v>
      </c>
      <c r="C260" s="86" t="str">
        <f t="shared" si="292"/>
        <v/>
      </c>
      <c r="D260" s="86" t="str">
        <f t="shared" si="292"/>
        <v/>
      </c>
      <c r="E260" s="87">
        <f>IF(AD260="","",AD260)</f>
        <v>6</v>
      </c>
      <c r="F260" s="86" t="str">
        <f t="shared" si="273"/>
        <v/>
      </c>
      <c r="G260" s="87">
        <f>IF(AF260="","",AF260)</f>
        <v>0.5</v>
      </c>
      <c r="H260" s="86" t="str">
        <f t="shared" si="274"/>
        <v/>
      </c>
      <c r="I260" s="87">
        <f>IF(AH260="","",AH260)</f>
        <v>6</v>
      </c>
      <c r="J260" s="86" t="str">
        <f t="shared" si="275"/>
        <v/>
      </c>
      <c r="K260" s="87">
        <f>IF(AJ260="","",AJ260)</f>
        <v>1</v>
      </c>
      <c r="L260" s="86" t="str">
        <f t="shared" si="276"/>
        <v/>
      </c>
      <c r="M260" s="87">
        <f>IF(AL260="","",AL260)</f>
        <v>3</v>
      </c>
      <c r="N260" s="86" t="str">
        <f t="shared" si="293"/>
        <v/>
      </c>
      <c r="O260" s="87">
        <f>IF(AN260="","",AN260)</f>
        <v>1</v>
      </c>
      <c r="P260" s="86" t="str">
        <f t="shared" si="277"/>
        <v/>
      </c>
      <c r="Q260" s="87">
        <f>IF(AP260="","",AP260)</f>
        <v>4</v>
      </c>
      <c r="R260" s="86" t="str">
        <f t="shared" si="278"/>
        <v/>
      </c>
      <c r="S260" s="87">
        <f>IF(AR260="","",AR260)</f>
        <v>1.5</v>
      </c>
      <c r="T260" s="86" t="str">
        <f t="shared" si="279"/>
        <v/>
      </c>
      <c r="U260" s="87">
        <f>IF(AT260="","",AT260)</f>
        <v>2</v>
      </c>
      <c r="V260" s="86" t="str">
        <f t="shared" si="280"/>
        <v/>
      </c>
      <c r="W260" s="87">
        <f>IF(AV260="","",AV260)</f>
        <v>25</v>
      </c>
      <c r="AA260" s="85" t="s">
        <v>1814</v>
      </c>
      <c r="AB260" s="86"/>
      <c r="AC260" s="86"/>
      <c r="AD260" s="124">
        <f>SUM(AD247:AD259)</f>
        <v>6</v>
      </c>
      <c r="AE260" s="86"/>
      <c r="AF260" s="124">
        <f>SUM(AF247:AF259)</f>
        <v>0.5</v>
      </c>
      <c r="AG260" s="86"/>
      <c r="AH260" s="124">
        <f>SUM(AH247:AH259)</f>
        <v>6</v>
      </c>
      <c r="AI260" s="86"/>
      <c r="AJ260" s="124">
        <f>SUM(AJ247:AJ259)</f>
        <v>1</v>
      </c>
      <c r="AK260" s="86"/>
      <c r="AL260" s="124">
        <f>SUM(AL247:AL259)</f>
        <v>3</v>
      </c>
      <c r="AM260" s="86"/>
      <c r="AN260" s="124">
        <f>SUM(AN247:AN259)</f>
        <v>1</v>
      </c>
      <c r="AO260" s="86"/>
      <c r="AP260" s="124">
        <f>SUM(AP247:AP259)</f>
        <v>4</v>
      </c>
      <c r="AQ260" s="86"/>
      <c r="AR260" s="124">
        <f>SUM(AR247:AR259)</f>
        <v>1.5</v>
      </c>
      <c r="AS260" s="86"/>
      <c r="AT260" s="124">
        <f>SUM(AT247:AT259)</f>
        <v>2</v>
      </c>
      <c r="AU260" s="86"/>
      <c r="AV260" s="125">
        <f>SUM(AV247:AV259)</f>
        <v>25</v>
      </c>
      <c r="AW260" s="101"/>
      <c r="AX260" s="102"/>
      <c r="BA260" s="212">
        <f>+AV260</f>
        <v>25</v>
      </c>
      <c r="BB260" s="213">
        <f>+AU259</f>
        <v>5896</v>
      </c>
      <c r="BC260" s="214">
        <f>+AA242</f>
        <v>9</v>
      </c>
      <c r="BF260" s="215">
        <f>SUM(BF241:BF259)</f>
        <v>36</v>
      </c>
      <c r="BQ260" s="212">
        <f>+BB260/1000000+BA260</f>
        <v>25.005896</v>
      </c>
      <c r="BR260" s="214">
        <f>RANK(BQ260,BQ:BQ)</f>
        <v>7</v>
      </c>
      <c r="BV260" s="214"/>
      <c r="BZ260" s="214"/>
    </row>
    <row r="261" spans="1:78" ht="11.25" customHeight="1" x14ac:dyDescent="0.3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35">
      <c r="B262" s="88" t="str">
        <f t="shared" ref="B262:K264" si="304">IF(AA262=0,"",AA262)</f>
        <v>Gegner-Nr.:</v>
      </c>
      <c r="C262" s="89" t="str">
        <f t="shared" si="304"/>
        <v>&gt;&gt;&gt;&gt;</v>
      </c>
      <c r="D262" s="346">
        <f t="shared" si="304"/>
        <v>7</v>
      </c>
      <c r="E262" s="346" t="str">
        <f t="shared" si="304"/>
        <v/>
      </c>
      <c r="F262" s="346">
        <f t="shared" si="304"/>
        <v>8</v>
      </c>
      <c r="G262" s="346" t="str">
        <f t="shared" si="304"/>
        <v/>
      </c>
      <c r="H262" s="346">
        <f t="shared" si="304"/>
        <v>4</v>
      </c>
      <c r="I262" s="346" t="str">
        <f t="shared" si="304"/>
        <v/>
      </c>
      <c r="J262" s="346">
        <f t="shared" si="304"/>
        <v>5</v>
      </c>
      <c r="K262" s="346" t="str">
        <f t="shared" si="304"/>
        <v/>
      </c>
      <c r="L262" s="346">
        <f t="shared" ref="L262:U264" si="305">IF(AK262=0,"",AK262)</f>
        <v>3</v>
      </c>
      <c r="M262" s="346" t="str">
        <f t="shared" si="305"/>
        <v/>
      </c>
      <c r="N262" s="346">
        <f t="shared" si="305"/>
        <v>10</v>
      </c>
      <c r="O262" s="346" t="str">
        <f t="shared" si="305"/>
        <v/>
      </c>
      <c r="P262" s="346">
        <f t="shared" si="305"/>
        <v>2</v>
      </c>
      <c r="Q262" s="346" t="str">
        <f t="shared" si="305"/>
        <v/>
      </c>
      <c r="R262" s="346">
        <f t="shared" si="305"/>
        <v>1</v>
      </c>
      <c r="S262" s="346" t="str">
        <f t="shared" si="305"/>
        <v/>
      </c>
      <c r="T262" s="346">
        <f t="shared" si="305"/>
        <v>6</v>
      </c>
      <c r="U262" s="346" t="str">
        <f t="shared" si="305"/>
        <v/>
      </c>
      <c r="V262" s="347"/>
      <c r="W262" s="347"/>
      <c r="AA262" s="88" t="s">
        <v>1797</v>
      </c>
      <c r="AB262" s="89" t="s">
        <v>1798</v>
      </c>
      <c r="AC262" s="370">
        <f>VLOOKUP($AA242,Schlüssel!$A$5:$DG$14,43)</f>
        <v>7</v>
      </c>
      <c r="AD262" s="371"/>
      <c r="AE262" s="370">
        <f>VLOOKUP($AA242,Schlüssel!$A$5:$EK$14,44)</f>
        <v>8</v>
      </c>
      <c r="AF262" s="371"/>
      <c r="AG262" s="370">
        <f>VLOOKUP($AA242,Schlüssel!$A$5:$EK$14,45)</f>
        <v>4</v>
      </c>
      <c r="AH262" s="371"/>
      <c r="AI262" s="370">
        <f>VLOOKUP($AA242,Schlüssel!$A$5:$EK$14,46)</f>
        <v>5</v>
      </c>
      <c r="AJ262" s="371"/>
      <c r="AK262" s="370">
        <f>VLOOKUP($AA242,Schlüssel!$A$5:$EK$14,47)</f>
        <v>3</v>
      </c>
      <c r="AL262" s="371"/>
      <c r="AM262" s="370">
        <f>VLOOKUP($AA242,Schlüssel!$A$5:$EK$14,48)</f>
        <v>10</v>
      </c>
      <c r="AN262" s="371"/>
      <c r="AO262" s="370">
        <f>VLOOKUP($AA242,Schlüssel!$A$5:$EK$14,49)</f>
        <v>2</v>
      </c>
      <c r="AP262" s="371"/>
      <c r="AQ262" s="370">
        <f>VLOOKUP($AA242,Schlüssel!$A$5:$EK$14,50)</f>
        <v>1</v>
      </c>
      <c r="AR262" s="371"/>
      <c r="AS262" s="370">
        <f>VLOOKUP($AA242,Schlüssel!$A$5:$EK$14,51)</f>
        <v>6</v>
      </c>
      <c r="AT262" s="371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35">
      <c r="B263" s="90" t="str">
        <f t="shared" si="304"/>
        <v/>
      </c>
      <c r="C263" s="86" t="str">
        <f t="shared" si="304"/>
        <v/>
      </c>
      <c r="D263" s="343" t="str">
        <f t="shared" si="304"/>
        <v>Frankenpower Nürnberg</v>
      </c>
      <c r="E263" s="344" t="str">
        <f t="shared" si="304"/>
        <v/>
      </c>
      <c r="F263" s="343" t="str">
        <f t="shared" si="304"/>
        <v>EPA München 1</v>
      </c>
      <c r="G263" s="344" t="str">
        <f t="shared" si="304"/>
        <v/>
      </c>
      <c r="H263" s="343" t="str">
        <f t="shared" si="304"/>
        <v>BK München 3</v>
      </c>
      <c r="I263" s="344" t="str">
        <f t="shared" si="304"/>
        <v/>
      </c>
      <c r="J263" s="343" t="str">
        <f t="shared" si="304"/>
        <v xml:space="preserve">Weiß Blau Unterföhring </v>
      </c>
      <c r="K263" s="344" t="str">
        <f t="shared" si="304"/>
        <v/>
      </c>
      <c r="L263" s="343" t="str">
        <f t="shared" si="305"/>
        <v>Highroller Rosenheim</v>
      </c>
      <c r="M263" s="344" t="str">
        <f t="shared" si="305"/>
        <v/>
      </c>
      <c r="N263" s="343" t="str">
        <f t="shared" si="305"/>
        <v>BK München 4</v>
      </c>
      <c r="O263" s="344" t="str">
        <f t="shared" si="305"/>
        <v/>
      </c>
      <c r="P263" s="343" t="str">
        <f t="shared" si="305"/>
        <v>BK München 2</v>
      </c>
      <c r="Q263" s="344" t="str">
        <f t="shared" si="305"/>
        <v/>
      </c>
      <c r="R263" s="343" t="str">
        <f t="shared" si="305"/>
        <v>Praetoria Regensburg</v>
      </c>
      <c r="S263" s="344" t="str">
        <f t="shared" si="305"/>
        <v/>
      </c>
      <c r="T263" s="343" t="str">
        <f t="shared" si="305"/>
        <v>Phönix 03 Lauf</v>
      </c>
      <c r="U263" s="344" t="str">
        <f t="shared" si="305"/>
        <v/>
      </c>
      <c r="V263" s="345"/>
      <c r="W263" s="345"/>
      <c r="AA263" s="90"/>
      <c r="AB263" s="86"/>
      <c r="AC263" s="343" t="str">
        <f>VLOOKUP(AC262,Schlüssel!$A$5:$K$14,2)</f>
        <v>Frankenpower Nürnberg</v>
      </c>
      <c r="AD263" s="344"/>
      <c r="AE263" s="343" t="str">
        <f>VLOOKUP(AE262,Schlüssel!$A$5:$K$14,2)</f>
        <v>EPA München 1</v>
      </c>
      <c r="AF263" s="344"/>
      <c r="AG263" s="343" t="str">
        <f>VLOOKUP(AG262,Schlüssel!$A$5:$K$14,2)</f>
        <v>BK München 3</v>
      </c>
      <c r="AH263" s="344"/>
      <c r="AI263" s="343" t="str">
        <f>VLOOKUP(AI262,Schlüssel!$A$5:$K$14,2)</f>
        <v xml:space="preserve">Weiß Blau Unterföhring </v>
      </c>
      <c r="AJ263" s="344"/>
      <c r="AK263" s="343" t="str">
        <f>VLOOKUP(AK262,Schlüssel!$A$5:$K$14,2)</f>
        <v>Highroller Rosenheim</v>
      </c>
      <c r="AL263" s="344"/>
      <c r="AM263" s="343" t="str">
        <f>VLOOKUP(AM262,Schlüssel!$A$5:$K$14,2)</f>
        <v>BK München 4</v>
      </c>
      <c r="AN263" s="344"/>
      <c r="AO263" s="343" t="str">
        <f>VLOOKUP(AO262,Schlüssel!$A$5:$K$14,2)</f>
        <v>BK München 2</v>
      </c>
      <c r="AP263" s="344"/>
      <c r="AQ263" s="343" t="str">
        <f>VLOOKUP(AQ262,Schlüssel!$A$5:$K$14,2)</f>
        <v>Praetoria Regensburg</v>
      </c>
      <c r="AR263" s="344"/>
      <c r="AS263" s="343" t="str">
        <f>VLOOKUP(AS262,Schlüssel!$A$5:$K$14,2)</f>
        <v>Phönix 03 Lauf</v>
      </c>
      <c r="AT263" s="344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35">
      <c r="B264" s="90" t="str">
        <f t="shared" si="304"/>
        <v/>
      </c>
      <c r="C264" s="86" t="str">
        <f t="shared" si="304"/>
        <v/>
      </c>
      <c r="D264" s="341" t="str">
        <f t="shared" si="304"/>
        <v/>
      </c>
      <c r="E264" s="341" t="str">
        <f t="shared" si="304"/>
        <v/>
      </c>
      <c r="F264" s="341" t="str">
        <f t="shared" si="304"/>
        <v/>
      </c>
      <c r="G264" s="341" t="str">
        <f t="shared" si="304"/>
        <v/>
      </c>
      <c r="H264" s="341" t="str">
        <f t="shared" si="304"/>
        <v/>
      </c>
      <c r="I264" s="341" t="str">
        <f t="shared" si="304"/>
        <v/>
      </c>
      <c r="J264" s="341" t="str">
        <f t="shared" si="304"/>
        <v/>
      </c>
      <c r="K264" s="341" t="str">
        <f t="shared" si="304"/>
        <v/>
      </c>
      <c r="L264" s="341" t="str">
        <f t="shared" si="305"/>
        <v/>
      </c>
      <c r="M264" s="341" t="str">
        <f t="shared" si="305"/>
        <v/>
      </c>
      <c r="N264" s="341" t="str">
        <f t="shared" si="305"/>
        <v/>
      </c>
      <c r="O264" s="341" t="str">
        <f t="shared" si="305"/>
        <v/>
      </c>
      <c r="P264" s="341" t="str">
        <f t="shared" si="305"/>
        <v/>
      </c>
      <c r="Q264" s="341" t="str">
        <f t="shared" si="305"/>
        <v/>
      </c>
      <c r="R264" s="341" t="str">
        <f t="shared" si="305"/>
        <v/>
      </c>
      <c r="S264" s="341" t="str">
        <f t="shared" si="305"/>
        <v/>
      </c>
      <c r="T264" s="341" t="str">
        <f t="shared" si="305"/>
        <v/>
      </c>
      <c r="U264" s="342" t="str">
        <f t="shared" si="305"/>
        <v/>
      </c>
      <c r="V264" s="301"/>
      <c r="W264" s="301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6.05" customHeight="1" x14ac:dyDescent="0.35">
      <c r="B265" s="365" t="str">
        <f t="shared" ref="B265:C269" si="306">IF(AA265=0,"",AA265)</f>
        <v>Spieler 1</v>
      </c>
      <c r="C265" s="366" t="str">
        <f t="shared" si="306"/>
        <v/>
      </c>
      <c r="D265" s="339">
        <f>IF(AC265=301,"",AC265)</f>
        <v>159</v>
      </c>
      <c r="E265" s="339" t="str">
        <f>IF(AD265=0,"",AD265)</f>
        <v/>
      </c>
      <c r="F265" s="339">
        <f>IF(AE265=301,"",AE265)</f>
        <v>190</v>
      </c>
      <c r="G265" s="339" t="str">
        <f>IF(AF265=0,"",AF265)</f>
        <v/>
      </c>
      <c r="H265" s="339">
        <f>IF(AG265=301,"",AG265)</f>
        <v>0</v>
      </c>
      <c r="I265" s="339" t="str">
        <f>IF(AH265=0,"",AH265)</f>
        <v/>
      </c>
      <c r="J265" s="339">
        <f>IF(AI265=301,"",AI265)</f>
        <v>163</v>
      </c>
      <c r="K265" s="339" t="str">
        <f>IF(AJ265=0,"",AJ265)</f>
        <v/>
      </c>
      <c r="L265" s="339">
        <f>IF(AK265=301,"",AK265)</f>
        <v>144</v>
      </c>
      <c r="M265" s="339" t="str">
        <f>IF(AL265=0,"",AL265)</f>
        <v/>
      </c>
      <c r="N265" s="339">
        <f>IF(AM265=301,"",AM265)</f>
        <v>165</v>
      </c>
      <c r="O265" s="339" t="str">
        <f>IF(AN265=0,"",AN265)</f>
        <v/>
      </c>
      <c r="P265" s="339">
        <f>IF(AO265=301,"",AO265)</f>
        <v>142</v>
      </c>
      <c r="Q265" s="339" t="str">
        <f>IF(AP265=0,"",AP265)</f>
        <v/>
      </c>
      <c r="R265" s="339">
        <f>IF(AQ265=301,"",AQ265)</f>
        <v>168</v>
      </c>
      <c r="S265" s="339" t="str">
        <f>IF(AR265=0,"",AR265)</f>
        <v/>
      </c>
      <c r="T265" s="339">
        <f>IF(AS265=301,"",AS265)</f>
        <v>152</v>
      </c>
      <c r="U265" s="339" t="str">
        <f>IF(AT265=0,"",AT265)</f>
        <v/>
      </c>
      <c r="V265" s="340"/>
      <c r="W265" s="340"/>
      <c r="AA265" s="91" t="s">
        <v>0</v>
      </c>
      <c r="AB265" s="92"/>
      <c r="AC265" s="372">
        <f>ABS(INDEX(AC:AC,MATCH(AC262,$AA:$AA,0)+5)+INDEX(AC:AC,MATCH(AC262,$AA:$AA,0)+6)+INDEX(AC:AC,MATCH(AC262,$AA:$AA,0)+7))</f>
        <v>159</v>
      </c>
      <c r="AD265" s="373"/>
      <c r="AE265" s="372">
        <f>ABS(INDEX(AE:AE,MATCH(AE262,$AA:$AA,0)+5)+INDEX(AE:AE,MATCH(AE262,$AA:$AA,0)+6)+INDEX(AE:AE,MATCH(AE262,$AA:$AA,0)+7))</f>
        <v>190</v>
      </c>
      <c r="AF265" s="373"/>
      <c r="AG265" s="372">
        <f>ABS(INDEX(AG:AG,MATCH(AG262,$AA:$AA,0)+5)+INDEX(AG:AG,MATCH(AG262,$AA:$AA,0)+6)+INDEX(AG:AG,MATCH(AG262,$AA:$AA,0)+7))</f>
        <v>0</v>
      </c>
      <c r="AH265" s="373"/>
      <c r="AI265" s="372">
        <f>ABS(INDEX(AI:AI,MATCH(AI262,$AA:$AA,0)+5)+INDEX(AI:AI,MATCH(AI262,$AA:$AA,0)+6)+INDEX(AI:AI,MATCH(AI262,$AA:$AA,0)+7))</f>
        <v>163</v>
      </c>
      <c r="AJ265" s="373"/>
      <c r="AK265" s="372">
        <f>ABS(INDEX(AK:AK,MATCH(AK262,$AA:$AA,0)+5)+INDEX(AK:AK,MATCH(AK262,$AA:$AA,0)+6)+INDEX(AK:AK,MATCH(AK262,$AA:$AA,0)+7))</f>
        <v>144</v>
      </c>
      <c r="AL265" s="373"/>
      <c r="AM265" s="372">
        <f>ABS(INDEX(AM:AM,MATCH(AM262,$AA:$AA,0)+5)+INDEX(AM:AM,MATCH(AM262,$AA:$AA,0)+6)+INDEX(AM:AM,MATCH(AM262,$AA:$AA,0)+7))</f>
        <v>165</v>
      </c>
      <c r="AN265" s="373"/>
      <c r="AO265" s="372">
        <f>ABS(INDEX(AO:AO,MATCH(AO262,$AA:$AA,0)+5)+INDEX(AO:AO,MATCH(AO262,$AA:$AA,0)+6)+INDEX(AO:AO,MATCH(AO262,$AA:$AA,0)+7))</f>
        <v>142</v>
      </c>
      <c r="AP265" s="373"/>
      <c r="AQ265" s="372">
        <f>ABS(INDEX(AQ:AQ,MATCH(AQ262,$AA:$AA,0)+5)+INDEX(AQ:AQ,MATCH(AQ262,$AA:$AA,0)+6)+INDEX(AQ:AQ,MATCH(AQ262,$AA:$AA,0)+7))</f>
        <v>168</v>
      </c>
      <c r="AR265" s="373"/>
      <c r="AS265" s="372">
        <f>ABS(INDEX(AS:AS,MATCH(AS262,$AA:$AA,0)+5)+INDEX(AS:AS,MATCH(AS262,$AA:$AA,0)+6)+INDEX(AS:AS,MATCH(AS262,$AA:$AA,0)+7))</f>
        <v>152</v>
      </c>
      <c r="AT265" s="373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6.05" customHeight="1" x14ac:dyDescent="0.35">
      <c r="B266" s="365" t="str">
        <f t="shared" si="306"/>
        <v>Spieler 2</v>
      </c>
      <c r="C266" s="366" t="str">
        <f t="shared" si="306"/>
        <v/>
      </c>
      <c r="D266" s="339">
        <f>IF(AC266=301,"",AC266)</f>
        <v>129</v>
      </c>
      <c r="E266" s="339" t="str">
        <f>IF(AD266=0,"",AD266)</f>
        <v/>
      </c>
      <c r="F266" s="339">
        <f>IF(AE266=301,"",AE266)</f>
        <v>192</v>
      </c>
      <c r="G266" s="339" t="str">
        <f>IF(AF266=0,"",AF266)</f>
        <v/>
      </c>
      <c r="H266" s="339">
        <f>IF(AG266=301,"",AG266)</f>
        <v>0</v>
      </c>
      <c r="I266" s="339" t="str">
        <f>IF(AH266=0,"",AH266)</f>
        <v/>
      </c>
      <c r="J266" s="339">
        <f>IF(AI266=301,"",AI266)</f>
        <v>158</v>
      </c>
      <c r="K266" s="339" t="str">
        <f>IF(AJ266=0,"",AJ266)</f>
        <v/>
      </c>
      <c r="L266" s="339">
        <f>IF(AK266=301,"",AK266)</f>
        <v>154</v>
      </c>
      <c r="M266" s="339" t="str">
        <f>IF(AL266=0,"",AL266)</f>
        <v/>
      </c>
      <c r="N266" s="339">
        <f>IF(AM266=301,"",AM266)</f>
        <v>190</v>
      </c>
      <c r="O266" s="339" t="str">
        <f>IF(AN266=0,"",AN266)</f>
        <v/>
      </c>
      <c r="P266" s="339">
        <f>IF(AO266=301,"",AO266)</f>
        <v>179</v>
      </c>
      <c r="Q266" s="339" t="str">
        <f>IF(AP266=0,"",AP266)</f>
        <v/>
      </c>
      <c r="R266" s="339">
        <f>IF(AQ266=301,"",AQ266)</f>
        <v>193</v>
      </c>
      <c r="S266" s="339" t="str">
        <f>IF(AR266=0,"",AR266)</f>
        <v/>
      </c>
      <c r="T266" s="339">
        <f>IF(AS266=301,"",AS266)</f>
        <v>159</v>
      </c>
      <c r="U266" s="339" t="str">
        <f>IF(AT266=0,"",AT266)</f>
        <v/>
      </c>
      <c r="V266" s="340"/>
      <c r="W266" s="340"/>
      <c r="AA266" s="91" t="s">
        <v>2</v>
      </c>
      <c r="AB266" s="92"/>
      <c r="AC266" s="374">
        <f>ABS(INDEX(AC:AC,MATCH(AC262,$AA:$AA,0)+8)+INDEX(AC:AC,MATCH(AC262,$AA:$AA,0)+9)+INDEX(AC:AC,MATCH(AC262,$AA:$AA,0)+10))</f>
        <v>129</v>
      </c>
      <c r="AD266" s="375"/>
      <c r="AE266" s="374">
        <f>ABS(INDEX(AE:AE,MATCH(AE262,$AA:$AA,0)+8)+INDEX(AE:AE,MATCH(AE262,$AA:$AA,0)+9)+INDEX(AE:AE,MATCH(AE262,$AA:$AA,0)+10))</f>
        <v>192</v>
      </c>
      <c r="AF266" s="375"/>
      <c r="AG266" s="374">
        <f>ABS(INDEX(AG:AG,MATCH(AG262,$AA:$AA,0)+8)+INDEX(AG:AG,MATCH(AG262,$AA:$AA,0)+9)+INDEX(AG:AG,MATCH(AG262,$AA:$AA,0)+10))</f>
        <v>0</v>
      </c>
      <c r="AH266" s="375"/>
      <c r="AI266" s="374">
        <f>ABS(INDEX(AI:AI,MATCH(AI262,$AA:$AA,0)+8)+INDEX(AI:AI,MATCH(AI262,$AA:$AA,0)+9)+INDEX(AI:AI,MATCH(AI262,$AA:$AA,0)+10))</f>
        <v>158</v>
      </c>
      <c r="AJ266" s="375"/>
      <c r="AK266" s="374">
        <f>ABS(INDEX(AK:AK,MATCH(AK262,$AA:$AA,0)+8)+INDEX(AK:AK,MATCH(AK262,$AA:$AA,0)+9)+INDEX(AK:AK,MATCH(AK262,$AA:$AA,0)+10))</f>
        <v>154</v>
      </c>
      <c r="AL266" s="375"/>
      <c r="AM266" s="374">
        <f>ABS(INDEX(AM:AM,MATCH(AM262,$AA:$AA,0)+8)+INDEX(AM:AM,MATCH(AM262,$AA:$AA,0)+9)+INDEX(AM:AM,MATCH(AM262,$AA:$AA,0)+10))</f>
        <v>190</v>
      </c>
      <c r="AN266" s="375"/>
      <c r="AO266" s="374">
        <f>ABS(INDEX(AO:AO,MATCH(AO262,$AA:$AA,0)+8)+INDEX(AO:AO,MATCH(AO262,$AA:$AA,0)+9)+INDEX(AO:AO,MATCH(AO262,$AA:$AA,0)+10))</f>
        <v>179</v>
      </c>
      <c r="AP266" s="375"/>
      <c r="AQ266" s="374">
        <f>ABS(INDEX(AQ:AQ,MATCH(AQ262,$AA:$AA,0)+8)+INDEX(AQ:AQ,MATCH(AQ262,$AA:$AA,0)+9)+INDEX(AQ:AQ,MATCH(AQ262,$AA:$AA,0)+10))</f>
        <v>193</v>
      </c>
      <c r="AR266" s="375"/>
      <c r="AS266" s="374">
        <f>ABS(INDEX(AS:AS,MATCH(AS262,$AA:$AA,0)+8)+INDEX(AS:AS,MATCH(AS262,$AA:$AA,0)+9)+INDEX(AS:AS,MATCH(AS262,$AA:$AA,0)+10))</f>
        <v>159</v>
      </c>
      <c r="AT266" s="37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6.05" customHeight="1" x14ac:dyDescent="0.35">
      <c r="B267" s="365" t="str">
        <f t="shared" si="306"/>
        <v>Spieler 3</v>
      </c>
      <c r="C267" s="366" t="str">
        <f t="shared" si="306"/>
        <v/>
      </c>
      <c r="D267" s="339">
        <f>IF(AC267=301,"",AC267)</f>
        <v>168</v>
      </c>
      <c r="E267" s="339" t="str">
        <f>IF(AD267=0,"",AD267)</f>
        <v/>
      </c>
      <c r="F267" s="339">
        <f>IF(AE267=301,"",AE267)</f>
        <v>179</v>
      </c>
      <c r="G267" s="339" t="str">
        <f>IF(AF267=0,"",AF267)</f>
        <v/>
      </c>
      <c r="H267" s="339">
        <f>IF(AG267=301,"",AG267)</f>
        <v>0</v>
      </c>
      <c r="I267" s="339" t="str">
        <f>IF(AH267=0,"",AH267)</f>
        <v/>
      </c>
      <c r="J267" s="339">
        <f>IF(AI267=301,"",AI267)</f>
        <v>178</v>
      </c>
      <c r="K267" s="339" t="str">
        <f>IF(AJ267=0,"",AJ267)</f>
        <v/>
      </c>
      <c r="L267" s="339">
        <f>IF(AK267=301,"",AK267)</f>
        <v>161</v>
      </c>
      <c r="M267" s="339" t="str">
        <f>IF(AL267=0,"",AL267)</f>
        <v/>
      </c>
      <c r="N267" s="339">
        <f>IF(AM267=301,"",AM267)</f>
        <v>182</v>
      </c>
      <c r="O267" s="339" t="str">
        <f>IF(AN267=0,"",AN267)</f>
        <v/>
      </c>
      <c r="P267" s="339">
        <f>IF(AO267=301,"",AO267)</f>
        <v>167</v>
      </c>
      <c r="Q267" s="339" t="str">
        <f>IF(AP267=0,"",AP267)</f>
        <v/>
      </c>
      <c r="R267" s="339">
        <f>IF(AQ267=301,"",AQ267)</f>
        <v>157</v>
      </c>
      <c r="S267" s="339" t="str">
        <f>IF(AR267=0,"",AR267)</f>
        <v/>
      </c>
      <c r="T267" s="339">
        <f>IF(AS267=301,"",AS267)</f>
        <v>181</v>
      </c>
      <c r="U267" s="339" t="str">
        <f>IF(AT267=0,"",AT267)</f>
        <v/>
      </c>
      <c r="V267" s="340"/>
      <c r="W267" s="340"/>
      <c r="AA267" s="91" t="s">
        <v>3</v>
      </c>
      <c r="AB267" s="92"/>
      <c r="AC267" s="374">
        <f>ABS(INDEX(AC:AC,MATCH(AC262,$AA:$AA,0)+11)+INDEX(AC:AC,MATCH(AC262,$AA:$AA,0)+12)+INDEX(AC:AC,MATCH(AC262,$AA:$AA,0)+13))</f>
        <v>168</v>
      </c>
      <c r="AD267" s="375"/>
      <c r="AE267" s="374">
        <f>ABS(INDEX(AE:AE,MATCH(AE262,$AA:$AA,0)+11)+INDEX(AE:AE,MATCH(AE262,$AA:$AA,0)+12)+INDEX(AE:AE,MATCH(AE262,$AA:$AA,0)+13))</f>
        <v>179</v>
      </c>
      <c r="AF267" s="375"/>
      <c r="AG267" s="374">
        <f>ABS(INDEX(AG:AG,MATCH(AG262,$AA:$AA,0)+11)+INDEX(AG:AG,MATCH(AG262,$AA:$AA,0)+12)+INDEX(AG:AG,MATCH(AG262,$AA:$AA,0)+13))</f>
        <v>0</v>
      </c>
      <c r="AH267" s="375"/>
      <c r="AI267" s="374">
        <f>ABS(INDEX(AI:AI,MATCH(AI262,$AA:$AA,0)+11)+INDEX(AI:AI,MATCH(AI262,$AA:$AA,0)+12)+INDEX(AI:AI,MATCH(AI262,$AA:$AA,0)+13))</f>
        <v>178</v>
      </c>
      <c r="AJ267" s="375"/>
      <c r="AK267" s="374">
        <f>ABS(INDEX(AK:AK,MATCH(AK262,$AA:$AA,0)+11)+INDEX(AK:AK,MATCH(AK262,$AA:$AA,0)+12)+INDEX(AK:AK,MATCH(AK262,$AA:$AA,0)+13))</f>
        <v>161</v>
      </c>
      <c r="AL267" s="375"/>
      <c r="AM267" s="374">
        <f>ABS(INDEX(AM:AM,MATCH(AM262,$AA:$AA,0)+11)+INDEX(AM:AM,MATCH(AM262,$AA:$AA,0)+12)+INDEX(AM:AM,MATCH(AM262,$AA:$AA,0)+13))</f>
        <v>182</v>
      </c>
      <c r="AN267" s="375"/>
      <c r="AO267" s="374">
        <f>ABS(INDEX(AO:AO,MATCH(AO262,$AA:$AA,0)+11)+INDEX(AO:AO,MATCH(AO262,$AA:$AA,0)+12)+INDEX(AO:AO,MATCH(AO262,$AA:$AA,0)+13))</f>
        <v>167</v>
      </c>
      <c r="AP267" s="375"/>
      <c r="AQ267" s="374">
        <f>ABS(INDEX(AQ:AQ,MATCH(AQ262,$AA:$AA,0)+11)+INDEX(AQ:AQ,MATCH(AQ262,$AA:$AA,0)+12)+INDEX(AQ:AQ,MATCH(AQ262,$AA:$AA,0)+13))</f>
        <v>157</v>
      </c>
      <c r="AR267" s="375"/>
      <c r="AS267" s="374">
        <f>ABS(INDEX(AS:AS,MATCH(AS262,$AA:$AA,0)+11)+INDEX(AS:AS,MATCH(AS262,$AA:$AA,0)+12)+INDEX(AS:AS,MATCH(AS262,$AA:$AA,0)+13))</f>
        <v>181</v>
      </c>
      <c r="AT267" s="37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6.05" customHeight="1" x14ac:dyDescent="0.35">
      <c r="B268" s="365" t="str">
        <f t="shared" si="306"/>
        <v>Spieler 4</v>
      </c>
      <c r="C268" s="366" t="str">
        <f t="shared" si="306"/>
        <v/>
      </c>
      <c r="D268" s="339">
        <f>IF(AC268=301,"",AC268)</f>
        <v>165</v>
      </c>
      <c r="E268" s="339" t="str">
        <f>IF(AD268=0,"",AD268)</f>
        <v/>
      </c>
      <c r="F268" s="339">
        <f>IF(AE268=301,"",AE268)</f>
        <v>164</v>
      </c>
      <c r="G268" s="339" t="str">
        <f>IF(AF268=0,"",AF268)</f>
        <v/>
      </c>
      <c r="H268" s="339">
        <f>IF(AG268=301,"",AG268)</f>
        <v>0</v>
      </c>
      <c r="I268" s="339" t="str">
        <f>IF(AH268=0,"",AH268)</f>
        <v/>
      </c>
      <c r="J268" s="339">
        <f>IF(AI268=301,"",AI268)</f>
        <v>193</v>
      </c>
      <c r="K268" s="339" t="str">
        <f>IF(AJ268=0,"",AJ268)</f>
        <v/>
      </c>
      <c r="L268" s="339">
        <f>IF(AK268=301,"",AK268)</f>
        <v>176</v>
      </c>
      <c r="M268" s="339" t="str">
        <f>IF(AL268=0,"",AL268)</f>
        <v/>
      </c>
      <c r="N268" s="339">
        <f>IF(AM268=301,"",AM268)</f>
        <v>210</v>
      </c>
      <c r="O268" s="339" t="str">
        <f>IF(AN268=0,"",AN268)</f>
        <v/>
      </c>
      <c r="P268" s="339">
        <f>IF(AO268=301,"",AO268)</f>
        <v>148</v>
      </c>
      <c r="Q268" s="339" t="str">
        <f>IF(AP268=0,"",AP268)</f>
        <v/>
      </c>
      <c r="R268" s="339">
        <f>IF(AQ268=301,"",AQ268)</f>
        <v>169</v>
      </c>
      <c r="S268" s="339" t="str">
        <f>IF(AR268=0,"",AR268)</f>
        <v/>
      </c>
      <c r="T268" s="339">
        <f>IF(AS268=301,"",AS268)</f>
        <v>201</v>
      </c>
      <c r="U268" s="339" t="str">
        <f>IF(AT268=0,"",AT268)</f>
        <v/>
      </c>
      <c r="V268" s="340"/>
      <c r="W268" s="340"/>
      <c r="AA268" s="91" t="s">
        <v>11</v>
      </c>
      <c r="AB268" s="92"/>
      <c r="AC268" s="374">
        <f>ABS(INDEX(AC:AC,MATCH(AC262,$AA:$AA,0)+14)+INDEX(AC:AC,MATCH(AC262,$AA:$AA,0)+15)+INDEX(AC:AC,MATCH(AC262,$AA:$AA,0)+16))</f>
        <v>165</v>
      </c>
      <c r="AD268" s="375"/>
      <c r="AE268" s="374">
        <f>ABS(INDEX(AE:AE,MATCH(AE262,$AA:$AA,0)+14)+INDEX(AE:AE,MATCH(AE262,$AA:$AA,0)+15)+INDEX(AE:AE,MATCH(AE262,$AA:$AA,0)+16))</f>
        <v>164</v>
      </c>
      <c r="AF268" s="375"/>
      <c r="AG268" s="374">
        <f>ABS(INDEX(AG:AG,MATCH(AG262,$AA:$AA,0)+14)+INDEX(AG:AG,MATCH(AG262,$AA:$AA,0)+15)+INDEX(AG:AG,MATCH(AG262,$AA:$AA,0)+16))</f>
        <v>0</v>
      </c>
      <c r="AH268" s="375"/>
      <c r="AI268" s="374">
        <f>ABS(INDEX(AI:AI,MATCH(AI262,$AA:$AA,0)+14)+INDEX(AI:AI,MATCH(AI262,$AA:$AA,0)+15)+INDEX(AI:AI,MATCH(AI262,$AA:$AA,0)+16))</f>
        <v>193</v>
      </c>
      <c r="AJ268" s="375"/>
      <c r="AK268" s="374">
        <f>ABS(INDEX(AK:AK,MATCH(AK262,$AA:$AA,0)+14)+INDEX(AK:AK,MATCH(AK262,$AA:$AA,0)+15)+INDEX(AK:AK,MATCH(AK262,$AA:$AA,0)+16))</f>
        <v>176</v>
      </c>
      <c r="AL268" s="375"/>
      <c r="AM268" s="374">
        <f>ABS(INDEX(AM:AM,MATCH(AM262,$AA:$AA,0)+14)+INDEX(AM:AM,MATCH(AM262,$AA:$AA,0)+15)+INDEX(AM:AM,MATCH(AM262,$AA:$AA,0)+16))</f>
        <v>210</v>
      </c>
      <c r="AN268" s="375"/>
      <c r="AO268" s="374">
        <f>ABS(INDEX(AO:AO,MATCH(AO262,$AA:$AA,0)+14)+INDEX(AO:AO,MATCH(AO262,$AA:$AA,0)+15)+INDEX(AO:AO,MATCH(AO262,$AA:$AA,0)+16))</f>
        <v>148</v>
      </c>
      <c r="AP268" s="375"/>
      <c r="AQ268" s="374">
        <f>ABS(INDEX(AQ:AQ,MATCH(AQ262,$AA:$AA,0)+14)+INDEX(AQ:AQ,MATCH(AQ262,$AA:$AA,0)+15)+INDEX(AQ:AQ,MATCH(AQ262,$AA:$AA,0)+16))</f>
        <v>169</v>
      </c>
      <c r="AR268" s="375"/>
      <c r="AS268" s="374">
        <f>ABS(INDEX(AS:AS,MATCH(AS262,$AA:$AA,0)+14)+INDEX(AS:AS,MATCH(AS262,$AA:$AA,0)+15)+INDEX(AS:AS,MATCH(AS262,$AA:$AA,0)+16))</f>
        <v>201</v>
      </c>
      <c r="AT268" s="37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6.05" customHeight="1" x14ac:dyDescent="0.35">
      <c r="B269" s="354" t="str">
        <f t="shared" si="306"/>
        <v>Gesamt</v>
      </c>
      <c r="C269" s="355" t="str">
        <f t="shared" si="306"/>
        <v/>
      </c>
      <c r="D269" s="338">
        <f>IF(AC269=1505,"",AC269)</f>
        <v>621</v>
      </c>
      <c r="E269" s="338" t="str">
        <f>IF(AD269=0,"",AD269)</f>
        <v/>
      </c>
      <c r="F269" s="338">
        <f>IF(AE269=1505,"",AE269)</f>
        <v>725</v>
      </c>
      <c r="G269" s="338" t="str">
        <f>IF(AF269=0,"",AF269)</f>
        <v/>
      </c>
      <c r="H269" s="338">
        <f>IF(AG269=1505,"",AG269)</f>
        <v>0</v>
      </c>
      <c r="I269" s="338" t="str">
        <f>IF(AH269=0,"",AH269)</f>
        <v/>
      </c>
      <c r="J269" s="338">
        <f>IF(AI269=1505,"",AI269)</f>
        <v>692</v>
      </c>
      <c r="K269" s="338" t="str">
        <f>IF(AJ269=0,"",AJ269)</f>
        <v/>
      </c>
      <c r="L269" s="338">
        <f>IF(AK269=1505,"",AK269)</f>
        <v>635</v>
      </c>
      <c r="M269" s="338" t="str">
        <f>IF(AL269=0,"",AL269)</f>
        <v/>
      </c>
      <c r="N269" s="338">
        <f>IF(AM269=1505,"",AM269)</f>
        <v>747</v>
      </c>
      <c r="O269" s="338" t="str">
        <f>IF(AN269=0,"",AN269)</f>
        <v/>
      </c>
      <c r="P269" s="338">
        <f>IF(AO269=1505,"",AO269)</f>
        <v>636</v>
      </c>
      <c r="Q269" s="338" t="str">
        <f>IF(AP269=0,"",AP269)</f>
        <v/>
      </c>
      <c r="R269" s="338">
        <f>IF(AQ269=1505,"",AQ269)</f>
        <v>687</v>
      </c>
      <c r="S269" s="338" t="str">
        <f>IF(AR269=0,"",AR269)</f>
        <v/>
      </c>
      <c r="T269" s="338">
        <f>IF(AS269=1505,"",AS269)</f>
        <v>693</v>
      </c>
      <c r="U269" s="338" t="str">
        <f>IF(AT269=0,"",AT269)</f>
        <v/>
      </c>
      <c r="V269" s="290"/>
      <c r="W269" s="290"/>
      <c r="AA269" s="93" t="s">
        <v>1799</v>
      </c>
      <c r="AB269" s="94"/>
      <c r="AC269" s="354">
        <f>SUM(AC265:AC268)</f>
        <v>621</v>
      </c>
      <c r="AD269" s="355"/>
      <c r="AE269" s="354">
        <f>SUM(AE265:AE268)</f>
        <v>725</v>
      </c>
      <c r="AF269" s="355"/>
      <c r="AG269" s="354">
        <f>SUM(AG265:AG268)</f>
        <v>0</v>
      </c>
      <c r="AH269" s="355"/>
      <c r="AI269" s="354">
        <f>SUM(AI265:AI268)</f>
        <v>692</v>
      </c>
      <c r="AJ269" s="355"/>
      <c r="AK269" s="354">
        <f>SUM(AK265:AK268)</f>
        <v>635</v>
      </c>
      <c r="AL269" s="355"/>
      <c r="AM269" s="354">
        <f>SUM(AM265:AM268)</f>
        <v>747</v>
      </c>
      <c r="AN269" s="355"/>
      <c r="AO269" s="354">
        <f>SUM(AO265:AO268)</f>
        <v>636</v>
      </c>
      <c r="AP269" s="355"/>
      <c r="AQ269" s="354">
        <f>SUM(AQ265:AQ268)</f>
        <v>687</v>
      </c>
      <c r="AR269" s="355"/>
      <c r="AS269" s="354">
        <f>SUM(AS265:AS268)</f>
        <v>693</v>
      </c>
      <c r="AT269" s="35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3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7">
      <c r="B271" s="44" t="str">
        <f>AA271</f>
        <v>Team-Nr.</v>
      </c>
      <c r="C271" s="45"/>
      <c r="D271" s="44" t="str">
        <f>AC271</f>
        <v>Liga:</v>
      </c>
      <c r="E271" s="47"/>
      <c r="F271" s="359" t="str">
        <f>AE271</f>
        <v>Bayernliga Frauen</v>
      </c>
      <c r="G271" s="359"/>
      <c r="H271" s="359"/>
      <c r="I271" s="359"/>
      <c r="J271" s="359"/>
      <c r="K271" s="359"/>
      <c r="L271" s="359"/>
      <c r="M271" s="359"/>
      <c r="N271" s="359"/>
      <c r="O271" s="359"/>
      <c r="P271" s="359"/>
      <c r="Q271" s="359"/>
      <c r="R271" s="48"/>
      <c r="S271" s="49" t="s">
        <v>1794</v>
      </c>
      <c r="T271" s="50"/>
      <c r="U271" s="360" t="str">
        <f>AT271</f>
        <v>01.02./02.02.</v>
      </c>
      <c r="V271" s="361"/>
      <c r="W271" s="362"/>
      <c r="X271" s="363"/>
      <c r="Y271" s="364"/>
      <c r="Z271" s="364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0" t="str">
        <f>VLOOKUP(AS272,Spielorte!$A$1:$C$6,2)</f>
        <v>01.02./02.02.</v>
      </c>
      <c r="AU271" s="361"/>
      <c r="AV271" s="362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65">
      <c r="B272" s="53">
        <f>AA272</f>
        <v>10</v>
      </c>
      <c r="D272" s="46" t="s">
        <v>1793</v>
      </c>
      <c r="E272" s="54"/>
      <c r="F272" s="358" t="str">
        <f>AE272</f>
        <v>Unterföhring Dreambowl Palace</v>
      </c>
      <c r="G272" s="358"/>
      <c r="H272" s="358"/>
      <c r="I272" s="358"/>
      <c r="J272" s="358"/>
      <c r="K272" s="358"/>
      <c r="L272" s="358"/>
      <c r="M272" s="358"/>
      <c r="N272" s="358"/>
      <c r="O272" s="358"/>
      <c r="P272" s="55"/>
      <c r="Q272" s="55"/>
      <c r="S272" s="49" t="s">
        <v>1791</v>
      </c>
      <c r="T272" s="56">
        <f>AS272</f>
        <v>3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Unterföhring Dreambowl Palace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3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4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5" thickBot="1" x14ac:dyDescent="0.45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VLOOKUP(AA272,Schlüssel!$A$5:$DZ$14,53)</f>
        <v>8</v>
      </c>
      <c r="AE274" s="65" t="s">
        <v>10</v>
      </c>
      <c r="AF274" s="44">
        <f>VLOOKUP(AA272,Schlüssel!$A$5:$DZ$14,54)</f>
        <v>6</v>
      </c>
      <c r="AG274" s="65" t="s">
        <v>10</v>
      </c>
      <c r="AH274" s="44">
        <f>VLOOKUP(AA272,Schlüssel!$A$5:$DZ$14,55)</f>
        <v>9</v>
      </c>
      <c r="AI274" s="65" t="s">
        <v>10</v>
      </c>
      <c r="AJ274" s="44">
        <f>VLOOKUP(AA272,Schlüssel!$A$5:$DZ$14,56)</f>
        <v>3</v>
      </c>
      <c r="AK274" s="65" t="s">
        <v>10</v>
      </c>
      <c r="AL274" s="44">
        <f>VLOOKUP(AA272,Schlüssel!$A$5:$DZ$14,57)</f>
        <v>1</v>
      </c>
      <c r="AM274" s="65" t="s">
        <v>10</v>
      </c>
      <c r="AN274" s="44">
        <f>VLOOKUP(AA272,Schlüssel!$A$5:$DZ$14,58)</f>
        <v>4</v>
      </c>
      <c r="AO274" s="65" t="s">
        <v>10</v>
      </c>
      <c r="AP274" s="44">
        <f>VLOOKUP(AA272,Schlüssel!$A$5:$DZ$14,59)</f>
        <v>5</v>
      </c>
      <c r="AQ274" s="65" t="s">
        <v>10</v>
      </c>
      <c r="AR274" s="44">
        <f>VLOOKUP(AA272,Schlüssel!$A$5:$DZ$14,60)</f>
        <v>2</v>
      </c>
      <c r="AS274" s="65" t="s">
        <v>10</v>
      </c>
      <c r="AT274" s="44">
        <f>VLOOKUP(AA272,Schlüssel!$A$5:$DZ$14,61)</f>
        <v>7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35">
      <c r="B275" s="67" t="s">
        <v>1</v>
      </c>
      <c r="C275" s="68"/>
      <c r="D275" s="354" t="s">
        <v>1800</v>
      </c>
      <c r="E275" s="355"/>
      <c r="F275" s="354" t="s">
        <v>1801</v>
      </c>
      <c r="G275" s="355"/>
      <c r="H275" s="354" t="s">
        <v>1802</v>
      </c>
      <c r="I275" s="355"/>
      <c r="J275" s="354" t="s">
        <v>1803</v>
      </c>
      <c r="K275" s="355"/>
      <c r="L275" s="354" t="s">
        <v>1804</v>
      </c>
      <c r="M275" s="355"/>
      <c r="N275" s="354" t="s">
        <v>1805</v>
      </c>
      <c r="O275" s="355"/>
      <c r="P275" s="354" t="s">
        <v>1806</v>
      </c>
      <c r="Q275" s="355"/>
      <c r="R275" s="354" t="s">
        <v>1807</v>
      </c>
      <c r="S275" s="355"/>
      <c r="T275" s="354" t="s">
        <v>1808</v>
      </c>
      <c r="U275" s="355"/>
      <c r="V275" s="356" t="s">
        <v>1799</v>
      </c>
      <c r="W275" s="357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4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2" customHeight="1" x14ac:dyDescent="0.35">
      <c r="A277" s="367" t="s">
        <v>0</v>
      </c>
      <c r="B277" s="73" t="str">
        <f>IF(AA277=0,"",AA277)</f>
        <v>Hinterwimmer, Sabine</v>
      </c>
      <c r="C277" s="74">
        <f>IF(AB277=0,"",AB277)</f>
        <v>7578</v>
      </c>
      <c r="D277" s="75">
        <f>IF(AC277=0,"",AC277)</f>
        <v>166</v>
      </c>
      <c r="E277" s="348">
        <f>IF(AD277="","",AD277)</f>
        <v>1</v>
      </c>
      <c r="F277" s="75">
        <f t="shared" ref="F277:F290" si="307">IF(AE277=0,"",AE277)</f>
        <v>128</v>
      </c>
      <c r="G277" s="348">
        <f>IF(AF277="","",AF277)</f>
        <v>1</v>
      </c>
      <c r="H277" s="75" t="str">
        <f t="shared" ref="H277:H290" si="308">IF(AG277=0,"",AG277)</f>
        <v/>
      </c>
      <c r="I277" s="348">
        <f>IF(AH277="","",AH277)</f>
        <v>0</v>
      </c>
      <c r="J277" s="75" t="str">
        <f t="shared" ref="J277:J290" si="309">IF(AI277=0,"",AI277)</f>
        <v/>
      </c>
      <c r="K277" s="348">
        <f>IF(AJ277="","",AJ277)</f>
        <v>0</v>
      </c>
      <c r="L277" s="75" t="str">
        <f t="shared" ref="L277:L290" si="310">IF(AK277=0,"",AK277)</f>
        <v/>
      </c>
      <c r="M277" s="348">
        <f>IF(AL277="","",AL277)</f>
        <v>1</v>
      </c>
      <c r="N277" s="75" t="str">
        <f>IF(AM277=0,"",AM277)</f>
        <v/>
      </c>
      <c r="O277" s="348">
        <f>IF(AN277="","",AN277)</f>
        <v>0</v>
      </c>
      <c r="P277" s="75" t="str">
        <f t="shared" ref="P277:P290" si="311">IF(AO277=0,"",AO277)</f>
        <v/>
      </c>
      <c r="Q277" s="348">
        <f>IF(AP277="","",AP277)</f>
        <v>1</v>
      </c>
      <c r="R277" s="75" t="str">
        <f t="shared" ref="R277:R290" si="312">IF(AQ277=0,"",AQ277)</f>
        <v/>
      </c>
      <c r="S277" s="348">
        <f>IF(AR277="","",AR277)</f>
        <v>0</v>
      </c>
      <c r="T277" s="75" t="str">
        <f t="shared" ref="T277:T290" si="313">IF(AS277=0,"",AS277)</f>
        <v/>
      </c>
      <c r="U277" s="348">
        <f>IF(AT277="","",AT277)</f>
        <v>0</v>
      </c>
      <c r="V277" s="75">
        <f t="shared" ref="V277:V290" si="314">IF(AU277=0,"",AU277)</f>
        <v>294</v>
      </c>
      <c r="W277" s="348">
        <f>IF(AV277="","",AV277)</f>
        <v>4</v>
      </c>
      <c r="Z277" s="351" t="s">
        <v>0</v>
      </c>
      <c r="AA277" s="108" t="str">
        <f>IF(AB277=0,"",VLOOKUP(AB277,Starter!$A$1:$D$199,2,FALSE))</f>
        <v>Hinterwimmer, Sabine</v>
      </c>
      <c r="AB277" s="99">
        <v>7578</v>
      </c>
      <c r="AC277" s="185">
        <v>166</v>
      </c>
      <c r="AD277" s="109">
        <f>IF(SUM(AC277:AC279)+AC295=0,0,IF(SUM(AC277:AC279)=AC295,0.5,IF(SUM(AC277:AC279)&gt;AC295,1,0)))</f>
        <v>1</v>
      </c>
      <c r="AE277" s="185">
        <v>128</v>
      </c>
      <c r="AF277" s="109">
        <f>IF(SUM(AE277:AE279)+AE295=0,0,IF(SUM(AE277:AE279)=AE295,0.5,IF(SUM(AE277:AE279)&gt;AE295,1,0)))</f>
        <v>1</v>
      </c>
      <c r="AG277" s="185"/>
      <c r="AH277" s="109">
        <f>IF(SUM(AG277:AG279)+AG295=0,0,IF(SUM(AG277:AG279)=AG295,0.5,IF(SUM(AG277:AG279)&gt;AG295,1,0)))</f>
        <v>0</v>
      </c>
      <c r="AI277" s="185"/>
      <c r="AJ277" s="109">
        <f>IF(SUM(AI277:AI279)+AI295=0,0,IF(SUM(AI277:AI279)=AI295,0.5,IF(SUM(AI277:AI279)&gt;AI295,1,0)))</f>
        <v>0</v>
      </c>
      <c r="AK277" s="185"/>
      <c r="AL277" s="109">
        <f>IF(SUM(AK277:AK279)+AK295=0,0,IF(SUM(AK277:AK279)=AK295,0.5,IF(SUM(AK277:AK279)&gt;AK295,1,0)))</f>
        <v>1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1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15">ABS(SUM(AC277:AC277))+ABS(SUM(AE277:AE277))+ABS(SUM(AG277:AG277))+ABS(SUM(AI277:AI277))+ABS(SUM(AK277:AK277))+ABS(SUM(AM277:AM277))+ABS(SUM(AO277:AO277))+ABS(SUM(AQ277:AQ277))+ABS(SUM(AS277:AS277))</f>
        <v>294</v>
      </c>
      <c r="AV277" s="111">
        <f>SUM(AD277+AF277+AH277+AJ277+AL277+AN277+AP277+AR277+AT277)</f>
        <v>4</v>
      </c>
      <c r="AW277" s="101"/>
      <c r="AX277" s="102"/>
      <c r="AZ277" s="63"/>
      <c r="BA277" s="212"/>
      <c r="BB277" s="213"/>
      <c r="BC277" s="214"/>
      <c r="BD277" s="217">
        <f>+AB277</f>
        <v>7578</v>
      </c>
      <c r="BE277" s="213">
        <f>+AU277</f>
        <v>294</v>
      </c>
      <c r="BF277" s="215">
        <f>COUNT(BH277:BP277)</f>
        <v>2</v>
      </c>
      <c r="BG277" s="215">
        <f>COUNTIF(BH277:BP277,"&gt;0")</f>
        <v>2</v>
      </c>
      <c r="BH277" s="215">
        <f t="shared" ref="BH277:BH288" si="316">IF(AC277=0,"",AC277)</f>
        <v>166</v>
      </c>
      <c r="BI277" s="215">
        <f t="shared" ref="BI277:BI288" si="317">IF(AE277=0,"",AE277)</f>
        <v>128</v>
      </c>
      <c r="BJ277" s="215" t="str">
        <f t="shared" ref="BJ277:BJ288" si="318">IF(AG277=0,"",AG277)</f>
        <v/>
      </c>
      <c r="BK277" s="215" t="str">
        <f t="shared" ref="BK277:BK288" si="319">IF(AI277=0,"",AI277)</f>
        <v/>
      </c>
      <c r="BL277" s="215" t="str">
        <f t="shared" ref="BL277:BL288" si="320">IF(AK277=0,"",AK277)</f>
        <v/>
      </c>
      <c r="BM277" s="215" t="str">
        <f t="shared" ref="BM277:BM288" si="321">IF(AM277=0,"",AM277)</f>
        <v/>
      </c>
      <c r="BN277" s="215" t="str">
        <f t="shared" ref="BN277:BN288" si="322">IF(AO277=0,"",AO277)</f>
        <v/>
      </c>
      <c r="BO277" s="215" t="str">
        <f t="shared" ref="BO277:BO288" si="323">IF(AQ277=0,"",AQ277)</f>
        <v/>
      </c>
      <c r="BP277" s="215" t="str">
        <f t="shared" ref="BP277:BP288" si="324">IF(AS277=0,"",AS277)</f>
        <v/>
      </c>
      <c r="BQ277" s="216"/>
      <c r="BR277" s="214"/>
      <c r="BS277" s="215">
        <f>MAX(BH277:BP277)</f>
        <v>166</v>
      </c>
      <c r="BT277" s="215">
        <f>IF(BS277&lt;MAX(BS:BS),0,BS277+ROW()/1000000000)</f>
        <v>0</v>
      </c>
      <c r="BU277" s="215" t="str">
        <f>+AA273</f>
        <v>BK München 4</v>
      </c>
      <c r="BV277" s="214">
        <f>RANK(BT277,BT:BT)</f>
        <v>2</v>
      </c>
      <c r="BW277" s="215">
        <f>SUMIF(BH277:BP277,"&gt;0")</f>
        <v>294</v>
      </c>
      <c r="BX277" s="215">
        <f>IF(COUNTIF(BH277:BP277,"&gt;0")&lt;Spielorte!$A$23,0,BE277/Spielorte!$A$23)</f>
        <v>0</v>
      </c>
      <c r="BY277" s="215">
        <f>IF(BX277&lt;MAX(BX:BX),0,BX277+ROW()/1000000000)</f>
        <v>0</v>
      </c>
      <c r="BZ277" s="214">
        <f t="shared" ref="BZ277:BZ288" si="325">IF(BY277=0,0,RANK(BY277,BY:BY))</f>
        <v>0</v>
      </c>
    </row>
    <row r="278" spans="1:78" ht="17.2" customHeight="1" x14ac:dyDescent="0.35">
      <c r="A278" s="368"/>
      <c r="B278" s="76" t="str">
        <f t="shared" ref="B278:D290" si="326">IF(AA278=0,"",AA278)</f>
        <v>Danzer, Andrea</v>
      </c>
      <c r="C278" s="77">
        <f t="shared" si="326"/>
        <v>16879</v>
      </c>
      <c r="D278" s="78" t="str">
        <f t="shared" si="326"/>
        <v/>
      </c>
      <c r="E278" s="349"/>
      <c r="F278" s="78" t="str">
        <f t="shared" si="307"/>
        <v/>
      </c>
      <c r="G278" s="349"/>
      <c r="H278" s="78">
        <f t="shared" si="308"/>
        <v>149</v>
      </c>
      <c r="I278" s="349"/>
      <c r="J278" s="78">
        <f t="shared" si="309"/>
        <v>124</v>
      </c>
      <c r="K278" s="349"/>
      <c r="L278" s="78">
        <f t="shared" si="310"/>
        <v>190</v>
      </c>
      <c r="M278" s="349"/>
      <c r="N278" s="78">
        <f t="shared" ref="N278:N290" si="327">IF(AM278=0,"",AM278)</f>
        <v>165</v>
      </c>
      <c r="O278" s="349"/>
      <c r="P278" s="78">
        <f t="shared" si="311"/>
        <v>119</v>
      </c>
      <c r="Q278" s="349"/>
      <c r="R278" s="78">
        <f t="shared" si="312"/>
        <v>173</v>
      </c>
      <c r="S278" s="349"/>
      <c r="T278" s="78">
        <f t="shared" si="313"/>
        <v>153</v>
      </c>
      <c r="U278" s="349"/>
      <c r="V278" s="78">
        <f t="shared" si="314"/>
        <v>1073</v>
      </c>
      <c r="W278" s="349"/>
      <c r="Z278" s="352"/>
      <c r="AA278" s="108" t="str">
        <f>IF(AB278=0,"",VLOOKUP(AB278,Starter!$A$1:$D$199,2,FALSE))</f>
        <v>Danzer, Andrea</v>
      </c>
      <c r="AB278" s="98">
        <v>16879</v>
      </c>
      <c r="AC278" s="186"/>
      <c r="AD278" s="112"/>
      <c r="AE278" s="186"/>
      <c r="AF278" s="112"/>
      <c r="AG278" s="186">
        <v>149</v>
      </c>
      <c r="AH278" s="112"/>
      <c r="AI278" s="186">
        <v>124</v>
      </c>
      <c r="AJ278" s="112"/>
      <c r="AK278" s="186">
        <v>190</v>
      </c>
      <c r="AL278" s="112"/>
      <c r="AM278" s="186">
        <v>165</v>
      </c>
      <c r="AN278" s="112"/>
      <c r="AO278" s="186">
        <v>119</v>
      </c>
      <c r="AP278" s="112"/>
      <c r="AQ278" s="186">
        <v>173</v>
      </c>
      <c r="AR278" s="112"/>
      <c r="AS278" s="186">
        <v>153</v>
      </c>
      <c r="AT278" s="112"/>
      <c r="AU278" s="113">
        <f t="shared" si="315"/>
        <v>1073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28">+AB278</f>
        <v>16879</v>
      </c>
      <c r="BE278" s="213">
        <f t="shared" ref="BE278:BE288" si="329">+AU278</f>
        <v>1073</v>
      </c>
      <c r="BF278" s="215">
        <f t="shared" ref="BF278:BF288" si="330">COUNT(BH278:BP278)</f>
        <v>7</v>
      </c>
      <c r="BG278" s="215">
        <f t="shared" ref="BG278:BG288" si="331">COUNTIF(BH278:BP278,"&gt;0")</f>
        <v>7</v>
      </c>
      <c r="BH278" s="215" t="str">
        <f t="shared" si="316"/>
        <v/>
      </c>
      <c r="BI278" s="215" t="str">
        <f t="shared" si="317"/>
        <v/>
      </c>
      <c r="BJ278" s="215">
        <f t="shared" si="318"/>
        <v>149</v>
      </c>
      <c r="BK278" s="215">
        <f t="shared" si="319"/>
        <v>124</v>
      </c>
      <c r="BL278" s="215">
        <f t="shared" si="320"/>
        <v>190</v>
      </c>
      <c r="BM278" s="215">
        <f t="shared" si="321"/>
        <v>165</v>
      </c>
      <c r="BN278" s="215">
        <f t="shared" si="322"/>
        <v>119</v>
      </c>
      <c r="BO278" s="215">
        <f t="shared" si="323"/>
        <v>173</v>
      </c>
      <c r="BP278" s="215">
        <f t="shared" si="324"/>
        <v>153</v>
      </c>
      <c r="BQ278" s="216"/>
      <c r="BR278" s="214"/>
      <c r="BS278" s="215">
        <f t="shared" ref="BS278:BS288" si="332">MAX(BH278:BP278)</f>
        <v>190</v>
      </c>
      <c r="BT278" s="215">
        <f t="shared" ref="BT278:BT288" si="333">IF(BS278&lt;MAX(BS:BS),0,BS278+ROW()/1000000000)</f>
        <v>0</v>
      </c>
      <c r="BU278" s="215" t="str">
        <f t="shared" ref="BU278:BU288" si="334">+BU277</f>
        <v>BK München 4</v>
      </c>
      <c r="BV278" s="214">
        <f t="shared" ref="BV278:BV288" si="335">RANK(BT278,BT:BT)</f>
        <v>2</v>
      </c>
      <c r="BW278" s="215">
        <f t="shared" ref="BW278:BW288" si="336">SUMIF(BH278:BP278,"&gt;0")</f>
        <v>1073</v>
      </c>
      <c r="BX278" s="215">
        <f>IF(COUNTIF(BH278:BP278,"&gt;0")&lt;Spielorte!$A$23,0,BE278/Spielorte!$A$23)</f>
        <v>0</v>
      </c>
      <c r="BY278" s="215">
        <f t="shared" ref="BY278:BY288" si="337">IF(BX278&lt;MAX(BX:BX),0,BX278+ROW()/1000000000)</f>
        <v>0</v>
      </c>
      <c r="BZ278" s="214">
        <f t="shared" si="325"/>
        <v>0</v>
      </c>
    </row>
    <row r="279" spans="1:78" ht="17.2" customHeight="1" thickBot="1" x14ac:dyDescent="0.4">
      <c r="A279" s="369"/>
      <c r="B279" s="79" t="str">
        <f t="shared" si="326"/>
        <v/>
      </c>
      <c r="C279" s="80" t="str">
        <f t="shared" si="326"/>
        <v/>
      </c>
      <c r="D279" s="69" t="str">
        <f t="shared" si="326"/>
        <v/>
      </c>
      <c r="E279" s="350"/>
      <c r="F279" s="69" t="str">
        <f t="shared" si="307"/>
        <v/>
      </c>
      <c r="G279" s="350"/>
      <c r="H279" s="69" t="str">
        <f t="shared" si="308"/>
        <v/>
      </c>
      <c r="I279" s="350"/>
      <c r="J279" s="69" t="str">
        <f t="shared" si="309"/>
        <v/>
      </c>
      <c r="K279" s="350"/>
      <c r="L279" s="69" t="str">
        <f t="shared" si="310"/>
        <v/>
      </c>
      <c r="M279" s="350"/>
      <c r="N279" s="69" t="str">
        <f t="shared" si="327"/>
        <v/>
      </c>
      <c r="O279" s="350"/>
      <c r="P279" s="69" t="str">
        <f t="shared" si="311"/>
        <v/>
      </c>
      <c r="Q279" s="350"/>
      <c r="R279" s="69" t="str">
        <f t="shared" si="312"/>
        <v/>
      </c>
      <c r="S279" s="350"/>
      <c r="T279" s="69" t="str">
        <f t="shared" si="313"/>
        <v/>
      </c>
      <c r="U279" s="350"/>
      <c r="V279" s="69" t="str">
        <f t="shared" si="314"/>
        <v/>
      </c>
      <c r="W279" s="350"/>
      <c r="Z279" s="353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15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28"/>
        <v>0</v>
      </c>
      <c r="BE279" s="213">
        <f t="shared" si="329"/>
        <v>0</v>
      </c>
      <c r="BF279" s="215">
        <f t="shared" si="330"/>
        <v>0</v>
      </c>
      <c r="BG279" s="215">
        <f t="shared" si="331"/>
        <v>0</v>
      </c>
      <c r="BH279" s="215" t="str">
        <f t="shared" si="316"/>
        <v/>
      </c>
      <c r="BI279" s="215" t="str">
        <f t="shared" si="317"/>
        <v/>
      </c>
      <c r="BJ279" s="215" t="str">
        <f t="shared" si="318"/>
        <v/>
      </c>
      <c r="BK279" s="215" t="str">
        <f t="shared" si="319"/>
        <v/>
      </c>
      <c r="BL279" s="215" t="str">
        <f t="shared" si="320"/>
        <v/>
      </c>
      <c r="BM279" s="215" t="str">
        <f t="shared" si="321"/>
        <v/>
      </c>
      <c r="BN279" s="215" t="str">
        <f t="shared" si="322"/>
        <v/>
      </c>
      <c r="BO279" s="215" t="str">
        <f t="shared" si="323"/>
        <v/>
      </c>
      <c r="BP279" s="215" t="str">
        <f t="shared" si="324"/>
        <v/>
      </c>
      <c r="BQ279" s="216"/>
      <c r="BR279" s="214"/>
      <c r="BS279" s="215">
        <f t="shared" si="332"/>
        <v>0</v>
      </c>
      <c r="BT279" s="215">
        <f t="shared" si="333"/>
        <v>0</v>
      </c>
      <c r="BU279" s="215" t="str">
        <f t="shared" si="334"/>
        <v>BK München 4</v>
      </c>
      <c r="BV279" s="214">
        <f t="shared" si="335"/>
        <v>2</v>
      </c>
      <c r="BW279" s="215">
        <f t="shared" si="336"/>
        <v>0</v>
      </c>
      <c r="BX279" s="215">
        <f>IF(COUNTIF(BH279:BP279,"&gt;0")&lt;Spielorte!$A$23,0,BE279/Spielorte!$A$23)</f>
        <v>0</v>
      </c>
      <c r="BY279" s="215">
        <f t="shared" si="337"/>
        <v>0</v>
      </c>
      <c r="BZ279" s="214">
        <f t="shared" si="325"/>
        <v>0</v>
      </c>
    </row>
    <row r="280" spans="1:78" ht="17.2" customHeight="1" x14ac:dyDescent="0.35">
      <c r="A280" s="367" t="s">
        <v>2</v>
      </c>
      <c r="B280" s="73" t="str">
        <f t="shared" si="326"/>
        <v>Laub, Angela</v>
      </c>
      <c r="C280" s="74">
        <f t="shared" si="326"/>
        <v>7576</v>
      </c>
      <c r="D280" s="75">
        <f t="shared" si="326"/>
        <v>149</v>
      </c>
      <c r="E280" s="348">
        <f>IF(AD280="","",AD280)</f>
        <v>0</v>
      </c>
      <c r="F280" s="75">
        <f t="shared" si="307"/>
        <v>212</v>
      </c>
      <c r="G280" s="348">
        <f>IF(AF280="","",AF280)</f>
        <v>1</v>
      </c>
      <c r="H280" s="75">
        <f t="shared" si="308"/>
        <v>168</v>
      </c>
      <c r="I280" s="348">
        <f>IF(AH280="","",AH280)</f>
        <v>0</v>
      </c>
      <c r="J280" s="75">
        <f t="shared" si="309"/>
        <v>181</v>
      </c>
      <c r="K280" s="348">
        <f>IF(AJ280="","",AJ280)</f>
        <v>1</v>
      </c>
      <c r="L280" s="75">
        <f t="shared" si="310"/>
        <v>158</v>
      </c>
      <c r="M280" s="348">
        <f>IF(AL280="","",AL280)</f>
        <v>0</v>
      </c>
      <c r="N280" s="75">
        <f t="shared" si="327"/>
        <v>190</v>
      </c>
      <c r="O280" s="348">
        <f>IF(AN280="","",AN280)</f>
        <v>1</v>
      </c>
      <c r="P280" s="75" t="str">
        <f t="shared" si="311"/>
        <v/>
      </c>
      <c r="Q280" s="348">
        <f>IF(AP280="","",AP280)</f>
        <v>1</v>
      </c>
      <c r="R280" s="75" t="str">
        <f t="shared" si="312"/>
        <v/>
      </c>
      <c r="S280" s="348">
        <f>IF(AR280="","",AR280)</f>
        <v>0</v>
      </c>
      <c r="T280" s="75" t="str">
        <f t="shared" si="313"/>
        <v/>
      </c>
      <c r="U280" s="348">
        <f>IF(AT280="","",AT280)</f>
        <v>0</v>
      </c>
      <c r="V280" s="75">
        <f t="shared" si="314"/>
        <v>1058</v>
      </c>
      <c r="W280" s="348">
        <f>IF(AV280="","",AV280)</f>
        <v>4</v>
      </c>
      <c r="Z280" s="351" t="s">
        <v>2</v>
      </c>
      <c r="AA280" s="108" t="str">
        <f>IF(AB280=0,"",VLOOKUP(AB280,Starter!$A$1:$D$199,2,FALSE))</f>
        <v>Laub, Angela</v>
      </c>
      <c r="AB280" s="99">
        <v>7576</v>
      </c>
      <c r="AC280" s="188">
        <v>149</v>
      </c>
      <c r="AD280" s="109">
        <f>IF(SUM(AC280:AC282)+AC296=0,0,IF(SUM(AC280:AC282)=AC296,0.5,IF(SUM(AC280:AC282)&gt;AC296,1,0)))</f>
        <v>0</v>
      </c>
      <c r="AE280" s="188">
        <v>212</v>
      </c>
      <c r="AF280" s="109">
        <f>IF(SUM(AE280:AE282)+AE296=0,0,IF(SUM(AE280:AE282)=AE296,0.5,IF(SUM(AE280:AE282)&gt;AE296,1,0)))</f>
        <v>1</v>
      </c>
      <c r="AG280" s="188">
        <v>168</v>
      </c>
      <c r="AH280" s="109">
        <f>IF(SUM(AG280:AG282)+AG296=0,0,IF(SUM(AG280:AG282)=AG296,0.5,IF(SUM(AG280:AG282)&gt;AG296,1,0)))</f>
        <v>0</v>
      </c>
      <c r="AI280" s="188">
        <v>181</v>
      </c>
      <c r="AJ280" s="109">
        <f>IF(SUM(AI280:AI282)+AI296=0,0,IF(SUM(AI280:AI282)=AI296,0.5,IF(SUM(AI280:AI282)&gt;AI296,1,0)))</f>
        <v>1</v>
      </c>
      <c r="AK280" s="188">
        <v>158</v>
      </c>
      <c r="AL280" s="109">
        <f>IF(SUM(AK280:AK282)+AK296=0,0,IF(SUM(AK280:AK282)=AK296,0.5,IF(SUM(AK280:AK282)&gt;AK296,1,0)))</f>
        <v>0</v>
      </c>
      <c r="AM280" s="188">
        <v>190</v>
      </c>
      <c r="AN280" s="109">
        <f>IF(SUM(AM280:AM282)+AM296=0,0,IF(SUM(AM280:AM282)=AM296,0.5,IF(SUM(AM280:AM282)&gt;AM296,1,0)))</f>
        <v>1</v>
      </c>
      <c r="AO280" s="188"/>
      <c r="AP280" s="109">
        <f>IF(SUM(AO280:AO282)+AO296=0,0,IF(SUM(AO280:AO282)=AO296,0.5,IF(SUM(AO280:AO282)&gt;AO296,1,0)))</f>
        <v>1</v>
      </c>
      <c r="AQ280" s="188"/>
      <c r="AR280" s="109">
        <f>IF(SUM(AQ280:AQ282)+AQ296=0,0,IF(SUM(AQ280:AQ282)=AQ296,0.5,IF(SUM(AQ280:AQ282)&gt;AQ296,1,0)))</f>
        <v>0</v>
      </c>
      <c r="AS280" s="188"/>
      <c r="AT280" s="109">
        <f>IF(SUM(AS280:AS282)+AS296=0,0,IF(SUM(AS280:AS282)=AS296,0.5,IF(SUM(AS280:AS282)&gt;AS296,1,0)))</f>
        <v>0</v>
      </c>
      <c r="AU280" s="110">
        <f t="shared" si="315"/>
        <v>1058</v>
      </c>
      <c r="AV280" s="111">
        <f>SUM(AD280+AF280+AH280+AJ280+AL280+AN280+AP280+AR280+AT280)</f>
        <v>4</v>
      </c>
      <c r="AW280" s="101"/>
      <c r="AX280" s="102"/>
      <c r="AZ280" s="63"/>
      <c r="BA280" s="212"/>
      <c r="BB280" s="213"/>
      <c r="BC280" s="214"/>
      <c r="BD280" s="217">
        <f t="shared" si="328"/>
        <v>7576</v>
      </c>
      <c r="BE280" s="213">
        <f t="shared" si="329"/>
        <v>1058</v>
      </c>
      <c r="BF280" s="215">
        <f t="shared" si="330"/>
        <v>6</v>
      </c>
      <c r="BG280" s="215">
        <f t="shared" si="331"/>
        <v>6</v>
      </c>
      <c r="BH280" s="215">
        <f t="shared" si="316"/>
        <v>149</v>
      </c>
      <c r="BI280" s="215">
        <f t="shared" si="317"/>
        <v>212</v>
      </c>
      <c r="BJ280" s="215">
        <f t="shared" si="318"/>
        <v>168</v>
      </c>
      <c r="BK280" s="215">
        <f t="shared" si="319"/>
        <v>181</v>
      </c>
      <c r="BL280" s="215">
        <f t="shared" si="320"/>
        <v>158</v>
      </c>
      <c r="BM280" s="215">
        <f t="shared" si="321"/>
        <v>190</v>
      </c>
      <c r="BN280" s="215" t="str">
        <f t="shared" si="322"/>
        <v/>
      </c>
      <c r="BO280" s="215" t="str">
        <f t="shared" si="323"/>
        <v/>
      </c>
      <c r="BP280" s="215" t="str">
        <f t="shared" si="324"/>
        <v/>
      </c>
      <c r="BQ280" s="216"/>
      <c r="BR280" s="214"/>
      <c r="BS280" s="215">
        <f t="shared" si="332"/>
        <v>212</v>
      </c>
      <c r="BT280" s="215">
        <f t="shared" si="333"/>
        <v>0</v>
      </c>
      <c r="BU280" s="215" t="str">
        <f t="shared" si="334"/>
        <v>BK München 4</v>
      </c>
      <c r="BV280" s="214">
        <f t="shared" si="335"/>
        <v>2</v>
      </c>
      <c r="BW280" s="215">
        <f t="shared" si="336"/>
        <v>1058</v>
      </c>
      <c r="BX280" s="215">
        <f>IF(COUNTIF(BH280:BP280,"&gt;0")&lt;Spielorte!$A$23,0,BE280/Spielorte!$A$23)</f>
        <v>0</v>
      </c>
      <c r="BY280" s="215">
        <f t="shared" si="337"/>
        <v>0</v>
      </c>
      <c r="BZ280" s="214">
        <f t="shared" si="325"/>
        <v>0</v>
      </c>
    </row>
    <row r="281" spans="1:78" ht="17.2" customHeight="1" x14ac:dyDescent="0.35">
      <c r="A281" s="368"/>
      <c r="B281" s="76" t="str">
        <f t="shared" si="326"/>
        <v>Müller, Angelika</v>
      </c>
      <c r="C281" s="77">
        <f t="shared" si="326"/>
        <v>12850</v>
      </c>
      <c r="D281" s="78" t="str">
        <f t="shared" si="326"/>
        <v/>
      </c>
      <c r="E281" s="349"/>
      <c r="F281" s="78" t="str">
        <f t="shared" si="307"/>
        <v/>
      </c>
      <c r="G281" s="349"/>
      <c r="H281" s="78" t="str">
        <f t="shared" si="308"/>
        <v/>
      </c>
      <c r="I281" s="349"/>
      <c r="J281" s="78" t="str">
        <f t="shared" si="309"/>
        <v/>
      </c>
      <c r="K281" s="349"/>
      <c r="L281" s="78" t="str">
        <f t="shared" si="310"/>
        <v/>
      </c>
      <c r="M281" s="349"/>
      <c r="N281" s="78" t="str">
        <f t="shared" si="327"/>
        <v/>
      </c>
      <c r="O281" s="349"/>
      <c r="P281" s="78">
        <f t="shared" si="311"/>
        <v>128</v>
      </c>
      <c r="Q281" s="349"/>
      <c r="R281" s="78">
        <f t="shared" si="312"/>
        <v>152</v>
      </c>
      <c r="S281" s="349"/>
      <c r="T281" s="78">
        <f t="shared" si="313"/>
        <v>153</v>
      </c>
      <c r="U281" s="349"/>
      <c r="V281" s="78">
        <f t="shared" si="314"/>
        <v>433</v>
      </c>
      <c r="W281" s="349"/>
      <c r="Z281" s="352"/>
      <c r="AA281" s="108" t="str">
        <f>IF(AB281=0,"",VLOOKUP(AB281,Starter!$A$1:$D$199,2,FALSE))</f>
        <v>Müller, Angelika</v>
      </c>
      <c r="AB281" s="98">
        <v>12850</v>
      </c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>
        <v>128</v>
      </c>
      <c r="AP281" s="112"/>
      <c r="AQ281" s="190">
        <v>152</v>
      </c>
      <c r="AR281" s="112"/>
      <c r="AS281" s="190">
        <v>153</v>
      </c>
      <c r="AT281" s="112"/>
      <c r="AU281" s="113">
        <f t="shared" si="315"/>
        <v>433</v>
      </c>
      <c r="AV281" s="114"/>
      <c r="AW281" s="101"/>
      <c r="AX281" s="102"/>
      <c r="AZ281" s="63"/>
      <c r="BA281" s="212"/>
      <c r="BB281" s="213"/>
      <c r="BC281" s="214"/>
      <c r="BD281" s="217">
        <f t="shared" si="328"/>
        <v>12850</v>
      </c>
      <c r="BE281" s="213">
        <f t="shared" si="329"/>
        <v>433</v>
      </c>
      <c r="BF281" s="215">
        <f t="shared" si="330"/>
        <v>3</v>
      </c>
      <c r="BG281" s="215">
        <f t="shared" si="331"/>
        <v>3</v>
      </c>
      <c r="BH281" s="215" t="str">
        <f t="shared" si="316"/>
        <v/>
      </c>
      <c r="BI281" s="215" t="str">
        <f t="shared" si="317"/>
        <v/>
      </c>
      <c r="BJ281" s="215" t="str">
        <f t="shared" si="318"/>
        <v/>
      </c>
      <c r="BK281" s="215" t="str">
        <f t="shared" si="319"/>
        <v/>
      </c>
      <c r="BL281" s="215" t="str">
        <f t="shared" si="320"/>
        <v/>
      </c>
      <c r="BM281" s="215" t="str">
        <f t="shared" si="321"/>
        <v/>
      </c>
      <c r="BN281" s="215">
        <f t="shared" si="322"/>
        <v>128</v>
      </c>
      <c r="BO281" s="215">
        <f t="shared" si="323"/>
        <v>152</v>
      </c>
      <c r="BP281" s="215">
        <f t="shared" si="324"/>
        <v>153</v>
      </c>
      <c r="BQ281" s="216"/>
      <c r="BR281" s="214"/>
      <c r="BS281" s="215">
        <f t="shared" si="332"/>
        <v>153</v>
      </c>
      <c r="BT281" s="215">
        <f t="shared" si="333"/>
        <v>0</v>
      </c>
      <c r="BU281" s="215" t="str">
        <f t="shared" si="334"/>
        <v>BK München 4</v>
      </c>
      <c r="BV281" s="214">
        <f t="shared" si="335"/>
        <v>2</v>
      </c>
      <c r="BW281" s="215">
        <f t="shared" si="336"/>
        <v>433</v>
      </c>
      <c r="BX281" s="215">
        <f>IF(COUNTIF(BH281:BP281,"&gt;0")&lt;Spielorte!$A$23,0,BE281/Spielorte!$A$23)</f>
        <v>0</v>
      </c>
      <c r="BY281" s="215">
        <f t="shared" si="337"/>
        <v>0</v>
      </c>
      <c r="BZ281" s="214">
        <f t="shared" si="325"/>
        <v>0</v>
      </c>
    </row>
    <row r="282" spans="1:78" ht="17.2" customHeight="1" thickBot="1" x14ac:dyDescent="0.4">
      <c r="A282" s="369"/>
      <c r="B282" s="79" t="str">
        <f t="shared" si="326"/>
        <v/>
      </c>
      <c r="C282" s="80" t="str">
        <f t="shared" si="326"/>
        <v/>
      </c>
      <c r="D282" s="69" t="str">
        <f t="shared" si="326"/>
        <v/>
      </c>
      <c r="E282" s="350"/>
      <c r="F282" s="69" t="str">
        <f t="shared" si="307"/>
        <v/>
      </c>
      <c r="G282" s="350"/>
      <c r="H282" s="69" t="str">
        <f t="shared" si="308"/>
        <v/>
      </c>
      <c r="I282" s="350"/>
      <c r="J282" s="69" t="str">
        <f t="shared" si="309"/>
        <v/>
      </c>
      <c r="K282" s="350"/>
      <c r="L282" s="69" t="str">
        <f t="shared" si="310"/>
        <v/>
      </c>
      <c r="M282" s="350"/>
      <c r="N282" s="69" t="str">
        <f t="shared" si="327"/>
        <v/>
      </c>
      <c r="O282" s="350"/>
      <c r="P282" s="69" t="str">
        <f t="shared" si="311"/>
        <v/>
      </c>
      <c r="Q282" s="350"/>
      <c r="R282" s="69" t="str">
        <f t="shared" si="312"/>
        <v/>
      </c>
      <c r="S282" s="350"/>
      <c r="T282" s="69" t="str">
        <f t="shared" si="313"/>
        <v/>
      </c>
      <c r="U282" s="350"/>
      <c r="V282" s="69" t="str">
        <f t="shared" si="314"/>
        <v/>
      </c>
      <c r="W282" s="350"/>
      <c r="Z282" s="353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15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28"/>
        <v>0</v>
      </c>
      <c r="BE282" s="213">
        <f t="shared" si="329"/>
        <v>0</v>
      </c>
      <c r="BF282" s="215">
        <f t="shared" si="330"/>
        <v>0</v>
      </c>
      <c r="BG282" s="215">
        <f t="shared" si="331"/>
        <v>0</v>
      </c>
      <c r="BH282" s="215" t="str">
        <f t="shared" si="316"/>
        <v/>
      </c>
      <c r="BI282" s="215" t="str">
        <f t="shared" si="317"/>
        <v/>
      </c>
      <c r="BJ282" s="215" t="str">
        <f t="shared" si="318"/>
        <v/>
      </c>
      <c r="BK282" s="215" t="str">
        <f t="shared" si="319"/>
        <v/>
      </c>
      <c r="BL282" s="215" t="str">
        <f t="shared" si="320"/>
        <v/>
      </c>
      <c r="BM282" s="215" t="str">
        <f t="shared" si="321"/>
        <v/>
      </c>
      <c r="BN282" s="215" t="str">
        <f t="shared" si="322"/>
        <v/>
      </c>
      <c r="BO282" s="215" t="str">
        <f t="shared" si="323"/>
        <v/>
      </c>
      <c r="BP282" s="215" t="str">
        <f t="shared" si="324"/>
        <v/>
      </c>
      <c r="BQ282" s="216"/>
      <c r="BR282" s="214"/>
      <c r="BS282" s="215">
        <f t="shared" si="332"/>
        <v>0</v>
      </c>
      <c r="BT282" s="215">
        <f t="shared" si="333"/>
        <v>0</v>
      </c>
      <c r="BU282" s="215" t="str">
        <f t="shared" si="334"/>
        <v>BK München 4</v>
      </c>
      <c r="BV282" s="214">
        <f t="shared" si="335"/>
        <v>2</v>
      </c>
      <c r="BW282" s="215">
        <f t="shared" si="336"/>
        <v>0</v>
      </c>
      <c r="BX282" s="215">
        <f>IF(COUNTIF(BH282:BP282,"&gt;0")&lt;Spielorte!$A$23,0,BE282/Spielorte!$A$23)</f>
        <v>0</v>
      </c>
      <c r="BY282" s="215">
        <f t="shared" si="337"/>
        <v>0</v>
      </c>
      <c r="BZ282" s="214">
        <f t="shared" si="325"/>
        <v>0</v>
      </c>
    </row>
    <row r="283" spans="1:78" ht="17.2" customHeight="1" x14ac:dyDescent="0.35">
      <c r="A283" s="367" t="s">
        <v>3</v>
      </c>
      <c r="B283" s="73" t="str">
        <f t="shared" si="326"/>
        <v>Müller, Angelika</v>
      </c>
      <c r="C283" s="74">
        <f t="shared" si="326"/>
        <v>12850</v>
      </c>
      <c r="D283" s="75">
        <f t="shared" si="326"/>
        <v>158</v>
      </c>
      <c r="E283" s="348">
        <f>IF(AD283="","",AD283)</f>
        <v>0</v>
      </c>
      <c r="F283" s="75">
        <f t="shared" si="307"/>
        <v>190</v>
      </c>
      <c r="G283" s="348">
        <f>IF(AF283="","",AF283)</f>
        <v>1</v>
      </c>
      <c r="H283" s="75">
        <f t="shared" si="308"/>
        <v>133</v>
      </c>
      <c r="I283" s="348">
        <f>IF(AH283="","",AH283)</f>
        <v>0</v>
      </c>
      <c r="J283" s="75" t="str">
        <f t="shared" si="309"/>
        <v/>
      </c>
      <c r="K283" s="348">
        <f>IF(AJ283="","",AJ283)</f>
        <v>1</v>
      </c>
      <c r="L283" s="75" t="str">
        <f t="shared" si="310"/>
        <v/>
      </c>
      <c r="M283" s="348">
        <f>IF(AL283="","",AL283)</f>
        <v>1</v>
      </c>
      <c r="N283" s="75" t="str">
        <f t="shared" si="327"/>
        <v/>
      </c>
      <c r="O283" s="348">
        <f>IF(AN283="","",AN283)</f>
        <v>1</v>
      </c>
      <c r="P283" s="75" t="str">
        <f t="shared" si="311"/>
        <v/>
      </c>
      <c r="Q283" s="348">
        <f>IF(AP283="","",AP283)</f>
        <v>1</v>
      </c>
      <c r="R283" s="75" t="str">
        <f t="shared" si="312"/>
        <v/>
      </c>
      <c r="S283" s="348">
        <f>IF(AR283="","",AR283)</f>
        <v>0</v>
      </c>
      <c r="T283" s="75" t="str">
        <f t="shared" si="313"/>
        <v/>
      </c>
      <c r="U283" s="348">
        <f>IF(AT283="","",AT283)</f>
        <v>1</v>
      </c>
      <c r="V283" s="75">
        <f t="shared" si="314"/>
        <v>481</v>
      </c>
      <c r="W283" s="348">
        <f>IF(AV283="","",AV283)</f>
        <v>6</v>
      </c>
      <c r="Z283" s="351" t="s">
        <v>3</v>
      </c>
      <c r="AA283" s="108" t="str">
        <f>IF(AB283=0,"",VLOOKUP(AB283,Starter!$A$1:$D$199,2,FALSE))</f>
        <v>Müller, Angelika</v>
      </c>
      <c r="AB283" s="99">
        <v>12850</v>
      </c>
      <c r="AC283" s="188">
        <v>158</v>
      </c>
      <c r="AD283" s="109">
        <f>IF(SUM(AC283:AC285)+AC297=0,0,IF(SUM(AC283:AC285)=AC297,0.5,IF(SUM(AC283:AC285)&gt;AC297,1,0)))</f>
        <v>0</v>
      </c>
      <c r="AE283" s="188">
        <v>190</v>
      </c>
      <c r="AF283" s="109">
        <f>IF(SUM(AE283:AE285)+AE297=0,0,IF(SUM(AE283:AE285)=AE297,0.5,IF(SUM(AE283:AE285)&gt;AE297,1,0)))</f>
        <v>1</v>
      </c>
      <c r="AG283" s="188">
        <v>133</v>
      </c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1</v>
      </c>
      <c r="AK283" s="188"/>
      <c r="AL283" s="109">
        <f>IF(SUM(AK283:AK285)+AK297=0,0,IF(SUM(AK283:AK285)=AK297,0.5,IF(SUM(AK283:AK285)&gt;AK297,1,0)))</f>
        <v>1</v>
      </c>
      <c r="AM283" s="188"/>
      <c r="AN283" s="109">
        <f>IF(SUM(AM283:AM285)+AM297=0,0,IF(SUM(AM283:AM285)=AM297,0.5,IF(SUM(AM283:AM285)&gt;AM297,1,0)))</f>
        <v>1</v>
      </c>
      <c r="AO283" s="188"/>
      <c r="AP283" s="109">
        <f>IF(SUM(AO283:AO285)+AO297=0,0,IF(SUM(AO283:AO285)=AO297,0.5,IF(SUM(AO283:AO285)&gt;AO297,1,0)))</f>
        <v>1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1</v>
      </c>
      <c r="AU283" s="110">
        <f t="shared" si="315"/>
        <v>481</v>
      </c>
      <c r="AV283" s="111">
        <f>SUM(AD283+AF283+AH283+AJ283+AL283+AN283+AP283+AR283+AT283)</f>
        <v>6</v>
      </c>
      <c r="AW283" s="101"/>
      <c r="AX283" s="102"/>
      <c r="AZ283" s="63"/>
      <c r="BA283" s="212"/>
      <c r="BB283" s="213"/>
      <c r="BC283" s="214"/>
      <c r="BD283" s="217">
        <f t="shared" si="328"/>
        <v>12850</v>
      </c>
      <c r="BE283" s="213">
        <f t="shared" si="329"/>
        <v>481</v>
      </c>
      <c r="BF283" s="215">
        <f t="shared" si="330"/>
        <v>3</v>
      </c>
      <c r="BG283" s="215">
        <f t="shared" si="331"/>
        <v>3</v>
      </c>
      <c r="BH283" s="215">
        <f t="shared" si="316"/>
        <v>158</v>
      </c>
      <c r="BI283" s="215">
        <f t="shared" si="317"/>
        <v>190</v>
      </c>
      <c r="BJ283" s="215">
        <f t="shared" si="318"/>
        <v>133</v>
      </c>
      <c r="BK283" s="215" t="str">
        <f t="shared" si="319"/>
        <v/>
      </c>
      <c r="BL283" s="215" t="str">
        <f t="shared" si="320"/>
        <v/>
      </c>
      <c r="BM283" s="215" t="str">
        <f t="shared" si="321"/>
        <v/>
      </c>
      <c r="BN283" s="215" t="str">
        <f t="shared" si="322"/>
        <v/>
      </c>
      <c r="BO283" s="215" t="str">
        <f t="shared" si="323"/>
        <v/>
      </c>
      <c r="BP283" s="215" t="str">
        <f t="shared" si="324"/>
        <v/>
      </c>
      <c r="BQ283" s="216"/>
      <c r="BR283" s="214"/>
      <c r="BS283" s="215">
        <f t="shared" si="332"/>
        <v>190</v>
      </c>
      <c r="BT283" s="215">
        <f t="shared" si="333"/>
        <v>0</v>
      </c>
      <c r="BU283" s="215" t="str">
        <f t="shared" si="334"/>
        <v>BK München 4</v>
      </c>
      <c r="BV283" s="214">
        <f t="shared" si="335"/>
        <v>2</v>
      </c>
      <c r="BW283" s="215">
        <f t="shared" si="336"/>
        <v>481</v>
      </c>
      <c r="BX283" s="215">
        <f>IF(COUNTIF(BH283:BP283,"&gt;0")&lt;Spielorte!$A$23,0,BE283/Spielorte!$A$23)</f>
        <v>0</v>
      </c>
      <c r="BY283" s="215">
        <f t="shared" si="337"/>
        <v>0</v>
      </c>
      <c r="BZ283" s="214">
        <f t="shared" si="325"/>
        <v>0</v>
      </c>
    </row>
    <row r="284" spans="1:78" ht="17.2" customHeight="1" x14ac:dyDescent="0.35">
      <c r="A284" s="368"/>
      <c r="B284" s="76" t="str">
        <f t="shared" si="326"/>
        <v>Hinterwimmer, Sabine</v>
      </c>
      <c r="C284" s="77">
        <f t="shared" si="326"/>
        <v>7578</v>
      </c>
      <c r="D284" s="78" t="str">
        <f t="shared" si="326"/>
        <v/>
      </c>
      <c r="E284" s="349"/>
      <c r="F284" s="78" t="str">
        <f t="shared" si="307"/>
        <v/>
      </c>
      <c r="G284" s="349"/>
      <c r="H284" s="78" t="str">
        <f t="shared" si="308"/>
        <v/>
      </c>
      <c r="I284" s="349"/>
      <c r="J284" s="78">
        <f t="shared" si="309"/>
        <v>192</v>
      </c>
      <c r="K284" s="349"/>
      <c r="L284" s="78">
        <f t="shared" si="310"/>
        <v>203</v>
      </c>
      <c r="M284" s="349"/>
      <c r="N284" s="78">
        <f t="shared" si="327"/>
        <v>182</v>
      </c>
      <c r="O284" s="349"/>
      <c r="P284" s="78">
        <f t="shared" si="311"/>
        <v>204</v>
      </c>
      <c r="Q284" s="349"/>
      <c r="R284" s="78">
        <f t="shared" si="312"/>
        <v>158</v>
      </c>
      <c r="S284" s="349"/>
      <c r="T284" s="78">
        <f t="shared" si="313"/>
        <v>172</v>
      </c>
      <c r="U284" s="349"/>
      <c r="V284" s="78">
        <f t="shared" si="314"/>
        <v>1111</v>
      </c>
      <c r="W284" s="349"/>
      <c r="Z284" s="352"/>
      <c r="AA284" s="108" t="str">
        <f>IF(AB284=0,"",VLOOKUP(AB284,Starter!$A$1:$D$199,2,FALSE))</f>
        <v>Hinterwimmer, Sabine</v>
      </c>
      <c r="AB284" s="98">
        <v>7578</v>
      </c>
      <c r="AC284" s="186"/>
      <c r="AD284" s="112"/>
      <c r="AE284" s="186"/>
      <c r="AF284" s="112"/>
      <c r="AG284" s="186"/>
      <c r="AH284" s="112"/>
      <c r="AI284" s="186">
        <v>192</v>
      </c>
      <c r="AJ284" s="112"/>
      <c r="AK284" s="186">
        <v>203</v>
      </c>
      <c r="AL284" s="112"/>
      <c r="AM284" s="186">
        <v>182</v>
      </c>
      <c r="AN284" s="112"/>
      <c r="AO284" s="186">
        <v>204</v>
      </c>
      <c r="AP284" s="112"/>
      <c r="AQ284" s="186">
        <v>158</v>
      </c>
      <c r="AR284" s="112"/>
      <c r="AS284" s="186">
        <v>172</v>
      </c>
      <c r="AT284" s="112"/>
      <c r="AU284" s="113">
        <f t="shared" si="315"/>
        <v>1111</v>
      </c>
      <c r="AV284" s="114"/>
      <c r="AW284" s="101"/>
      <c r="AX284" s="102"/>
      <c r="AZ284" s="63"/>
      <c r="BA284" s="212"/>
      <c r="BB284" s="213"/>
      <c r="BC284" s="214"/>
      <c r="BD284" s="217">
        <f t="shared" si="328"/>
        <v>7578</v>
      </c>
      <c r="BE284" s="213">
        <f t="shared" si="329"/>
        <v>1111</v>
      </c>
      <c r="BF284" s="215">
        <f t="shared" si="330"/>
        <v>6</v>
      </c>
      <c r="BG284" s="215">
        <f t="shared" si="331"/>
        <v>6</v>
      </c>
      <c r="BH284" s="215" t="str">
        <f t="shared" si="316"/>
        <v/>
      </c>
      <c r="BI284" s="215" t="str">
        <f t="shared" si="317"/>
        <v/>
      </c>
      <c r="BJ284" s="215" t="str">
        <f t="shared" si="318"/>
        <v/>
      </c>
      <c r="BK284" s="215">
        <f t="shared" si="319"/>
        <v>192</v>
      </c>
      <c r="BL284" s="215">
        <f t="shared" si="320"/>
        <v>203</v>
      </c>
      <c r="BM284" s="215">
        <f t="shared" si="321"/>
        <v>182</v>
      </c>
      <c r="BN284" s="215">
        <f t="shared" si="322"/>
        <v>204</v>
      </c>
      <c r="BO284" s="215">
        <f t="shared" si="323"/>
        <v>158</v>
      </c>
      <c r="BP284" s="215">
        <f t="shared" si="324"/>
        <v>172</v>
      </c>
      <c r="BQ284" s="216"/>
      <c r="BR284" s="214"/>
      <c r="BS284" s="215">
        <f t="shared" si="332"/>
        <v>204</v>
      </c>
      <c r="BT284" s="215">
        <f t="shared" si="333"/>
        <v>0</v>
      </c>
      <c r="BU284" s="215" t="str">
        <f t="shared" si="334"/>
        <v>BK München 4</v>
      </c>
      <c r="BV284" s="214">
        <f t="shared" si="335"/>
        <v>2</v>
      </c>
      <c r="BW284" s="215">
        <f t="shared" si="336"/>
        <v>1111</v>
      </c>
      <c r="BX284" s="215">
        <f>IF(COUNTIF(BH284:BP284,"&gt;0")&lt;Spielorte!$A$23,0,BE284/Spielorte!$A$23)</f>
        <v>0</v>
      </c>
      <c r="BY284" s="215">
        <f t="shared" si="337"/>
        <v>0</v>
      </c>
      <c r="BZ284" s="214">
        <f t="shared" si="325"/>
        <v>0</v>
      </c>
    </row>
    <row r="285" spans="1:78" ht="17.2" customHeight="1" thickBot="1" x14ac:dyDescent="0.4">
      <c r="A285" s="369"/>
      <c r="B285" s="79" t="str">
        <f t="shared" si="326"/>
        <v/>
      </c>
      <c r="C285" s="80" t="str">
        <f t="shared" si="326"/>
        <v/>
      </c>
      <c r="D285" s="69" t="str">
        <f t="shared" si="326"/>
        <v/>
      </c>
      <c r="E285" s="350"/>
      <c r="F285" s="69" t="str">
        <f t="shared" si="307"/>
        <v/>
      </c>
      <c r="G285" s="350"/>
      <c r="H285" s="69" t="str">
        <f t="shared" si="308"/>
        <v/>
      </c>
      <c r="I285" s="350"/>
      <c r="J285" s="69" t="str">
        <f t="shared" si="309"/>
        <v/>
      </c>
      <c r="K285" s="350"/>
      <c r="L285" s="69" t="str">
        <f t="shared" si="310"/>
        <v/>
      </c>
      <c r="M285" s="350"/>
      <c r="N285" s="69" t="str">
        <f t="shared" si="327"/>
        <v/>
      </c>
      <c r="O285" s="350"/>
      <c r="P285" s="69" t="str">
        <f t="shared" si="311"/>
        <v/>
      </c>
      <c r="Q285" s="350"/>
      <c r="R285" s="69" t="str">
        <f t="shared" si="312"/>
        <v/>
      </c>
      <c r="S285" s="350"/>
      <c r="T285" s="69" t="str">
        <f t="shared" si="313"/>
        <v/>
      </c>
      <c r="U285" s="350"/>
      <c r="V285" s="69" t="str">
        <f t="shared" si="314"/>
        <v/>
      </c>
      <c r="W285" s="350"/>
      <c r="Z285" s="353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15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28"/>
        <v>0</v>
      </c>
      <c r="BE285" s="213">
        <f t="shared" si="329"/>
        <v>0</v>
      </c>
      <c r="BF285" s="215">
        <f t="shared" si="330"/>
        <v>0</v>
      </c>
      <c r="BG285" s="215">
        <f t="shared" si="331"/>
        <v>0</v>
      </c>
      <c r="BH285" s="215" t="str">
        <f t="shared" si="316"/>
        <v/>
      </c>
      <c r="BI285" s="215" t="str">
        <f t="shared" si="317"/>
        <v/>
      </c>
      <c r="BJ285" s="215" t="str">
        <f t="shared" si="318"/>
        <v/>
      </c>
      <c r="BK285" s="215" t="str">
        <f t="shared" si="319"/>
        <v/>
      </c>
      <c r="BL285" s="215" t="str">
        <f t="shared" si="320"/>
        <v/>
      </c>
      <c r="BM285" s="215" t="str">
        <f t="shared" si="321"/>
        <v/>
      </c>
      <c r="BN285" s="215" t="str">
        <f t="shared" si="322"/>
        <v/>
      </c>
      <c r="BO285" s="215" t="str">
        <f t="shared" si="323"/>
        <v/>
      </c>
      <c r="BP285" s="215" t="str">
        <f t="shared" si="324"/>
        <v/>
      </c>
      <c r="BQ285" s="216"/>
      <c r="BR285" s="214"/>
      <c r="BS285" s="215">
        <f t="shared" si="332"/>
        <v>0</v>
      </c>
      <c r="BT285" s="215">
        <f t="shared" si="333"/>
        <v>0</v>
      </c>
      <c r="BU285" s="215" t="str">
        <f t="shared" si="334"/>
        <v>BK München 4</v>
      </c>
      <c r="BV285" s="214">
        <f t="shared" si="335"/>
        <v>2</v>
      </c>
      <c r="BW285" s="215">
        <f t="shared" si="336"/>
        <v>0</v>
      </c>
      <c r="BX285" s="215">
        <f>IF(COUNTIF(BH285:BP285,"&gt;0")&lt;Spielorte!$A$23,0,BE285/Spielorte!$A$23)</f>
        <v>0</v>
      </c>
      <c r="BY285" s="215">
        <f t="shared" si="337"/>
        <v>0</v>
      </c>
      <c r="BZ285" s="214">
        <f t="shared" si="325"/>
        <v>0</v>
      </c>
    </row>
    <row r="286" spans="1:78" ht="17.2" customHeight="1" x14ac:dyDescent="0.35">
      <c r="A286" s="367" t="s">
        <v>11</v>
      </c>
      <c r="B286" s="73" t="str">
        <f>IF(AA286=0,"",AA286)</f>
        <v>Dozauer, Jessica</v>
      </c>
      <c r="C286" s="74">
        <f t="shared" si="326"/>
        <v>7575</v>
      </c>
      <c r="D286" s="75">
        <f t="shared" si="326"/>
        <v>197</v>
      </c>
      <c r="E286" s="348">
        <f>IF(AD286="","",AD286)</f>
        <v>1</v>
      </c>
      <c r="F286" s="75">
        <f t="shared" si="307"/>
        <v>171</v>
      </c>
      <c r="G286" s="348">
        <f>IF(AF286="","",AF286)</f>
        <v>1</v>
      </c>
      <c r="H286" s="75">
        <f t="shared" si="308"/>
        <v>152</v>
      </c>
      <c r="I286" s="348">
        <f>IF(AH286="","",AH286)</f>
        <v>0</v>
      </c>
      <c r="J286" s="75">
        <f t="shared" si="309"/>
        <v>214</v>
      </c>
      <c r="K286" s="348">
        <f>IF(AJ286="","",AJ286)</f>
        <v>1</v>
      </c>
      <c r="L286" s="75">
        <f t="shared" si="310"/>
        <v>178</v>
      </c>
      <c r="M286" s="348">
        <f>IF(AL286="","",AL286)</f>
        <v>0</v>
      </c>
      <c r="N286" s="75">
        <f t="shared" si="327"/>
        <v>210</v>
      </c>
      <c r="O286" s="348">
        <f>IF(AN286="","",AN286)</f>
        <v>1</v>
      </c>
      <c r="P286" s="75">
        <f t="shared" si="311"/>
        <v>193</v>
      </c>
      <c r="Q286" s="348">
        <f>IF(AP286="","",AP286)</f>
        <v>1</v>
      </c>
      <c r="R286" s="75">
        <f t="shared" si="312"/>
        <v>149</v>
      </c>
      <c r="S286" s="348">
        <f>IF(AR286="","",AR286)</f>
        <v>1</v>
      </c>
      <c r="T286" s="75">
        <f t="shared" si="313"/>
        <v>207</v>
      </c>
      <c r="U286" s="348">
        <f>IF(AT286="","",AT286)</f>
        <v>1</v>
      </c>
      <c r="V286" s="75">
        <f t="shared" si="314"/>
        <v>1671</v>
      </c>
      <c r="W286" s="348">
        <f>IF(AV286="","",AV286)</f>
        <v>7</v>
      </c>
      <c r="Z286" s="351" t="s">
        <v>11</v>
      </c>
      <c r="AA286" s="108" t="str">
        <f>IF(AB286=0,"",VLOOKUP(AB286,Starter!$A$1:$D$199,2,FALSE))</f>
        <v>Dozauer, Jessica</v>
      </c>
      <c r="AB286" s="99">
        <v>7575</v>
      </c>
      <c r="AC286" s="188">
        <v>197</v>
      </c>
      <c r="AD286" s="109">
        <f>IF(SUM(AC286:AC288)+AC298=0,0,IF(SUM(AC286:AC288)=AC298,0.5,IF(SUM(AC286:AC288)&gt;AC298,1,0)))</f>
        <v>1</v>
      </c>
      <c r="AE286" s="188">
        <v>171</v>
      </c>
      <c r="AF286" s="109">
        <f>IF(SUM(AE286:AE288)+AE298=0,0,IF(SUM(AE286:AE288)=AE298,0.5,IF(SUM(AE286:AE288)&gt;AE298,1,0)))</f>
        <v>1</v>
      </c>
      <c r="AG286" s="188">
        <v>152</v>
      </c>
      <c r="AH286" s="109">
        <f>IF(SUM(AG286:AG288)+AG298=0,0,IF(SUM(AG286:AG288)=AG298,0.5,IF(SUM(AG286:AG288)&gt;AG298,1,0)))</f>
        <v>0</v>
      </c>
      <c r="AI286" s="188">
        <v>214</v>
      </c>
      <c r="AJ286" s="109">
        <f>IF(SUM(AI286:AI288)+AI298=0,0,IF(SUM(AI286:AI288)=AI298,0.5,IF(SUM(AI286:AI288)&gt;AI298,1,0)))</f>
        <v>1</v>
      </c>
      <c r="AK286" s="188">
        <v>178</v>
      </c>
      <c r="AL286" s="109">
        <f>IF(SUM(AK286:AK288)+AK298=0,0,IF(SUM(AK286:AK288)=AK298,0.5,IF(SUM(AK286:AK288)&gt;AK298,1,0)))</f>
        <v>0</v>
      </c>
      <c r="AM286" s="188">
        <v>210</v>
      </c>
      <c r="AN286" s="109">
        <f>IF(SUM(AM286:AM288)+AM298=0,0,IF(SUM(AM286:AM288)=AM298,0.5,IF(SUM(AM286:AM288)&gt;AM298,1,0)))</f>
        <v>1</v>
      </c>
      <c r="AO286" s="188">
        <v>193</v>
      </c>
      <c r="AP286" s="109">
        <f>IF(SUM(AO286:AO288)+AO298=0,0,IF(SUM(AO286:AO288)=AO298,0.5,IF(SUM(AO286:AO288)&gt;AO298,1,0)))</f>
        <v>1</v>
      </c>
      <c r="AQ286" s="188">
        <v>149</v>
      </c>
      <c r="AR286" s="109">
        <f>IF(SUM(AQ286:AQ288)+AQ298=0,0,IF(SUM(AQ286:AQ288)=AQ298,0.5,IF(SUM(AQ286:AQ288)&gt;AQ298,1,0)))</f>
        <v>1</v>
      </c>
      <c r="AS286" s="188">
        <v>207</v>
      </c>
      <c r="AT286" s="109">
        <f>IF(SUM(AS286:AS288)+AS298=0,0,IF(SUM(AS286:AS288)=AS298,0.5,IF(SUM(AS286:AS288)&gt;AS298,1,0)))</f>
        <v>1</v>
      </c>
      <c r="AU286" s="110">
        <f t="shared" si="315"/>
        <v>1671</v>
      </c>
      <c r="AV286" s="111">
        <f>SUM(AD286+AF286+AH286+AJ286+AL286+AN286+AP286+AR286+AT286)</f>
        <v>7</v>
      </c>
      <c r="AW286" s="101"/>
      <c r="AX286" s="102"/>
      <c r="AZ286" s="63"/>
      <c r="BA286" s="212"/>
      <c r="BB286" s="213"/>
      <c r="BC286" s="214"/>
      <c r="BD286" s="217">
        <f t="shared" si="328"/>
        <v>7575</v>
      </c>
      <c r="BE286" s="213">
        <f t="shared" si="329"/>
        <v>1671</v>
      </c>
      <c r="BF286" s="215">
        <f t="shared" si="330"/>
        <v>9</v>
      </c>
      <c r="BG286" s="215">
        <f t="shared" si="331"/>
        <v>9</v>
      </c>
      <c r="BH286" s="215">
        <f t="shared" si="316"/>
        <v>197</v>
      </c>
      <c r="BI286" s="215">
        <f t="shared" si="317"/>
        <v>171</v>
      </c>
      <c r="BJ286" s="215">
        <f t="shared" si="318"/>
        <v>152</v>
      </c>
      <c r="BK286" s="215">
        <f t="shared" si="319"/>
        <v>214</v>
      </c>
      <c r="BL286" s="215">
        <f t="shared" si="320"/>
        <v>178</v>
      </c>
      <c r="BM286" s="215">
        <f t="shared" si="321"/>
        <v>210</v>
      </c>
      <c r="BN286" s="215">
        <f t="shared" si="322"/>
        <v>193</v>
      </c>
      <c r="BO286" s="215">
        <f t="shared" si="323"/>
        <v>149</v>
      </c>
      <c r="BP286" s="215">
        <f t="shared" si="324"/>
        <v>207</v>
      </c>
      <c r="BQ286" s="216"/>
      <c r="BR286" s="214"/>
      <c r="BS286" s="215">
        <f t="shared" si="332"/>
        <v>214</v>
      </c>
      <c r="BT286" s="215">
        <f t="shared" si="333"/>
        <v>0</v>
      </c>
      <c r="BU286" s="215" t="str">
        <f t="shared" si="334"/>
        <v>BK München 4</v>
      </c>
      <c r="BV286" s="214">
        <f t="shared" si="335"/>
        <v>2</v>
      </c>
      <c r="BW286" s="215">
        <f t="shared" si="336"/>
        <v>1671</v>
      </c>
      <c r="BX286" s="215">
        <f>IF(COUNTIF(BH286:BP286,"&gt;0")&lt;Spielorte!$A$23,0,BE286/Spielorte!$A$23)</f>
        <v>185.66666666666666</v>
      </c>
      <c r="BY286" s="215">
        <f t="shared" si="337"/>
        <v>0</v>
      </c>
      <c r="BZ286" s="214">
        <f t="shared" si="325"/>
        <v>0</v>
      </c>
    </row>
    <row r="287" spans="1:78" ht="17.2" customHeight="1" x14ac:dyDescent="0.35">
      <c r="A287" s="368"/>
      <c r="B287" s="76" t="str">
        <f>IF(AA287=0,"",AA287)</f>
        <v/>
      </c>
      <c r="C287" s="77" t="str">
        <f t="shared" si="326"/>
        <v/>
      </c>
      <c r="D287" s="78" t="str">
        <f t="shared" si="326"/>
        <v/>
      </c>
      <c r="E287" s="349"/>
      <c r="F287" s="78" t="str">
        <f t="shared" si="307"/>
        <v/>
      </c>
      <c r="G287" s="349"/>
      <c r="H287" s="78" t="str">
        <f t="shared" si="308"/>
        <v/>
      </c>
      <c r="I287" s="349"/>
      <c r="J287" s="78" t="str">
        <f t="shared" si="309"/>
        <v/>
      </c>
      <c r="K287" s="349"/>
      <c r="L287" s="78" t="str">
        <f t="shared" si="310"/>
        <v/>
      </c>
      <c r="M287" s="349"/>
      <c r="N287" s="78" t="str">
        <f t="shared" si="327"/>
        <v/>
      </c>
      <c r="O287" s="349"/>
      <c r="P287" s="78" t="str">
        <f t="shared" si="311"/>
        <v/>
      </c>
      <c r="Q287" s="349"/>
      <c r="R287" s="78" t="str">
        <f t="shared" si="312"/>
        <v/>
      </c>
      <c r="S287" s="349"/>
      <c r="T287" s="78" t="str">
        <f t="shared" si="313"/>
        <v/>
      </c>
      <c r="U287" s="349"/>
      <c r="V287" s="78" t="str">
        <f t="shared" si="314"/>
        <v/>
      </c>
      <c r="W287" s="349"/>
      <c r="Z287" s="352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15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28"/>
        <v>0</v>
      </c>
      <c r="BE287" s="213">
        <f t="shared" si="329"/>
        <v>0</v>
      </c>
      <c r="BF287" s="215">
        <f t="shared" si="330"/>
        <v>0</v>
      </c>
      <c r="BG287" s="215">
        <f t="shared" si="331"/>
        <v>0</v>
      </c>
      <c r="BH287" s="215" t="str">
        <f t="shared" si="316"/>
        <v/>
      </c>
      <c r="BI287" s="215" t="str">
        <f t="shared" si="317"/>
        <v/>
      </c>
      <c r="BJ287" s="215" t="str">
        <f t="shared" si="318"/>
        <v/>
      </c>
      <c r="BK287" s="215" t="str">
        <f t="shared" si="319"/>
        <v/>
      </c>
      <c r="BL287" s="215" t="str">
        <f t="shared" si="320"/>
        <v/>
      </c>
      <c r="BM287" s="215" t="str">
        <f t="shared" si="321"/>
        <v/>
      </c>
      <c r="BN287" s="215" t="str">
        <f t="shared" si="322"/>
        <v/>
      </c>
      <c r="BO287" s="215" t="str">
        <f t="shared" si="323"/>
        <v/>
      </c>
      <c r="BP287" s="215" t="str">
        <f t="shared" si="324"/>
        <v/>
      </c>
      <c r="BQ287" s="216"/>
      <c r="BR287" s="214"/>
      <c r="BS287" s="215">
        <f t="shared" si="332"/>
        <v>0</v>
      </c>
      <c r="BT287" s="215">
        <f t="shared" si="333"/>
        <v>0</v>
      </c>
      <c r="BU287" s="215" t="str">
        <f t="shared" si="334"/>
        <v>BK München 4</v>
      </c>
      <c r="BV287" s="214">
        <f t="shared" si="335"/>
        <v>2</v>
      </c>
      <c r="BW287" s="215">
        <f t="shared" si="336"/>
        <v>0</v>
      </c>
      <c r="BX287" s="215">
        <f>IF(COUNTIF(BH287:BP287,"&gt;0")&lt;Spielorte!$A$23,0,BE287/Spielorte!$A$23)</f>
        <v>0</v>
      </c>
      <c r="BY287" s="215">
        <f t="shared" si="337"/>
        <v>0</v>
      </c>
      <c r="BZ287" s="214">
        <f t="shared" si="325"/>
        <v>0</v>
      </c>
    </row>
    <row r="288" spans="1:78" ht="17.2" customHeight="1" thickBot="1" x14ac:dyDescent="0.4">
      <c r="A288" s="369"/>
      <c r="B288" s="79" t="str">
        <f>IF(AA288=0,"",AA288)</f>
        <v/>
      </c>
      <c r="C288" s="80" t="str">
        <f t="shared" si="326"/>
        <v/>
      </c>
      <c r="D288" s="69" t="str">
        <f t="shared" si="326"/>
        <v/>
      </c>
      <c r="E288" s="350"/>
      <c r="F288" s="69" t="str">
        <f t="shared" si="307"/>
        <v/>
      </c>
      <c r="G288" s="350"/>
      <c r="H288" s="69" t="str">
        <f t="shared" si="308"/>
        <v/>
      </c>
      <c r="I288" s="350"/>
      <c r="J288" s="69" t="str">
        <f t="shared" si="309"/>
        <v/>
      </c>
      <c r="K288" s="350"/>
      <c r="L288" s="69" t="str">
        <f t="shared" si="310"/>
        <v/>
      </c>
      <c r="M288" s="350"/>
      <c r="N288" s="69" t="str">
        <f t="shared" si="327"/>
        <v/>
      </c>
      <c r="O288" s="350"/>
      <c r="P288" s="69" t="str">
        <f t="shared" si="311"/>
        <v/>
      </c>
      <c r="Q288" s="350"/>
      <c r="R288" s="69" t="str">
        <f t="shared" si="312"/>
        <v/>
      </c>
      <c r="S288" s="350"/>
      <c r="T288" s="69" t="str">
        <f t="shared" si="313"/>
        <v/>
      </c>
      <c r="U288" s="350"/>
      <c r="V288" s="69" t="str">
        <f t="shared" si="314"/>
        <v/>
      </c>
      <c r="W288" s="350"/>
      <c r="Z288" s="353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15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28"/>
        <v>0</v>
      </c>
      <c r="BE288" s="213">
        <f t="shared" si="329"/>
        <v>0</v>
      </c>
      <c r="BF288" s="215">
        <f t="shared" si="330"/>
        <v>0</v>
      </c>
      <c r="BG288" s="215">
        <f t="shared" si="331"/>
        <v>0</v>
      </c>
      <c r="BH288" s="215" t="str">
        <f t="shared" si="316"/>
        <v/>
      </c>
      <c r="BI288" s="215" t="str">
        <f t="shared" si="317"/>
        <v/>
      </c>
      <c r="BJ288" s="215" t="str">
        <f t="shared" si="318"/>
        <v/>
      </c>
      <c r="BK288" s="215" t="str">
        <f t="shared" si="319"/>
        <v/>
      </c>
      <c r="BL288" s="215" t="str">
        <f t="shared" si="320"/>
        <v/>
      </c>
      <c r="BM288" s="215" t="str">
        <f t="shared" si="321"/>
        <v/>
      </c>
      <c r="BN288" s="215" t="str">
        <f t="shared" si="322"/>
        <v/>
      </c>
      <c r="BO288" s="215" t="str">
        <f t="shared" si="323"/>
        <v/>
      </c>
      <c r="BP288" s="215" t="str">
        <f t="shared" si="324"/>
        <v/>
      </c>
      <c r="BQ288" s="216"/>
      <c r="BR288" s="214"/>
      <c r="BS288" s="215">
        <f t="shared" si="332"/>
        <v>0</v>
      </c>
      <c r="BT288" s="215">
        <f t="shared" si="333"/>
        <v>0</v>
      </c>
      <c r="BU288" s="215" t="str">
        <f t="shared" si="334"/>
        <v>BK München 4</v>
      </c>
      <c r="BV288" s="214">
        <f t="shared" si="335"/>
        <v>2</v>
      </c>
      <c r="BW288" s="215">
        <f t="shared" si="336"/>
        <v>0</v>
      </c>
      <c r="BX288" s="215">
        <f>IF(COUNTIF(BH288:BP288,"&gt;0")&lt;Spielorte!$A$23,0,BE288/Spielorte!$A$23)</f>
        <v>0</v>
      </c>
      <c r="BY288" s="215">
        <f t="shared" si="337"/>
        <v>0</v>
      </c>
      <c r="BZ288" s="214">
        <f t="shared" si="325"/>
        <v>0</v>
      </c>
    </row>
    <row r="289" spans="2:78" ht="27.75" customHeight="1" thickBot="1" x14ac:dyDescent="0.4">
      <c r="B289" s="81" t="str">
        <f>IF(AA289=0,"",AA289)</f>
        <v>Gesamt</v>
      </c>
      <c r="C289" s="82" t="str">
        <f t="shared" si="326"/>
        <v/>
      </c>
      <c r="D289" s="83">
        <f t="shared" si="326"/>
        <v>670</v>
      </c>
      <c r="E289" s="84">
        <f>IF(AD289="","",AD289)</f>
        <v>2</v>
      </c>
      <c r="F289" s="83">
        <f t="shared" si="307"/>
        <v>701</v>
      </c>
      <c r="G289" s="84">
        <f>IF(AF289="","",AF289)</f>
        <v>2</v>
      </c>
      <c r="H289" s="83">
        <f t="shared" si="308"/>
        <v>602</v>
      </c>
      <c r="I289" s="84">
        <f>IF(AH289="","",AH289)</f>
        <v>0</v>
      </c>
      <c r="J289" s="83">
        <f t="shared" si="309"/>
        <v>711</v>
      </c>
      <c r="K289" s="84">
        <f>IF(AJ289="","",AJ289)</f>
        <v>2</v>
      </c>
      <c r="L289" s="83">
        <f t="shared" si="310"/>
        <v>729</v>
      </c>
      <c r="M289" s="84">
        <f>IF(AL289="","",AL289)</f>
        <v>2</v>
      </c>
      <c r="N289" s="83">
        <f t="shared" si="327"/>
        <v>747</v>
      </c>
      <c r="O289" s="84">
        <f>IF(AN289="","",AN289)</f>
        <v>2</v>
      </c>
      <c r="P289" s="83">
        <f t="shared" si="311"/>
        <v>644</v>
      </c>
      <c r="Q289" s="84">
        <f>IF(AP289="","",AP289)</f>
        <v>2</v>
      </c>
      <c r="R289" s="83">
        <f t="shared" si="312"/>
        <v>632</v>
      </c>
      <c r="S289" s="84">
        <f>IF(AR289="","",AR289)</f>
        <v>0</v>
      </c>
      <c r="T289" s="83">
        <f t="shared" si="313"/>
        <v>685</v>
      </c>
      <c r="U289" s="84">
        <f>IF(AT289="","",AT289)</f>
        <v>2</v>
      </c>
      <c r="V289" s="83">
        <f t="shared" si="314"/>
        <v>6121</v>
      </c>
      <c r="W289" s="84">
        <f>IF(AV289="","",AV289)</f>
        <v>14</v>
      </c>
      <c r="AA289" s="81" t="s">
        <v>1799</v>
      </c>
      <c r="AB289" s="120"/>
      <c r="AC289" s="211">
        <f>ABS(SUM(AC277:AC279))+ABS(SUM(AC280:AC282))+ABS(SUM(AC283:AC285))+ABS(SUM(AC286:AC288))</f>
        <v>670</v>
      </c>
      <c r="AD289" s="121">
        <f>IF(AC289+AC299=0,0,IF(AC289=AC299,1,IF(AC289&gt;AC299,2,0)))</f>
        <v>2</v>
      </c>
      <c r="AE289" s="211">
        <f>ABS(SUM(AE277:AE279))+ABS(SUM(AE280:AE282))+ABS(SUM(AE283:AE285))+ABS(SUM(AE286:AE288))</f>
        <v>701</v>
      </c>
      <c r="AF289" s="121">
        <f>IF(AE289+AE299=0,0,IF(AE289=AE299,1,IF(AE289&gt;AE299,2,0)))</f>
        <v>2</v>
      </c>
      <c r="AG289" s="211">
        <f>ABS(SUM(AG277:AG279))+ABS(SUM(AG280:AG282))+ABS(SUM(AG283:AG285))+ABS(SUM(AG286:AG288))</f>
        <v>602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711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729</v>
      </c>
      <c r="AL289" s="121">
        <f>IF(AK289+AK299=0,0,IF(AK289=AK299,1,IF(AK289&gt;AK299,2,0)))</f>
        <v>2</v>
      </c>
      <c r="AM289" s="211">
        <f>ABS(SUM(AM277:AM279))+ABS(SUM(AM280:AM282))+ABS(SUM(AM283:AM285))+ABS(SUM(AM286:AM288))</f>
        <v>747</v>
      </c>
      <c r="AN289" s="121">
        <f>IF(AM289+AM299=0,0,IF(AM289=AM299,1,IF(AM289&gt;AM299,2,0)))</f>
        <v>2</v>
      </c>
      <c r="AO289" s="211">
        <f>ABS(SUM(AO277:AO279))+ABS(SUM(AO280:AO282))+ABS(SUM(AO283:AO285))+ABS(SUM(AO286:AO288))</f>
        <v>644</v>
      </c>
      <c r="AP289" s="121">
        <f>IF(AO289+AO299=0,0,IF(AO289=AO299,1,IF(AO289&gt;AO299,2,0)))</f>
        <v>2</v>
      </c>
      <c r="AQ289" s="211">
        <f>ABS(SUM(AQ277:AQ279))+ABS(SUM(AQ280:AQ282))+ABS(SUM(AQ283:AQ285))+ABS(SUM(AQ286:AQ288))</f>
        <v>632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685</v>
      </c>
      <c r="AT289" s="121">
        <f>IF(AS289+AS299=0,0,IF(AS289=AS299,1,IF(AS289&gt;AS299,2,0)))</f>
        <v>2</v>
      </c>
      <c r="AU289" s="122">
        <f>SUM(AC289+AE289+AG289+AI289+AK289+AM289+AO289+AQ289+AS289)</f>
        <v>6121</v>
      </c>
      <c r="AV289" s="123">
        <f>SUM(AD289+AF289+AH289+AJ289+AL289+AN289+AP289+AR289+AT289)</f>
        <v>14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4">
      <c r="B290" s="85" t="str">
        <f>IF(AA290=0,"",AA290)</f>
        <v>Gesamt - Punkte</v>
      </c>
      <c r="C290" s="86" t="str">
        <f t="shared" si="326"/>
        <v/>
      </c>
      <c r="D290" s="86" t="str">
        <f t="shared" si="326"/>
        <v/>
      </c>
      <c r="E290" s="87">
        <f>IF(AD290="","",AD290)</f>
        <v>4</v>
      </c>
      <c r="F290" s="86" t="str">
        <f t="shared" si="307"/>
        <v/>
      </c>
      <c r="G290" s="87">
        <f>IF(AF290="","",AF290)</f>
        <v>6</v>
      </c>
      <c r="H290" s="86" t="str">
        <f t="shared" si="308"/>
        <v/>
      </c>
      <c r="I290" s="87">
        <f>IF(AH290="","",AH290)</f>
        <v>0</v>
      </c>
      <c r="J290" s="86" t="str">
        <f t="shared" si="309"/>
        <v/>
      </c>
      <c r="K290" s="87">
        <f>IF(AJ290="","",AJ290)</f>
        <v>5</v>
      </c>
      <c r="L290" s="86" t="str">
        <f t="shared" si="310"/>
        <v/>
      </c>
      <c r="M290" s="87">
        <f>IF(AL290="","",AL290)</f>
        <v>4</v>
      </c>
      <c r="N290" s="86" t="str">
        <f t="shared" si="327"/>
        <v/>
      </c>
      <c r="O290" s="87">
        <f>IF(AN290="","",AN290)</f>
        <v>5</v>
      </c>
      <c r="P290" s="86" t="str">
        <f t="shared" si="311"/>
        <v/>
      </c>
      <c r="Q290" s="87">
        <f>IF(AP290="","",AP290)</f>
        <v>6</v>
      </c>
      <c r="R290" s="86" t="str">
        <f t="shared" si="312"/>
        <v/>
      </c>
      <c r="S290" s="87">
        <f>IF(AR290="","",AR290)</f>
        <v>1</v>
      </c>
      <c r="T290" s="86" t="str">
        <f t="shared" si="313"/>
        <v/>
      </c>
      <c r="U290" s="87">
        <f>IF(AT290="","",AT290)</f>
        <v>4</v>
      </c>
      <c r="V290" s="86" t="str">
        <f t="shared" si="314"/>
        <v/>
      </c>
      <c r="W290" s="87">
        <f>IF(AV290="","",AV290)</f>
        <v>35</v>
      </c>
      <c r="AA290" s="85" t="s">
        <v>1814</v>
      </c>
      <c r="AB290" s="86"/>
      <c r="AC290" s="86"/>
      <c r="AD290" s="124">
        <f>SUM(AD277:AD289)</f>
        <v>4</v>
      </c>
      <c r="AE290" s="86"/>
      <c r="AF290" s="124">
        <f>SUM(AF277:AF289)</f>
        <v>6</v>
      </c>
      <c r="AG290" s="86"/>
      <c r="AH290" s="124">
        <f>SUM(AH277:AH289)</f>
        <v>0</v>
      </c>
      <c r="AI290" s="86"/>
      <c r="AJ290" s="124">
        <f>SUM(AJ277:AJ289)</f>
        <v>5</v>
      </c>
      <c r="AK290" s="86"/>
      <c r="AL290" s="124">
        <f>SUM(AL277:AL289)</f>
        <v>4</v>
      </c>
      <c r="AM290" s="86"/>
      <c r="AN290" s="124">
        <f>SUM(AN277:AN289)</f>
        <v>5</v>
      </c>
      <c r="AO290" s="86"/>
      <c r="AP290" s="124">
        <f>SUM(AP277:AP289)</f>
        <v>6</v>
      </c>
      <c r="AQ290" s="86"/>
      <c r="AR290" s="124">
        <f>SUM(AR277:AR289)</f>
        <v>1</v>
      </c>
      <c r="AS290" s="86"/>
      <c r="AT290" s="124">
        <f>SUM(AT277:AT289)</f>
        <v>4</v>
      </c>
      <c r="AU290" s="86"/>
      <c r="AV290" s="125">
        <f>SUM(AV277:AV289)</f>
        <v>35</v>
      </c>
      <c r="AW290" s="101"/>
      <c r="AX290" s="102"/>
      <c r="BA290" s="212">
        <f>+AV290</f>
        <v>35</v>
      </c>
      <c r="BB290" s="213">
        <f>+AU289</f>
        <v>6121</v>
      </c>
      <c r="BC290" s="214">
        <f>+AA272</f>
        <v>10</v>
      </c>
      <c r="BF290" s="215">
        <f>SUM(BF271:BF289)</f>
        <v>36</v>
      </c>
      <c r="BQ290" s="212">
        <f>+BB290/1000000+BA290</f>
        <v>35.006121</v>
      </c>
      <c r="BR290" s="214">
        <f>RANK(BQ290,BQ:BQ)</f>
        <v>3</v>
      </c>
      <c r="BV290" s="214"/>
      <c r="BZ290" s="214"/>
    </row>
    <row r="291" spans="2:78" ht="11.25" customHeight="1" x14ac:dyDescent="0.3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35">
      <c r="B292" s="88" t="str">
        <f t="shared" ref="B292:K294" si="338">IF(AA292=0,"",AA292)</f>
        <v>Gegner-Nr.:</v>
      </c>
      <c r="C292" s="89" t="str">
        <f t="shared" si="338"/>
        <v>&gt;&gt;&gt;&gt;</v>
      </c>
      <c r="D292" s="346">
        <f t="shared" si="338"/>
        <v>3</v>
      </c>
      <c r="E292" s="346" t="str">
        <f t="shared" si="338"/>
        <v/>
      </c>
      <c r="F292" s="346">
        <f t="shared" si="338"/>
        <v>2</v>
      </c>
      <c r="G292" s="346" t="str">
        <f t="shared" si="338"/>
        <v/>
      </c>
      <c r="H292" s="346">
        <f t="shared" si="338"/>
        <v>7</v>
      </c>
      <c r="I292" s="346" t="str">
        <f t="shared" si="338"/>
        <v/>
      </c>
      <c r="J292" s="346">
        <f t="shared" si="338"/>
        <v>8</v>
      </c>
      <c r="K292" s="346" t="str">
        <f t="shared" si="338"/>
        <v/>
      </c>
      <c r="L292" s="346">
        <f t="shared" ref="L292:U294" si="339">IF(AK292=0,"",AK292)</f>
        <v>5</v>
      </c>
      <c r="M292" s="346" t="str">
        <f t="shared" si="339"/>
        <v/>
      </c>
      <c r="N292" s="346">
        <f t="shared" si="339"/>
        <v>9</v>
      </c>
      <c r="O292" s="346" t="str">
        <f t="shared" si="339"/>
        <v/>
      </c>
      <c r="P292" s="346">
        <f t="shared" si="339"/>
        <v>4</v>
      </c>
      <c r="Q292" s="346" t="str">
        <f t="shared" si="339"/>
        <v/>
      </c>
      <c r="R292" s="346">
        <f t="shared" si="339"/>
        <v>6</v>
      </c>
      <c r="S292" s="346" t="str">
        <f t="shared" si="339"/>
        <v/>
      </c>
      <c r="T292" s="346">
        <f t="shared" si="339"/>
        <v>1</v>
      </c>
      <c r="U292" s="346" t="str">
        <f t="shared" si="339"/>
        <v/>
      </c>
      <c r="V292" s="347"/>
      <c r="W292" s="347"/>
      <c r="AA292" s="88" t="s">
        <v>1797</v>
      </c>
      <c r="AB292" s="89" t="s">
        <v>1798</v>
      </c>
      <c r="AC292" s="370">
        <f>VLOOKUP($AA272,Schlüssel!$A$5:$DG$14,43)</f>
        <v>3</v>
      </c>
      <c r="AD292" s="371"/>
      <c r="AE292" s="370">
        <f>VLOOKUP($AA272,Schlüssel!$A$5:$EK$14,44)</f>
        <v>2</v>
      </c>
      <c r="AF292" s="371"/>
      <c r="AG292" s="370">
        <f>VLOOKUP($AA272,Schlüssel!$A$5:$EK$14,45)</f>
        <v>7</v>
      </c>
      <c r="AH292" s="371"/>
      <c r="AI292" s="370">
        <f>VLOOKUP($AA272,Schlüssel!$A$5:$EK$14,46)</f>
        <v>8</v>
      </c>
      <c r="AJ292" s="371"/>
      <c r="AK292" s="370">
        <f>VLOOKUP($AA272,Schlüssel!$A$5:$EK$14,47)</f>
        <v>5</v>
      </c>
      <c r="AL292" s="371"/>
      <c r="AM292" s="370">
        <f>VLOOKUP($AA272,Schlüssel!$A$5:$EK$14,48)</f>
        <v>9</v>
      </c>
      <c r="AN292" s="371"/>
      <c r="AO292" s="370">
        <f>VLOOKUP($AA272,Schlüssel!$A$5:$EK$14,49)</f>
        <v>4</v>
      </c>
      <c r="AP292" s="371"/>
      <c r="AQ292" s="370">
        <f>VLOOKUP($AA272,Schlüssel!$A$5:$EK$14,50)</f>
        <v>6</v>
      </c>
      <c r="AR292" s="371"/>
      <c r="AS292" s="370">
        <f>VLOOKUP($AA272,Schlüssel!$A$5:$EK$14,51)</f>
        <v>1</v>
      </c>
      <c r="AT292" s="371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35">
      <c r="B293" s="90" t="str">
        <f t="shared" si="338"/>
        <v/>
      </c>
      <c r="C293" s="86" t="str">
        <f t="shared" si="338"/>
        <v/>
      </c>
      <c r="D293" s="343" t="str">
        <f t="shared" si="338"/>
        <v>Highroller Rosenheim</v>
      </c>
      <c r="E293" s="344" t="str">
        <f t="shared" si="338"/>
        <v/>
      </c>
      <c r="F293" s="343" t="str">
        <f t="shared" si="338"/>
        <v>BK München 2</v>
      </c>
      <c r="G293" s="344" t="str">
        <f t="shared" si="338"/>
        <v/>
      </c>
      <c r="H293" s="343" t="str">
        <f t="shared" si="338"/>
        <v>Frankenpower Nürnberg</v>
      </c>
      <c r="I293" s="344" t="str">
        <f t="shared" si="338"/>
        <v/>
      </c>
      <c r="J293" s="343" t="str">
        <f t="shared" si="338"/>
        <v>EPA München 1</v>
      </c>
      <c r="K293" s="344" t="str">
        <f t="shared" si="338"/>
        <v/>
      </c>
      <c r="L293" s="343" t="str">
        <f t="shared" si="339"/>
        <v xml:space="preserve">Weiß Blau Unterföhring </v>
      </c>
      <c r="M293" s="344" t="str">
        <f t="shared" si="339"/>
        <v/>
      </c>
      <c r="N293" s="343" t="str">
        <f t="shared" si="339"/>
        <v>RW Lichtenhof 69 Stein 2</v>
      </c>
      <c r="O293" s="344" t="str">
        <f t="shared" si="339"/>
        <v/>
      </c>
      <c r="P293" s="343" t="str">
        <f t="shared" si="339"/>
        <v>BK München 3</v>
      </c>
      <c r="Q293" s="344" t="str">
        <f t="shared" si="339"/>
        <v/>
      </c>
      <c r="R293" s="343" t="str">
        <f t="shared" si="339"/>
        <v>Phönix 03 Lauf</v>
      </c>
      <c r="S293" s="344" t="str">
        <f t="shared" si="339"/>
        <v/>
      </c>
      <c r="T293" s="343" t="str">
        <f t="shared" si="339"/>
        <v>Praetoria Regensburg</v>
      </c>
      <c r="U293" s="344" t="str">
        <f t="shared" si="339"/>
        <v/>
      </c>
      <c r="V293" s="345"/>
      <c r="W293" s="345"/>
      <c r="AA293" s="90"/>
      <c r="AB293" s="86"/>
      <c r="AC293" s="343" t="str">
        <f>VLOOKUP(AC292,Schlüssel!$A$5:$K$14,2)</f>
        <v>Highroller Rosenheim</v>
      </c>
      <c r="AD293" s="344"/>
      <c r="AE293" s="343" t="str">
        <f>VLOOKUP(AE292,Schlüssel!$A$5:$K$14,2)</f>
        <v>BK München 2</v>
      </c>
      <c r="AF293" s="344"/>
      <c r="AG293" s="343" t="str">
        <f>VLOOKUP(AG292,Schlüssel!$A$5:$K$14,2)</f>
        <v>Frankenpower Nürnberg</v>
      </c>
      <c r="AH293" s="344"/>
      <c r="AI293" s="343" t="str">
        <f>VLOOKUP(AI292,Schlüssel!$A$5:$K$14,2)</f>
        <v>EPA München 1</v>
      </c>
      <c r="AJ293" s="344"/>
      <c r="AK293" s="343" t="str">
        <f>VLOOKUP(AK292,Schlüssel!$A$5:$K$14,2)</f>
        <v xml:space="preserve">Weiß Blau Unterföhring </v>
      </c>
      <c r="AL293" s="344"/>
      <c r="AM293" s="343" t="str">
        <f>VLOOKUP(AM292,Schlüssel!$A$5:$K$14,2)</f>
        <v>RW Lichtenhof 69 Stein 2</v>
      </c>
      <c r="AN293" s="344"/>
      <c r="AO293" s="343" t="str">
        <f>VLOOKUP(AO292,Schlüssel!$A$5:$K$14,2)</f>
        <v>BK München 3</v>
      </c>
      <c r="AP293" s="344"/>
      <c r="AQ293" s="343" t="str">
        <f>VLOOKUP(AQ292,Schlüssel!$A$5:$K$14,2)</f>
        <v>Phönix 03 Lauf</v>
      </c>
      <c r="AR293" s="344"/>
      <c r="AS293" s="343" t="str">
        <f>VLOOKUP(AS292,Schlüssel!$A$5:$K$14,2)</f>
        <v>Praetoria Regensburg</v>
      </c>
      <c r="AT293" s="344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35">
      <c r="B294" s="90" t="str">
        <f t="shared" si="338"/>
        <v/>
      </c>
      <c r="C294" s="86" t="str">
        <f t="shared" si="338"/>
        <v/>
      </c>
      <c r="D294" s="341" t="str">
        <f t="shared" si="338"/>
        <v/>
      </c>
      <c r="E294" s="341" t="str">
        <f t="shared" si="338"/>
        <v/>
      </c>
      <c r="F294" s="341" t="str">
        <f t="shared" si="338"/>
        <v/>
      </c>
      <c r="G294" s="341" t="str">
        <f t="shared" si="338"/>
        <v/>
      </c>
      <c r="H294" s="341" t="str">
        <f t="shared" si="338"/>
        <v/>
      </c>
      <c r="I294" s="341" t="str">
        <f t="shared" si="338"/>
        <v/>
      </c>
      <c r="J294" s="341" t="str">
        <f t="shared" si="338"/>
        <v/>
      </c>
      <c r="K294" s="341" t="str">
        <f t="shared" si="338"/>
        <v/>
      </c>
      <c r="L294" s="341" t="str">
        <f t="shared" si="339"/>
        <v/>
      </c>
      <c r="M294" s="341" t="str">
        <f t="shared" si="339"/>
        <v/>
      </c>
      <c r="N294" s="341" t="str">
        <f t="shared" si="339"/>
        <v/>
      </c>
      <c r="O294" s="341" t="str">
        <f t="shared" si="339"/>
        <v/>
      </c>
      <c r="P294" s="341" t="str">
        <f t="shared" si="339"/>
        <v/>
      </c>
      <c r="Q294" s="341" t="str">
        <f t="shared" si="339"/>
        <v/>
      </c>
      <c r="R294" s="341" t="str">
        <f t="shared" si="339"/>
        <v/>
      </c>
      <c r="S294" s="341" t="str">
        <f t="shared" si="339"/>
        <v/>
      </c>
      <c r="T294" s="341" t="str">
        <f t="shared" si="339"/>
        <v/>
      </c>
      <c r="U294" s="342" t="str">
        <f t="shared" si="339"/>
        <v/>
      </c>
      <c r="V294" s="301"/>
      <c r="W294" s="301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6.05" customHeight="1" x14ac:dyDescent="0.35">
      <c r="B295" s="365" t="str">
        <f t="shared" ref="B295:C299" si="340">IF(AA295=0,"",AA295)</f>
        <v>Spieler 1</v>
      </c>
      <c r="C295" s="366" t="str">
        <f t="shared" si="340"/>
        <v/>
      </c>
      <c r="D295" s="339">
        <f>IF(AC295=301,"",AC295)</f>
        <v>163</v>
      </c>
      <c r="E295" s="339" t="str">
        <f>IF(AD295=0,"",AD295)</f>
        <v/>
      </c>
      <c r="F295" s="339">
        <f>IF(AE295=301,"",AE295)</f>
        <v>125</v>
      </c>
      <c r="G295" s="339" t="str">
        <f>IF(AF295=0,"",AF295)</f>
        <v/>
      </c>
      <c r="H295" s="339">
        <f>IF(AG295=301,"",AG295)</f>
        <v>180</v>
      </c>
      <c r="I295" s="339" t="str">
        <f>IF(AH295=0,"",AH295)</f>
        <v/>
      </c>
      <c r="J295" s="339">
        <f>IF(AI295=301,"",AI295)</f>
        <v>170</v>
      </c>
      <c r="K295" s="339" t="str">
        <f>IF(AJ295=0,"",AJ295)</f>
        <v/>
      </c>
      <c r="L295" s="339">
        <f>IF(AK295=301,"",AK295)</f>
        <v>136</v>
      </c>
      <c r="M295" s="339" t="str">
        <f>IF(AL295=0,"",AL295)</f>
        <v/>
      </c>
      <c r="N295" s="339">
        <f>IF(AM295=301,"",AM295)</f>
        <v>177</v>
      </c>
      <c r="O295" s="339" t="str">
        <f>IF(AN295=0,"",AN295)</f>
        <v/>
      </c>
      <c r="P295" s="339">
        <f>IF(AO295=301,"",AO295)</f>
        <v>0</v>
      </c>
      <c r="Q295" s="339" t="str">
        <f>IF(AP295=0,"",AP295)</f>
        <v/>
      </c>
      <c r="R295" s="339">
        <f>IF(AQ295=301,"",AQ295)</f>
        <v>192</v>
      </c>
      <c r="S295" s="339" t="str">
        <f>IF(AR295=0,"",AR295)</f>
        <v/>
      </c>
      <c r="T295" s="339">
        <f>IF(AS295=301,"",AS295)</f>
        <v>202</v>
      </c>
      <c r="U295" s="339" t="str">
        <f>IF(AT295=0,"",AT295)</f>
        <v/>
      </c>
      <c r="V295" s="340"/>
      <c r="W295" s="340"/>
      <c r="AA295" s="91" t="s">
        <v>0</v>
      </c>
      <c r="AB295" s="92"/>
      <c r="AC295" s="372">
        <f>ABS(INDEX(AC:AC,MATCH(AC292,$AA:$AA,0)+5)+INDEX(AC:AC,MATCH(AC292,$AA:$AA,0)+6)+INDEX(AC:AC,MATCH(AC292,$AA:$AA,0)+7))</f>
        <v>163</v>
      </c>
      <c r="AD295" s="373"/>
      <c r="AE295" s="372">
        <f>ABS(INDEX(AE:AE,MATCH(AE292,$AA:$AA,0)+5)+INDEX(AE:AE,MATCH(AE292,$AA:$AA,0)+6)+INDEX(AE:AE,MATCH(AE292,$AA:$AA,0)+7))</f>
        <v>125</v>
      </c>
      <c r="AF295" s="373"/>
      <c r="AG295" s="372">
        <f>ABS(INDEX(AG:AG,MATCH(AG292,$AA:$AA,0)+5)+INDEX(AG:AG,MATCH(AG292,$AA:$AA,0)+6)+INDEX(AG:AG,MATCH(AG292,$AA:$AA,0)+7))</f>
        <v>180</v>
      </c>
      <c r="AH295" s="373"/>
      <c r="AI295" s="372">
        <f>ABS(INDEX(AI:AI,MATCH(AI292,$AA:$AA,0)+5)+INDEX(AI:AI,MATCH(AI292,$AA:$AA,0)+6)+INDEX(AI:AI,MATCH(AI292,$AA:$AA,0)+7))</f>
        <v>170</v>
      </c>
      <c r="AJ295" s="373"/>
      <c r="AK295" s="372">
        <f>ABS(INDEX(AK:AK,MATCH(AK292,$AA:$AA,0)+5)+INDEX(AK:AK,MATCH(AK292,$AA:$AA,0)+6)+INDEX(AK:AK,MATCH(AK292,$AA:$AA,0)+7))</f>
        <v>136</v>
      </c>
      <c r="AL295" s="373"/>
      <c r="AM295" s="372">
        <f>ABS(INDEX(AM:AM,MATCH(AM292,$AA:$AA,0)+5)+INDEX(AM:AM,MATCH(AM292,$AA:$AA,0)+6)+INDEX(AM:AM,MATCH(AM292,$AA:$AA,0)+7))</f>
        <v>177</v>
      </c>
      <c r="AN295" s="373"/>
      <c r="AO295" s="372">
        <f>ABS(INDEX(AO:AO,MATCH(AO292,$AA:$AA,0)+5)+INDEX(AO:AO,MATCH(AO292,$AA:$AA,0)+6)+INDEX(AO:AO,MATCH(AO292,$AA:$AA,0)+7))</f>
        <v>0</v>
      </c>
      <c r="AP295" s="373"/>
      <c r="AQ295" s="372">
        <f>ABS(INDEX(AQ:AQ,MATCH(AQ292,$AA:$AA,0)+5)+INDEX(AQ:AQ,MATCH(AQ292,$AA:$AA,0)+6)+INDEX(AQ:AQ,MATCH(AQ292,$AA:$AA,0)+7))</f>
        <v>192</v>
      </c>
      <c r="AR295" s="373"/>
      <c r="AS295" s="372">
        <f>ABS(INDEX(AS:AS,MATCH(AS292,$AA:$AA,0)+5)+INDEX(AS:AS,MATCH(AS292,$AA:$AA,0)+6)+INDEX(AS:AS,MATCH(AS292,$AA:$AA,0)+7))</f>
        <v>202</v>
      </c>
      <c r="AT295" s="373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6.05" customHeight="1" x14ac:dyDescent="0.35">
      <c r="B296" s="365" t="str">
        <f t="shared" si="340"/>
        <v>Spieler 2</v>
      </c>
      <c r="C296" s="366" t="str">
        <f t="shared" si="340"/>
        <v/>
      </c>
      <c r="D296" s="339">
        <f>IF(AC296=301,"",AC296)</f>
        <v>170</v>
      </c>
      <c r="E296" s="339" t="str">
        <f>IF(AD296=0,"",AD296)</f>
        <v/>
      </c>
      <c r="F296" s="339">
        <f>IF(AE296=301,"",AE296)</f>
        <v>167</v>
      </c>
      <c r="G296" s="339" t="str">
        <f>IF(AF296=0,"",AF296)</f>
        <v/>
      </c>
      <c r="H296" s="339">
        <f>IF(AG296=301,"",AG296)</f>
        <v>173</v>
      </c>
      <c r="I296" s="339" t="str">
        <f>IF(AH296=0,"",AH296)</f>
        <v/>
      </c>
      <c r="J296" s="339">
        <f>IF(AI296=301,"",AI296)</f>
        <v>174</v>
      </c>
      <c r="K296" s="339" t="str">
        <f>IF(AJ296=0,"",AJ296)</f>
        <v/>
      </c>
      <c r="L296" s="339">
        <f>IF(AK296=301,"",AK296)</f>
        <v>161</v>
      </c>
      <c r="M296" s="339" t="str">
        <f>IF(AL296=0,"",AL296)</f>
        <v/>
      </c>
      <c r="N296" s="339">
        <f>IF(AM296=301,"",AM296)</f>
        <v>171</v>
      </c>
      <c r="O296" s="339" t="str">
        <f>IF(AN296=0,"",AN296)</f>
        <v/>
      </c>
      <c r="P296" s="339">
        <f>IF(AO296=301,"",AO296)</f>
        <v>0</v>
      </c>
      <c r="Q296" s="339" t="str">
        <f>IF(AP296=0,"",AP296)</f>
        <v/>
      </c>
      <c r="R296" s="339">
        <f>IF(AQ296=301,"",AQ296)</f>
        <v>164</v>
      </c>
      <c r="S296" s="339" t="str">
        <f>IF(AR296=0,"",AR296)</f>
        <v/>
      </c>
      <c r="T296" s="339">
        <f>IF(AS296=301,"",AS296)</f>
        <v>156</v>
      </c>
      <c r="U296" s="339" t="str">
        <f>IF(AT296=0,"",AT296)</f>
        <v/>
      </c>
      <c r="V296" s="340"/>
      <c r="W296" s="340"/>
      <c r="AA296" s="91" t="s">
        <v>2</v>
      </c>
      <c r="AB296" s="92"/>
      <c r="AC296" s="374">
        <f>ABS(INDEX(AC:AC,MATCH(AC292,$AA:$AA,0)+8)+INDEX(AC:AC,MATCH(AC292,$AA:$AA,0)+9)+INDEX(AC:AC,MATCH(AC292,$AA:$AA,0)+10))</f>
        <v>170</v>
      </c>
      <c r="AD296" s="375"/>
      <c r="AE296" s="374">
        <f>ABS(INDEX(AE:AE,MATCH(AE292,$AA:$AA,0)+8)+INDEX(AE:AE,MATCH(AE292,$AA:$AA,0)+9)+INDEX(AE:AE,MATCH(AE292,$AA:$AA,0)+10))</f>
        <v>167</v>
      </c>
      <c r="AF296" s="375"/>
      <c r="AG296" s="374">
        <f>ABS(INDEX(AG:AG,MATCH(AG292,$AA:$AA,0)+8)+INDEX(AG:AG,MATCH(AG292,$AA:$AA,0)+9)+INDEX(AG:AG,MATCH(AG292,$AA:$AA,0)+10))</f>
        <v>173</v>
      </c>
      <c r="AH296" s="375"/>
      <c r="AI296" s="374">
        <f>ABS(INDEX(AI:AI,MATCH(AI292,$AA:$AA,0)+8)+INDEX(AI:AI,MATCH(AI292,$AA:$AA,0)+9)+INDEX(AI:AI,MATCH(AI292,$AA:$AA,0)+10))</f>
        <v>174</v>
      </c>
      <c r="AJ296" s="375"/>
      <c r="AK296" s="374">
        <f>ABS(INDEX(AK:AK,MATCH(AK292,$AA:$AA,0)+8)+INDEX(AK:AK,MATCH(AK292,$AA:$AA,0)+9)+INDEX(AK:AK,MATCH(AK292,$AA:$AA,0)+10))</f>
        <v>161</v>
      </c>
      <c r="AL296" s="375"/>
      <c r="AM296" s="374">
        <f>ABS(INDEX(AM:AM,MATCH(AM292,$AA:$AA,0)+8)+INDEX(AM:AM,MATCH(AM292,$AA:$AA,0)+9)+INDEX(AM:AM,MATCH(AM292,$AA:$AA,0)+10))</f>
        <v>171</v>
      </c>
      <c r="AN296" s="375"/>
      <c r="AO296" s="374">
        <f>ABS(INDEX(AO:AO,MATCH(AO292,$AA:$AA,0)+8)+INDEX(AO:AO,MATCH(AO292,$AA:$AA,0)+9)+INDEX(AO:AO,MATCH(AO292,$AA:$AA,0)+10))</f>
        <v>0</v>
      </c>
      <c r="AP296" s="375"/>
      <c r="AQ296" s="374">
        <f>ABS(INDEX(AQ:AQ,MATCH(AQ292,$AA:$AA,0)+8)+INDEX(AQ:AQ,MATCH(AQ292,$AA:$AA,0)+9)+INDEX(AQ:AQ,MATCH(AQ292,$AA:$AA,0)+10))</f>
        <v>164</v>
      </c>
      <c r="AR296" s="375"/>
      <c r="AS296" s="374">
        <f>ABS(INDEX(AS:AS,MATCH(AS292,$AA:$AA,0)+8)+INDEX(AS:AS,MATCH(AS292,$AA:$AA,0)+9)+INDEX(AS:AS,MATCH(AS292,$AA:$AA,0)+10))</f>
        <v>156</v>
      </c>
      <c r="AT296" s="37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6.05" customHeight="1" x14ac:dyDescent="0.35">
      <c r="B297" s="365" t="str">
        <f t="shared" si="340"/>
        <v>Spieler 3</v>
      </c>
      <c r="C297" s="366" t="str">
        <f t="shared" si="340"/>
        <v/>
      </c>
      <c r="D297" s="339">
        <f>IF(AC297=301,"",AC297)</f>
        <v>159</v>
      </c>
      <c r="E297" s="339" t="str">
        <f>IF(AD297=0,"",AD297)</f>
        <v/>
      </c>
      <c r="F297" s="339">
        <f>IF(AE297=301,"",AE297)</f>
        <v>137</v>
      </c>
      <c r="G297" s="339" t="str">
        <f>IF(AF297=0,"",AF297)</f>
        <v/>
      </c>
      <c r="H297" s="339">
        <f>IF(AG297=301,"",AG297)</f>
        <v>178</v>
      </c>
      <c r="I297" s="339" t="str">
        <f>IF(AH297=0,"",AH297)</f>
        <v/>
      </c>
      <c r="J297" s="339">
        <f>IF(AI297=301,"",AI297)</f>
        <v>135</v>
      </c>
      <c r="K297" s="339" t="str">
        <f>IF(AJ297=0,"",AJ297)</f>
        <v/>
      </c>
      <c r="L297" s="339">
        <f>IF(AK297=301,"",AK297)</f>
        <v>172</v>
      </c>
      <c r="M297" s="339" t="str">
        <f>IF(AL297=0,"",AL297)</f>
        <v/>
      </c>
      <c r="N297" s="339">
        <f>IF(AM297=301,"",AM297)</f>
        <v>161</v>
      </c>
      <c r="O297" s="339" t="str">
        <f>IF(AN297=0,"",AN297)</f>
        <v/>
      </c>
      <c r="P297" s="339">
        <f>IF(AO297=301,"",AO297)</f>
        <v>0</v>
      </c>
      <c r="Q297" s="339" t="str">
        <f>IF(AP297=0,"",AP297)</f>
        <v/>
      </c>
      <c r="R297" s="339">
        <f>IF(AQ297=301,"",AQ297)</f>
        <v>166</v>
      </c>
      <c r="S297" s="339" t="str">
        <f>IF(AR297=0,"",AR297)</f>
        <v/>
      </c>
      <c r="T297" s="339">
        <f>IF(AS297=301,"",AS297)</f>
        <v>152</v>
      </c>
      <c r="U297" s="339" t="str">
        <f>IF(AT297=0,"",AT297)</f>
        <v/>
      </c>
      <c r="V297" s="340"/>
      <c r="W297" s="340"/>
      <c r="AA297" s="91" t="s">
        <v>3</v>
      </c>
      <c r="AB297" s="92"/>
      <c r="AC297" s="374">
        <f>ABS(INDEX(AC:AC,MATCH(AC292,$AA:$AA,0)+11)+INDEX(AC:AC,MATCH(AC292,$AA:$AA,0)+12)+INDEX(AC:AC,MATCH(AC292,$AA:$AA,0)+13))</f>
        <v>159</v>
      </c>
      <c r="AD297" s="375"/>
      <c r="AE297" s="374">
        <f>ABS(INDEX(AE:AE,MATCH(AE292,$AA:$AA,0)+11)+INDEX(AE:AE,MATCH(AE292,$AA:$AA,0)+12)+INDEX(AE:AE,MATCH(AE292,$AA:$AA,0)+13))</f>
        <v>137</v>
      </c>
      <c r="AF297" s="375"/>
      <c r="AG297" s="374">
        <f>ABS(INDEX(AG:AG,MATCH(AG292,$AA:$AA,0)+11)+INDEX(AG:AG,MATCH(AG292,$AA:$AA,0)+12)+INDEX(AG:AG,MATCH(AG292,$AA:$AA,0)+13))</f>
        <v>178</v>
      </c>
      <c r="AH297" s="375"/>
      <c r="AI297" s="374">
        <f>ABS(INDEX(AI:AI,MATCH(AI292,$AA:$AA,0)+11)+INDEX(AI:AI,MATCH(AI292,$AA:$AA,0)+12)+INDEX(AI:AI,MATCH(AI292,$AA:$AA,0)+13))</f>
        <v>135</v>
      </c>
      <c r="AJ297" s="375"/>
      <c r="AK297" s="374">
        <f>ABS(INDEX(AK:AK,MATCH(AK292,$AA:$AA,0)+11)+INDEX(AK:AK,MATCH(AK292,$AA:$AA,0)+12)+INDEX(AK:AK,MATCH(AK292,$AA:$AA,0)+13))</f>
        <v>172</v>
      </c>
      <c r="AL297" s="375"/>
      <c r="AM297" s="374">
        <f>ABS(INDEX(AM:AM,MATCH(AM292,$AA:$AA,0)+11)+INDEX(AM:AM,MATCH(AM292,$AA:$AA,0)+12)+INDEX(AM:AM,MATCH(AM292,$AA:$AA,0)+13))</f>
        <v>161</v>
      </c>
      <c r="AN297" s="375"/>
      <c r="AO297" s="374">
        <f>ABS(INDEX(AO:AO,MATCH(AO292,$AA:$AA,0)+11)+INDEX(AO:AO,MATCH(AO292,$AA:$AA,0)+12)+INDEX(AO:AO,MATCH(AO292,$AA:$AA,0)+13))</f>
        <v>0</v>
      </c>
      <c r="AP297" s="375"/>
      <c r="AQ297" s="374">
        <f>ABS(INDEX(AQ:AQ,MATCH(AQ292,$AA:$AA,0)+11)+INDEX(AQ:AQ,MATCH(AQ292,$AA:$AA,0)+12)+INDEX(AQ:AQ,MATCH(AQ292,$AA:$AA,0)+13))</f>
        <v>166</v>
      </c>
      <c r="AR297" s="375"/>
      <c r="AS297" s="374">
        <f>ABS(INDEX(AS:AS,MATCH(AS292,$AA:$AA,0)+11)+INDEX(AS:AS,MATCH(AS292,$AA:$AA,0)+12)+INDEX(AS:AS,MATCH(AS292,$AA:$AA,0)+13))</f>
        <v>152</v>
      </c>
      <c r="AT297" s="37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6.05" customHeight="1" x14ac:dyDescent="0.35">
      <c r="B298" s="365" t="str">
        <f t="shared" si="340"/>
        <v>Spieler 4</v>
      </c>
      <c r="C298" s="366" t="str">
        <f t="shared" si="340"/>
        <v/>
      </c>
      <c r="D298" s="339">
        <f>IF(AC298=301,"",AC298)</f>
        <v>160</v>
      </c>
      <c r="E298" s="339" t="str">
        <f>IF(AD298=0,"",AD298)</f>
        <v/>
      </c>
      <c r="F298" s="339">
        <f>IF(AE298=301,"",AE298)</f>
        <v>160</v>
      </c>
      <c r="G298" s="339" t="str">
        <f>IF(AF298=0,"",AF298)</f>
        <v/>
      </c>
      <c r="H298" s="339">
        <f>IF(AG298=301,"",AG298)</f>
        <v>181</v>
      </c>
      <c r="I298" s="339" t="str">
        <f>IF(AH298=0,"",AH298)</f>
        <v/>
      </c>
      <c r="J298" s="339">
        <f>IF(AI298=301,"",AI298)</f>
        <v>189</v>
      </c>
      <c r="K298" s="339" t="str">
        <f>IF(AJ298=0,"",AJ298)</f>
        <v/>
      </c>
      <c r="L298" s="339">
        <f>IF(AK298=301,"",AK298)</f>
        <v>185</v>
      </c>
      <c r="M298" s="339" t="str">
        <f>IF(AL298=0,"",AL298)</f>
        <v/>
      </c>
      <c r="N298" s="339">
        <f>IF(AM298=301,"",AM298)</f>
        <v>183</v>
      </c>
      <c r="O298" s="339" t="str">
        <f>IF(AN298=0,"",AN298)</f>
        <v/>
      </c>
      <c r="P298" s="339">
        <f>IF(AO298=301,"",AO298)</f>
        <v>0</v>
      </c>
      <c r="Q298" s="339" t="str">
        <f>IF(AP298=0,"",AP298)</f>
        <v/>
      </c>
      <c r="R298" s="339">
        <f>IF(AQ298=301,"",AQ298)</f>
        <v>146</v>
      </c>
      <c r="S298" s="339" t="str">
        <f>IF(AR298=0,"",AR298)</f>
        <v/>
      </c>
      <c r="T298" s="339">
        <f>IF(AS298=301,"",AS298)</f>
        <v>155</v>
      </c>
      <c r="U298" s="339" t="str">
        <f>IF(AT298=0,"",AT298)</f>
        <v/>
      </c>
      <c r="V298" s="340"/>
      <c r="W298" s="340"/>
      <c r="AA298" s="91" t="s">
        <v>11</v>
      </c>
      <c r="AB298" s="92"/>
      <c r="AC298" s="374">
        <f>ABS(INDEX(AC:AC,MATCH(AC292,$AA:$AA,0)+14)+INDEX(AC:AC,MATCH(AC292,$AA:$AA,0)+15)+INDEX(AC:AC,MATCH(AC292,$AA:$AA,0)+16))</f>
        <v>160</v>
      </c>
      <c r="AD298" s="375"/>
      <c r="AE298" s="374">
        <f>ABS(INDEX(AE:AE,MATCH(AE292,$AA:$AA,0)+14)+INDEX(AE:AE,MATCH(AE292,$AA:$AA,0)+15)+INDEX(AE:AE,MATCH(AE292,$AA:$AA,0)+16))</f>
        <v>160</v>
      </c>
      <c r="AF298" s="375"/>
      <c r="AG298" s="374">
        <f>ABS(INDEX(AG:AG,MATCH(AG292,$AA:$AA,0)+14)+INDEX(AG:AG,MATCH(AG292,$AA:$AA,0)+15)+INDEX(AG:AG,MATCH(AG292,$AA:$AA,0)+16))</f>
        <v>181</v>
      </c>
      <c r="AH298" s="375"/>
      <c r="AI298" s="374">
        <f>ABS(INDEX(AI:AI,MATCH(AI292,$AA:$AA,0)+14)+INDEX(AI:AI,MATCH(AI292,$AA:$AA,0)+15)+INDEX(AI:AI,MATCH(AI292,$AA:$AA,0)+16))</f>
        <v>189</v>
      </c>
      <c r="AJ298" s="375"/>
      <c r="AK298" s="374">
        <f>ABS(INDEX(AK:AK,MATCH(AK292,$AA:$AA,0)+14)+INDEX(AK:AK,MATCH(AK292,$AA:$AA,0)+15)+INDEX(AK:AK,MATCH(AK292,$AA:$AA,0)+16))</f>
        <v>185</v>
      </c>
      <c r="AL298" s="375"/>
      <c r="AM298" s="374">
        <f>ABS(INDEX(AM:AM,MATCH(AM292,$AA:$AA,0)+14)+INDEX(AM:AM,MATCH(AM292,$AA:$AA,0)+15)+INDEX(AM:AM,MATCH(AM292,$AA:$AA,0)+16))</f>
        <v>183</v>
      </c>
      <c r="AN298" s="375"/>
      <c r="AO298" s="374">
        <f>ABS(INDEX(AO:AO,MATCH(AO292,$AA:$AA,0)+14)+INDEX(AO:AO,MATCH(AO292,$AA:$AA,0)+15)+INDEX(AO:AO,MATCH(AO292,$AA:$AA,0)+16))</f>
        <v>0</v>
      </c>
      <c r="AP298" s="375"/>
      <c r="AQ298" s="374">
        <f>ABS(INDEX(AQ:AQ,MATCH(AQ292,$AA:$AA,0)+14)+INDEX(AQ:AQ,MATCH(AQ292,$AA:$AA,0)+15)+INDEX(AQ:AQ,MATCH(AQ292,$AA:$AA,0)+16))</f>
        <v>146</v>
      </c>
      <c r="AR298" s="375"/>
      <c r="AS298" s="374">
        <f>ABS(INDEX(AS:AS,MATCH(AS292,$AA:$AA,0)+14)+INDEX(AS:AS,MATCH(AS292,$AA:$AA,0)+15)+INDEX(AS:AS,MATCH(AS292,$AA:$AA,0)+16))</f>
        <v>155</v>
      </c>
      <c r="AT298" s="37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6.05" customHeight="1" x14ac:dyDescent="0.35">
      <c r="B299" s="354" t="str">
        <f t="shared" si="340"/>
        <v>Gesamt</v>
      </c>
      <c r="C299" s="355" t="str">
        <f t="shared" si="340"/>
        <v/>
      </c>
      <c r="D299" s="338">
        <f>IF(AC299=1505,"",AC299)</f>
        <v>652</v>
      </c>
      <c r="E299" s="338" t="str">
        <f>IF(AD299=0,"",AD299)</f>
        <v/>
      </c>
      <c r="F299" s="338">
        <f>IF(AE299=1505,"",AE299)</f>
        <v>589</v>
      </c>
      <c r="G299" s="338" t="str">
        <f>IF(AF299=0,"",AF299)</f>
        <v/>
      </c>
      <c r="H299" s="338">
        <f>IF(AG299=1505,"",AG299)</f>
        <v>712</v>
      </c>
      <c r="I299" s="338" t="str">
        <f>IF(AH299=0,"",AH299)</f>
        <v/>
      </c>
      <c r="J299" s="338">
        <f>IF(AI299=1505,"",AI299)</f>
        <v>668</v>
      </c>
      <c r="K299" s="338" t="str">
        <f>IF(AJ299=0,"",AJ299)</f>
        <v/>
      </c>
      <c r="L299" s="338">
        <f>IF(AK299=1505,"",AK299)</f>
        <v>654</v>
      </c>
      <c r="M299" s="338" t="str">
        <f>IF(AL299=0,"",AL299)</f>
        <v/>
      </c>
      <c r="N299" s="338">
        <f>IF(AM299=1505,"",AM299)</f>
        <v>692</v>
      </c>
      <c r="O299" s="338" t="str">
        <f>IF(AN299=0,"",AN299)</f>
        <v/>
      </c>
      <c r="P299" s="338">
        <f>IF(AO299=1505,"",AO299)</f>
        <v>0</v>
      </c>
      <c r="Q299" s="338" t="str">
        <f>IF(AP299=0,"",AP299)</f>
        <v/>
      </c>
      <c r="R299" s="338">
        <f>IF(AQ299=1505,"",AQ299)</f>
        <v>668</v>
      </c>
      <c r="S299" s="338" t="str">
        <f>IF(AR299=0,"",AR299)</f>
        <v/>
      </c>
      <c r="T299" s="338">
        <f>IF(AS299=1505,"",AS299)</f>
        <v>665</v>
      </c>
      <c r="U299" s="338" t="str">
        <f>IF(AT299=0,"",AT299)</f>
        <v/>
      </c>
      <c r="V299" s="290"/>
      <c r="W299" s="290"/>
      <c r="AA299" s="93" t="s">
        <v>1799</v>
      </c>
      <c r="AB299" s="94"/>
      <c r="AC299" s="354">
        <f>SUM(AC295:AC298)</f>
        <v>652</v>
      </c>
      <c r="AD299" s="355"/>
      <c r="AE299" s="354">
        <f>SUM(AE295:AE298)</f>
        <v>589</v>
      </c>
      <c r="AF299" s="355"/>
      <c r="AG299" s="354">
        <f>SUM(AG295:AG298)</f>
        <v>712</v>
      </c>
      <c r="AH299" s="355"/>
      <c r="AI299" s="354">
        <f>SUM(AI295:AI298)</f>
        <v>668</v>
      </c>
      <c r="AJ299" s="355"/>
      <c r="AK299" s="354">
        <f>SUM(AK295:AK298)</f>
        <v>654</v>
      </c>
      <c r="AL299" s="355"/>
      <c r="AM299" s="354">
        <f>SUM(AM295:AM298)</f>
        <v>692</v>
      </c>
      <c r="AN299" s="355"/>
      <c r="AO299" s="354">
        <f>SUM(AO295:AO298)</f>
        <v>0</v>
      </c>
      <c r="AP299" s="355"/>
      <c r="AQ299" s="354">
        <f>SUM(AQ295:AQ298)</f>
        <v>668</v>
      </c>
      <c r="AR299" s="355"/>
      <c r="AS299" s="354">
        <f>SUM(AS295:AS298)</f>
        <v>665</v>
      </c>
      <c r="AT299" s="35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3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12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89" fitToHeight="0" orientation="landscape" r:id="rId1"/>
  <headerFooter alignWithMargins="0"/>
  <rowBreaks count="9" manualBreakCount="9">
    <brk id="30" min="25" max="48" man="1"/>
    <brk id="60" min="25" max="48" man="1"/>
    <brk id="90" min="25" max="48" man="1"/>
    <brk id="120" min="25" max="48" man="1"/>
    <brk id="150" min="25" max="48" man="1"/>
    <brk id="180" min="25" max="48" man="1"/>
    <brk id="210" min="25" max="48" man="1"/>
    <brk id="240" min="25" max="48" man="1"/>
    <brk id="270" min="25" max="48" man="1"/>
  </rowBreaks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4">
    <tabColor rgb="FFFFFF00"/>
    <pageSetUpPr fitToPage="1"/>
  </sheetPr>
  <dimension ref="A1:AF26"/>
  <sheetViews>
    <sheetView workbookViewId="0">
      <selection activeCell="D80" sqref="D80:M80"/>
    </sheetView>
  </sheetViews>
  <sheetFormatPr baseColWidth="10" defaultColWidth="11.33203125" defaultRowHeight="12.75" x14ac:dyDescent="0.35"/>
  <cols>
    <col min="1" max="1" width="4.06640625" customWidth="1"/>
    <col min="2" max="2" width="18.33203125" customWidth="1"/>
    <col min="3" max="3" width="6.265625" customWidth="1"/>
    <col min="4" max="4" width="4.73046875" customWidth="1"/>
    <col min="5" max="5" width="6.265625" customWidth="1"/>
    <col min="6" max="6" width="4.73046875" customWidth="1"/>
    <col min="7" max="7" width="6.265625" customWidth="1"/>
    <col min="8" max="8" width="4.73046875" customWidth="1"/>
    <col min="9" max="9" width="6.265625" customWidth="1"/>
    <col min="10" max="10" width="4.73046875" customWidth="1"/>
    <col min="11" max="11" width="6.265625" customWidth="1"/>
    <col min="12" max="12" width="4.73046875" customWidth="1"/>
    <col min="13" max="13" width="6.265625" customWidth="1"/>
    <col min="14" max="14" width="4.73046875" customWidth="1"/>
    <col min="15" max="15" width="6.265625" customWidth="1"/>
    <col min="16" max="16" width="4.73046875" customWidth="1"/>
    <col min="17" max="17" width="6.265625" customWidth="1"/>
    <col min="18" max="18" width="4.73046875" customWidth="1"/>
    <col min="19" max="19" width="6.265625" customWidth="1"/>
    <col min="20" max="20" width="4.73046875" customWidth="1"/>
    <col min="21" max="21" width="9.33203125" customWidth="1"/>
    <col min="22" max="22" width="7.796875" customWidth="1"/>
    <col min="24" max="24" width="4.33203125" customWidth="1"/>
    <col min="27" max="27" width="14.796875" style="215" hidden="1" customWidth="1"/>
    <col min="28" max="28" width="6.33203125" style="215" hidden="1" customWidth="1"/>
    <col min="29" max="29" width="5" style="215" hidden="1" customWidth="1"/>
    <col min="30" max="30" width="5.06640625" style="215" hidden="1" customWidth="1"/>
    <col min="31" max="31" width="6" style="215" hidden="1" customWidth="1"/>
    <col min="32" max="32" width="11.33203125" hidden="1" customWidth="1"/>
    <col min="33" max="52" width="11.33203125" customWidth="1"/>
  </cols>
  <sheetData>
    <row r="1" spans="1:31" ht="28.5" customHeight="1" x14ac:dyDescent="0.35">
      <c r="A1" s="382" t="str">
        <f>Schlüssel!$C$1</f>
        <v>Bayernliga Frauen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5"/>
      <c r="Y1" s="5"/>
      <c r="AA1" s="215" t="s">
        <v>2080</v>
      </c>
    </row>
    <row r="2" spans="1:31" ht="28.5" customHeight="1" x14ac:dyDescent="0.35">
      <c r="A2" s="383" t="str">
        <f>"Saison "&amp;Spielorte!C18&amp;"     -     Spieltag "&amp;Erfassung3!AS2&amp;"     -     "&amp;Erfassung3!AT1</f>
        <v>Saison 2024/2025     -     Spieltag 3     -     01.02./02.02.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5"/>
      <c r="Y2" s="5"/>
    </row>
    <row r="3" spans="1:31" ht="28.5" customHeight="1" x14ac:dyDescent="0.35">
      <c r="A3" s="383" t="str">
        <f>+Erfassung3!AE2</f>
        <v>Unterföhring Dreambowl Palace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5"/>
      <c r="Y3" s="5"/>
    </row>
    <row r="4" spans="1:31" ht="28.5" customHeight="1" thickBot="1" x14ac:dyDescent="0.6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35">
      <c r="A5" s="386" t="s">
        <v>1816</v>
      </c>
      <c r="B5" s="388" t="s">
        <v>1817</v>
      </c>
      <c r="C5" s="376" t="s">
        <v>1800</v>
      </c>
      <c r="D5" s="377"/>
      <c r="E5" s="376" t="s">
        <v>1801</v>
      </c>
      <c r="F5" s="377"/>
      <c r="G5" s="376" t="s">
        <v>1802</v>
      </c>
      <c r="H5" s="377"/>
      <c r="I5" s="376" t="s">
        <v>1803</v>
      </c>
      <c r="J5" s="377"/>
      <c r="K5" s="376" t="s">
        <v>1804</v>
      </c>
      <c r="L5" s="377"/>
      <c r="M5" s="376" t="s">
        <v>1805</v>
      </c>
      <c r="N5" s="377"/>
      <c r="O5" s="376" t="s">
        <v>1806</v>
      </c>
      <c r="P5" s="377"/>
      <c r="Q5" s="376" t="s">
        <v>1807</v>
      </c>
      <c r="R5" s="377"/>
      <c r="S5" s="378" t="s">
        <v>1808</v>
      </c>
      <c r="T5" s="377"/>
      <c r="U5" s="376" t="s">
        <v>1799</v>
      </c>
      <c r="V5" s="377"/>
      <c r="W5" s="384" t="s">
        <v>1818</v>
      </c>
    </row>
    <row r="6" spans="1:31" ht="13.15" thickBot="1" x14ac:dyDescent="0.4">
      <c r="A6" s="387"/>
      <c r="B6" s="389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5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4">
      <c r="A7" s="223">
        <v>1</v>
      </c>
      <c r="B7" s="128" t="str">
        <f>INDEX(Erfassung3!$AA:$AA,MATCH($A7,Erfassung3!$BR:$BR,0)-17)</f>
        <v>Phönix 03 Lauf</v>
      </c>
      <c r="C7" s="129">
        <f>INDEX(Erfassung3!AC:AC,MATCH($A7,Erfassung3!$BR:$BR,0)-1)</f>
        <v>700</v>
      </c>
      <c r="D7" s="130">
        <f>INDEX(Erfassung3!AD:AD,MATCH($A7,Erfassung3!$BR:$BR,0))</f>
        <v>6</v>
      </c>
      <c r="E7" s="129">
        <f>INDEX(Erfassung3!AE:AE,MATCH($A7,Erfassung3!$BR:$BR,0)-1)</f>
        <v>718</v>
      </c>
      <c r="F7" s="130">
        <f>INDEX(Erfassung3!AF:AF,MATCH($A7,Erfassung3!$BR:$BR,0))</f>
        <v>6</v>
      </c>
      <c r="G7" s="129">
        <f>INDEX(Erfassung3!AG:AG,MATCH($A7,Erfassung3!$BR:$BR,0)-1)</f>
        <v>636</v>
      </c>
      <c r="H7" s="130">
        <f>INDEX(Erfassung3!AH:AH,MATCH($A7,Erfassung3!$BR:$BR,0))</f>
        <v>3</v>
      </c>
      <c r="I7" s="129">
        <f>INDEX(Erfassung3!AI:AI,MATCH($A7,Erfassung3!$BR:$BR,0)-1)</f>
        <v>592</v>
      </c>
      <c r="J7" s="130">
        <f>INDEX(Erfassung3!AJ:AJ,MATCH($A7,Erfassung3!$BR:$BR,0))</f>
        <v>1</v>
      </c>
      <c r="K7" s="129">
        <f>INDEX(Erfassung3!AK:AK,MATCH($A7,Erfassung3!$BR:$BR,0)-1)</f>
        <v>724</v>
      </c>
      <c r="L7" s="130">
        <f>INDEX(Erfassung3!AL:AL,MATCH($A7,Erfassung3!$BR:$BR,0))</f>
        <v>5</v>
      </c>
      <c r="M7" s="129">
        <f>INDEX(Erfassung3!AM:AM,MATCH($A7,Erfassung3!$BR:$BR,0)-1)</f>
        <v>693</v>
      </c>
      <c r="N7" s="130">
        <f>INDEX(Erfassung3!AN:AN,MATCH($A7,Erfassung3!$BR:$BR,0))</f>
        <v>5</v>
      </c>
      <c r="O7" s="129">
        <f>INDEX(Erfassung3!AO:AO,MATCH($A7,Erfassung3!$BR:$BR,0)-1)</f>
        <v>696</v>
      </c>
      <c r="P7" s="130">
        <f>INDEX(Erfassung3!AP:AP,MATCH($A7,Erfassung3!$BR:$BR,0))</f>
        <v>3</v>
      </c>
      <c r="Q7" s="129">
        <f>INDEX(Erfassung3!AQ:AQ,MATCH($A7,Erfassung3!$BR:$BR,0)-1)</f>
        <v>668</v>
      </c>
      <c r="R7" s="130">
        <f>INDEX(Erfassung3!AR:AR,MATCH($A7,Erfassung3!$BR:$BR,0))</f>
        <v>5</v>
      </c>
      <c r="S7" s="129">
        <f>INDEX(Erfassung3!AS:AS,MATCH($A7,Erfassung3!$BR:$BR,0)-1)</f>
        <v>693</v>
      </c>
      <c r="T7" s="130">
        <f>INDEX(Erfassung3!AT:AT,MATCH($A7,Erfassung3!$BR:$BR,0))</f>
        <v>4</v>
      </c>
      <c r="U7" s="131">
        <f t="shared" ref="U7:V16" si="0">SUM(C7+E7+G7+I7+K7+M7+O7+Q7+S7)</f>
        <v>6120</v>
      </c>
      <c r="V7" s="132">
        <f t="shared" si="0"/>
        <v>38</v>
      </c>
      <c r="W7" s="224">
        <f>IFERROR(U7/INDEX(Erfassung3!BF:BF,MATCH(A7,Erfassung3!BR:BR,0)),0)</f>
        <v>170</v>
      </c>
      <c r="X7" s="25"/>
      <c r="AA7" s="225">
        <f>INDEX(TabGes2!G:G,MATCH($B7,TabGes2!$B:$B,0))+U7</f>
        <v>18928</v>
      </c>
      <c r="AB7" s="225">
        <f>INDEX(TabGes2!H:H,MATCH($B7,TabGes2!$B:$B,0))+V7</f>
        <v>105.5</v>
      </c>
      <c r="AC7" s="215">
        <f>+AB7+AA7/1000000000</f>
        <v>105.500018928</v>
      </c>
      <c r="AD7" s="215">
        <f>RANK(AC7,AC:AC)</f>
        <v>2</v>
      </c>
      <c r="AE7" s="215">
        <f>INDEX(Tabelle2!AE:AE,MATCH(B7,Tabelle2!B:B,0))+SUMIF(Erfassung3!BU:BU,B7,Erfassung3!BF:BF)</f>
        <v>108</v>
      </c>
    </row>
    <row r="8" spans="1:31" ht="42" customHeight="1" thickBot="1" x14ac:dyDescent="0.4">
      <c r="A8" s="223">
        <v>2</v>
      </c>
      <c r="B8" s="128" t="str">
        <f>INDEX(Erfassung3!$AA:$AA,MATCH($A8,Erfassung3!$BR:$BR,0)-17)</f>
        <v>Praetoria Regensburg</v>
      </c>
      <c r="C8" s="129">
        <f>INDEX(Erfassung3!AC:AC,MATCH($A8,Erfassung3!$BR:$BR,0)-1)</f>
        <v>776</v>
      </c>
      <c r="D8" s="130">
        <f>INDEX(Erfassung3!AD:AD,MATCH($A8,Erfassung3!$BR:$BR,0))</f>
        <v>6</v>
      </c>
      <c r="E8" s="129">
        <f>INDEX(Erfassung3!AE:AE,MATCH($A8,Erfassung3!$BR:$BR,0)-1)</f>
        <v>716</v>
      </c>
      <c r="F8" s="130">
        <f>INDEX(Erfassung3!AF:AF,MATCH($A8,Erfassung3!$BR:$BR,0))</f>
        <v>6</v>
      </c>
      <c r="G8" s="129">
        <f>INDEX(Erfassung3!AG:AG,MATCH($A8,Erfassung3!$BR:$BR,0)-1)</f>
        <v>643</v>
      </c>
      <c r="H8" s="130">
        <f>INDEX(Erfassung3!AH:AH,MATCH($A8,Erfassung3!$BR:$BR,0))</f>
        <v>4</v>
      </c>
      <c r="I8" s="129">
        <f>INDEX(Erfassung3!AI:AI,MATCH($A8,Erfassung3!$BR:$BR,0)-1)</f>
        <v>647</v>
      </c>
      <c r="J8" s="130">
        <f>INDEX(Erfassung3!AJ:AJ,MATCH($A8,Erfassung3!$BR:$BR,0))</f>
        <v>4</v>
      </c>
      <c r="K8" s="129">
        <f>INDEX(Erfassung3!AK:AK,MATCH($A8,Erfassung3!$BR:$BR,0)-1)</f>
        <v>708</v>
      </c>
      <c r="L8" s="130">
        <f>INDEX(Erfassung3!AL:AL,MATCH($A8,Erfassung3!$BR:$BR,0))</f>
        <v>1</v>
      </c>
      <c r="M8" s="129">
        <f>INDEX(Erfassung3!AM:AM,MATCH($A8,Erfassung3!$BR:$BR,0)-1)</f>
        <v>747</v>
      </c>
      <c r="N8" s="130">
        <f>INDEX(Erfassung3!AN:AN,MATCH($A8,Erfassung3!$BR:$BR,0))</f>
        <v>6</v>
      </c>
      <c r="O8" s="129">
        <f>INDEX(Erfassung3!AO:AO,MATCH($A8,Erfassung3!$BR:$BR,0)-1)</f>
        <v>699</v>
      </c>
      <c r="P8" s="130">
        <f>INDEX(Erfassung3!AP:AP,MATCH($A8,Erfassung3!$BR:$BR,0))</f>
        <v>4</v>
      </c>
      <c r="Q8" s="129">
        <f>INDEX(Erfassung3!AQ:AQ,MATCH($A8,Erfassung3!$BR:$BR,0)-1)</f>
        <v>687</v>
      </c>
      <c r="R8" s="130">
        <f>INDEX(Erfassung3!AR:AR,MATCH($A8,Erfassung3!$BR:$BR,0))</f>
        <v>4.5</v>
      </c>
      <c r="S8" s="129">
        <f>INDEX(Erfassung3!AS:AS,MATCH($A8,Erfassung3!$BR:$BR,0)-1)</f>
        <v>665</v>
      </c>
      <c r="T8" s="130">
        <f>INDEX(Erfassung3!AT:AT,MATCH($A8,Erfassung3!$BR:$BR,0))</f>
        <v>2</v>
      </c>
      <c r="U8" s="131">
        <f t="shared" si="0"/>
        <v>6288</v>
      </c>
      <c r="V8" s="132">
        <f t="shared" si="0"/>
        <v>37.5</v>
      </c>
      <c r="W8" s="224">
        <f>IFERROR(U8/INDEX(Erfassung3!BF:BF,MATCH(A8,Erfassung3!BR:BR,0)),0)</f>
        <v>174.66666666666666</v>
      </c>
      <c r="X8" s="25"/>
      <c r="AA8" s="225">
        <f>INDEX(TabGes2!G:G,MATCH($B8,TabGes2!$B:$B,0))+U8</f>
        <v>19046</v>
      </c>
      <c r="AB8" s="225">
        <f>INDEX(TabGes2!H:H,MATCH($B8,TabGes2!$B:$B,0))+V8</f>
        <v>100.5</v>
      </c>
      <c r="AC8" s="215">
        <f t="shared" ref="AC8:AC16" si="1">+AB8+AA8/1000000000</f>
        <v>100.50001904600001</v>
      </c>
      <c r="AD8" s="215">
        <f t="shared" ref="AD8:AD16" si="2">RANK(AC8,AC:AC)</f>
        <v>5</v>
      </c>
      <c r="AE8" s="215">
        <f>INDEX(Tabelle2!AE:AE,MATCH(B8,Tabelle2!B:B,0))+SUMIF(Erfassung3!BU:BU,B8,Erfassung3!BF:BF)</f>
        <v>108</v>
      </c>
    </row>
    <row r="9" spans="1:31" ht="42" customHeight="1" thickBot="1" x14ac:dyDescent="0.4">
      <c r="A9" s="223">
        <v>3</v>
      </c>
      <c r="B9" s="128" t="str">
        <f>INDEX(Erfassung3!$AA:$AA,MATCH($A9,Erfassung3!$BR:$BR,0)-17)</f>
        <v>BK München 4</v>
      </c>
      <c r="C9" s="129">
        <f>INDEX(Erfassung3!AC:AC,MATCH($A9,Erfassung3!$BR:$BR,0)-1)</f>
        <v>670</v>
      </c>
      <c r="D9" s="130">
        <f>INDEX(Erfassung3!AD:AD,MATCH($A9,Erfassung3!$BR:$BR,0))</f>
        <v>4</v>
      </c>
      <c r="E9" s="129">
        <f>INDEX(Erfassung3!AE:AE,MATCH($A9,Erfassung3!$BR:$BR,0)-1)</f>
        <v>701</v>
      </c>
      <c r="F9" s="130">
        <f>INDEX(Erfassung3!AF:AF,MATCH($A9,Erfassung3!$BR:$BR,0))</f>
        <v>6</v>
      </c>
      <c r="G9" s="129">
        <f>INDEX(Erfassung3!AG:AG,MATCH($A9,Erfassung3!$BR:$BR,0)-1)</f>
        <v>602</v>
      </c>
      <c r="H9" s="130">
        <f>INDEX(Erfassung3!AH:AH,MATCH($A9,Erfassung3!$BR:$BR,0))</f>
        <v>0</v>
      </c>
      <c r="I9" s="129">
        <f>INDEX(Erfassung3!AI:AI,MATCH($A9,Erfassung3!$BR:$BR,0)-1)</f>
        <v>711</v>
      </c>
      <c r="J9" s="130">
        <f>INDEX(Erfassung3!AJ:AJ,MATCH($A9,Erfassung3!$BR:$BR,0))</f>
        <v>5</v>
      </c>
      <c r="K9" s="129">
        <f>INDEX(Erfassung3!AK:AK,MATCH($A9,Erfassung3!$BR:$BR,0)-1)</f>
        <v>729</v>
      </c>
      <c r="L9" s="130">
        <f>INDEX(Erfassung3!AL:AL,MATCH($A9,Erfassung3!$BR:$BR,0))</f>
        <v>4</v>
      </c>
      <c r="M9" s="129">
        <f>INDEX(Erfassung3!AM:AM,MATCH($A9,Erfassung3!$BR:$BR,0)-1)</f>
        <v>747</v>
      </c>
      <c r="N9" s="130">
        <f>INDEX(Erfassung3!AN:AN,MATCH($A9,Erfassung3!$BR:$BR,0))</f>
        <v>5</v>
      </c>
      <c r="O9" s="129">
        <f>INDEX(Erfassung3!AO:AO,MATCH($A9,Erfassung3!$BR:$BR,0)-1)</f>
        <v>644</v>
      </c>
      <c r="P9" s="130">
        <f>INDEX(Erfassung3!AP:AP,MATCH($A9,Erfassung3!$BR:$BR,0))</f>
        <v>6</v>
      </c>
      <c r="Q9" s="129">
        <f>INDEX(Erfassung3!AQ:AQ,MATCH($A9,Erfassung3!$BR:$BR,0)-1)</f>
        <v>632</v>
      </c>
      <c r="R9" s="130">
        <f>INDEX(Erfassung3!AR:AR,MATCH($A9,Erfassung3!$BR:$BR,0))</f>
        <v>1</v>
      </c>
      <c r="S9" s="129">
        <f>INDEX(Erfassung3!AS:AS,MATCH($A9,Erfassung3!$BR:$BR,0)-1)</f>
        <v>685</v>
      </c>
      <c r="T9" s="130">
        <f>INDEX(Erfassung3!AT:AT,MATCH($A9,Erfassung3!$BR:$BR,0))</f>
        <v>4</v>
      </c>
      <c r="U9" s="131">
        <f t="shared" si="0"/>
        <v>6121</v>
      </c>
      <c r="V9" s="132">
        <f t="shared" si="0"/>
        <v>35</v>
      </c>
      <c r="W9" s="224">
        <f>IFERROR(U9/INDEX(Erfassung3!BF:BF,MATCH(A9,Erfassung3!BR:BR,0)),0)</f>
        <v>170.02777777777777</v>
      </c>
      <c r="X9" s="25"/>
      <c r="AA9" s="225">
        <f>INDEX(TabGes2!G:G,MATCH($B9,TabGes2!$B:$B,0))+U9</f>
        <v>18881</v>
      </c>
      <c r="AB9" s="225">
        <f>INDEX(TabGes2!H:H,MATCH($B9,TabGes2!$B:$B,0))+V9</f>
        <v>106.5</v>
      </c>
      <c r="AC9" s="215">
        <f t="shared" si="1"/>
        <v>106.500018881</v>
      </c>
      <c r="AD9" s="215">
        <f t="shared" si="2"/>
        <v>1</v>
      </c>
      <c r="AE9" s="215">
        <f>INDEX(Tabelle2!AE:AE,MATCH(B9,Tabelle2!B:B,0))+SUMIF(Erfassung3!BU:BU,B9,Erfassung3!BF:BF)</f>
        <v>108</v>
      </c>
    </row>
    <row r="10" spans="1:31" ht="42" customHeight="1" thickBot="1" x14ac:dyDescent="0.4">
      <c r="A10" s="223">
        <v>4</v>
      </c>
      <c r="B10" s="128" t="str">
        <f>INDEX(Erfassung3!$AA:$AA,MATCH($A10,Erfassung3!$BR:$BR,0)-17)</f>
        <v>Highroller Rosenheim</v>
      </c>
      <c r="C10" s="129">
        <f>INDEX(Erfassung3!AC:AC,MATCH($A10,Erfassung3!$BR:$BR,0)-1)</f>
        <v>652</v>
      </c>
      <c r="D10" s="130">
        <f>INDEX(Erfassung3!AD:AD,MATCH($A10,Erfassung3!$BR:$BR,0))</f>
        <v>2</v>
      </c>
      <c r="E10" s="129">
        <f>INDEX(Erfassung3!AE:AE,MATCH($A10,Erfassung3!$BR:$BR,0)-1)</f>
        <v>664</v>
      </c>
      <c r="F10" s="130">
        <f>INDEX(Erfassung3!AF:AF,MATCH($A10,Erfassung3!$BR:$BR,0))</f>
        <v>0</v>
      </c>
      <c r="G10" s="129">
        <f>INDEX(Erfassung3!AG:AG,MATCH($A10,Erfassung3!$BR:$BR,0)-1)</f>
        <v>710</v>
      </c>
      <c r="H10" s="130">
        <f>INDEX(Erfassung3!AH:AH,MATCH($A10,Erfassung3!$BR:$BR,0))</f>
        <v>4</v>
      </c>
      <c r="I10" s="129">
        <f>INDEX(Erfassung3!AI:AI,MATCH($A10,Erfassung3!$BR:$BR,0)-1)</f>
        <v>652</v>
      </c>
      <c r="J10" s="130">
        <f>INDEX(Erfassung3!AJ:AJ,MATCH($A10,Erfassung3!$BR:$BR,0))</f>
        <v>5</v>
      </c>
      <c r="K10" s="129">
        <f>INDEX(Erfassung3!AK:AK,MATCH($A10,Erfassung3!$BR:$BR,0)-1)</f>
        <v>635</v>
      </c>
      <c r="L10" s="130">
        <f>INDEX(Erfassung3!AL:AL,MATCH($A10,Erfassung3!$BR:$BR,0))</f>
        <v>3</v>
      </c>
      <c r="M10" s="129">
        <f>INDEX(Erfassung3!AM:AM,MATCH($A10,Erfassung3!$BR:$BR,0)-1)</f>
        <v>736</v>
      </c>
      <c r="N10" s="130">
        <f>INDEX(Erfassung3!AN:AN,MATCH($A10,Erfassung3!$BR:$BR,0))</f>
        <v>4</v>
      </c>
      <c r="O10" s="129">
        <f>INDEX(Erfassung3!AO:AO,MATCH($A10,Erfassung3!$BR:$BR,0)-1)</f>
        <v>748</v>
      </c>
      <c r="P10" s="130">
        <f>INDEX(Erfassung3!AP:AP,MATCH($A10,Erfassung3!$BR:$BR,0))</f>
        <v>6</v>
      </c>
      <c r="Q10" s="129">
        <f>INDEX(Erfassung3!AQ:AQ,MATCH($A10,Erfassung3!$BR:$BR,0)-1)</f>
        <v>724</v>
      </c>
      <c r="R10" s="130">
        <f>INDEX(Erfassung3!AR:AR,MATCH($A10,Erfassung3!$BR:$BR,0))</f>
        <v>6</v>
      </c>
      <c r="S10" s="129">
        <f>INDEX(Erfassung3!AS:AS,MATCH($A10,Erfassung3!$BR:$BR,0)-1)</f>
        <v>753</v>
      </c>
      <c r="T10" s="130">
        <f>INDEX(Erfassung3!AT:AT,MATCH($A10,Erfassung3!$BR:$BR,0))</f>
        <v>4</v>
      </c>
      <c r="U10" s="131">
        <f t="shared" si="0"/>
        <v>6274</v>
      </c>
      <c r="V10" s="132">
        <f t="shared" si="0"/>
        <v>34</v>
      </c>
      <c r="W10" s="224">
        <f>IFERROR(U10/INDEX(Erfassung3!BF:BF,MATCH(A10,Erfassung3!BR:BR,0)),0)</f>
        <v>174.27777777777777</v>
      </c>
      <c r="X10" s="25"/>
      <c r="AA10" s="225">
        <f>INDEX(TabGes2!G:G,MATCH($B10,TabGes2!$B:$B,0))+U10</f>
        <v>19317</v>
      </c>
      <c r="AB10" s="225">
        <f>INDEX(TabGes2!H:H,MATCH($B10,TabGes2!$B:$B,0))+V10</f>
        <v>105</v>
      </c>
      <c r="AC10" s="215">
        <f t="shared" si="1"/>
        <v>105.000019317</v>
      </c>
      <c r="AD10" s="215">
        <f t="shared" si="2"/>
        <v>3</v>
      </c>
      <c r="AE10" s="215">
        <f>INDEX(Tabelle2!AE:AE,MATCH(B10,Tabelle2!B:B,0))+SUMIF(Erfassung3!BU:BU,B10,Erfassung3!BF:BF)</f>
        <v>108</v>
      </c>
    </row>
    <row r="11" spans="1:31" ht="42" customHeight="1" thickBot="1" x14ac:dyDescent="0.4">
      <c r="A11" s="223">
        <v>5</v>
      </c>
      <c r="B11" s="128" t="str">
        <f>INDEX(Erfassung3!$AA:$AA,MATCH($A11,Erfassung3!$BR:$BR,0)-17)</f>
        <v>EPA München 1</v>
      </c>
      <c r="C11" s="129">
        <f>INDEX(Erfassung3!AC:AC,MATCH($A11,Erfassung3!$BR:$BR,0)-1)</f>
        <v>684</v>
      </c>
      <c r="D11" s="130">
        <f>INDEX(Erfassung3!AD:AD,MATCH($A11,Erfassung3!$BR:$BR,0))</f>
        <v>1</v>
      </c>
      <c r="E11" s="129">
        <f>INDEX(Erfassung3!AE:AE,MATCH($A11,Erfassung3!$BR:$BR,0)-1)</f>
        <v>725</v>
      </c>
      <c r="F11" s="130">
        <f>INDEX(Erfassung3!AF:AF,MATCH($A11,Erfassung3!$BR:$BR,0))</f>
        <v>5.5</v>
      </c>
      <c r="G11" s="129">
        <f>INDEX(Erfassung3!AG:AG,MATCH($A11,Erfassung3!$BR:$BR,0)-1)</f>
        <v>632</v>
      </c>
      <c r="H11" s="130">
        <f>INDEX(Erfassung3!AH:AH,MATCH($A11,Erfassung3!$BR:$BR,0))</f>
        <v>2</v>
      </c>
      <c r="I11" s="129">
        <f>INDEX(Erfassung3!AI:AI,MATCH($A11,Erfassung3!$BR:$BR,0)-1)</f>
        <v>668</v>
      </c>
      <c r="J11" s="130">
        <f>INDEX(Erfassung3!AJ:AJ,MATCH($A11,Erfassung3!$BR:$BR,0))</f>
        <v>1</v>
      </c>
      <c r="K11" s="129">
        <f>INDEX(Erfassung3!AK:AK,MATCH($A11,Erfassung3!$BR:$BR,0)-1)</f>
        <v>621</v>
      </c>
      <c r="L11" s="130">
        <f>INDEX(Erfassung3!AL:AL,MATCH($A11,Erfassung3!$BR:$BR,0))</f>
        <v>6</v>
      </c>
      <c r="M11" s="129">
        <f>INDEX(Erfassung3!AM:AM,MATCH($A11,Erfassung3!$BR:$BR,0)-1)</f>
        <v>656</v>
      </c>
      <c r="N11" s="130">
        <f>INDEX(Erfassung3!AN:AN,MATCH($A11,Erfassung3!$BR:$BR,0))</f>
        <v>5</v>
      </c>
      <c r="O11" s="129">
        <f>INDEX(Erfassung3!AO:AO,MATCH($A11,Erfassung3!$BR:$BR,0)-1)</f>
        <v>727</v>
      </c>
      <c r="P11" s="130">
        <f>INDEX(Erfassung3!AP:AP,MATCH($A11,Erfassung3!$BR:$BR,0))</f>
        <v>3</v>
      </c>
      <c r="Q11" s="129">
        <f>INDEX(Erfassung3!AQ:AQ,MATCH($A11,Erfassung3!$BR:$BR,0)-1)</f>
        <v>728</v>
      </c>
      <c r="R11" s="130">
        <f>INDEX(Erfassung3!AR:AR,MATCH($A11,Erfassung3!$BR:$BR,0))</f>
        <v>6</v>
      </c>
      <c r="S11" s="129">
        <f>INDEX(Erfassung3!AS:AS,MATCH($A11,Erfassung3!$BR:$BR,0)-1)</f>
        <v>732</v>
      </c>
      <c r="T11" s="130">
        <f>INDEX(Erfassung3!AT:AT,MATCH($A11,Erfassung3!$BR:$BR,0))</f>
        <v>2</v>
      </c>
      <c r="U11" s="131">
        <f t="shared" si="0"/>
        <v>6173</v>
      </c>
      <c r="V11" s="132">
        <f t="shared" si="0"/>
        <v>31.5</v>
      </c>
      <c r="W11" s="224">
        <f>IFERROR(U11/INDEX(Erfassung3!BF:BF,MATCH(A11,Erfassung3!BR:BR,0)),0)</f>
        <v>171.47222222222223</v>
      </c>
      <c r="X11" s="25"/>
      <c r="AA11" s="225">
        <f>INDEX(TabGes2!G:G,MATCH($B11,TabGes2!$B:$B,0))+U11</f>
        <v>19360</v>
      </c>
      <c r="AB11" s="225">
        <f>INDEX(TabGes2!H:H,MATCH($B11,TabGes2!$B:$B,0))+V11</f>
        <v>101.5</v>
      </c>
      <c r="AC11" s="215">
        <f t="shared" si="1"/>
        <v>101.50001936</v>
      </c>
      <c r="AD11" s="215">
        <f t="shared" si="2"/>
        <v>4</v>
      </c>
      <c r="AE11" s="215">
        <f>INDEX(Tabelle2!AE:AE,MATCH(B11,Tabelle2!B:B,0))+SUMIF(Erfassung3!BU:BU,B11,Erfassung3!BF:BF)</f>
        <v>108</v>
      </c>
    </row>
    <row r="12" spans="1:31" ht="42" customHeight="1" thickBot="1" x14ac:dyDescent="0.4">
      <c r="A12" s="223">
        <v>6</v>
      </c>
      <c r="B12" s="128" t="str">
        <f>INDEX(Erfassung3!$AA:$AA,MATCH($A12,Erfassung3!$BR:$BR,0)-17)</f>
        <v xml:space="preserve">Weiß Blau Unterföhring </v>
      </c>
      <c r="C12" s="129">
        <f>INDEX(Erfassung3!AC:AC,MATCH($A12,Erfassung3!$BR:$BR,0)-1)</f>
        <v>661</v>
      </c>
      <c r="D12" s="130">
        <f>INDEX(Erfassung3!AD:AD,MATCH($A12,Erfassung3!$BR:$BR,0))</f>
        <v>0</v>
      </c>
      <c r="E12" s="129">
        <f>INDEX(Erfassung3!AE:AE,MATCH($A12,Erfassung3!$BR:$BR,0)-1)</f>
        <v>664</v>
      </c>
      <c r="F12" s="130">
        <f>INDEX(Erfassung3!AF:AF,MATCH($A12,Erfassung3!$BR:$BR,0))</f>
        <v>6</v>
      </c>
      <c r="G12" s="129">
        <f>INDEX(Erfassung3!AG:AG,MATCH($A12,Erfassung3!$BR:$BR,0)-1)</f>
        <v>679</v>
      </c>
      <c r="H12" s="130">
        <f>INDEX(Erfassung3!AH:AH,MATCH($A12,Erfassung3!$BR:$BR,0))</f>
        <v>3</v>
      </c>
      <c r="I12" s="129">
        <f>INDEX(Erfassung3!AI:AI,MATCH($A12,Erfassung3!$BR:$BR,0)-1)</f>
        <v>692</v>
      </c>
      <c r="J12" s="130">
        <f>INDEX(Erfassung3!AJ:AJ,MATCH($A12,Erfassung3!$BR:$BR,0))</f>
        <v>5</v>
      </c>
      <c r="K12" s="129">
        <f>INDEX(Erfassung3!AK:AK,MATCH($A12,Erfassung3!$BR:$BR,0)-1)</f>
        <v>654</v>
      </c>
      <c r="L12" s="130">
        <f>INDEX(Erfassung3!AL:AL,MATCH($A12,Erfassung3!$BR:$BR,0))</f>
        <v>2</v>
      </c>
      <c r="M12" s="129">
        <f>INDEX(Erfassung3!AM:AM,MATCH($A12,Erfassung3!$BR:$BR,0)-1)</f>
        <v>565</v>
      </c>
      <c r="N12" s="130">
        <f>INDEX(Erfassung3!AN:AN,MATCH($A12,Erfassung3!$BR:$BR,0))</f>
        <v>1</v>
      </c>
      <c r="O12" s="129">
        <f>INDEX(Erfassung3!AO:AO,MATCH($A12,Erfassung3!$BR:$BR,0)-1)</f>
        <v>590</v>
      </c>
      <c r="P12" s="130">
        <f>INDEX(Erfassung3!AP:AP,MATCH($A12,Erfassung3!$BR:$BR,0))</f>
        <v>0</v>
      </c>
      <c r="Q12" s="129">
        <f>INDEX(Erfassung3!AQ:AQ,MATCH($A12,Erfassung3!$BR:$BR,0)-1)</f>
        <v>644</v>
      </c>
      <c r="R12" s="130">
        <f>INDEX(Erfassung3!AR:AR,MATCH($A12,Erfassung3!$BR:$BR,0))</f>
        <v>6</v>
      </c>
      <c r="S12" s="129">
        <f>INDEX(Erfassung3!AS:AS,MATCH($A12,Erfassung3!$BR:$BR,0)-1)</f>
        <v>676</v>
      </c>
      <c r="T12" s="130">
        <f>INDEX(Erfassung3!AT:AT,MATCH($A12,Erfassung3!$BR:$BR,0))</f>
        <v>4</v>
      </c>
      <c r="U12" s="131">
        <f t="shared" si="0"/>
        <v>5825</v>
      </c>
      <c r="V12" s="132">
        <f t="shared" si="0"/>
        <v>27</v>
      </c>
      <c r="W12" s="224">
        <f>IFERROR(U12/INDEX(Erfassung3!BF:BF,MATCH(A12,Erfassung3!BR:BR,0)),0)</f>
        <v>161.80555555555554</v>
      </c>
      <c r="X12" s="25"/>
      <c r="AA12" s="225">
        <f>INDEX(TabGes2!G:G,MATCH($B12,TabGes2!$B:$B,0))+U12</f>
        <v>18057</v>
      </c>
      <c r="AB12" s="225">
        <f>INDEX(TabGes2!H:H,MATCH($B12,TabGes2!$B:$B,0))+V12</f>
        <v>73.5</v>
      </c>
      <c r="AC12" s="215">
        <f t="shared" si="1"/>
        <v>73.500018057000005</v>
      </c>
      <c r="AD12" s="215">
        <f t="shared" si="2"/>
        <v>8</v>
      </c>
      <c r="AE12" s="215">
        <f>INDEX(Tabelle2!AE:AE,MATCH(B12,Tabelle2!B:B,0))+SUMIF(Erfassung3!BU:BU,B12,Erfassung3!BF:BF)</f>
        <v>108</v>
      </c>
    </row>
    <row r="13" spans="1:31" ht="42" customHeight="1" thickBot="1" x14ac:dyDescent="0.4">
      <c r="A13" s="223">
        <v>7</v>
      </c>
      <c r="B13" s="128" t="str">
        <f>INDEX(Erfassung3!$AA:$AA,MATCH($A13,Erfassung3!$BR:$BR,0)-17)</f>
        <v>RW Lichtenhof 69 Stein 2</v>
      </c>
      <c r="C13" s="129">
        <f>INDEX(Erfassung3!AC:AC,MATCH($A13,Erfassung3!$BR:$BR,0)-1)</f>
        <v>734</v>
      </c>
      <c r="D13" s="130">
        <f>INDEX(Erfassung3!AD:AD,MATCH($A13,Erfassung3!$BR:$BR,0))</f>
        <v>6</v>
      </c>
      <c r="E13" s="129">
        <f>INDEX(Erfassung3!AE:AE,MATCH($A13,Erfassung3!$BR:$BR,0)-1)</f>
        <v>663</v>
      </c>
      <c r="F13" s="130">
        <f>INDEX(Erfassung3!AF:AF,MATCH($A13,Erfassung3!$BR:$BR,0))</f>
        <v>0.5</v>
      </c>
      <c r="G13" s="129">
        <f>INDEX(Erfassung3!AG:AG,MATCH($A13,Erfassung3!$BR:$BR,0)-1)</f>
        <v>583</v>
      </c>
      <c r="H13" s="130">
        <f>INDEX(Erfassung3!AH:AH,MATCH($A13,Erfassung3!$BR:$BR,0))</f>
        <v>6</v>
      </c>
      <c r="I13" s="129">
        <f>INDEX(Erfassung3!AI:AI,MATCH($A13,Erfassung3!$BR:$BR,0)-1)</f>
        <v>650</v>
      </c>
      <c r="J13" s="130">
        <f>INDEX(Erfassung3!AJ:AJ,MATCH($A13,Erfassung3!$BR:$BR,0))</f>
        <v>1</v>
      </c>
      <c r="K13" s="129">
        <f>INDEX(Erfassung3!AK:AK,MATCH($A13,Erfassung3!$BR:$BR,0)-1)</f>
        <v>622</v>
      </c>
      <c r="L13" s="130">
        <f>INDEX(Erfassung3!AL:AL,MATCH($A13,Erfassung3!$BR:$BR,0))</f>
        <v>3</v>
      </c>
      <c r="M13" s="129">
        <f>INDEX(Erfassung3!AM:AM,MATCH($A13,Erfassung3!$BR:$BR,0)-1)</f>
        <v>692</v>
      </c>
      <c r="N13" s="130">
        <f>INDEX(Erfassung3!AN:AN,MATCH($A13,Erfassung3!$BR:$BR,0))</f>
        <v>1</v>
      </c>
      <c r="O13" s="129">
        <f>INDEX(Erfassung3!AO:AO,MATCH($A13,Erfassung3!$BR:$BR,0)-1)</f>
        <v>673</v>
      </c>
      <c r="P13" s="130">
        <f>INDEX(Erfassung3!AP:AP,MATCH($A13,Erfassung3!$BR:$BR,0))</f>
        <v>4</v>
      </c>
      <c r="Q13" s="129">
        <f>INDEX(Erfassung3!AQ:AQ,MATCH($A13,Erfassung3!$BR:$BR,0)-1)</f>
        <v>588</v>
      </c>
      <c r="R13" s="130">
        <f>INDEX(Erfassung3!AR:AR,MATCH($A13,Erfassung3!$BR:$BR,0))</f>
        <v>1.5</v>
      </c>
      <c r="S13" s="129">
        <f>INDEX(Erfassung3!AS:AS,MATCH($A13,Erfassung3!$BR:$BR,0)-1)</f>
        <v>691</v>
      </c>
      <c r="T13" s="130">
        <f>INDEX(Erfassung3!AT:AT,MATCH($A13,Erfassung3!$BR:$BR,0))</f>
        <v>2</v>
      </c>
      <c r="U13" s="131">
        <f t="shared" si="0"/>
        <v>5896</v>
      </c>
      <c r="V13" s="132">
        <f t="shared" si="0"/>
        <v>25</v>
      </c>
      <c r="W13" s="224">
        <f>IFERROR(U13/INDEX(Erfassung3!BF:BF,MATCH(A13,Erfassung3!BR:BR,0)),0)</f>
        <v>163.77777777777777</v>
      </c>
      <c r="X13" s="25"/>
      <c r="AA13" s="225">
        <f>INDEX(TabGes2!G:G,MATCH($B13,TabGes2!$B:$B,0))+U13</f>
        <v>17909</v>
      </c>
      <c r="AB13" s="225">
        <f>INDEX(TabGes2!H:H,MATCH($B13,TabGes2!$B:$B,0))+V13</f>
        <v>69</v>
      </c>
      <c r="AC13" s="215">
        <f t="shared" si="1"/>
        <v>69.000017908999993</v>
      </c>
      <c r="AD13" s="215">
        <f t="shared" si="2"/>
        <v>9</v>
      </c>
      <c r="AE13" s="215">
        <f>INDEX(Tabelle2!AE:AE,MATCH(B13,Tabelle2!B:B,0))+SUMIF(Erfassung3!BU:BU,B13,Erfassung3!BF:BF)</f>
        <v>108</v>
      </c>
    </row>
    <row r="14" spans="1:31" ht="42" customHeight="1" thickBot="1" x14ac:dyDescent="0.4">
      <c r="A14" s="223">
        <v>8</v>
      </c>
      <c r="B14" s="128" t="str">
        <f>INDEX(Erfassung3!$AA:$AA,MATCH($A14,Erfassung3!$BR:$BR,0)-17)</f>
        <v>Frankenpower Nürnberg</v>
      </c>
      <c r="C14" s="129">
        <f>INDEX(Erfassung3!AC:AC,MATCH($A14,Erfassung3!$BR:$BR,0)-1)</f>
        <v>621</v>
      </c>
      <c r="D14" s="130">
        <f>INDEX(Erfassung3!AD:AD,MATCH($A14,Erfassung3!$BR:$BR,0))</f>
        <v>0</v>
      </c>
      <c r="E14" s="129">
        <f>INDEX(Erfassung3!AE:AE,MATCH($A14,Erfassung3!$BR:$BR,0)-1)</f>
        <v>642</v>
      </c>
      <c r="F14" s="130">
        <f>INDEX(Erfassung3!AF:AF,MATCH($A14,Erfassung3!$BR:$BR,0))</f>
        <v>0</v>
      </c>
      <c r="G14" s="129">
        <f>INDEX(Erfassung3!AG:AG,MATCH($A14,Erfassung3!$BR:$BR,0)-1)</f>
        <v>712</v>
      </c>
      <c r="H14" s="130">
        <f>INDEX(Erfassung3!AH:AH,MATCH($A14,Erfassung3!$BR:$BR,0))</f>
        <v>6</v>
      </c>
      <c r="I14" s="129">
        <f>INDEX(Erfassung3!AI:AI,MATCH($A14,Erfassung3!$BR:$BR,0)-1)</f>
        <v>673</v>
      </c>
      <c r="J14" s="130">
        <f>INDEX(Erfassung3!AJ:AJ,MATCH($A14,Erfassung3!$BR:$BR,0))</f>
        <v>6</v>
      </c>
      <c r="K14" s="129">
        <f>INDEX(Erfassung3!AK:AK,MATCH($A14,Erfassung3!$BR:$BR,0)-1)</f>
        <v>691</v>
      </c>
      <c r="L14" s="130">
        <f>INDEX(Erfassung3!AL:AL,MATCH($A14,Erfassung3!$BR:$BR,0))</f>
        <v>5</v>
      </c>
      <c r="M14" s="129">
        <f>INDEX(Erfassung3!AM:AM,MATCH($A14,Erfassung3!$BR:$BR,0)-1)</f>
        <v>672</v>
      </c>
      <c r="N14" s="130">
        <f>INDEX(Erfassung3!AN:AN,MATCH($A14,Erfassung3!$BR:$BR,0))</f>
        <v>2</v>
      </c>
      <c r="O14" s="129">
        <f>INDEX(Erfassung3!AO:AO,MATCH($A14,Erfassung3!$BR:$BR,0)-1)</f>
        <v>643</v>
      </c>
      <c r="P14" s="130">
        <f>INDEX(Erfassung3!AP:AP,MATCH($A14,Erfassung3!$BR:$BR,0))</f>
        <v>2</v>
      </c>
      <c r="Q14" s="129">
        <f>INDEX(Erfassung3!AQ:AQ,MATCH($A14,Erfassung3!$BR:$BR,0)-1)</f>
        <v>678</v>
      </c>
      <c r="R14" s="130">
        <f>INDEX(Erfassung3!AR:AR,MATCH($A14,Erfassung3!$BR:$BR,0))</f>
        <v>0</v>
      </c>
      <c r="S14" s="129">
        <f>INDEX(Erfassung3!AS:AS,MATCH($A14,Erfassung3!$BR:$BR,0)-1)</f>
        <v>674</v>
      </c>
      <c r="T14" s="130">
        <f>INDEX(Erfassung3!AT:AT,MATCH($A14,Erfassung3!$BR:$BR,0))</f>
        <v>2</v>
      </c>
      <c r="U14" s="131">
        <f t="shared" si="0"/>
        <v>6006</v>
      </c>
      <c r="V14" s="132">
        <f t="shared" si="0"/>
        <v>23</v>
      </c>
      <c r="W14" s="224">
        <f>IFERROR(U14/INDEX(Erfassung3!BF:BF,MATCH(A14,Erfassung3!BR:BR,0)),0)</f>
        <v>166.83333333333334</v>
      </c>
      <c r="X14" s="25"/>
      <c r="AA14" s="225">
        <f>INDEX(TabGes2!G:G,MATCH($B14,TabGes2!$B:$B,0))+U14</f>
        <v>18397</v>
      </c>
      <c r="AB14" s="225">
        <f>INDEX(TabGes2!H:H,MATCH($B14,TabGes2!$B:$B,0))+V14</f>
        <v>74.5</v>
      </c>
      <c r="AC14" s="215">
        <f t="shared" si="1"/>
        <v>74.500018397000005</v>
      </c>
      <c r="AD14" s="215">
        <f t="shared" si="2"/>
        <v>6</v>
      </c>
      <c r="AE14" s="215">
        <f>INDEX(Tabelle2!AE:AE,MATCH(B14,Tabelle2!B:B,0))+SUMIF(Erfassung3!BU:BU,B14,Erfassung3!BF:BF)</f>
        <v>108</v>
      </c>
    </row>
    <row r="15" spans="1:31" ht="42" customHeight="1" thickBot="1" x14ac:dyDescent="0.4">
      <c r="A15" s="223">
        <v>9</v>
      </c>
      <c r="B15" s="128" t="str">
        <f>INDEX(Erfassung3!$AA:$AA,MATCH($A15,Erfassung3!$BR:$BR,0)-17)</f>
        <v>BK München 2</v>
      </c>
      <c r="C15" s="129">
        <f>INDEX(Erfassung3!AC:AC,MATCH($A15,Erfassung3!$BR:$BR,0)-1)</f>
        <v>698</v>
      </c>
      <c r="D15" s="130">
        <f>INDEX(Erfassung3!AD:AD,MATCH($A15,Erfassung3!$BR:$BR,0))</f>
        <v>5</v>
      </c>
      <c r="E15" s="129">
        <f>INDEX(Erfassung3!AE:AE,MATCH($A15,Erfassung3!$BR:$BR,0)-1)</f>
        <v>589</v>
      </c>
      <c r="F15" s="130">
        <f>INDEX(Erfassung3!AF:AF,MATCH($A15,Erfassung3!$BR:$BR,0))</f>
        <v>0</v>
      </c>
      <c r="G15" s="129">
        <f>INDEX(Erfassung3!AG:AG,MATCH($A15,Erfassung3!$BR:$BR,0)-1)</f>
        <v>698</v>
      </c>
      <c r="H15" s="130">
        <f>INDEX(Erfassung3!AH:AH,MATCH($A15,Erfassung3!$BR:$BR,0))</f>
        <v>2</v>
      </c>
      <c r="I15" s="129">
        <f>INDEX(Erfassung3!AI:AI,MATCH($A15,Erfassung3!$BR:$BR,0)-1)</f>
        <v>567</v>
      </c>
      <c r="J15" s="130">
        <f>INDEX(Erfassung3!AJ:AJ,MATCH($A15,Erfassung3!$BR:$BR,0))</f>
        <v>2</v>
      </c>
      <c r="K15" s="129">
        <f>INDEX(Erfassung3!AK:AK,MATCH($A15,Erfassung3!$BR:$BR,0)-1)</f>
        <v>625</v>
      </c>
      <c r="L15" s="130">
        <f>INDEX(Erfassung3!AL:AL,MATCH($A15,Erfassung3!$BR:$BR,0))</f>
        <v>1</v>
      </c>
      <c r="M15" s="129">
        <f>INDEX(Erfassung3!AM:AM,MATCH($A15,Erfassung3!$BR:$BR,0)-1)</f>
        <v>632</v>
      </c>
      <c r="N15" s="130">
        <f>INDEX(Erfassung3!AN:AN,MATCH($A15,Erfassung3!$BR:$BR,0))</f>
        <v>1</v>
      </c>
      <c r="O15" s="129">
        <f>INDEX(Erfassung3!AO:AO,MATCH($A15,Erfassung3!$BR:$BR,0)-1)</f>
        <v>636</v>
      </c>
      <c r="P15" s="130">
        <f>INDEX(Erfassung3!AP:AP,MATCH($A15,Erfassung3!$BR:$BR,0))</f>
        <v>2</v>
      </c>
      <c r="Q15" s="129">
        <f>INDEX(Erfassung3!AQ:AQ,MATCH($A15,Erfassung3!$BR:$BR,0)-1)</f>
        <v>612</v>
      </c>
      <c r="R15" s="130">
        <f>INDEX(Erfassung3!AR:AR,MATCH($A15,Erfassung3!$BR:$BR,0))</f>
        <v>0</v>
      </c>
      <c r="S15" s="129">
        <f>INDEX(Erfassung3!AS:AS,MATCH($A15,Erfassung3!$BR:$BR,0)-1)</f>
        <v>626</v>
      </c>
      <c r="T15" s="130">
        <f>INDEX(Erfassung3!AT:AT,MATCH($A15,Erfassung3!$BR:$BR,0))</f>
        <v>6</v>
      </c>
      <c r="U15" s="131">
        <f t="shared" si="0"/>
        <v>5683</v>
      </c>
      <c r="V15" s="132">
        <f t="shared" si="0"/>
        <v>19</v>
      </c>
      <c r="W15" s="224">
        <f>IFERROR(U15/INDEX(Erfassung3!BF:BF,MATCH(A15,Erfassung3!BR:BR,0)),0)</f>
        <v>162.37142857142857</v>
      </c>
      <c r="X15" s="25"/>
      <c r="AA15" s="225">
        <f>INDEX(TabGes2!G:G,MATCH($B15,TabGes2!$B:$B,0))+U15</f>
        <v>18697</v>
      </c>
      <c r="AB15" s="225">
        <f>INDEX(TabGes2!H:H,MATCH($B15,TabGes2!$B:$B,0))+V15</f>
        <v>74</v>
      </c>
      <c r="AC15" s="215">
        <f t="shared" si="1"/>
        <v>74.000018697000002</v>
      </c>
      <c r="AD15" s="215">
        <f t="shared" si="2"/>
        <v>7</v>
      </c>
      <c r="AE15" s="215">
        <f>INDEX(Tabelle2!AE:AE,MATCH(B15,Tabelle2!B:B,0))+SUMIF(Erfassung3!BU:BU,B15,Erfassung3!BF:BF)</f>
        <v>107</v>
      </c>
    </row>
    <row r="16" spans="1:31" ht="42" customHeight="1" thickBot="1" x14ac:dyDescent="0.4">
      <c r="A16" s="223">
        <v>10</v>
      </c>
      <c r="B16" s="128" t="str">
        <f>INDEX(Erfassung3!$AA:$AA,MATCH($A16,Erfassung3!$BR:$BR,0)-17)</f>
        <v>BK München 3</v>
      </c>
      <c r="C16" s="129">
        <f>INDEX(Erfassung3!AC:AC,MATCH($A16,Erfassung3!$BR:$BR,0)-1)</f>
        <v>0</v>
      </c>
      <c r="D16" s="130">
        <f>INDEX(Erfassung3!AD:AD,MATCH($A16,Erfassung3!$BR:$BR,0))</f>
        <v>0</v>
      </c>
      <c r="E16" s="129">
        <f>INDEX(Erfassung3!AE:AE,MATCH($A16,Erfassung3!$BR:$BR,0)-1)</f>
        <v>0</v>
      </c>
      <c r="F16" s="130">
        <f>INDEX(Erfassung3!AF:AF,MATCH($A16,Erfassung3!$BR:$BR,0))</f>
        <v>0</v>
      </c>
      <c r="G16" s="129">
        <f>INDEX(Erfassung3!AG:AG,MATCH($A16,Erfassung3!$BR:$BR,0)-1)</f>
        <v>0</v>
      </c>
      <c r="H16" s="130">
        <f>INDEX(Erfassung3!AH:AH,MATCH($A16,Erfassung3!$BR:$BR,0))</f>
        <v>0</v>
      </c>
      <c r="I16" s="129">
        <f>INDEX(Erfassung3!AI:AI,MATCH($A16,Erfassung3!$BR:$BR,0)-1)</f>
        <v>0</v>
      </c>
      <c r="J16" s="130">
        <f>INDEX(Erfassung3!AJ:AJ,MATCH($A16,Erfassung3!$BR:$BR,0))</f>
        <v>0</v>
      </c>
      <c r="K16" s="129">
        <f>INDEX(Erfassung3!AK:AK,MATCH($A16,Erfassung3!$BR:$BR,0)-1)</f>
        <v>0</v>
      </c>
      <c r="L16" s="130">
        <f>INDEX(Erfassung3!AL:AL,MATCH($A16,Erfassung3!$BR:$BR,0))</f>
        <v>0</v>
      </c>
      <c r="M16" s="129">
        <f>INDEX(Erfassung3!AM:AM,MATCH($A16,Erfassung3!$BR:$BR,0)-1)</f>
        <v>0</v>
      </c>
      <c r="N16" s="130">
        <f>INDEX(Erfassung3!AN:AN,MATCH($A16,Erfassung3!$BR:$BR,0))</f>
        <v>0</v>
      </c>
      <c r="O16" s="129">
        <f>INDEX(Erfassung3!AO:AO,MATCH($A16,Erfassung3!$BR:$BR,0)-1)</f>
        <v>0</v>
      </c>
      <c r="P16" s="130">
        <f>INDEX(Erfassung3!AP:AP,MATCH($A16,Erfassung3!$BR:$BR,0))</f>
        <v>0</v>
      </c>
      <c r="Q16" s="129">
        <f>INDEX(Erfassung3!AQ:AQ,MATCH($A16,Erfassung3!$BR:$BR,0)-1)</f>
        <v>0</v>
      </c>
      <c r="R16" s="130">
        <f>INDEX(Erfassung3!AR:AR,MATCH($A16,Erfassung3!$BR:$BR,0))</f>
        <v>0</v>
      </c>
      <c r="S16" s="129">
        <f>INDEX(Erfassung3!AS:AS,MATCH($A16,Erfassung3!$BR:$BR,0)-1)</f>
        <v>0</v>
      </c>
      <c r="T16" s="130">
        <f>INDEX(Erfassung3!AT:AT,MATCH($A16,Erfassung3!$BR:$BR,0))</f>
        <v>0</v>
      </c>
      <c r="U16" s="131">
        <f t="shared" si="0"/>
        <v>0</v>
      </c>
      <c r="V16" s="132">
        <f t="shared" si="0"/>
        <v>0</v>
      </c>
      <c r="W16" s="224">
        <f>IFERROR(U16/INDEX(Erfassung3!BF:BF,MATCH(A16,Erfassung3!BR:BR,0)),0)</f>
        <v>0</v>
      </c>
      <c r="X16" s="25"/>
      <c r="AA16" s="225">
        <f>INDEX(TabGes2!G:G,MATCH($B16,TabGes2!$B:$B,0))+U16</f>
        <v>0</v>
      </c>
      <c r="AB16" s="225">
        <f>INDEX(TabGes2!H:H,MATCH($B16,TabGes2!$B:$B,0))+V16</f>
        <v>0</v>
      </c>
      <c r="AC16" s="215">
        <f t="shared" si="1"/>
        <v>0</v>
      </c>
      <c r="AD16" s="215">
        <f t="shared" si="2"/>
        <v>10</v>
      </c>
      <c r="AE16" s="215">
        <f>INDEX(Tabelle2!AE:AE,MATCH(B16,Tabelle2!B:B,0))+SUMIF(Erfassung3!BU:BU,B16,Erfassung3!BF:BF)</f>
        <v>0</v>
      </c>
    </row>
    <row r="19" spans="2:23" ht="15" x14ac:dyDescent="0.4">
      <c r="B19" s="379" t="s">
        <v>1827</v>
      </c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80"/>
      <c r="V19" s="380"/>
      <c r="W19" s="380"/>
    </row>
    <row r="20" spans="2:23" x14ac:dyDescent="0.35">
      <c r="C20" s="380"/>
      <c r="D20" s="380"/>
      <c r="E20" s="380"/>
      <c r="F20" s="380"/>
      <c r="G20" s="380"/>
      <c r="H20" s="380"/>
    </row>
    <row r="21" spans="2:23" ht="13.15" x14ac:dyDescent="0.4">
      <c r="B21" s="166" t="s">
        <v>1826</v>
      </c>
      <c r="C21" t="str">
        <f>IFERROR(INDEX(Erfassung3!AA:AA,MATCH(1,Erfassung3!BV:BV,0)),"")</f>
        <v>Hassforth, Lea</v>
      </c>
      <c r="H21" t="str">
        <f>INDEX(Erfassung3!BU:BU,MATCH(C21,Erfassung3!AA:AA,0))</f>
        <v>BK München 2</v>
      </c>
      <c r="N21" s="133">
        <f>IFERROR(ROUND(INDEX(Erfassung3!BT:BT,MATCH(1,Erfassung3!BV:BV,0)),0),"")</f>
        <v>234</v>
      </c>
    </row>
    <row r="22" spans="2:23" ht="13.15" x14ac:dyDescent="0.4">
      <c r="B22" s="166"/>
      <c r="C22" t="str">
        <f>IF(N22="","",IFERROR(INDEX(Erfassung3!AA:AA,MATCH(2,Erfassung3!BV:BV,0)),""))</f>
        <v/>
      </c>
      <c r="H22" t="str">
        <f>IF(C22="","",INDEX(Erfassung3!BU:BU,MATCH(C22,Erfassung3!AA:AA,0)))</f>
        <v/>
      </c>
      <c r="N22" s="134" t="str">
        <f>IF(IFERROR(ROUND(INDEX(Erfassung3!BT:BT,MATCH(2,Erfassung3!BV:BV,0)),0),0)=0,"",IFERROR(ROUND(INDEX(Erfassung3!BT:BT,MATCH(2,Erfassung3!BV:BV,0)),0),0))</f>
        <v/>
      </c>
    </row>
    <row r="23" spans="2:23" ht="13.15" x14ac:dyDescent="0.4">
      <c r="B23" s="166"/>
      <c r="C23" t="str">
        <f>IF(N23="","",IFERROR(INDEX(Erfassung3!AA:AA,MATCH(3,Erfassung3!BV:BV,0)),""))</f>
        <v/>
      </c>
      <c r="H23" t="str">
        <f>IF(C23="","",INDEX(Erfassung3!BU:BU,MATCH(C23,Erfassung3!AA:AA,0)))</f>
        <v/>
      </c>
      <c r="N23" s="134" t="str">
        <f>IF(IFERROR(ROUND(INDEX(Erfassung3!BT:BT,MATCH(3,Erfassung3!BV:BV,0)),0),0)=0,"",IFERROR(ROUND(INDEX(Erfassung3!BT:BT,MATCH(3,Erfassung3!BV:BV,0)),0),""))</f>
        <v/>
      </c>
    </row>
    <row r="24" spans="2:23" ht="13.15" x14ac:dyDescent="0.4">
      <c r="B24" s="166" t="s">
        <v>1828</v>
      </c>
      <c r="C24" t="str">
        <f>IFERROR(INDEX(Erfassung3!AA:AA,MATCH(1,Erfassung3!BZ:BZ,0)),"")</f>
        <v>Schlundt, Sabrina</v>
      </c>
      <c r="H24" t="str">
        <f>INDEX(Erfassung3!BU:BU,MATCH(C24,Erfassung3!AA:AA,0))</f>
        <v>Praetoria Regensburg</v>
      </c>
      <c r="N24" s="381" t="str">
        <f>IFERROR(ROUND(INDEX(Erfassung3!BW:BW,MATCH(1,Erfassung3!BZ:BZ,0)),0),"")&amp;"  /  "&amp;ROUND(IFERROR(ROUND(INDEX(Erfassung3!BW:BW,MATCH(1,Erfassung3!BZ:BZ,0)),0),"")/9,2)</f>
        <v>1688  /  187,56</v>
      </c>
      <c r="O24" s="381"/>
      <c r="P24" s="381"/>
    </row>
    <row r="25" spans="2:23" x14ac:dyDescent="0.35">
      <c r="C25" t="str">
        <f>IF(N25="","",IFERROR(INDEX(Erfassung3!AA:AA,MATCH(2,Erfassung3!BZ:BZ,0)),""))</f>
        <v/>
      </c>
      <c r="E25" s="2"/>
      <c r="H25" t="str">
        <f>IF(C25="","",INDEX(Erfassung3!BU:BU,MATCH(C25,Erfassung3!AA:AA,0)))</f>
        <v/>
      </c>
      <c r="N25" s="134" t="str">
        <f>IF(IFERROR(ROUND(INDEX(Erfassung3!BW:BW,MATCH(2,Erfassung3!BZ:BZ,0)),0),0)=0,"",IFERROR(ROUND(INDEX(Erfassung3!BW:BW,MATCH(2,Erfassung3!BZ:BZ,0)),0),0))</f>
        <v/>
      </c>
    </row>
    <row r="26" spans="2:23" x14ac:dyDescent="0.35">
      <c r="C26" t="str">
        <f>IF(N26="","",IFERROR(INDEX(Erfassung3!AA:AA,MATCH(3,Erfassung3!BZ:BZ,0)),""))</f>
        <v/>
      </c>
      <c r="E26" s="2"/>
      <c r="H26" t="str">
        <f>IF(C26="","",INDEX(Erfassung3!BU:BU,MATCH(C26,Erfassung3!AA:AA,0)))</f>
        <v/>
      </c>
      <c r="N26" s="134" t="str">
        <f>IF(IFERROR(ROUND(INDEX(Erfassung3!BW:BW,MATCH(3,Erfassung3!BZ:BZ,0)),0),0)=0,"",IFERROR(ROUND(INDEX(Erfassung3!BW:BW,MATCH(3,Erfassung3!BZ:BZ,0)),0),0))</f>
        <v/>
      </c>
    </row>
  </sheetData>
  <sheetProtection password="D19C" sheet="1" formatCells="0" formatColumns="0" formatRows="0"/>
  <mergeCells count="20">
    <mergeCell ref="C20:H20"/>
    <mergeCell ref="N24:P24"/>
    <mergeCell ref="Q5:R5"/>
    <mergeCell ref="S5:T5"/>
    <mergeCell ref="U5:V5"/>
    <mergeCell ref="B19:T19"/>
    <mergeCell ref="U19:W19"/>
    <mergeCell ref="M5:N5"/>
    <mergeCell ref="O5:P5"/>
    <mergeCell ref="A1:W1"/>
    <mergeCell ref="A2:W2"/>
    <mergeCell ref="A3:W3"/>
    <mergeCell ref="A5:A6"/>
    <mergeCell ref="B5:B6"/>
    <mergeCell ref="C5:D5"/>
    <mergeCell ref="E5:F5"/>
    <mergeCell ref="G5:H5"/>
    <mergeCell ref="I5:J5"/>
    <mergeCell ref="K5:L5"/>
    <mergeCell ref="W5:W6"/>
  </mergeCells>
  <conditionalFormatting sqref="C7:T16">
    <cfRule type="top10" dxfId="8" priority="1" stopIfTrue="1" rank="1"/>
  </conditionalFormatting>
  <conditionalFormatting sqref="U7:U16">
    <cfRule type="top10" dxfId="7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5">
    <tabColor theme="8" tint="-0.249977111117893"/>
    <pageSetUpPr fitToPage="1"/>
  </sheetPr>
  <dimension ref="A1:AE16"/>
  <sheetViews>
    <sheetView topLeftCell="A4" workbookViewId="0">
      <selection activeCell="AC106" sqref="AC106"/>
    </sheetView>
  </sheetViews>
  <sheetFormatPr baseColWidth="10" defaultRowHeight="12.75" x14ac:dyDescent="0.35"/>
  <cols>
    <col min="1" max="1" width="4.06640625" customWidth="1"/>
    <col min="2" max="2" width="18.33203125" customWidth="1"/>
    <col min="3" max="8" width="8.73046875" customWidth="1"/>
    <col min="9" max="9" width="13.33203125" customWidth="1"/>
    <col min="10" max="10" width="9.33203125" customWidth="1"/>
    <col min="12" max="12" width="6.33203125" customWidth="1"/>
  </cols>
  <sheetData>
    <row r="1" spans="1:31" ht="28.5" customHeight="1" x14ac:dyDescent="0.35">
      <c r="A1" s="382" t="str">
        <f>Schlüssel!$C$1</f>
        <v>Bayernliga Frauen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35">
      <c r="A2" s="383" t="str">
        <f>"Saison "&amp;Spielorte!C18&amp;"     -     Spieltag "&amp;Erfassung3!AS2&amp;"     -     "&amp;Erfassung3!AT1</f>
        <v>Saison 2024/2025     -     Spieltag 3     -     01.02./02.02.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35">
      <c r="A3" s="383" t="s">
        <v>2082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4">
      <c r="B4" s="29"/>
      <c r="C4" s="31"/>
      <c r="D4" s="390"/>
      <c r="E4" s="390"/>
      <c r="F4" s="390"/>
      <c r="G4" s="390"/>
      <c r="H4" s="390"/>
      <c r="I4" s="390"/>
      <c r="J4" s="30"/>
      <c r="K4" s="27"/>
    </row>
    <row r="5" spans="1:31" x14ac:dyDescent="0.35">
      <c r="A5" s="386" t="s">
        <v>1816</v>
      </c>
      <c r="B5" s="388" t="s">
        <v>1817</v>
      </c>
      <c r="C5" s="376" t="s">
        <v>1820</v>
      </c>
      <c r="D5" s="377"/>
      <c r="E5" s="376" t="s">
        <v>1821</v>
      </c>
      <c r="F5" s="377"/>
      <c r="G5" s="376" t="s">
        <v>1822</v>
      </c>
      <c r="H5" s="377"/>
      <c r="I5" s="376" t="s">
        <v>1799</v>
      </c>
      <c r="J5" s="377"/>
      <c r="K5" s="384" t="s">
        <v>1818</v>
      </c>
    </row>
    <row r="6" spans="1:31" ht="13.15" thickBot="1" x14ac:dyDescent="0.4">
      <c r="A6" s="387"/>
      <c r="B6" s="389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385"/>
    </row>
    <row r="7" spans="1:31" ht="42" customHeight="1" thickBot="1" x14ac:dyDescent="0.4">
      <c r="A7" s="34">
        <v>1</v>
      </c>
      <c r="B7" s="128" t="str">
        <f>INDEX(Tabelle3!B:B,MATCH(A7,Tabelle3!AD:AD,0))</f>
        <v>BK München 4</v>
      </c>
      <c r="C7" s="35">
        <f>INDEX(Tabelle1!U:U,MATCH(B7,Tabelle1!B:B,0))</f>
        <v>6218</v>
      </c>
      <c r="D7" s="36">
        <f>INDEX(Tabelle1!V:V,MATCH(B7,Tabelle1!B:B,0))</f>
        <v>30</v>
      </c>
      <c r="E7" s="35">
        <f>INDEX(Tabelle2!U:U,MATCH(B7,Tabelle2!B:B,0))</f>
        <v>6542</v>
      </c>
      <c r="F7" s="36">
        <f>INDEX(Tabelle2!V:V,MATCH(B7,Tabelle2!B:B,0))</f>
        <v>41.5</v>
      </c>
      <c r="G7" s="35">
        <f>INDEX(Tabelle3!U:U,MATCH(B7,Tabelle3!B:B,0))</f>
        <v>6121</v>
      </c>
      <c r="H7" s="38">
        <f>INDEX(Tabelle3!V:V,MATCH(B7,Tabelle3!B:B,0))</f>
        <v>35</v>
      </c>
      <c r="I7" s="39">
        <f t="shared" ref="I7:I16" si="0">SUM(C7+E7+G7)</f>
        <v>18881</v>
      </c>
      <c r="J7" s="40">
        <f t="shared" ref="J7:J16" si="1">SUM(D7+F7+H7)</f>
        <v>106.5</v>
      </c>
      <c r="K7" s="37">
        <f>I7/INDEX(Tabelle3!$AE:$AE,MATCH($B7,Tabelle3!$B:$B,0))</f>
        <v>174.82407407407408</v>
      </c>
      <c r="L7" s="25"/>
    </row>
    <row r="8" spans="1:31" ht="42" customHeight="1" thickBot="1" x14ac:dyDescent="0.4">
      <c r="A8" s="34">
        <v>2</v>
      </c>
      <c r="B8" s="128" t="str">
        <f>INDEX(Tabelle3!B:B,MATCH(A8,Tabelle3!AD:AD,0))</f>
        <v>Phönix 03 Lauf</v>
      </c>
      <c r="C8" s="35">
        <f>INDEX(Tabelle1!U:U,MATCH(B8,Tabelle1!B:B,0))</f>
        <v>6702</v>
      </c>
      <c r="D8" s="36">
        <f>INDEX(Tabelle1!V:V,MATCH(B8,Tabelle1!B:B,0))</f>
        <v>41</v>
      </c>
      <c r="E8" s="35">
        <f>INDEX(Tabelle2!U:U,MATCH(B8,Tabelle2!B:B,0))</f>
        <v>6106</v>
      </c>
      <c r="F8" s="36">
        <f>INDEX(Tabelle2!V:V,MATCH(B8,Tabelle2!B:B,0))</f>
        <v>26.5</v>
      </c>
      <c r="G8" s="35">
        <f>INDEX(Tabelle3!U:U,MATCH(B8,Tabelle3!B:B,0))</f>
        <v>6120</v>
      </c>
      <c r="H8" s="38">
        <f>INDEX(Tabelle3!V:V,MATCH(B8,Tabelle3!B:B,0))</f>
        <v>38</v>
      </c>
      <c r="I8" s="39">
        <f t="shared" si="0"/>
        <v>18928</v>
      </c>
      <c r="J8" s="40">
        <f t="shared" si="1"/>
        <v>105.5</v>
      </c>
      <c r="K8" s="37">
        <f>I8/INDEX(Tabelle3!$AE:$AE,MATCH($B8,Tabelle3!$B:$B,0))</f>
        <v>175.25925925925927</v>
      </c>
      <c r="L8" s="25"/>
    </row>
    <row r="9" spans="1:31" ht="42" customHeight="1" thickBot="1" x14ac:dyDescent="0.4">
      <c r="A9" s="34">
        <v>3</v>
      </c>
      <c r="B9" s="128" t="str">
        <f>INDEX(Tabelle3!B:B,MATCH(A9,Tabelle3!AD:AD,0))</f>
        <v>Highroller Rosenheim</v>
      </c>
      <c r="C9" s="35">
        <f>INDEX(Tabelle1!U:U,MATCH(B9,Tabelle1!B:B,0))</f>
        <v>6758</v>
      </c>
      <c r="D9" s="36">
        <f>INDEX(Tabelle1!V:V,MATCH(B9,Tabelle1!B:B,0))</f>
        <v>42</v>
      </c>
      <c r="E9" s="35">
        <f>INDEX(Tabelle2!U:U,MATCH(B9,Tabelle2!B:B,0))</f>
        <v>6285</v>
      </c>
      <c r="F9" s="36">
        <f>INDEX(Tabelle2!V:V,MATCH(B9,Tabelle2!B:B,0))</f>
        <v>29</v>
      </c>
      <c r="G9" s="35">
        <f>INDEX(Tabelle3!U:U,MATCH(B9,Tabelle3!B:B,0))</f>
        <v>6274</v>
      </c>
      <c r="H9" s="38">
        <f>INDEX(Tabelle3!V:V,MATCH(B9,Tabelle3!B:B,0))</f>
        <v>34</v>
      </c>
      <c r="I9" s="39">
        <f t="shared" si="0"/>
        <v>19317</v>
      </c>
      <c r="J9" s="40">
        <f t="shared" si="1"/>
        <v>105</v>
      </c>
      <c r="K9" s="37">
        <f>I9/INDEX(Tabelle3!$AE:$AE,MATCH($B9,Tabelle3!$B:$B,0))</f>
        <v>178.86111111111111</v>
      </c>
      <c r="L9" s="25"/>
    </row>
    <row r="10" spans="1:31" ht="42" customHeight="1" thickBot="1" x14ac:dyDescent="0.4">
      <c r="A10" s="34">
        <v>4</v>
      </c>
      <c r="B10" s="128" t="str">
        <f>INDEX(Tabelle3!B:B,MATCH(A10,Tabelle3!AD:AD,0))</f>
        <v>EPA München 1</v>
      </c>
      <c r="C10" s="35">
        <f>INDEX(Tabelle1!U:U,MATCH(B10,Tabelle1!B:B,0))</f>
        <v>6757</v>
      </c>
      <c r="D10" s="36">
        <f>INDEX(Tabelle1!V:V,MATCH(B10,Tabelle1!B:B,0))</f>
        <v>38</v>
      </c>
      <c r="E10" s="35">
        <f>INDEX(Tabelle2!U:U,MATCH(B10,Tabelle2!B:B,0))</f>
        <v>6430</v>
      </c>
      <c r="F10" s="36">
        <f>INDEX(Tabelle2!V:V,MATCH(B10,Tabelle2!B:B,0))</f>
        <v>32</v>
      </c>
      <c r="G10" s="35">
        <f>INDEX(Tabelle3!U:U,MATCH(B10,Tabelle3!B:B,0))</f>
        <v>6173</v>
      </c>
      <c r="H10" s="38">
        <f>INDEX(Tabelle3!V:V,MATCH(B10,Tabelle3!B:B,0))</f>
        <v>31.5</v>
      </c>
      <c r="I10" s="39">
        <f t="shared" si="0"/>
        <v>19360</v>
      </c>
      <c r="J10" s="40">
        <f t="shared" si="1"/>
        <v>101.5</v>
      </c>
      <c r="K10" s="37">
        <f>I10/INDEX(Tabelle3!$AE:$AE,MATCH($B10,Tabelle3!$B:$B,0))</f>
        <v>179.25925925925927</v>
      </c>
      <c r="L10" s="25"/>
    </row>
    <row r="11" spans="1:31" ht="42" customHeight="1" thickBot="1" x14ac:dyDescent="0.4">
      <c r="A11" s="34">
        <v>5</v>
      </c>
      <c r="B11" s="128" t="str">
        <f>INDEX(Tabelle3!B:B,MATCH(A11,Tabelle3!AD:AD,0))</f>
        <v>Praetoria Regensburg</v>
      </c>
      <c r="C11" s="35">
        <f>INDEX(Tabelle1!U:U,MATCH(B11,Tabelle1!B:B,0))</f>
        <v>6407</v>
      </c>
      <c r="D11" s="36">
        <f>INDEX(Tabelle1!V:V,MATCH(B11,Tabelle1!B:B,0))</f>
        <v>29</v>
      </c>
      <c r="E11" s="35">
        <f>INDEX(Tabelle2!U:U,MATCH(B11,Tabelle2!B:B,0))</f>
        <v>6351</v>
      </c>
      <c r="F11" s="36">
        <f>INDEX(Tabelle2!V:V,MATCH(B11,Tabelle2!B:B,0))</f>
        <v>34</v>
      </c>
      <c r="G11" s="35">
        <f>INDEX(Tabelle3!U:U,MATCH(B11,Tabelle3!B:B,0))</f>
        <v>6288</v>
      </c>
      <c r="H11" s="38">
        <f>INDEX(Tabelle3!V:V,MATCH(B11,Tabelle3!B:B,0))</f>
        <v>37.5</v>
      </c>
      <c r="I11" s="39">
        <f t="shared" si="0"/>
        <v>19046</v>
      </c>
      <c r="J11" s="40">
        <f t="shared" si="1"/>
        <v>100.5</v>
      </c>
      <c r="K11" s="37">
        <f>I11/INDEX(Tabelle3!$AE:$AE,MATCH($B11,Tabelle3!$B:$B,0))</f>
        <v>176.35185185185185</v>
      </c>
      <c r="L11" s="25"/>
    </row>
    <row r="12" spans="1:31" ht="42" customHeight="1" thickBot="1" x14ac:dyDescent="0.4">
      <c r="A12" s="34">
        <v>6</v>
      </c>
      <c r="B12" s="128" t="str">
        <f>INDEX(Tabelle3!B:B,MATCH(A12,Tabelle3!AD:AD,0))</f>
        <v>Frankenpower Nürnberg</v>
      </c>
      <c r="C12" s="35">
        <f>INDEX(Tabelle1!U:U,MATCH(B12,Tabelle1!B:B,0))</f>
        <v>6156</v>
      </c>
      <c r="D12" s="36">
        <f>INDEX(Tabelle1!V:V,MATCH(B12,Tabelle1!B:B,0))</f>
        <v>26.5</v>
      </c>
      <c r="E12" s="35">
        <f>INDEX(Tabelle2!U:U,MATCH(B12,Tabelle2!B:B,0))</f>
        <v>6235</v>
      </c>
      <c r="F12" s="36">
        <f>INDEX(Tabelle2!V:V,MATCH(B12,Tabelle2!B:B,0))</f>
        <v>25</v>
      </c>
      <c r="G12" s="35">
        <f>INDEX(Tabelle3!U:U,MATCH(B12,Tabelle3!B:B,0))</f>
        <v>6006</v>
      </c>
      <c r="H12" s="38">
        <f>INDEX(Tabelle3!V:V,MATCH(B12,Tabelle3!B:B,0))</f>
        <v>23</v>
      </c>
      <c r="I12" s="39">
        <f t="shared" si="0"/>
        <v>18397</v>
      </c>
      <c r="J12" s="40">
        <f t="shared" si="1"/>
        <v>74.5</v>
      </c>
      <c r="K12" s="37">
        <f>I12/INDEX(Tabelle3!$AE:$AE,MATCH($B12,Tabelle3!$B:$B,0))</f>
        <v>170.34259259259258</v>
      </c>
      <c r="L12" s="25"/>
    </row>
    <row r="13" spans="1:31" ht="42" customHeight="1" thickBot="1" x14ac:dyDescent="0.4">
      <c r="A13" s="34">
        <v>7</v>
      </c>
      <c r="B13" s="128" t="str">
        <f>INDEX(Tabelle3!B:B,MATCH(A13,Tabelle3!AD:AD,0))</f>
        <v>BK München 2</v>
      </c>
      <c r="C13" s="35">
        <f>INDEX(Tabelle1!U:U,MATCH(B13,Tabelle1!B:B,0))</f>
        <v>6609</v>
      </c>
      <c r="D13" s="36">
        <f>INDEX(Tabelle1!V:V,MATCH(B13,Tabelle1!B:B,0))</f>
        <v>31.5</v>
      </c>
      <c r="E13" s="35">
        <f>INDEX(Tabelle2!U:U,MATCH(B13,Tabelle2!B:B,0))</f>
        <v>6405</v>
      </c>
      <c r="F13" s="36">
        <f>INDEX(Tabelle2!V:V,MATCH(B13,Tabelle2!B:B,0))</f>
        <v>23.5</v>
      </c>
      <c r="G13" s="35">
        <f>INDEX(Tabelle3!U:U,MATCH(B13,Tabelle3!B:B,0))</f>
        <v>5683</v>
      </c>
      <c r="H13" s="38">
        <f>INDEX(Tabelle3!V:V,MATCH(B13,Tabelle3!B:B,0))</f>
        <v>19</v>
      </c>
      <c r="I13" s="39">
        <f t="shared" si="0"/>
        <v>18697</v>
      </c>
      <c r="J13" s="40">
        <f t="shared" si="1"/>
        <v>74</v>
      </c>
      <c r="K13" s="37">
        <f>I13/INDEX(Tabelle3!$AE:$AE,MATCH($B13,Tabelle3!$B:$B,0))</f>
        <v>174.73831775700936</v>
      </c>
      <c r="L13" s="25"/>
    </row>
    <row r="14" spans="1:31" ht="42" customHeight="1" thickBot="1" x14ac:dyDescent="0.4">
      <c r="A14" s="34">
        <v>8</v>
      </c>
      <c r="B14" s="128" t="str">
        <f>INDEX(Tabelle3!B:B,MATCH(A14,Tabelle3!AD:AD,0))</f>
        <v xml:space="preserve">Weiß Blau Unterföhring </v>
      </c>
      <c r="C14" s="35">
        <f>INDEX(Tabelle1!U:U,MATCH(B14,Tabelle1!B:B,0))</f>
        <v>5883</v>
      </c>
      <c r="D14" s="36">
        <f>INDEX(Tabelle1!V:V,MATCH(B14,Tabelle1!B:B,0))</f>
        <v>16</v>
      </c>
      <c r="E14" s="35">
        <f>INDEX(Tabelle2!U:U,MATCH(B14,Tabelle2!B:B,0))</f>
        <v>6349</v>
      </c>
      <c r="F14" s="36">
        <f>INDEX(Tabelle2!V:V,MATCH(B14,Tabelle2!B:B,0))</f>
        <v>30.5</v>
      </c>
      <c r="G14" s="35">
        <f>INDEX(Tabelle3!U:U,MATCH(B14,Tabelle3!B:B,0))</f>
        <v>5825</v>
      </c>
      <c r="H14" s="38">
        <f>INDEX(Tabelle3!V:V,MATCH(B14,Tabelle3!B:B,0))</f>
        <v>27</v>
      </c>
      <c r="I14" s="39">
        <f t="shared" si="0"/>
        <v>18057</v>
      </c>
      <c r="J14" s="40">
        <f t="shared" si="1"/>
        <v>73.5</v>
      </c>
      <c r="K14" s="37">
        <f>I14/INDEX(Tabelle3!$AE:$AE,MATCH($B14,Tabelle3!$B:$B,0))</f>
        <v>167.19444444444446</v>
      </c>
      <c r="L14" s="25"/>
    </row>
    <row r="15" spans="1:31" ht="42" customHeight="1" thickBot="1" x14ac:dyDescent="0.4">
      <c r="A15" s="34">
        <v>9</v>
      </c>
      <c r="B15" s="128" t="str">
        <f>INDEX(Tabelle3!B:B,MATCH(A15,Tabelle3!AD:AD,0))</f>
        <v>RW Lichtenhof 69 Stein 2</v>
      </c>
      <c r="C15" s="35">
        <f>INDEX(Tabelle1!U:U,MATCH(B15,Tabelle1!B:B,0))</f>
        <v>5805</v>
      </c>
      <c r="D15" s="36">
        <f>INDEX(Tabelle1!V:V,MATCH(B15,Tabelle1!B:B,0))</f>
        <v>16</v>
      </c>
      <c r="E15" s="35">
        <f>INDEX(Tabelle2!U:U,MATCH(B15,Tabelle2!B:B,0))</f>
        <v>6208</v>
      </c>
      <c r="F15" s="36">
        <f>INDEX(Tabelle2!V:V,MATCH(B15,Tabelle2!B:B,0))</f>
        <v>28</v>
      </c>
      <c r="G15" s="35">
        <f>INDEX(Tabelle3!U:U,MATCH(B15,Tabelle3!B:B,0))</f>
        <v>5896</v>
      </c>
      <c r="H15" s="38">
        <f>INDEX(Tabelle3!V:V,MATCH(B15,Tabelle3!B:B,0))</f>
        <v>25</v>
      </c>
      <c r="I15" s="39">
        <f t="shared" si="0"/>
        <v>17909</v>
      </c>
      <c r="J15" s="40">
        <f t="shared" si="1"/>
        <v>69</v>
      </c>
      <c r="K15" s="37">
        <f>I15/INDEX(Tabelle3!$AE:$AE,MATCH($B15,Tabelle3!$B:$B,0))</f>
        <v>165.82407407407408</v>
      </c>
      <c r="L15" s="25"/>
    </row>
    <row r="16" spans="1:31" ht="42" customHeight="1" thickBot="1" x14ac:dyDescent="0.4">
      <c r="A16" s="34">
        <v>10</v>
      </c>
      <c r="B16" s="128" t="str">
        <f>INDEX(Tabelle3!B:B,MATCH(A16,Tabelle3!AD:AD,0))</f>
        <v>BK München 3</v>
      </c>
      <c r="C16" s="35">
        <f>INDEX(Tabelle1!U:U,MATCH(B16,Tabelle1!B:B,0))</f>
        <v>0</v>
      </c>
      <c r="D16" s="36">
        <f>INDEX(Tabelle1!V:V,MATCH(B16,Tabelle1!B:B,0))</f>
        <v>0</v>
      </c>
      <c r="E16" s="35">
        <f>INDEX(Tabelle2!U:U,MATCH(B16,Tabelle2!B:B,0))</f>
        <v>0</v>
      </c>
      <c r="F16" s="36">
        <f>INDEX(Tabelle2!V:V,MATCH(B16,Tabelle2!B:B,0))</f>
        <v>0</v>
      </c>
      <c r="G16" s="35">
        <f>INDEX(Tabelle3!U:U,MATCH(B16,Tabelle3!B:B,0))</f>
        <v>0</v>
      </c>
      <c r="H16" s="38">
        <f>INDEX(Tabelle3!V:V,MATCH(B16,Tabelle3!B:B,0))</f>
        <v>0</v>
      </c>
      <c r="I16" s="39">
        <f t="shared" si="0"/>
        <v>0</v>
      </c>
      <c r="J16" s="40">
        <f t="shared" si="1"/>
        <v>0</v>
      </c>
      <c r="K16" s="37" t="e">
        <f>I16/INDEX(Tabelle3!$AE:$AE,MATCH($B16,Tabelle3!$B:$B,0))</f>
        <v>#DIV/0!</v>
      </c>
      <c r="L16" s="25"/>
    </row>
  </sheetData>
  <sheetProtection password="D19C" sheet="1" formatCells="0" formatColumns="0" formatRows="0"/>
  <mergeCells count="11">
    <mergeCell ref="A1:K1"/>
    <mergeCell ref="A2:K2"/>
    <mergeCell ref="A3:K3"/>
    <mergeCell ref="K5:K6"/>
    <mergeCell ref="D4:I4"/>
    <mergeCell ref="G5:H5"/>
    <mergeCell ref="A5:A6"/>
    <mergeCell ref="B5:B6"/>
    <mergeCell ref="C5:D5"/>
    <mergeCell ref="E5:F5"/>
    <mergeCell ref="I5:J5"/>
  </mergeCells>
  <printOptions horizontalCentered="1"/>
  <pageMargins left="0.47244094488188981" right="0.47244094488188981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6">
    <tabColor rgb="FF7030A0"/>
  </sheetPr>
  <dimension ref="A1:Q104"/>
  <sheetViews>
    <sheetView view="pageBreakPreview" zoomScaleNormal="100" zoomScaleSheetLayoutView="100" workbookViewId="0">
      <selection activeCell="D80" sqref="D80:M80"/>
    </sheetView>
  </sheetViews>
  <sheetFormatPr baseColWidth="10" defaultColWidth="11.33203125" defaultRowHeight="12.75" x14ac:dyDescent="0.35"/>
  <cols>
    <col min="1" max="1" width="5.265625" customWidth="1"/>
    <col min="2" max="2" width="8.265625" customWidth="1"/>
    <col min="3" max="4" width="27.73046875" customWidth="1"/>
    <col min="5" max="5" width="7.73046875" style="102" customWidth="1"/>
    <col min="6" max="6" width="7.73046875" customWidth="1"/>
    <col min="7" max="7" width="7.73046875" style="137" customWidth="1"/>
    <col min="12" max="12" width="11.33203125" style="227" hidden="1" customWidth="1"/>
    <col min="13" max="17" width="11.33203125" hidden="1" customWidth="1"/>
    <col min="18" max="18" width="11.33203125" customWidth="1"/>
  </cols>
  <sheetData>
    <row r="1" spans="1:16" ht="28.5" customHeight="1" x14ac:dyDescent="0.7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6">
      <c r="A2" s="138" t="s">
        <v>1791</v>
      </c>
      <c r="C2" s="50">
        <v>3</v>
      </c>
      <c r="D2" s="50" t="s">
        <v>1829</v>
      </c>
      <c r="E2" s="139"/>
      <c r="F2" s="54"/>
      <c r="L2" s="227">
        <f>INDEX(Starter!A:A,ROW()-1)</f>
        <v>25751</v>
      </c>
      <c r="M2">
        <f>SUMIF(Erfassung3!BD:BD,L2,Erfassung3!BW:BW)</f>
        <v>1688</v>
      </c>
      <c r="N2">
        <f>SUMIF(Erfassung3!BD:BD,L2,Erfassung3!BG:BG)</f>
        <v>9</v>
      </c>
      <c r="O2">
        <f t="shared" ref="O2:O65" si="0">IF(N2=0,0,M2/N2-ROW()/1000000000)</f>
        <v>187.55555555355554</v>
      </c>
      <c r="P2">
        <f t="shared" ref="P2:P65" si="1">RANK(O2,O:O)</f>
        <v>2</v>
      </c>
    </row>
    <row r="3" spans="1:16" x14ac:dyDescent="0.35">
      <c r="L3" s="227">
        <f>INDEX(Starter!A:A,ROW()-1)</f>
        <v>38258</v>
      </c>
      <c r="M3">
        <f>SUMIF(Erfassung3!BD:BD,L3,Erfassung3!BW:BW)</f>
        <v>1145</v>
      </c>
      <c r="N3">
        <f>SUMIF(Erfassung3!BD:BD,L3,Erfassung3!BG:BG)</f>
        <v>7</v>
      </c>
      <c r="O3">
        <f t="shared" si="0"/>
        <v>163.57142856842859</v>
      </c>
      <c r="P3">
        <f t="shared" si="1"/>
        <v>26</v>
      </c>
    </row>
    <row r="4" spans="1:16" x14ac:dyDescent="0.3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SUMIF(Erfassung3!BD:BD,L4,Erfassung3!BW:BW)</f>
        <v>1604</v>
      </c>
      <c r="N4">
        <f>SUMIF(Erfassung3!BD:BD,L4,Erfassung3!BG:BG)</f>
        <v>9</v>
      </c>
      <c r="O4">
        <f t="shared" si="0"/>
        <v>178.22222221822224</v>
      </c>
      <c r="P4">
        <f t="shared" si="1"/>
        <v>8</v>
      </c>
    </row>
    <row r="5" spans="1:16" x14ac:dyDescent="0.35">
      <c r="A5">
        <v>1</v>
      </c>
      <c r="B5">
        <f t="shared" ref="B5:B36" si="2">IFERROR(INDEX(L:L,MATCH(A5,P:P,0)),"")</f>
        <v>25714</v>
      </c>
      <c r="C5" t="str">
        <f>IFERROR(INDEX(Starter!B:B,MATCH(B5,Starter!A:A,0)),"")</f>
        <v>Schulz, Carolin</v>
      </c>
      <c r="D5" t="str">
        <f>IFERROR(INDEX(Starter!C:C,MATCH(B5,Starter!A:A,0)),"")</f>
        <v>BC E.P.A. München</v>
      </c>
      <c r="E5" s="102">
        <f t="shared" ref="E5:E36" si="3">IFERROR(INDEX(M:M,MATCH(A5,P:P,0)),"")</f>
        <v>1519</v>
      </c>
      <c r="F5">
        <f t="shared" ref="F5:F36" si="4">IFERROR(INDEX(N:N,MATCH(A5,P:P,0)),"")</f>
        <v>8</v>
      </c>
      <c r="G5" s="137">
        <f t="shared" ref="G5:G36" si="5">IFERROR(INDEX(O:O,MATCH(A5,P:P,0)),"")</f>
        <v>189.87499993</v>
      </c>
      <c r="L5" s="227">
        <f>INDEX(Starter!A:A,ROW()-1)</f>
        <v>7903</v>
      </c>
      <c r="M5">
        <f>SUMIF(Erfassung3!BD:BD,L5,Erfassung3!BW:BW)</f>
        <v>309</v>
      </c>
      <c r="N5">
        <f>SUMIF(Erfassung3!BD:BD,L5,Erfassung3!BG:BG)</f>
        <v>2</v>
      </c>
      <c r="O5">
        <f t="shared" si="0"/>
        <v>154.499999995</v>
      </c>
      <c r="P5">
        <f t="shared" si="1"/>
        <v>37</v>
      </c>
    </row>
    <row r="6" spans="1:16" x14ac:dyDescent="0.35">
      <c r="A6">
        <f t="shared" ref="A6:A37" si="6">IFERROR(IF(A5+1&gt;MAX(P:P)-1,"",A5+1),"")</f>
        <v>2</v>
      </c>
      <c r="B6">
        <f t="shared" si="2"/>
        <v>25751</v>
      </c>
      <c r="C6" t="str">
        <f>IFERROR(INDEX(Starter!B:B,MATCH(B6,Starter!A:A,0)),"")</f>
        <v>Schlundt, Sabrina</v>
      </c>
      <c r="D6" t="str">
        <f>IFERROR(INDEX(Starter!C:C,MATCH(B6,Starter!A:A,0)),"")</f>
        <v>BC Praetoria</v>
      </c>
      <c r="E6" s="102">
        <f t="shared" si="3"/>
        <v>1688</v>
      </c>
      <c r="F6">
        <f t="shared" si="4"/>
        <v>9</v>
      </c>
      <c r="G6" s="137">
        <f t="shared" si="5"/>
        <v>187.55555555355554</v>
      </c>
      <c r="L6" s="227">
        <f>INDEX(Starter!A:A,ROW()-1)</f>
        <v>16170</v>
      </c>
      <c r="M6">
        <f>SUMIF(Erfassung3!BD:BD,L6,Erfassung3!BW:BW)</f>
        <v>0</v>
      </c>
      <c r="N6">
        <f>SUMIF(Erfassung3!BD:BD,L6,Erfassung3!BG:BG)</f>
        <v>0</v>
      </c>
      <c r="O6">
        <f t="shared" si="0"/>
        <v>0</v>
      </c>
      <c r="P6">
        <f t="shared" si="1"/>
        <v>46</v>
      </c>
    </row>
    <row r="7" spans="1:16" x14ac:dyDescent="0.35">
      <c r="A7">
        <f t="shared" si="6"/>
        <v>3</v>
      </c>
      <c r="B7">
        <f t="shared" si="2"/>
        <v>7801</v>
      </c>
      <c r="C7" t="str">
        <f>IFERROR(INDEX(Starter!B:B,MATCH(B7,Starter!A:A,0)),"")</f>
        <v>Schuster, Katharina</v>
      </c>
      <c r="D7" t="str">
        <f>IFERROR(INDEX(Starter!C:C,MATCH(B7,Starter!A:A,0)),"")</f>
        <v>BC Phönix 03 Lauf</v>
      </c>
      <c r="E7" s="102">
        <f t="shared" si="3"/>
        <v>1679</v>
      </c>
      <c r="F7">
        <f t="shared" si="4"/>
        <v>9</v>
      </c>
      <c r="G7" s="137">
        <f t="shared" si="5"/>
        <v>186.55555549955554</v>
      </c>
      <c r="L7" s="227">
        <f>INDEX(Starter!A:A,ROW()-1)</f>
        <v>7889</v>
      </c>
      <c r="M7">
        <f>SUMIF(Erfassung3!BD:BD,L7,Erfassung3!BW:BW)</f>
        <v>1542</v>
      </c>
      <c r="N7">
        <f>SUMIF(Erfassung3!BD:BD,L7,Erfassung3!BG:BG)</f>
        <v>9</v>
      </c>
      <c r="O7">
        <f t="shared" si="0"/>
        <v>171.33333332633333</v>
      </c>
      <c r="P7">
        <f t="shared" si="1"/>
        <v>17</v>
      </c>
    </row>
    <row r="8" spans="1:16" x14ac:dyDescent="0.35">
      <c r="A8">
        <f t="shared" si="6"/>
        <v>4</v>
      </c>
      <c r="B8">
        <f t="shared" si="2"/>
        <v>7575</v>
      </c>
      <c r="C8" t="str">
        <f>IFERROR(INDEX(Starter!B:B,MATCH(B8,Starter!A:A,0)),"")</f>
        <v>Dozauer, Jessica</v>
      </c>
      <c r="D8" t="str">
        <f>IFERROR(INDEX(Starter!C:C,MATCH(B8,Starter!A:A,0)),"")</f>
        <v>BK München</v>
      </c>
      <c r="E8" s="102">
        <f t="shared" si="3"/>
        <v>1671</v>
      </c>
      <c r="F8">
        <f t="shared" si="4"/>
        <v>9</v>
      </c>
      <c r="G8" s="137">
        <f t="shared" si="5"/>
        <v>185.66666664966667</v>
      </c>
      <c r="L8" s="227">
        <f>INDEX(Starter!A:A,ROW()-1)</f>
        <v>38222</v>
      </c>
      <c r="M8">
        <f>SUMIF(Erfassung3!BD:BD,L8,Erfassung3!BW:BW)</f>
        <v>0</v>
      </c>
      <c r="N8">
        <f>SUMIF(Erfassung3!BD:BD,L8,Erfassung3!BG:BG)</f>
        <v>0</v>
      </c>
      <c r="O8">
        <f t="shared" si="0"/>
        <v>0</v>
      </c>
      <c r="P8">
        <f t="shared" si="1"/>
        <v>46</v>
      </c>
    </row>
    <row r="9" spans="1:16" x14ac:dyDescent="0.35">
      <c r="A9">
        <f t="shared" si="6"/>
        <v>5</v>
      </c>
      <c r="B9">
        <f t="shared" si="2"/>
        <v>7753</v>
      </c>
      <c r="C9" t="str">
        <f>IFERROR(INDEX(Starter!B:B,MATCH(B9,Starter!A:A,0)),"")</f>
        <v>Krämer, Gisela</v>
      </c>
      <c r="D9" t="str">
        <f>IFERROR(INDEX(Starter!C:C,MATCH(B9,Starter!A:A,0)),"")</f>
        <v>BC Frankenpower</v>
      </c>
      <c r="E9" s="102">
        <f t="shared" si="3"/>
        <v>1643</v>
      </c>
      <c r="F9">
        <f t="shared" si="4"/>
        <v>9</v>
      </c>
      <c r="G9" s="137">
        <f t="shared" si="5"/>
        <v>182.55555552655554</v>
      </c>
      <c r="L9" s="227">
        <f>INDEX(Starter!A:A,ROW()-1)</f>
        <v>38438</v>
      </c>
      <c r="M9">
        <f>SUMIF(Erfassung3!BD:BD,L9,Erfassung3!BW:BW)</f>
        <v>1518</v>
      </c>
      <c r="N9">
        <f>SUMIF(Erfassung3!BD:BD,L9,Erfassung3!BG:BG)</f>
        <v>9</v>
      </c>
      <c r="O9">
        <f t="shared" si="0"/>
        <v>168.66666665766667</v>
      </c>
      <c r="P9">
        <f t="shared" si="1"/>
        <v>22</v>
      </c>
    </row>
    <row r="10" spans="1:16" x14ac:dyDescent="0.35">
      <c r="A10">
        <f t="shared" si="6"/>
        <v>6</v>
      </c>
      <c r="B10">
        <f t="shared" si="2"/>
        <v>38757</v>
      </c>
      <c r="C10" t="str">
        <f>IFERROR(INDEX(Starter!B:B,MATCH(B10,Starter!A:A,0)),"")</f>
        <v>Schanze, Bianka</v>
      </c>
      <c r="D10" t="str">
        <f>IFERROR(INDEX(Starter!C:C,MATCH(B10,Starter!A:A,0)),"")</f>
        <v>BSC Highroller Rosenheim</v>
      </c>
      <c r="E10" s="102">
        <f t="shared" si="3"/>
        <v>1637</v>
      </c>
      <c r="F10">
        <f t="shared" si="4"/>
        <v>9</v>
      </c>
      <c r="G10" s="137">
        <f t="shared" si="5"/>
        <v>181.88888886388889</v>
      </c>
      <c r="L10" s="227">
        <f>INDEX(Starter!A:A,ROW()-1)</f>
        <v>38553</v>
      </c>
      <c r="M10">
        <f>SUMIF(Erfassung3!BD:BD,L10,Erfassung3!BW:BW)</f>
        <v>1513</v>
      </c>
      <c r="N10">
        <f>SUMIF(Erfassung3!BD:BD,L10,Erfassung3!BG:BG)</f>
        <v>9</v>
      </c>
      <c r="O10">
        <f t="shared" si="0"/>
        <v>168.11111110111111</v>
      </c>
      <c r="P10">
        <f t="shared" si="1"/>
        <v>23</v>
      </c>
    </row>
    <row r="11" spans="1:16" x14ac:dyDescent="0.35">
      <c r="A11">
        <f t="shared" si="6"/>
        <v>7</v>
      </c>
      <c r="B11">
        <f t="shared" si="2"/>
        <v>7087</v>
      </c>
      <c r="C11" t="str">
        <f>IFERROR(INDEX(Starter!B:B,MATCH(B11,Starter!A:A,0)),"")</f>
        <v>Albert, Beate</v>
      </c>
      <c r="D11" t="str">
        <f>IFERROR(INDEX(Starter!C:C,MATCH(B11,Starter!A:A,0)),"")</f>
        <v>BF Weiß-Blau</v>
      </c>
      <c r="E11" s="102">
        <f t="shared" si="3"/>
        <v>1605</v>
      </c>
      <c r="F11">
        <f t="shared" si="4"/>
        <v>9</v>
      </c>
      <c r="G11" s="137">
        <f t="shared" si="5"/>
        <v>178.33333328833334</v>
      </c>
      <c r="L11" s="227">
        <f>INDEX(Starter!A:A,ROW()-1)</f>
        <v>38350</v>
      </c>
      <c r="M11">
        <f>SUMIF(Erfassung3!BD:BD,L11,Erfassung3!BW:BW)</f>
        <v>1410</v>
      </c>
      <c r="N11">
        <f>SUMIF(Erfassung3!BD:BD,L11,Erfassung3!BG:BG)</f>
        <v>9</v>
      </c>
      <c r="O11">
        <f t="shared" si="0"/>
        <v>156.66666665566666</v>
      </c>
      <c r="P11">
        <f t="shared" si="1"/>
        <v>33</v>
      </c>
    </row>
    <row r="12" spans="1:16" x14ac:dyDescent="0.35">
      <c r="A12">
        <f t="shared" si="6"/>
        <v>8</v>
      </c>
      <c r="B12">
        <f t="shared" si="2"/>
        <v>25798</v>
      </c>
      <c r="C12" t="str">
        <f>IFERROR(INDEX(Starter!B:B,MATCH(B12,Starter!A:A,0)),"")</f>
        <v>Kicker-Mihatsch, Elvira</v>
      </c>
      <c r="D12" t="str">
        <f>IFERROR(INDEX(Starter!C:C,MATCH(B12,Starter!A:A,0)),"")</f>
        <v>BC Praetoria</v>
      </c>
      <c r="E12" s="102">
        <f t="shared" si="3"/>
        <v>1604</v>
      </c>
      <c r="F12">
        <f t="shared" si="4"/>
        <v>9</v>
      </c>
      <c r="G12" s="137">
        <f t="shared" si="5"/>
        <v>178.22222221822224</v>
      </c>
      <c r="L12" s="227">
        <f>INDEX(Starter!A:A,ROW()-1)</f>
        <v>16594</v>
      </c>
      <c r="M12">
        <f>SUMIF(Erfassung3!BD:BD,L12,Erfassung3!BW:BW)</f>
        <v>0</v>
      </c>
      <c r="N12">
        <f>SUMIF(Erfassung3!BD:BD,L12,Erfassung3!BG:BG)</f>
        <v>0</v>
      </c>
      <c r="O12">
        <f t="shared" si="0"/>
        <v>0</v>
      </c>
      <c r="P12">
        <f t="shared" si="1"/>
        <v>46</v>
      </c>
    </row>
    <row r="13" spans="1:16" x14ac:dyDescent="0.35">
      <c r="A13">
        <f t="shared" si="6"/>
        <v>9</v>
      </c>
      <c r="B13">
        <f t="shared" si="2"/>
        <v>7976</v>
      </c>
      <c r="C13" t="str">
        <f>IFERROR(INDEX(Starter!B:B,MATCH(B13,Starter!A:A,0)),"")</f>
        <v>Martisko, Petra</v>
      </c>
      <c r="D13" t="str">
        <f>IFERROR(INDEX(Starter!C:C,MATCH(B13,Starter!A:A,0)),"")</f>
        <v>BF Rot-Weiß Lichtenhof 69</v>
      </c>
      <c r="E13" s="102">
        <f t="shared" si="3"/>
        <v>1603</v>
      </c>
      <c r="F13">
        <f t="shared" si="4"/>
        <v>9</v>
      </c>
      <c r="G13" s="137">
        <f t="shared" si="5"/>
        <v>178.11111105011111</v>
      </c>
      <c r="L13" s="227">
        <f>INDEX(Starter!A:A,ROW()-1)</f>
        <v>16595</v>
      </c>
      <c r="M13">
        <f>SUMIF(Erfassung3!BD:BD,L13,Erfassung3!BW:BW)</f>
        <v>0</v>
      </c>
      <c r="N13">
        <f>SUMIF(Erfassung3!BD:BD,L13,Erfassung3!BG:BG)</f>
        <v>0</v>
      </c>
      <c r="O13">
        <f t="shared" si="0"/>
        <v>0</v>
      </c>
      <c r="P13">
        <f t="shared" si="1"/>
        <v>46</v>
      </c>
    </row>
    <row r="14" spans="1:16" x14ac:dyDescent="0.35">
      <c r="A14">
        <f t="shared" si="6"/>
        <v>10</v>
      </c>
      <c r="B14">
        <f t="shared" si="2"/>
        <v>7576</v>
      </c>
      <c r="C14" t="str">
        <f>IFERROR(INDEX(Starter!B:B,MATCH(B14,Starter!A:A,0)),"")</f>
        <v>Laub, Angela</v>
      </c>
      <c r="D14" t="str">
        <f>IFERROR(INDEX(Starter!C:C,MATCH(B14,Starter!A:A,0)),"")</f>
        <v>BK München</v>
      </c>
      <c r="E14" s="102">
        <f t="shared" si="3"/>
        <v>1058</v>
      </c>
      <c r="F14">
        <f t="shared" si="4"/>
        <v>6</v>
      </c>
      <c r="G14" s="137">
        <f t="shared" si="5"/>
        <v>176.33333331433334</v>
      </c>
      <c r="L14" s="227">
        <f>INDEX(Starter!A:A,ROW()-1)</f>
        <v>7061</v>
      </c>
      <c r="M14">
        <f>SUMIF(Erfassung3!BD:BD,L14,Erfassung3!BW:BW)</f>
        <v>0</v>
      </c>
      <c r="N14">
        <f>SUMIF(Erfassung3!BD:BD,L14,Erfassung3!BG:BG)</f>
        <v>0</v>
      </c>
      <c r="O14">
        <f t="shared" si="0"/>
        <v>0</v>
      </c>
      <c r="P14">
        <f t="shared" si="1"/>
        <v>46</v>
      </c>
    </row>
    <row r="15" spans="1:16" x14ac:dyDescent="0.35">
      <c r="A15">
        <f t="shared" si="6"/>
        <v>11</v>
      </c>
      <c r="B15">
        <f t="shared" si="2"/>
        <v>7578</v>
      </c>
      <c r="C15" t="str">
        <f>IFERROR(INDEX(Starter!B:B,MATCH(B15,Starter!A:A,0)),"")</f>
        <v>Hinterwimmer, Sabine</v>
      </c>
      <c r="D15" t="str">
        <f>IFERROR(INDEX(Starter!C:C,MATCH(B15,Starter!A:A,0)),"")</f>
        <v>BK München</v>
      </c>
      <c r="E15" s="102">
        <f t="shared" si="3"/>
        <v>1405</v>
      </c>
      <c r="F15">
        <f t="shared" si="4"/>
        <v>8</v>
      </c>
      <c r="G15" s="137">
        <f t="shared" si="5"/>
        <v>175.624999984</v>
      </c>
      <c r="L15" s="227">
        <f>INDEX(Starter!A:A,ROW()-1)</f>
        <v>25550</v>
      </c>
      <c r="M15">
        <f>SUMIF(Erfassung3!BD:BD,L15,Erfassung3!BW:BW)</f>
        <v>0</v>
      </c>
      <c r="N15">
        <f>SUMIF(Erfassung3!BD:BD,L15,Erfassung3!BG:BG)</f>
        <v>0</v>
      </c>
      <c r="O15">
        <f t="shared" si="0"/>
        <v>0</v>
      </c>
      <c r="P15">
        <f t="shared" si="1"/>
        <v>46</v>
      </c>
    </row>
    <row r="16" spans="1:16" x14ac:dyDescent="0.35">
      <c r="A16">
        <f t="shared" si="6"/>
        <v>12</v>
      </c>
      <c r="B16">
        <f t="shared" si="2"/>
        <v>7549</v>
      </c>
      <c r="C16" t="str">
        <f>IFERROR(INDEX(Starter!B:B,MATCH(B16,Starter!A:A,0)),"")</f>
        <v>Hernitschek, Angelika</v>
      </c>
      <c r="D16" t="str">
        <f>IFERROR(INDEX(Starter!C:C,MATCH(B16,Starter!A:A,0)),"")</f>
        <v>BC E.P.A. München</v>
      </c>
      <c r="E16" s="102">
        <f t="shared" si="3"/>
        <v>1580</v>
      </c>
      <c r="F16">
        <f t="shared" si="4"/>
        <v>9</v>
      </c>
      <c r="G16" s="137">
        <f t="shared" si="5"/>
        <v>175.55555548755555</v>
      </c>
      <c r="L16" s="227">
        <f>INDEX(Starter!A:A,ROW()-1)</f>
        <v>7578</v>
      </c>
      <c r="M16">
        <f>SUMIF(Erfassung3!BD:BD,L16,Erfassung3!BW:BW)</f>
        <v>1405</v>
      </c>
      <c r="N16">
        <f>SUMIF(Erfassung3!BD:BD,L16,Erfassung3!BG:BG)</f>
        <v>8</v>
      </c>
      <c r="O16">
        <f t="shared" si="0"/>
        <v>175.624999984</v>
      </c>
      <c r="P16">
        <f t="shared" si="1"/>
        <v>11</v>
      </c>
    </row>
    <row r="17" spans="1:16" x14ac:dyDescent="0.35">
      <c r="A17">
        <f t="shared" si="6"/>
        <v>13</v>
      </c>
      <c r="B17">
        <f t="shared" si="2"/>
        <v>38458</v>
      </c>
      <c r="C17" t="str">
        <f>IFERROR(INDEX(Starter!B:B,MATCH(B17,Starter!A:A,0)),"")</f>
        <v>Lindner, Theresa</v>
      </c>
      <c r="D17" t="str">
        <f>IFERROR(INDEX(Starter!C:C,MATCH(B17,Starter!A:A,0)),"")</f>
        <v>BSC Highroller Rosenheim</v>
      </c>
      <c r="E17" s="102">
        <f t="shared" si="3"/>
        <v>1577</v>
      </c>
      <c r="F17">
        <f t="shared" si="4"/>
        <v>9</v>
      </c>
      <c r="G17" s="137">
        <f t="shared" si="5"/>
        <v>175.22222215722223</v>
      </c>
      <c r="L17" s="227">
        <f>INDEX(Starter!A:A,ROW()-1)</f>
        <v>7575</v>
      </c>
      <c r="M17">
        <f>SUMIF(Erfassung3!BD:BD,L17,Erfassung3!BW:BW)</f>
        <v>1671</v>
      </c>
      <c r="N17">
        <f>SUMIF(Erfassung3!BD:BD,L17,Erfassung3!BG:BG)</f>
        <v>9</v>
      </c>
      <c r="O17">
        <f t="shared" si="0"/>
        <v>185.66666664966667</v>
      </c>
      <c r="P17">
        <f t="shared" si="1"/>
        <v>4</v>
      </c>
    </row>
    <row r="18" spans="1:16" x14ac:dyDescent="0.35">
      <c r="A18">
        <f t="shared" si="6"/>
        <v>14</v>
      </c>
      <c r="B18">
        <f t="shared" si="2"/>
        <v>25982</v>
      </c>
      <c r="C18" t="str">
        <f>IFERROR(INDEX(Starter!B:B,MATCH(B18,Starter!A:A,0)),"")</f>
        <v>Panek, Sandra</v>
      </c>
      <c r="D18" t="str">
        <f>IFERROR(INDEX(Starter!C:C,MATCH(B18,Starter!A:A,0)),"")</f>
        <v>BF Rot-Weiß Lichtenhof 69</v>
      </c>
      <c r="E18" s="102">
        <f t="shared" si="3"/>
        <v>1565</v>
      </c>
      <c r="F18">
        <f t="shared" si="4"/>
        <v>9</v>
      </c>
      <c r="G18" s="137">
        <f t="shared" si="5"/>
        <v>173.88888883088887</v>
      </c>
      <c r="L18" s="227">
        <f>INDEX(Starter!A:A,ROW()-1)</f>
        <v>7574</v>
      </c>
      <c r="M18">
        <f>SUMIF(Erfassung3!BD:BD,L18,Erfassung3!BW:BW)</f>
        <v>0</v>
      </c>
      <c r="N18">
        <f>SUMIF(Erfassung3!BD:BD,L18,Erfassung3!BG:BG)</f>
        <v>0</v>
      </c>
      <c r="O18">
        <f t="shared" si="0"/>
        <v>0</v>
      </c>
      <c r="P18">
        <f t="shared" si="1"/>
        <v>46</v>
      </c>
    </row>
    <row r="19" spans="1:16" x14ac:dyDescent="0.35">
      <c r="A19">
        <f t="shared" si="6"/>
        <v>15</v>
      </c>
      <c r="B19">
        <f t="shared" si="2"/>
        <v>7787</v>
      </c>
      <c r="C19" t="str">
        <f>IFERROR(INDEX(Starter!B:B,MATCH(B19,Starter!A:A,0)),"")</f>
        <v>Kleim, Helga</v>
      </c>
      <c r="D19" t="str">
        <f>IFERROR(INDEX(Starter!C:C,MATCH(B19,Starter!A:A,0)),"")</f>
        <v>BC Phönix 03 Lauf</v>
      </c>
      <c r="E19" s="102">
        <f t="shared" si="3"/>
        <v>1552</v>
      </c>
      <c r="F19">
        <f t="shared" si="4"/>
        <v>9</v>
      </c>
      <c r="G19" s="137">
        <f t="shared" si="5"/>
        <v>172.44444439044446</v>
      </c>
      <c r="L19" s="227">
        <f>INDEX(Starter!A:A,ROW()-1)</f>
        <v>7576</v>
      </c>
      <c r="M19">
        <f>SUMIF(Erfassung3!BD:BD,L19,Erfassung3!BW:BW)</f>
        <v>1058</v>
      </c>
      <c r="N19">
        <f>SUMIF(Erfassung3!BD:BD,L19,Erfassung3!BG:BG)</f>
        <v>6</v>
      </c>
      <c r="O19">
        <f t="shared" si="0"/>
        <v>176.33333331433334</v>
      </c>
      <c r="P19">
        <f t="shared" si="1"/>
        <v>10</v>
      </c>
    </row>
    <row r="20" spans="1:16" x14ac:dyDescent="0.35">
      <c r="A20">
        <f t="shared" si="6"/>
        <v>16</v>
      </c>
      <c r="B20">
        <f t="shared" si="2"/>
        <v>25298</v>
      </c>
      <c r="C20" t="str">
        <f>IFERROR(INDEX(Starter!B:B,MATCH(B20,Starter!A:A,0)),"")</f>
        <v>Auer, Cornelia</v>
      </c>
      <c r="D20" t="str">
        <f>IFERROR(INDEX(Starter!C:C,MATCH(B20,Starter!A:A,0)),"")</f>
        <v>BSC Highroller Rosenheim</v>
      </c>
      <c r="E20" s="102">
        <f t="shared" si="3"/>
        <v>686</v>
      </c>
      <c r="F20">
        <f t="shared" si="4"/>
        <v>4</v>
      </c>
      <c r="G20" s="137">
        <f t="shared" si="5"/>
        <v>171.499999976</v>
      </c>
      <c r="L20" s="227">
        <f>INDEX(Starter!A:A,ROW()-1)</f>
        <v>12850</v>
      </c>
      <c r="M20">
        <f>SUMIF(Erfassung3!BD:BD,L20,Erfassung3!BW:BW)</f>
        <v>914</v>
      </c>
      <c r="N20">
        <f>SUMIF(Erfassung3!BD:BD,L20,Erfassung3!BG:BG)</f>
        <v>6</v>
      </c>
      <c r="O20">
        <f t="shared" si="0"/>
        <v>152.33333331333336</v>
      </c>
      <c r="P20">
        <f t="shared" si="1"/>
        <v>39</v>
      </c>
    </row>
    <row r="21" spans="1:16" x14ac:dyDescent="0.35">
      <c r="A21">
        <f t="shared" si="6"/>
        <v>17</v>
      </c>
      <c r="B21">
        <f t="shared" si="2"/>
        <v>7889</v>
      </c>
      <c r="C21" t="str">
        <f>IFERROR(INDEX(Starter!B:B,MATCH(B21,Starter!A:A,0)),"")</f>
        <v>Zahner, Barbara</v>
      </c>
      <c r="D21" t="str">
        <f>IFERROR(INDEX(Starter!C:C,MATCH(B21,Starter!A:A,0)),"")</f>
        <v>BC Praetoria</v>
      </c>
      <c r="E21" s="102">
        <f t="shared" si="3"/>
        <v>1542</v>
      </c>
      <c r="F21">
        <f t="shared" si="4"/>
        <v>9</v>
      </c>
      <c r="G21" s="137">
        <f t="shared" si="5"/>
        <v>171.33333332633333</v>
      </c>
      <c r="L21" s="227">
        <f>INDEX(Starter!A:A,ROW()-1)</f>
        <v>16879</v>
      </c>
      <c r="M21">
        <f>SUMIF(Erfassung3!BD:BD,L21,Erfassung3!BW:BW)</f>
        <v>1073</v>
      </c>
      <c r="N21">
        <f>SUMIF(Erfassung3!BD:BD,L21,Erfassung3!BG:BG)</f>
        <v>7</v>
      </c>
      <c r="O21">
        <f t="shared" si="0"/>
        <v>153.28571426471427</v>
      </c>
      <c r="P21">
        <f t="shared" si="1"/>
        <v>38</v>
      </c>
    </row>
    <row r="22" spans="1:16" x14ac:dyDescent="0.35">
      <c r="A22">
        <f t="shared" si="6"/>
        <v>18</v>
      </c>
      <c r="B22">
        <f t="shared" si="2"/>
        <v>25630</v>
      </c>
      <c r="C22" t="str">
        <f>IFERROR(INDEX(Starter!B:B,MATCH(B22,Starter!A:A,0)),"")</f>
        <v>Groll, Hanni</v>
      </c>
      <c r="D22" t="str">
        <f>IFERROR(INDEX(Starter!C:C,MATCH(B22,Starter!A:A,0)),"")</f>
        <v>BSC Highroller Rosenheim</v>
      </c>
      <c r="E22" s="102">
        <f t="shared" si="3"/>
        <v>1193</v>
      </c>
      <c r="F22">
        <f t="shared" si="4"/>
        <v>7</v>
      </c>
      <c r="G22" s="137">
        <f t="shared" si="5"/>
        <v>170.42857140257141</v>
      </c>
      <c r="L22" s="227">
        <f>INDEX(Starter!A:A,ROW()-1)</f>
        <v>7991</v>
      </c>
      <c r="M22">
        <f>SUMIF(Erfassung3!BD:BD,L22,Erfassung3!BW:BW)</f>
        <v>792</v>
      </c>
      <c r="N22">
        <f>SUMIF(Erfassung3!BD:BD,L22,Erfassung3!BG:BG)</f>
        <v>5</v>
      </c>
      <c r="O22">
        <f t="shared" si="0"/>
        <v>158.39999997800001</v>
      </c>
      <c r="P22">
        <f t="shared" si="1"/>
        <v>30</v>
      </c>
    </row>
    <row r="23" spans="1:16" x14ac:dyDescent="0.35">
      <c r="A23">
        <f t="shared" si="6"/>
        <v>19</v>
      </c>
      <c r="B23">
        <f t="shared" si="2"/>
        <v>7786</v>
      </c>
      <c r="C23" t="str">
        <f>IFERROR(INDEX(Starter!B:B,MATCH(B23,Starter!A:A,0)),"")</f>
        <v>Reichel, Christina</v>
      </c>
      <c r="D23" t="str">
        <f>IFERROR(INDEX(Starter!C:C,MATCH(B23,Starter!A:A,0)),"")</f>
        <v>BC Phönix 03 Lauf</v>
      </c>
      <c r="E23" s="102">
        <f t="shared" si="3"/>
        <v>1521</v>
      </c>
      <c r="F23">
        <f t="shared" si="4"/>
        <v>9</v>
      </c>
      <c r="G23" s="137">
        <f t="shared" si="5"/>
        <v>168.99999994500001</v>
      </c>
      <c r="L23" s="227">
        <f>INDEX(Starter!A:A,ROW()-1)</f>
        <v>7024</v>
      </c>
      <c r="M23">
        <f>SUMIF(Erfassung3!BD:BD,L23,Erfassung3!BW:BW)</f>
        <v>0</v>
      </c>
      <c r="N23">
        <f>SUMIF(Erfassung3!BD:BD,L23,Erfassung3!BG:BG)</f>
        <v>0</v>
      </c>
      <c r="O23">
        <f t="shared" si="0"/>
        <v>0</v>
      </c>
      <c r="P23">
        <f t="shared" si="1"/>
        <v>46</v>
      </c>
    </row>
    <row r="24" spans="1:16" x14ac:dyDescent="0.35">
      <c r="A24">
        <f t="shared" si="6"/>
        <v>20</v>
      </c>
      <c r="B24">
        <f t="shared" si="2"/>
        <v>7431</v>
      </c>
      <c r="C24" t="str">
        <f>IFERROR(INDEX(Starter!B:B,MATCH(B24,Starter!A:A,0)),"")</f>
        <v>Denz, Angelika</v>
      </c>
      <c r="D24" t="str">
        <f>IFERROR(INDEX(Starter!C:C,MATCH(B24,Starter!A:A,0)),"")</f>
        <v>BF Weiß-Blau</v>
      </c>
      <c r="E24" s="102">
        <f t="shared" si="3"/>
        <v>844</v>
      </c>
      <c r="F24">
        <f t="shared" si="4"/>
        <v>5</v>
      </c>
      <c r="G24" s="137">
        <f t="shared" si="5"/>
        <v>168.79999995600002</v>
      </c>
      <c r="L24" s="227">
        <f>INDEX(Starter!A:A,ROW()-1)</f>
        <v>25298</v>
      </c>
      <c r="M24">
        <f>SUMIF(Erfassung3!BD:BD,L24,Erfassung3!BW:BW)</f>
        <v>686</v>
      </c>
      <c r="N24">
        <f>SUMIF(Erfassung3!BD:BD,L24,Erfassung3!BG:BG)</f>
        <v>4</v>
      </c>
      <c r="O24">
        <f t="shared" si="0"/>
        <v>171.499999976</v>
      </c>
      <c r="P24">
        <f t="shared" si="1"/>
        <v>16</v>
      </c>
    </row>
    <row r="25" spans="1:16" x14ac:dyDescent="0.35">
      <c r="A25">
        <f t="shared" si="6"/>
        <v>21</v>
      </c>
      <c r="B25">
        <f t="shared" si="2"/>
        <v>38758</v>
      </c>
      <c r="C25" t="str">
        <f>IFERROR(INDEX(Starter!B:B,MATCH(B25,Starter!A:A,0)),"")</f>
        <v>Rauscher, Julia</v>
      </c>
      <c r="D25" t="str">
        <f>IFERROR(INDEX(Starter!C:C,MATCH(B25,Starter!A:A,0)),"")</f>
        <v>BSC Highroller Rosenheim</v>
      </c>
      <c r="E25" s="102">
        <f t="shared" si="3"/>
        <v>1181</v>
      </c>
      <c r="F25">
        <f t="shared" si="4"/>
        <v>7</v>
      </c>
      <c r="G25" s="137">
        <f t="shared" si="5"/>
        <v>168.71428568728572</v>
      </c>
      <c r="L25" s="227">
        <f>INDEX(Starter!A:A,ROW()-1)</f>
        <v>38757</v>
      </c>
      <c r="M25">
        <f>SUMIF(Erfassung3!BD:BD,L25,Erfassung3!BW:BW)</f>
        <v>1637</v>
      </c>
      <c r="N25">
        <f>SUMIF(Erfassung3!BD:BD,L25,Erfassung3!BG:BG)</f>
        <v>9</v>
      </c>
      <c r="O25">
        <f t="shared" si="0"/>
        <v>181.88888886388889</v>
      </c>
      <c r="P25">
        <f t="shared" si="1"/>
        <v>6</v>
      </c>
    </row>
    <row r="26" spans="1:16" x14ac:dyDescent="0.35">
      <c r="A26">
        <f t="shared" si="6"/>
        <v>22</v>
      </c>
      <c r="B26">
        <f t="shared" si="2"/>
        <v>38438</v>
      </c>
      <c r="C26" t="str">
        <f>IFERROR(INDEX(Starter!B:B,MATCH(B26,Starter!A:A,0)),"")</f>
        <v>Hassforth, Lea</v>
      </c>
      <c r="D26" t="str">
        <f>IFERROR(INDEX(Starter!C:C,MATCH(B26,Starter!A:A,0)),"")</f>
        <v>BK München</v>
      </c>
      <c r="E26" s="102">
        <f t="shared" si="3"/>
        <v>1518</v>
      </c>
      <c r="F26">
        <f t="shared" si="4"/>
        <v>9</v>
      </c>
      <c r="G26" s="137">
        <f t="shared" si="5"/>
        <v>168.66666665766667</v>
      </c>
      <c r="L26" s="227">
        <f>INDEX(Starter!A:A,ROW()-1)</f>
        <v>25630</v>
      </c>
      <c r="M26">
        <f>SUMIF(Erfassung3!BD:BD,L26,Erfassung3!BW:BW)</f>
        <v>1193</v>
      </c>
      <c r="N26">
        <f>SUMIF(Erfassung3!BD:BD,L26,Erfassung3!BG:BG)</f>
        <v>7</v>
      </c>
      <c r="O26">
        <f t="shared" si="0"/>
        <v>170.42857140257141</v>
      </c>
      <c r="P26">
        <f t="shared" si="1"/>
        <v>18</v>
      </c>
    </row>
    <row r="27" spans="1:16" x14ac:dyDescent="0.35">
      <c r="A27">
        <f t="shared" si="6"/>
        <v>23</v>
      </c>
      <c r="B27">
        <f t="shared" si="2"/>
        <v>38553</v>
      </c>
      <c r="C27" t="str">
        <f>IFERROR(INDEX(Starter!B:B,MATCH(B27,Starter!A:A,0)),"")</f>
        <v>Kirschke, Saskia</v>
      </c>
      <c r="D27" t="str">
        <f>IFERROR(INDEX(Starter!C:C,MATCH(B27,Starter!A:A,0)),"")</f>
        <v>BK München</v>
      </c>
      <c r="E27" s="102">
        <f t="shared" si="3"/>
        <v>1513</v>
      </c>
      <c r="F27">
        <f t="shared" si="4"/>
        <v>9</v>
      </c>
      <c r="G27" s="137">
        <f t="shared" si="5"/>
        <v>168.11111110111111</v>
      </c>
      <c r="L27" s="227">
        <f>INDEX(Starter!A:A,ROW()-1)</f>
        <v>38758</v>
      </c>
      <c r="M27">
        <f>SUMIF(Erfassung3!BD:BD,L27,Erfassung3!BW:BW)</f>
        <v>1181</v>
      </c>
      <c r="N27">
        <f>SUMIF(Erfassung3!BD:BD,L27,Erfassung3!BG:BG)</f>
        <v>7</v>
      </c>
      <c r="O27">
        <f t="shared" si="0"/>
        <v>168.71428568728572</v>
      </c>
      <c r="P27">
        <f t="shared" si="1"/>
        <v>21</v>
      </c>
    </row>
    <row r="28" spans="1:16" x14ac:dyDescent="0.35">
      <c r="A28">
        <f t="shared" si="6"/>
        <v>24</v>
      </c>
      <c r="B28">
        <f t="shared" si="2"/>
        <v>25192</v>
      </c>
      <c r="C28" t="str">
        <f>IFERROR(INDEX(Starter!B:B,MATCH(B28,Starter!A:A,0)),"")</f>
        <v>Bess, Vanessa</v>
      </c>
      <c r="D28" t="str">
        <f>IFERROR(INDEX(Starter!C:C,MATCH(B28,Starter!A:A,0)),"")</f>
        <v>BC E.P.A. München</v>
      </c>
      <c r="E28" s="102">
        <f t="shared" si="3"/>
        <v>1333</v>
      </c>
      <c r="F28">
        <f t="shared" si="4"/>
        <v>8</v>
      </c>
      <c r="G28" s="137">
        <f t="shared" si="5"/>
        <v>166.62499993099999</v>
      </c>
      <c r="L28" s="227">
        <f>INDEX(Starter!A:A,ROW()-1)</f>
        <v>7754</v>
      </c>
      <c r="M28">
        <f>SUMIF(Erfassung3!BD:BD,L28,Erfassung3!BW:BW)</f>
        <v>0</v>
      </c>
      <c r="N28">
        <f>SUMIF(Erfassung3!BD:BD,L28,Erfassung3!BG:BG)</f>
        <v>0</v>
      </c>
      <c r="O28">
        <f t="shared" si="0"/>
        <v>0</v>
      </c>
      <c r="P28">
        <f t="shared" si="1"/>
        <v>46</v>
      </c>
    </row>
    <row r="29" spans="1:16" x14ac:dyDescent="0.35">
      <c r="A29">
        <f t="shared" si="6"/>
        <v>25</v>
      </c>
      <c r="B29">
        <f t="shared" si="2"/>
        <v>38560</v>
      </c>
      <c r="C29" t="str">
        <f>IFERROR(INDEX(Starter!B:B,MATCH(B29,Starter!A:A,0)),"")</f>
        <v>Reng, Verena</v>
      </c>
      <c r="D29" t="str">
        <f>IFERROR(INDEX(Starter!C:C,MATCH(B29,Starter!A:A,0)),"")</f>
        <v>BC Frankenpower</v>
      </c>
      <c r="E29" s="102">
        <f t="shared" si="3"/>
        <v>1485</v>
      </c>
      <c r="F29">
        <f t="shared" si="4"/>
        <v>9</v>
      </c>
      <c r="G29" s="137">
        <f t="shared" si="5"/>
        <v>164.999999968</v>
      </c>
      <c r="L29" s="227">
        <f>INDEX(Starter!A:A,ROW()-1)</f>
        <v>7753</v>
      </c>
      <c r="M29">
        <f>SUMIF(Erfassung3!BD:BD,L29,Erfassung3!BW:BW)</f>
        <v>1643</v>
      </c>
      <c r="N29">
        <f>SUMIF(Erfassung3!BD:BD,L29,Erfassung3!BG:BG)</f>
        <v>9</v>
      </c>
      <c r="O29">
        <f t="shared" si="0"/>
        <v>182.55555552655554</v>
      </c>
      <c r="P29">
        <f t="shared" si="1"/>
        <v>5</v>
      </c>
    </row>
    <row r="30" spans="1:16" x14ac:dyDescent="0.35">
      <c r="A30">
        <f t="shared" si="6"/>
        <v>26</v>
      </c>
      <c r="B30">
        <f t="shared" si="2"/>
        <v>38258</v>
      </c>
      <c r="C30" t="str">
        <f>IFERROR(INDEX(Starter!B:B,MATCH(B30,Starter!A:A,0)),"")</f>
        <v>Bösl, Anna</v>
      </c>
      <c r="D30" t="str">
        <f>IFERROR(INDEX(Starter!C:C,MATCH(B30,Starter!A:A,0)),"")</f>
        <v>BC Praetoria</v>
      </c>
      <c r="E30" s="102">
        <f t="shared" si="3"/>
        <v>1145</v>
      </c>
      <c r="F30">
        <f t="shared" si="4"/>
        <v>7</v>
      </c>
      <c r="G30" s="137">
        <f t="shared" si="5"/>
        <v>163.57142856842859</v>
      </c>
      <c r="L30" s="227">
        <f>INDEX(Starter!A:A,ROW()-1)</f>
        <v>7758</v>
      </c>
      <c r="M30">
        <f>SUMIF(Erfassung3!BD:BD,L30,Erfassung3!BW:BW)</f>
        <v>1435</v>
      </c>
      <c r="N30">
        <f>SUMIF(Erfassung3!BD:BD,L30,Erfassung3!BG:BG)</f>
        <v>9</v>
      </c>
      <c r="O30">
        <f t="shared" si="0"/>
        <v>159.44444441444446</v>
      </c>
      <c r="P30">
        <f t="shared" si="1"/>
        <v>29</v>
      </c>
    </row>
    <row r="31" spans="1:16" x14ac:dyDescent="0.35">
      <c r="A31">
        <f t="shared" si="6"/>
        <v>27</v>
      </c>
      <c r="B31">
        <f t="shared" si="2"/>
        <v>25397</v>
      </c>
      <c r="C31" t="str">
        <f>IFERROR(INDEX(Starter!B:B,MATCH(B31,Starter!A:A,0)),"")</f>
        <v>Weninger, Diana</v>
      </c>
      <c r="D31" t="str">
        <f>IFERROR(INDEX(Starter!C:C,MATCH(B31,Starter!A:A,0)),"")</f>
        <v>BC E.P.A. München</v>
      </c>
      <c r="E31" s="102">
        <f t="shared" si="3"/>
        <v>651</v>
      </c>
      <c r="F31">
        <f t="shared" si="4"/>
        <v>4</v>
      </c>
      <c r="G31" s="137">
        <f t="shared" si="5"/>
        <v>162.74999995799999</v>
      </c>
      <c r="L31" s="227">
        <f>INDEX(Starter!A:A,ROW()-1)</f>
        <v>7757</v>
      </c>
      <c r="M31">
        <f>SUMIF(Erfassung3!BD:BD,L31,Erfassung3!BW:BW)</f>
        <v>1443</v>
      </c>
      <c r="N31">
        <f>SUMIF(Erfassung3!BD:BD,L31,Erfassung3!BG:BG)</f>
        <v>9</v>
      </c>
      <c r="O31">
        <f t="shared" si="0"/>
        <v>160.33333330233333</v>
      </c>
      <c r="P31">
        <f t="shared" si="1"/>
        <v>28</v>
      </c>
    </row>
    <row r="32" spans="1:16" x14ac:dyDescent="0.35">
      <c r="A32">
        <f t="shared" si="6"/>
        <v>28</v>
      </c>
      <c r="B32">
        <f t="shared" si="2"/>
        <v>7757</v>
      </c>
      <c r="C32" t="str">
        <f>IFERROR(INDEX(Starter!B:B,MATCH(B32,Starter!A:A,0)),"")</f>
        <v>Legl, Renate</v>
      </c>
      <c r="D32" t="str">
        <f>IFERROR(INDEX(Starter!C:C,MATCH(B32,Starter!A:A,0)),"")</f>
        <v>BC Frankenpower</v>
      </c>
      <c r="E32" s="102">
        <f t="shared" si="3"/>
        <v>1443</v>
      </c>
      <c r="F32">
        <f t="shared" si="4"/>
        <v>9</v>
      </c>
      <c r="G32" s="137">
        <f t="shared" si="5"/>
        <v>160.33333330233333</v>
      </c>
      <c r="L32" s="227">
        <f>INDEX(Starter!A:A,ROW()-1)</f>
        <v>38560</v>
      </c>
      <c r="M32">
        <f>SUMIF(Erfassung3!BD:BD,L32,Erfassung3!BW:BW)</f>
        <v>1485</v>
      </c>
      <c r="N32">
        <f>SUMIF(Erfassung3!BD:BD,L32,Erfassung3!BG:BG)</f>
        <v>9</v>
      </c>
      <c r="O32">
        <f t="shared" si="0"/>
        <v>164.999999968</v>
      </c>
      <c r="P32">
        <f t="shared" si="1"/>
        <v>25</v>
      </c>
    </row>
    <row r="33" spans="1:16" x14ac:dyDescent="0.35">
      <c r="A33">
        <f t="shared" si="6"/>
        <v>29</v>
      </c>
      <c r="B33">
        <f t="shared" si="2"/>
        <v>7758</v>
      </c>
      <c r="C33" t="str">
        <f>IFERROR(INDEX(Starter!B:B,MATCH(B33,Starter!A:A,0)),"")</f>
        <v>Deinlein, Christine</v>
      </c>
      <c r="D33" t="str">
        <f>IFERROR(INDEX(Starter!C:C,MATCH(B33,Starter!A:A,0)),"")</f>
        <v>BC Frankenpower</v>
      </c>
      <c r="E33" s="102">
        <f t="shared" si="3"/>
        <v>1435</v>
      </c>
      <c r="F33">
        <f t="shared" si="4"/>
        <v>9</v>
      </c>
      <c r="G33" s="137">
        <f t="shared" si="5"/>
        <v>159.44444441444446</v>
      </c>
      <c r="L33" s="227">
        <f>INDEX(Starter!A:A,ROW()-1)</f>
        <v>7755</v>
      </c>
      <c r="M33">
        <f>SUMIF(Erfassung3!BD:BD,L33,Erfassung3!BW:BW)</f>
        <v>0</v>
      </c>
      <c r="N33">
        <f>SUMIF(Erfassung3!BD:BD,L33,Erfassung3!BG:BG)</f>
        <v>0</v>
      </c>
      <c r="O33">
        <f t="shared" si="0"/>
        <v>0</v>
      </c>
      <c r="P33">
        <f t="shared" si="1"/>
        <v>46</v>
      </c>
    </row>
    <row r="34" spans="1:16" x14ac:dyDescent="0.35">
      <c r="A34">
        <f t="shared" si="6"/>
        <v>30</v>
      </c>
      <c r="B34">
        <f t="shared" si="2"/>
        <v>7991</v>
      </c>
      <c r="C34" t="str">
        <f>IFERROR(INDEX(Starter!B:B,MATCH(B34,Starter!A:A,0)),"")</f>
        <v>Strahl, Pakwipa</v>
      </c>
      <c r="D34" t="str">
        <f>IFERROR(INDEX(Starter!C:C,MATCH(B34,Starter!A:A,0)),"")</f>
        <v>BK München</v>
      </c>
      <c r="E34" s="102">
        <f t="shared" si="3"/>
        <v>792</v>
      </c>
      <c r="F34">
        <f t="shared" si="4"/>
        <v>5</v>
      </c>
      <c r="G34" s="137">
        <f t="shared" si="5"/>
        <v>158.39999997800001</v>
      </c>
      <c r="L34" s="227">
        <f>INDEX(Starter!A:A,ROW()-1)</f>
        <v>7676</v>
      </c>
      <c r="M34">
        <f>SUMIF(Erfassung3!BD:BD,L34,Erfassung3!BW:BW)</f>
        <v>0</v>
      </c>
      <c r="N34">
        <f>SUMIF(Erfassung3!BD:BD,L34,Erfassung3!BG:BG)</f>
        <v>0</v>
      </c>
      <c r="O34">
        <f t="shared" si="0"/>
        <v>0</v>
      </c>
      <c r="P34">
        <f t="shared" si="1"/>
        <v>46</v>
      </c>
    </row>
    <row r="35" spans="1:16" x14ac:dyDescent="0.35">
      <c r="A35">
        <f t="shared" si="6"/>
        <v>31</v>
      </c>
      <c r="B35">
        <f t="shared" si="2"/>
        <v>38210</v>
      </c>
      <c r="C35" t="str">
        <f>IFERROR(INDEX(Starter!B:B,MATCH(B35,Starter!A:A,0)),"")</f>
        <v>Kulzer, Katharina</v>
      </c>
      <c r="D35" t="str">
        <f>IFERROR(INDEX(Starter!C:C,MATCH(B35,Starter!A:A,0)),"")</f>
        <v>BC Phönix 03 Lauf</v>
      </c>
      <c r="E35" s="102">
        <f t="shared" si="3"/>
        <v>948</v>
      </c>
      <c r="F35">
        <f t="shared" si="4"/>
        <v>6</v>
      </c>
      <c r="G35" s="137">
        <f t="shared" si="5"/>
        <v>157.999999933</v>
      </c>
      <c r="L35" s="227">
        <f>INDEX(Starter!A:A,ROW()-1)</f>
        <v>16804</v>
      </c>
      <c r="M35">
        <f>SUMIF(Erfassung3!BD:BD,L35,Erfassung3!BW:BW)</f>
        <v>0</v>
      </c>
      <c r="N35">
        <f>SUMIF(Erfassung3!BD:BD,L35,Erfassung3!BG:BG)</f>
        <v>0</v>
      </c>
      <c r="O35">
        <f t="shared" si="0"/>
        <v>0</v>
      </c>
      <c r="P35">
        <f t="shared" si="1"/>
        <v>46</v>
      </c>
    </row>
    <row r="36" spans="1:16" x14ac:dyDescent="0.35">
      <c r="A36">
        <f t="shared" si="6"/>
        <v>32</v>
      </c>
      <c r="B36">
        <f t="shared" si="2"/>
        <v>16414</v>
      </c>
      <c r="C36" t="str">
        <f>IFERROR(INDEX(Starter!B:B,MATCH(B36,Starter!A:A,0)),"")</f>
        <v>Dornacher, Hannelore</v>
      </c>
      <c r="D36" t="str">
        <f>IFERROR(INDEX(Starter!C:C,MATCH(B36,Starter!A:A,0)),"")</f>
        <v>BF Weiß-Blau</v>
      </c>
      <c r="E36" s="102">
        <f t="shared" si="3"/>
        <v>1254</v>
      </c>
      <c r="F36">
        <f t="shared" si="4"/>
        <v>8</v>
      </c>
      <c r="G36" s="137">
        <f t="shared" si="5"/>
        <v>156.749999954</v>
      </c>
      <c r="L36" s="227">
        <f>INDEX(Starter!A:A,ROW()-1)</f>
        <v>7978</v>
      </c>
      <c r="M36">
        <f>SUMIF(Erfassung3!BD:BD,L36,Erfassung3!BW:BW)</f>
        <v>0</v>
      </c>
      <c r="N36">
        <f>SUMIF(Erfassung3!BD:BD,L36,Erfassung3!BG:BG)</f>
        <v>0</v>
      </c>
      <c r="O36">
        <f t="shared" si="0"/>
        <v>0</v>
      </c>
      <c r="P36">
        <f t="shared" si="1"/>
        <v>46</v>
      </c>
    </row>
    <row r="37" spans="1:16" x14ac:dyDescent="0.35">
      <c r="A37">
        <f t="shared" si="6"/>
        <v>33</v>
      </c>
      <c r="B37">
        <f t="shared" ref="B37:B68" si="7">IFERROR(INDEX(L:L,MATCH(A37,P:P,0)),"")</f>
        <v>38350</v>
      </c>
      <c r="C37" t="str">
        <f>IFERROR(INDEX(Starter!B:B,MATCH(B37,Starter!A:A,0)),"")</f>
        <v>Seeger, Melanie</v>
      </c>
      <c r="D37" t="str">
        <f>IFERROR(INDEX(Starter!C:C,MATCH(B37,Starter!A:A,0)),"")</f>
        <v>BK München</v>
      </c>
      <c r="E37" s="102">
        <f t="shared" ref="E37:E68" si="8">IFERROR(INDEX(M:M,MATCH(A37,P:P,0)),"")</f>
        <v>1410</v>
      </c>
      <c r="F37">
        <f t="shared" ref="F37:F68" si="9">IFERROR(INDEX(N:N,MATCH(A37,P:P,0)),"")</f>
        <v>9</v>
      </c>
      <c r="G37" s="137">
        <f t="shared" ref="G37:G68" si="10">IFERROR(INDEX(O:O,MATCH(A37,P:P,0)),"")</f>
        <v>156.66666665566666</v>
      </c>
      <c r="L37" s="227">
        <f>INDEX(Starter!A:A,ROW()-1)</f>
        <v>16029</v>
      </c>
      <c r="M37">
        <f>SUMIF(Erfassung3!BD:BD,L37,Erfassung3!BW:BW)</f>
        <v>0</v>
      </c>
      <c r="N37">
        <f>SUMIF(Erfassung3!BD:BD,L37,Erfassung3!BG:BG)</f>
        <v>0</v>
      </c>
      <c r="O37">
        <f t="shared" si="0"/>
        <v>0</v>
      </c>
      <c r="P37">
        <f t="shared" si="1"/>
        <v>46</v>
      </c>
    </row>
    <row r="38" spans="1:16" x14ac:dyDescent="0.35">
      <c r="A38">
        <f t="shared" ref="A38:A69" si="11">IFERROR(IF(A37+1&gt;MAX(P:P)-1,"",A37+1),"")</f>
        <v>34</v>
      </c>
      <c r="B38">
        <f t="shared" si="7"/>
        <v>7534</v>
      </c>
      <c r="C38" t="str">
        <f>IFERROR(INDEX(Starter!B:B,MATCH(B38,Starter!A:A,0)),"")</f>
        <v>Lieb, Anja</v>
      </c>
      <c r="D38" t="str">
        <f>IFERROR(INDEX(Starter!C:C,MATCH(B38,Starter!A:A,0)),"")</f>
        <v>BC E.P.A. München</v>
      </c>
      <c r="E38" s="102">
        <f t="shared" si="8"/>
        <v>1090</v>
      </c>
      <c r="F38">
        <f t="shared" si="9"/>
        <v>7</v>
      </c>
      <c r="G38" s="137">
        <f t="shared" si="10"/>
        <v>155.71428564328573</v>
      </c>
      <c r="L38" s="227">
        <f>INDEX(Starter!A:A,ROW()-1)</f>
        <v>7082</v>
      </c>
      <c r="M38">
        <f>SUMIF(Erfassung3!BD:BD,L38,Erfassung3!BW:BW)</f>
        <v>0</v>
      </c>
      <c r="N38">
        <f>SUMIF(Erfassung3!BD:BD,L38,Erfassung3!BG:BG)</f>
        <v>0</v>
      </c>
      <c r="O38">
        <f t="shared" si="0"/>
        <v>0</v>
      </c>
      <c r="P38">
        <f t="shared" si="1"/>
        <v>46</v>
      </c>
    </row>
    <row r="39" spans="1:16" x14ac:dyDescent="0.35">
      <c r="A39">
        <f t="shared" si="11"/>
        <v>35</v>
      </c>
      <c r="B39">
        <f t="shared" si="7"/>
        <v>25551</v>
      </c>
      <c r="C39" t="str">
        <f>IFERROR(INDEX(Starter!B:B,MATCH(B39,Starter!A:A,0)),"")</f>
        <v>Wahl, Alexandra</v>
      </c>
      <c r="D39" t="str">
        <f>IFERROR(INDEX(Starter!C:C,MATCH(B39,Starter!A:A,0)),"")</f>
        <v>BF Rot-Weiß Lichtenhof 69</v>
      </c>
      <c r="E39" s="102">
        <f t="shared" si="8"/>
        <v>1089</v>
      </c>
      <c r="F39">
        <f t="shared" si="9"/>
        <v>7</v>
      </c>
      <c r="G39" s="137">
        <f t="shared" si="10"/>
        <v>155.57142851442859</v>
      </c>
      <c r="L39" s="227">
        <f>INDEX(Starter!A:A,ROW()-1)</f>
        <v>16700</v>
      </c>
      <c r="M39">
        <f>SUMIF(Erfassung3!BD:BD,L39,Erfassung3!BW:BW)</f>
        <v>0</v>
      </c>
      <c r="N39">
        <f>SUMIF(Erfassung3!BD:BD,L39,Erfassung3!BG:BG)</f>
        <v>0</v>
      </c>
      <c r="O39">
        <f t="shared" si="0"/>
        <v>0</v>
      </c>
      <c r="P39">
        <f t="shared" si="1"/>
        <v>46</v>
      </c>
    </row>
    <row r="40" spans="1:16" x14ac:dyDescent="0.35">
      <c r="A40">
        <f t="shared" si="11"/>
        <v>36</v>
      </c>
      <c r="B40">
        <f t="shared" si="7"/>
        <v>21185</v>
      </c>
      <c r="C40" t="str">
        <f>IFERROR(INDEX(Starter!B:B,MATCH(B40,Starter!A:A,0)),"")</f>
        <v>Richter, Petra</v>
      </c>
      <c r="D40" t="str">
        <f>IFERROR(INDEX(Starter!C:C,MATCH(B40,Starter!A:A,0)),"")</f>
        <v>BF Weiß-Blau</v>
      </c>
      <c r="E40" s="102">
        <f t="shared" si="8"/>
        <v>1083</v>
      </c>
      <c r="F40">
        <f t="shared" si="9"/>
        <v>7</v>
      </c>
      <c r="G40" s="137">
        <f t="shared" si="10"/>
        <v>154.71428566328572</v>
      </c>
      <c r="L40" s="227">
        <f>INDEX(Starter!A:A,ROW()-1)</f>
        <v>38737</v>
      </c>
      <c r="M40">
        <f>SUMIF(Erfassung3!BD:BD,L40,Erfassung3!BW:BW)</f>
        <v>0</v>
      </c>
      <c r="N40">
        <f>SUMIF(Erfassung3!BD:BD,L40,Erfassung3!BG:BG)</f>
        <v>0</v>
      </c>
      <c r="O40">
        <f t="shared" si="0"/>
        <v>0</v>
      </c>
      <c r="P40">
        <f t="shared" si="1"/>
        <v>46</v>
      </c>
    </row>
    <row r="41" spans="1:16" x14ac:dyDescent="0.35">
      <c r="A41">
        <f t="shared" si="11"/>
        <v>37</v>
      </c>
      <c r="B41">
        <f t="shared" si="7"/>
        <v>7903</v>
      </c>
      <c r="C41" t="str">
        <f>IFERROR(INDEX(Starter!B:B,MATCH(B41,Starter!A:A,0)),"")</f>
        <v>Spieler, Regina</v>
      </c>
      <c r="D41" t="str">
        <f>IFERROR(INDEX(Starter!C:C,MATCH(B41,Starter!A:A,0)),"")</f>
        <v>BC Praetoria</v>
      </c>
      <c r="E41" s="102">
        <f t="shared" si="8"/>
        <v>309</v>
      </c>
      <c r="F41">
        <f t="shared" si="9"/>
        <v>2</v>
      </c>
      <c r="G41" s="137">
        <f t="shared" si="10"/>
        <v>154.499999995</v>
      </c>
      <c r="L41" s="227">
        <f>INDEX(Starter!A:A,ROW()-1)</f>
        <v>7752</v>
      </c>
      <c r="M41">
        <f>SUMIF(Erfassung3!BD:BD,L41,Erfassung3!BW:BW)</f>
        <v>0</v>
      </c>
      <c r="N41">
        <f>SUMIF(Erfassung3!BD:BD,L41,Erfassung3!BG:BG)</f>
        <v>0</v>
      </c>
      <c r="O41">
        <f t="shared" si="0"/>
        <v>0</v>
      </c>
      <c r="P41">
        <f t="shared" si="1"/>
        <v>46</v>
      </c>
    </row>
    <row r="42" spans="1:16" x14ac:dyDescent="0.35">
      <c r="A42">
        <f t="shared" si="11"/>
        <v>38</v>
      </c>
      <c r="B42">
        <f t="shared" si="7"/>
        <v>16879</v>
      </c>
      <c r="C42" t="str">
        <f>IFERROR(INDEX(Starter!B:B,MATCH(B42,Starter!A:A,0)),"")</f>
        <v>Danzer, Andrea</v>
      </c>
      <c r="D42" t="str">
        <f>IFERROR(INDEX(Starter!C:C,MATCH(B42,Starter!A:A,0)),"")</f>
        <v>BK München</v>
      </c>
      <c r="E42" s="102">
        <f t="shared" si="8"/>
        <v>1073</v>
      </c>
      <c r="F42">
        <f t="shared" si="9"/>
        <v>7</v>
      </c>
      <c r="G42" s="137">
        <f t="shared" si="10"/>
        <v>153.28571426471427</v>
      </c>
      <c r="L42" s="227">
        <f>INDEX(Starter!A:A,ROW()-1)</f>
        <v>25397</v>
      </c>
      <c r="M42">
        <f>SUMIF(Erfassung3!BD:BD,L42,Erfassung3!BW:BW)</f>
        <v>651</v>
      </c>
      <c r="N42">
        <f>SUMIF(Erfassung3!BD:BD,L42,Erfassung3!BG:BG)</f>
        <v>4</v>
      </c>
      <c r="O42">
        <f t="shared" si="0"/>
        <v>162.74999995799999</v>
      </c>
      <c r="P42">
        <f t="shared" si="1"/>
        <v>27</v>
      </c>
    </row>
    <row r="43" spans="1:16" x14ac:dyDescent="0.35">
      <c r="A43">
        <f t="shared" si="11"/>
        <v>39</v>
      </c>
      <c r="B43">
        <f t="shared" si="7"/>
        <v>12850</v>
      </c>
      <c r="C43" t="str">
        <f>IFERROR(INDEX(Starter!B:B,MATCH(B43,Starter!A:A,0)),"")</f>
        <v>Müller, Angelika</v>
      </c>
      <c r="D43" t="str">
        <f>IFERROR(INDEX(Starter!C:C,MATCH(B43,Starter!A:A,0)),"")</f>
        <v>BK München</v>
      </c>
      <c r="E43" s="102">
        <f t="shared" si="8"/>
        <v>914</v>
      </c>
      <c r="F43">
        <f t="shared" si="9"/>
        <v>6</v>
      </c>
      <c r="G43" s="137">
        <f t="shared" si="10"/>
        <v>152.33333331333336</v>
      </c>
      <c r="L43" s="227">
        <f>INDEX(Starter!A:A,ROW()-1)</f>
        <v>38061</v>
      </c>
      <c r="M43">
        <f>SUMIF(Erfassung3!BD:BD,L43,Erfassung3!BW:BW)</f>
        <v>0</v>
      </c>
      <c r="N43">
        <f>SUMIF(Erfassung3!BD:BD,L43,Erfassung3!BG:BG)</f>
        <v>0</v>
      </c>
      <c r="O43">
        <f t="shared" si="0"/>
        <v>0</v>
      </c>
      <c r="P43">
        <f t="shared" si="1"/>
        <v>46</v>
      </c>
    </row>
    <row r="44" spans="1:16" x14ac:dyDescent="0.35">
      <c r="A44">
        <f t="shared" si="11"/>
        <v>40</v>
      </c>
      <c r="B44">
        <f t="shared" si="7"/>
        <v>38289</v>
      </c>
      <c r="C44" t="str">
        <f>IFERROR(INDEX(Starter!B:B,MATCH(B44,Starter!A:A,0)),"")</f>
        <v>Kirschke, Sandra</v>
      </c>
      <c r="D44" t="str">
        <f>IFERROR(INDEX(Starter!C:C,MATCH(B44,Starter!A:A,0)),"")</f>
        <v>BC LA Bowling</v>
      </c>
      <c r="E44" s="102">
        <f t="shared" si="8"/>
        <v>450</v>
      </c>
      <c r="F44">
        <f t="shared" si="9"/>
        <v>3</v>
      </c>
      <c r="G44" s="137">
        <f t="shared" si="10"/>
        <v>149.99999992799999</v>
      </c>
      <c r="L44" s="227">
        <f>INDEX(Starter!A:A,ROW()-1)</f>
        <v>7431</v>
      </c>
      <c r="M44">
        <f>SUMIF(Erfassung3!BD:BD,L44,Erfassung3!BW:BW)</f>
        <v>844</v>
      </c>
      <c r="N44">
        <f>SUMIF(Erfassung3!BD:BD,L44,Erfassung3!BG:BG)</f>
        <v>5</v>
      </c>
      <c r="O44">
        <f t="shared" si="0"/>
        <v>168.79999995600002</v>
      </c>
      <c r="P44">
        <f t="shared" si="1"/>
        <v>20</v>
      </c>
    </row>
    <row r="45" spans="1:16" x14ac:dyDescent="0.35">
      <c r="A45">
        <f t="shared" si="11"/>
        <v>41</v>
      </c>
      <c r="B45">
        <f t="shared" si="7"/>
        <v>38513</v>
      </c>
      <c r="C45" t="str">
        <f>IFERROR(INDEX(Starter!B:B,MATCH(B45,Starter!A:A,0)),"")</f>
        <v>Thöne, Melanie</v>
      </c>
      <c r="D45" t="str">
        <f>IFERROR(INDEX(Starter!C:C,MATCH(B45,Starter!A:A,0)),"")</f>
        <v>BF Rot-Weiß Lichtenhof 69</v>
      </c>
      <c r="E45" s="102">
        <f t="shared" si="8"/>
        <v>1046</v>
      </c>
      <c r="F45">
        <f t="shared" si="9"/>
        <v>7</v>
      </c>
      <c r="G45" s="137">
        <f t="shared" si="10"/>
        <v>149.42857136957142</v>
      </c>
      <c r="L45" s="227">
        <f>INDEX(Starter!A:A,ROW()-1)</f>
        <v>7087</v>
      </c>
      <c r="M45">
        <f>SUMIF(Erfassung3!BD:BD,L45,Erfassung3!BW:BW)</f>
        <v>1605</v>
      </c>
      <c r="N45">
        <f>SUMIF(Erfassung3!BD:BD,L45,Erfassung3!BG:BG)</f>
        <v>9</v>
      </c>
      <c r="O45">
        <f t="shared" si="0"/>
        <v>178.33333328833334</v>
      </c>
      <c r="P45">
        <f t="shared" si="1"/>
        <v>7</v>
      </c>
    </row>
    <row r="46" spans="1:16" x14ac:dyDescent="0.35">
      <c r="A46">
        <f t="shared" si="11"/>
        <v>42</v>
      </c>
      <c r="B46">
        <f t="shared" si="7"/>
        <v>7551</v>
      </c>
      <c r="C46" t="str">
        <f>IFERROR(INDEX(Starter!B:B,MATCH(B46,Starter!A:A,0)),"")</f>
        <v>Zehner, Gabriele</v>
      </c>
      <c r="D46" t="str">
        <f>IFERROR(INDEX(Starter!C:C,MATCH(B46,Starter!A:A,0)),"")</f>
        <v>BF Weiß-Blau</v>
      </c>
      <c r="E46" s="102">
        <f t="shared" si="8"/>
        <v>596</v>
      </c>
      <c r="F46">
        <f t="shared" si="9"/>
        <v>4</v>
      </c>
      <c r="G46" s="137">
        <f t="shared" si="10"/>
        <v>148.99999994800001</v>
      </c>
      <c r="L46" s="227">
        <f>INDEX(Starter!A:A,ROW()-1)</f>
        <v>16414</v>
      </c>
      <c r="M46">
        <f>SUMIF(Erfassung3!BD:BD,L46,Erfassung3!BW:BW)</f>
        <v>1254</v>
      </c>
      <c r="N46">
        <f>SUMIF(Erfassung3!BD:BD,L46,Erfassung3!BG:BG)</f>
        <v>8</v>
      </c>
      <c r="O46">
        <f t="shared" si="0"/>
        <v>156.749999954</v>
      </c>
      <c r="P46">
        <f t="shared" si="1"/>
        <v>32</v>
      </c>
    </row>
    <row r="47" spans="1:16" x14ac:dyDescent="0.35">
      <c r="A47">
        <f t="shared" si="11"/>
        <v>43</v>
      </c>
      <c r="B47">
        <f t="shared" si="7"/>
        <v>7972</v>
      </c>
      <c r="C47" t="str">
        <f>IFERROR(INDEX(Starter!B:B,MATCH(B47,Starter!A:A,0)),"")</f>
        <v>Hödl, Renate</v>
      </c>
      <c r="D47" t="str">
        <f>IFERROR(INDEX(Starter!C:C,MATCH(B47,Starter!A:A,0)),"")</f>
        <v>BF Rot-Weiß Lichtenhof 69</v>
      </c>
      <c r="E47" s="102">
        <f t="shared" si="8"/>
        <v>593</v>
      </c>
      <c r="F47">
        <f t="shared" si="9"/>
        <v>4</v>
      </c>
      <c r="G47" s="137">
        <f t="shared" si="10"/>
        <v>148.24999994000001</v>
      </c>
      <c r="L47" s="227">
        <f>INDEX(Starter!A:A,ROW()-1)</f>
        <v>16713</v>
      </c>
      <c r="M47">
        <f>SUMIF(Erfassung3!BD:BD,L47,Erfassung3!BW:BW)</f>
        <v>0</v>
      </c>
      <c r="N47">
        <f>SUMIF(Erfassung3!BD:BD,L47,Erfassung3!BG:BG)</f>
        <v>0</v>
      </c>
      <c r="O47">
        <f t="shared" si="0"/>
        <v>0</v>
      </c>
      <c r="P47">
        <f t="shared" si="1"/>
        <v>46</v>
      </c>
    </row>
    <row r="48" spans="1:16" x14ac:dyDescent="0.35">
      <c r="A48">
        <f t="shared" si="11"/>
        <v>44</v>
      </c>
      <c r="B48">
        <f t="shared" si="7"/>
        <v>7546</v>
      </c>
      <c r="C48" t="str">
        <f>IFERROR(INDEX(Starter!B:B,MATCH(B48,Starter!A:A,0)),"")</f>
        <v>Mc Fadden, Brigitte</v>
      </c>
      <c r="D48" t="str">
        <f>IFERROR(INDEX(Starter!C:C,MATCH(B48,Starter!A:A,0)),"")</f>
        <v>BF Weiß-Blau</v>
      </c>
      <c r="E48" s="102">
        <f t="shared" si="8"/>
        <v>443</v>
      </c>
      <c r="F48">
        <f t="shared" si="9"/>
        <v>3</v>
      </c>
      <c r="G48" s="137">
        <f t="shared" si="10"/>
        <v>147.66666661766666</v>
      </c>
      <c r="L48" s="227">
        <f>INDEX(Starter!A:A,ROW()-1)</f>
        <v>7541</v>
      </c>
      <c r="M48">
        <f>SUMIF(Erfassung3!BD:BD,L48,Erfassung3!BW:BW)</f>
        <v>0</v>
      </c>
      <c r="N48">
        <f>SUMIF(Erfassung3!BD:BD,L48,Erfassung3!BG:BG)</f>
        <v>0</v>
      </c>
      <c r="O48">
        <f t="shared" si="0"/>
        <v>0</v>
      </c>
      <c r="P48">
        <f t="shared" si="1"/>
        <v>46</v>
      </c>
    </row>
    <row r="49" spans="1:16" x14ac:dyDescent="0.35">
      <c r="A49">
        <f t="shared" si="11"/>
        <v>45</v>
      </c>
      <c r="B49">
        <f t="shared" si="7"/>
        <v>16900</v>
      </c>
      <c r="C49" t="str">
        <f>IFERROR(INDEX(Starter!B:B,MATCH(B49,Starter!A:A,0)),"")</f>
        <v>Grom-Ruffershöfer, Ilse</v>
      </c>
      <c r="D49" t="str">
        <f>IFERROR(INDEX(Starter!C:C,MATCH(B49,Starter!A:A,0)),"")</f>
        <v>BC Phönix 03 Lauf</v>
      </c>
      <c r="E49" s="102">
        <f t="shared" si="8"/>
        <v>420</v>
      </c>
      <c r="F49">
        <f t="shared" si="9"/>
        <v>3</v>
      </c>
      <c r="G49" s="137">
        <f t="shared" si="10"/>
        <v>139.99999994699999</v>
      </c>
      <c r="L49" s="227">
        <f>INDEX(Starter!A:A,ROW()-1)</f>
        <v>7546</v>
      </c>
      <c r="M49">
        <f>SUMIF(Erfassung3!BD:BD,L49,Erfassung3!BW:BW)</f>
        <v>443</v>
      </c>
      <c r="N49">
        <f>SUMIF(Erfassung3!BD:BD,L49,Erfassung3!BG:BG)</f>
        <v>3</v>
      </c>
      <c r="O49">
        <f t="shared" si="0"/>
        <v>147.66666661766666</v>
      </c>
      <c r="P49">
        <f t="shared" si="1"/>
        <v>44</v>
      </c>
    </row>
    <row r="50" spans="1:16" x14ac:dyDescent="0.3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16953</v>
      </c>
      <c r="M50">
        <f>SUMIF(Erfassung3!BD:BD,L50,Erfassung3!BW:BW)</f>
        <v>0</v>
      </c>
      <c r="N50">
        <f>SUMIF(Erfassung3!BD:BD,L50,Erfassung3!BG:BG)</f>
        <v>0</v>
      </c>
      <c r="O50">
        <f t="shared" si="0"/>
        <v>0</v>
      </c>
      <c r="P50">
        <f t="shared" si="1"/>
        <v>46</v>
      </c>
    </row>
    <row r="51" spans="1:16" x14ac:dyDescent="0.3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21185</v>
      </c>
      <c r="M51">
        <f>SUMIF(Erfassung3!BD:BD,L51,Erfassung3!BW:BW)</f>
        <v>1083</v>
      </c>
      <c r="N51">
        <f>SUMIF(Erfassung3!BD:BD,L51,Erfassung3!BG:BG)</f>
        <v>7</v>
      </c>
      <c r="O51">
        <f t="shared" si="0"/>
        <v>154.71428566328572</v>
      </c>
      <c r="P51">
        <f t="shared" si="1"/>
        <v>36</v>
      </c>
    </row>
    <row r="52" spans="1:16" x14ac:dyDescent="0.3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7551</v>
      </c>
      <c r="M52">
        <f>SUMIF(Erfassung3!BD:BD,L52,Erfassung3!BW:BW)</f>
        <v>596</v>
      </c>
      <c r="N52">
        <f>SUMIF(Erfassung3!BD:BD,L52,Erfassung3!BG:BG)</f>
        <v>4</v>
      </c>
      <c r="O52">
        <f t="shared" si="0"/>
        <v>148.99999994800001</v>
      </c>
      <c r="P52">
        <f t="shared" si="1"/>
        <v>42</v>
      </c>
    </row>
    <row r="53" spans="1:16" x14ac:dyDescent="0.3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16900</v>
      </c>
      <c r="M53">
        <f>SUMIF(Erfassung3!BD:BD,L53,Erfassung3!BW:BW)</f>
        <v>420</v>
      </c>
      <c r="N53">
        <f>SUMIF(Erfassung3!BD:BD,L53,Erfassung3!BG:BG)</f>
        <v>3</v>
      </c>
      <c r="O53">
        <f t="shared" si="0"/>
        <v>139.99999994699999</v>
      </c>
      <c r="P53">
        <f t="shared" si="1"/>
        <v>45</v>
      </c>
    </row>
    <row r="54" spans="1:16" x14ac:dyDescent="0.3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7787</v>
      </c>
      <c r="M54">
        <f>SUMIF(Erfassung3!BD:BD,L54,Erfassung3!BW:BW)</f>
        <v>1552</v>
      </c>
      <c r="N54">
        <f>SUMIF(Erfassung3!BD:BD,L54,Erfassung3!BG:BG)</f>
        <v>9</v>
      </c>
      <c r="O54">
        <f t="shared" si="0"/>
        <v>172.44444439044446</v>
      </c>
      <c r="P54">
        <f t="shared" si="1"/>
        <v>15</v>
      </c>
    </row>
    <row r="55" spans="1:16" x14ac:dyDescent="0.3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7786</v>
      </c>
      <c r="M55">
        <f>SUMIF(Erfassung3!BD:BD,L55,Erfassung3!BW:BW)</f>
        <v>1521</v>
      </c>
      <c r="N55">
        <f>SUMIF(Erfassung3!BD:BD,L55,Erfassung3!BG:BG)</f>
        <v>9</v>
      </c>
      <c r="O55">
        <f t="shared" si="0"/>
        <v>168.99999994500001</v>
      </c>
      <c r="P55">
        <f t="shared" si="1"/>
        <v>19</v>
      </c>
    </row>
    <row r="56" spans="1:16" x14ac:dyDescent="0.3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7801</v>
      </c>
      <c r="M56">
        <f>SUMIF(Erfassung3!BD:BD,L56,Erfassung3!BW:BW)</f>
        <v>1679</v>
      </c>
      <c r="N56">
        <f>SUMIF(Erfassung3!BD:BD,L56,Erfassung3!BG:BG)</f>
        <v>9</v>
      </c>
      <c r="O56">
        <f t="shared" si="0"/>
        <v>186.55555549955554</v>
      </c>
      <c r="P56">
        <f t="shared" si="1"/>
        <v>3</v>
      </c>
    </row>
    <row r="57" spans="1:16" x14ac:dyDescent="0.3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25551</v>
      </c>
      <c r="M57">
        <f>SUMIF(Erfassung3!BD:BD,L57,Erfassung3!BW:BW)</f>
        <v>1089</v>
      </c>
      <c r="N57">
        <f>SUMIF(Erfassung3!BD:BD,L57,Erfassung3!BG:BG)</f>
        <v>7</v>
      </c>
      <c r="O57">
        <f t="shared" si="0"/>
        <v>155.57142851442859</v>
      </c>
      <c r="P57">
        <f t="shared" si="1"/>
        <v>35</v>
      </c>
    </row>
    <row r="58" spans="1:16" x14ac:dyDescent="0.3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25982</v>
      </c>
      <c r="M58">
        <f>SUMIF(Erfassung3!BD:BD,L58,Erfassung3!BW:BW)</f>
        <v>1565</v>
      </c>
      <c r="N58">
        <f>SUMIF(Erfassung3!BD:BD,L58,Erfassung3!BG:BG)</f>
        <v>9</v>
      </c>
      <c r="O58">
        <f t="shared" si="0"/>
        <v>173.88888883088887</v>
      </c>
      <c r="P58">
        <f t="shared" si="1"/>
        <v>14</v>
      </c>
    </row>
    <row r="59" spans="1:16" x14ac:dyDescent="0.3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38513</v>
      </c>
      <c r="M59">
        <f>SUMIF(Erfassung3!BD:BD,L59,Erfassung3!BW:BW)</f>
        <v>1046</v>
      </c>
      <c r="N59">
        <f>SUMIF(Erfassung3!BD:BD,L59,Erfassung3!BG:BG)</f>
        <v>7</v>
      </c>
      <c r="O59">
        <f t="shared" si="0"/>
        <v>149.42857136957142</v>
      </c>
      <c r="P59">
        <f t="shared" si="1"/>
        <v>41</v>
      </c>
    </row>
    <row r="60" spans="1:16" x14ac:dyDescent="0.3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7972</v>
      </c>
      <c r="M60">
        <f>SUMIF(Erfassung3!BD:BD,L60,Erfassung3!BW:BW)</f>
        <v>593</v>
      </c>
      <c r="N60">
        <f>SUMIF(Erfassung3!BD:BD,L60,Erfassung3!BG:BG)</f>
        <v>4</v>
      </c>
      <c r="O60">
        <f t="shared" si="0"/>
        <v>148.24999994000001</v>
      </c>
      <c r="P60">
        <f t="shared" si="1"/>
        <v>43</v>
      </c>
    </row>
    <row r="61" spans="1:16" x14ac:dyDescent="0.3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7976</v>
      </c>
      <c r="M61">
        <f>SUMIF(Erfassung3!BD:BD,L61,Erfassung3!BW:BW)</f>
        <v>1603</v>
      </c>
      <c r="N61">
        <f>SUMIF(Erfassung3!BD:BD,L61,Erfassung3!BG:BG)</f>
        <v>9</v>
      </c>
      <c r="O61">
        <f t="shared" si="0"/>
        <v>178.11111105011111</v>
      </c>
      <c r="P61">
        <f t="shared" si="1"/>
        <v>9</v>
      </c>
    </row>
    <row r="62" spans="1:16" x14ac:dyDescent="0.3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7977</v>
      </c>
      <c r="M62">
        <f>SUMIF(Erfassung3!BD:BD,L62,Erfassung3!BW:BW)</f>
        <v>0</v>
      </c>
      <c r="N62">
        <f>SUMIF(Erfassung3!BD:BD,L62,Erfassung3!BG:BG)</f>
        <v>0</v>
      </c>
      <c r="O62">
        <f t="shared" si="0"/>
        <v>0</v>
      </c>
      <c r="P62">
        <f t="shared" si="1"/>
        <v>46</v>
      </c>
    </row>
    <row r="63" spans="1:16" x14ac:dyDescent="0.3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7975</v>
      </c>
      <c r="M63">
        <f>SUMIF(Erfassung3!BD:BD,L63,Erfassung3!BW:BW)</f>
        <v>0</v>
      </c>
      <c r="N63">
        <f>SUMIF(Erfassung3!BD:BD,L63,Erfassung3!BG:BG)</f>
        <v>0</v>
      </c>
      <c r="O63">
        <f t="shared" si="0"/>
        <v>0</v>
      </c>
      <c r="P63">
        <f t="shared" si="1"/>
        <v>46</v>
      </c>
    </row>
    <row r="64" spans="1:16" x14ac:dyDescent="0.3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16475</v>
      </c>
      <c r="M64">
        <f>SUMIF(Erfassung3!BD:BD,L64,Erfassung3!BW:BW)</f>
        <v>0</v>
      </c>
      <c r="N64">
        <f>SUMIF(Erfassung3!BD:BD,L64,Erfassung3!BG:BG)</f>
        <v>0</v>
      </c>
      <c r="O64">
        <f t="shared" si="0"/>
        <v>0</v>
      </c>
      <c r="P64">
        <f t="shared" si="1"/>
        <v>46</v>
      </c>
    </row>
    <row r="65" spans="1:16" x14ac:dyDescent="0.3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38458</v>
      </c>
      <c r="M65">
        <f>SUMIF(Erfassung3!BD:BD,L65,Erfassung3!BW:BW)</f>
        <v>1577</v>
      </c>
      <c r="N65">
        <f>SUMIF(Erfassung3!BD:BD,L65,Erfassung3!BG:BG)</f>
        <v>9</v>
      </c>
      <c r="O65">
        <f t="shared" si="0"/>
        <v>175.22222215722223</v>
      </c>
      <c r="P65">
        <f t="shared" si="1"/>
        <v>13</v>
      </c>
    </row>
    <row r="66" spans="1:16" x14ac:dyDescent="0.3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25808</v>
      </c>
      <c r="M66">
        <f>SUMIF(Erfassung3!BD:BD,L66,Erfassung3!BW:BW)</f>
        <v>0</v>
      </c>
      <c r="N66">
        <f>SUMIF(Erfassung3!BD:BD,L66,Erfassung3!BG:BG)</f>
        <v>0</v>
      </c>
      <c r="O66">
        <f t="shared" ref="O66:O104" si="12">IF(N66=0,0,M66/N66-ROW()/1000000000)</f>
        <v>0</v>
      </c>
      <c r="P66">
        <f t="shared" ref="P66:P104" si="13">RANK(O66,O:O)</f>
        <v>46</v>
      </c>
    </row>
    <row r="67" spans="1:16" x14ac:dyDescent="0.3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38210</v>
      </c>
      <c r="M67">
        <f>SUMIF(Erfassung3!BD:BD,L67,Erfassung3!BW:BW)</f>
        <v>948</v>
      </c>
      <c r="N67">
        <f>SUMIF(Erfassung3!BD:BD,L67,Erfassung3!BG:BG)</f>
        <v>6</v>
      </c>
      <c r="O67">
        <f t="shared" si="12"/>
        <v>157.999999933</v>
      </c>
      <c r="P67">
        <f t="shared" si="13"/>
        <v>31</v>
      </c>
    </row>
    <row r="68" spans="1:16" x14ac:dyDescent="0.3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7549</v>
      </c>
      <c r="M68">
        <f>SUMIF(Erfassung3!BD:BD,L68,Erfassung3!BW:BW)</f>
        <v>1580</v>
      </c>
      <c r="N68">
        <f>SUMIF(Erfassung3!BD:BD,L68,Erfassung3!BG:BG)</f>
        <v>9</v>
      </c>
      <c r="O68">
        <f t="shared" si="12"/>
        <v>175.55555548755555</v>
      </c>
      <c r="P68">
        <f t="shared" si="13"/>
        <v>12</v>
      </c>
    </row>
    <row r="69" spans="1:16" x14ac:dyDescent="0.3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25192</v>
      </c>
      <c r="M69">
        <f>SUMIF(Erfassung3!BD:BD,L69,Erfassung3!BW:BW)</f>
        <v>1333</v>
      </c>
      <c r="N69">
        <f>SUMIF(Erfassung3!BD:BD,L69,Erfassung3!BG:BG)</f>
        <v>8</v>
      </c>
      <c r="O69">
        <f t="shared" si="12"/>
        <v>166.62499993099999</v>
      </c>
      <c r="P69">
        <f t="shared" si="13"/>
        <v>24</v>
      </c>
    </row>
    <row r="70" spans="1:16" x14ac:dyDescent="0.3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25714</v>
      </c>
      <c r="M70">
        <f>SUMIF(Erfassung3!BD:BD,L70,Erfassung3!BW:BW)</f>
        <v>1519</v>
      </c>
      <c r="N70">
        <f>SUMIF(Erfassung3!BD:BD,L70,Erfassung3!BG:BG)</f>
        <v>8</v>
      </c>
      <c r="O70">
        <f t="shared" si="12"/>
        <v>189.87499993</v>
      </c>
      <c r="P70">
        <f t="shared" si="13"/>
        <v>1</v>
      </c>
    </row>
    <row r="71" spans="1:16" x14ac:dyDescent="0.3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7534</v>
      </c>
      <c r="M71">
        <f>SUMIF(Erfassung3!BD:BD,L71,Erfassung3!BW:BW)</f>
        <v>1090</v>
      </c>
      <c r="N71">
        <f>SUMIF(Erfassung3!BD:BD,L71,Erfassung3!BG:BG)</f>
        <v>7</v>
      </c>
      <c r="O71">
        <f t="shared" si="12"/>
        <v>155.71428564328573</v>
      </c>
      <c r="P71">
        <f t="shared" si="13"/>
        <v>34</v>
      </c>
    </row>
    <row r="72" spans="1:16" x14ac:dyDescent="0.3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38289</v>
      </c>
      <c r="M72">
        <f>SUMIF(Erfassung3!BD:BD,L72,Erfassung3!BW:BW)</f>
        <v>450</v>
      </c>
      <c r="N72">
        <f>SUMIF(Erfassung3!BD:BD,L72,Erfassung3!BG:BG)</f>
        <v>3</v>
      </c>
      <c r="O72">
        <f t="shared" si="12"/>
        <v>149.99999992799999</v>
      </c>
      <c r="P72">
        <f t="shared" si="13"/>
        <v>40</v>
      </c>
    </row>
    <row r="73" spans="1:16" x14ac:dyDescent="0.3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25347</v>
      </c>
      <c r="M73">
        <f>SUMIF(Erfassung3!BD:BD,L73,Erfassung3!BW:BW)</f>
        <v>0</v>
      </c>
      <c r="N73">
        <f>SUMIF(Erfassung3!BD:BD,L73,Erfassung3!BG:BG)</f>
        <v>0</v>
      </c>
      <c r="O73">
        <f t="shared" si="12"/>
        <v>0</v>
      </c>
      <c r="P73">
        <f t="shared" si="13"/>
        <v>46</v>
      </c>
    </row>
    <row r="74" spans="1:16" x14ac:dyDescent="0.3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38607</v>
      </c>
      <c r="M74">
        <f>SUMIF(Erfassung3!BD:BD,L74,Erfassung3!BW:BW)</f>
        <v>0</v>
      </c>
      <c r="N74">
        <f>SUMIF(Erfassung3!BD:BD,L74,Erfassung3!BG:BG)</f>
        <v>0</v>
      </c>
      <c r="O74">
        <f t="shared" si="12"/>
        <v>0</v>
      </c>
      <c r="P74">
        <f t="shared" si="13"/>
        <v>46</v>
      </c>
    </row>
    <row r="75" spans="1:16" x14ac:dyDescent="0.3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SUMIF(Erfassung3!BD:BD,L75,Erfassung3!BW:BW)</f>
        <v>0</v>
      </c>
      <c r="N75">
        <f>SUMIF(Erfassung3!BD:BD,L75,Erfassung3!BG:BG)</f>
        <v>0</v>
      </c>
      <c r="O75">
        <f t="shared" si="12"/>
        <v>0</v>
      </c>
      <c r="P75">
        <f t="shared" si="13"/>
        <v>46</v>
      </c>
    </row>
    <row r="76" spans="1:16" x14ac:dyDescent="0.3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SUMIF(Erfassung3!BD:BD,L76,Erfassung3!BW:BW)</f>
        <v>0</v>
      </c>
      <c r="N76">
        <f>SUMIF(Erfassung3!BD:BD,L76,Erfassung3!BG:BG)</f>
        <v>0</v>
      </c>
      <c r="O76">
        <f t="shared" si="12"/>
        <v>0</v>
      </c>
      <c r="P76">
        <f t="shared" si="13"/>
        <v>46</v>
      </c>
    </row>
    <row r="77" spans="1:16" x14ac:dyDescent="0.3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SUMIF(Erfassung3!BD:BD,L77,Erfassung3!BW:BW)</f>
        <v>0</v>
      </c>
      <c r="N77">
        <f>SUMIF(Erfassung3!BD:BD,L77,Erfassung3!BG:BG)</f>
        <v>0</v>
      </c>
      <c r="O77">
        <f t="shared" si="12"/>
        <v>0</v>
      </c>
      <c r="P77">
        <f t="shared" si="13"/>
        <v>46</v>
      </c>
    </row>
    <row r="78" spans="1:16" x14ac:dyDescent="0.3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SUMIF(Erfassung3!BD:BD,L78,Erfassung3!BW:BW)</f>
        <v>0</v>
      </c>
      <c r="N78">
        <f>SUMIF(Erfassung3!BD:BD,L78,Erfassung3!BG:BG)</f>
        <v>0</v>
      </c>
      <c r="O78">
        <f t="shared" si="12"/>
        <v>0</v>
      </c>
      <c r="P78">
        <f t="shared" si="13"/>
        <v>46</v>
      </c>
    </row>
    <row r="79" spans="1:16" x14ac:dyDescent="0.3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SUMIF(Erfassung3!BD:BD,L79,Erfassung3!BW:BW)</f>
        <v>0</v>
      </c>
      <c r="N79">
        <f>SUMIF(Erfassung3!BD:BD,L79,Erfassung3!BG:BG)</f>
        <v>0</v>
      </c>
      <c r="O79">
        <f t="shared" si="12"/>
        <v>0</v>
      </c>
      <c r="P79">
        <f t="shared" si="13"/>
        <v>46</v>
      </c>
    </row>
    <row r="80" spans="1:16" x14ac:dyDescent="0.3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SUMIF(Erfassung3!BD:BD,L80,Erfassung3!BW:BW)</f>
        <v>0</v>
      </c>
      <c r="N80">
        <f>SUMIF(Erfassung3!BD:BD,L80,Erfassung3!BG:BG)</f>
        <v>0</v>
      </c>
      <c r="O80">
        <f t="shared" si="12"/>
        <v>0</v>
      </c>
      <c r="P80">
        <f t="shared" si="13"/>
        <v>46</v>
      </c>
    </row>
    <row r="81" spans="1:16" x14ac:dyDescent="0.3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SUMIF(Erfassung3!BD:BD,L81,Erfassung3!BW:BW)</f>
        <v>0</v>
      </c>
      <c r="N81">
        <f>SUMIF(Erfassung3!BD:BD,L81,Erfassung3!BG:BG)</f>
        <v>0</v>
      </c>
      <c r="O81">
        <f t="shared" si="12"/>
        <v>0</v>
      </c>
      <c r="P81">
        <f t="shared" si="13"/>
        <v>46</v>
      </c>
    </row>
    <row r="82" spans="1:16" x14ac:dyDescent="0.3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SUMIF(Erfassung3!BD:BD,L82,Erfassung3!BW:BW)</f>
        <v>0</v>
      </c>
      <c r="N82">
        <f>SUMIF(Erfassung3!BD:BD,L82,Erfassung3!BG:BG)</f>
        <v>0</v>
      </c>
      <c r="O82">
        <f t="shared" si="12"/>
        <v>0</v>
      </c>
      <c r="P82">
        <f t="shared" si="13"/>
        <v>46</v>
      </c>
    </row>
    <row r="83" spans="1:16" x14ac:dyDescent="0.3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SUMIF(Erfassung3!BD:BD,L83,Erfassung3!BW:BW)</f>
        <v>0</v>
      </c>
      <c r="N83">
        <f>SUMIF(Erfassung3!BD:BD,L83,Erfassung3!BG:BG)</f>
        <v>0</v>
      </c>
      <c r="O83">
        <f t="shared" si="12"/>
        <v>0</v>
      </c>
      <c r="P83">
        <f t="shared" si="13"/>
        <v>46</v>
      </c>
    </row>
    <row r="84" spans="1:16" x14ac:dyDescent="0.3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SUMIF(Erfassung3!BD:BD,L84,Erfassung3!BW:BW)</f>
        <v>0</v>
      </c>
      <c r="N84">
        <f>SUMIF(Erfassung3!BD:BD,L84,Erfassung3!BG:BG)</f>
        <v>0</v>
      </c>
      <c r="O84">
        <f t="shared" si="12"/>
        <v>0</v>
      </c>
      <c r="P84">
        <f t="shared" si="13"/>
        <v>46</v>
      </c>
    </row>
    <row r="85" spans="1:16" x14ac:dyDescent="0.3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SUMIF(Erfassung3!BD:BD,L85,Erfassung3!BW:BW)</f>
        <v>0</v>
      </c>
      <c r="N85">
        <f>SUMIF(Erfassung3!BD:BD,L85,Erfassung3!BG:BG)</f>
        <v>0</v>
      </c>
      <c r="O85">
        <f t="shared" si="12"/>
        <v>0</v>
      </c>
      <c r="P85">
        <f t="shared" si="13"/>
        <v>46</v>
      </c>
    </row>
    <row r="86" spans="1:16" x14ac:dyDescent="0.3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SUMIF(Erfassung3!BD:BD,L86,Erfassung3!BW:BW)</f>
        <v>0</v>
      </c>
      <c r="N86">
        <f>SUMIF(Erfassung3!BD:BD,L86,Erfassung3!BG:BG)</f>
        <v>0</v>
      </c>
      <c r="O86">
        <f t="shared" si="12"/>
        <v>0</v>
      </c>
      <c r="P86">
        <f t="shared" si="13"/>
        <v>46</v>
      </c>
    </row>
    <row r="87" spans="1:16" x14ac:dyDescent="0.3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SUMIF(Erfassung3!BD:BD,L87,Erfassung3!BW:BW)</f>
        <v>0</v>
      </c>
      <c r="N87">
        <f>SUMIF(Erfassung3!BD:BD,L87,Erfassung3!BG:BG)</f>
        <v>0</v>
      </c>
      <c r="O87">
        <f t="shared" si="12"/>
        <v>0</v>
      </c>
      <c r="P87">
        <f t="shared" si="13"/>
        <v>46</v>
      </c>
    </row>
    <row r="88" spans="1:16" x14ac:dyDescent="0.3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SUMIF(Erfassung3!BD:BD,L88,Erfassung3!BW:BW)</f>
        <v>0</v>
      </c>
      <c r="N88">
        <f>SUMIF(Erfassung3!BD:BD,L88,Erfassung3!BG:BG)</f>
        <v>0</v>
      </c>
      <c r="O88">
        <f t="shared" si="12"/>
        <v>0</v>
      </c>
      <c r="P88">
        <f t="shared" si="13"/>
        <v>46</v>
      </c>
    </row>
    <row r="89" spans="1:16" x14ac:dyDescent="0.3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SUMIF(Erfassung3!BD:BD,L89,Erfassung3!BW:BW)</f>
        <v>0</v>
      </c>
      <c r="N89">
        <f>SUMIF(Erfassung3!BD:BD,L89,Erfassung3!BG:BG)</f>
        <v>0</v>
      </c>
      <c r="O89">
        <f t="shared" si="12"/>
        <v>0</v>
      </c>
      <c r="P89">
        <f t="shared" si="13"/>
        <v>46</v>
      </c>
    </row>
    <row r="90" spans="1:16" x14ac:dyDescent="0.3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SUMIF(Erfassung3!BD:BD,L90,Erfassung3!BW:BW)</f>
        <v>0</v>
      </c>
      <c r="N90">
        <f>SUMIF(Erfassung3!BD:BD,L90,Erfassung3!BG:BG)</f>
        <v>0</v>
      </c>
      <c r="O90">
        <f t="shared" si="12"/>
        <v>0</v>
      </c>
      <c r="P90">
        <f t="shared" si="13"/>
        <v>46</v>
      </c>
    </row>
    <row r="91" spans="1:16" x14ac:dyDescent="0.3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SUMIF(Erfassung3!BD:BD,L91,Erfassung3!BW:BW)</f>
        <v>0</v>
      </c>
      <c r="N91">
        <f>SUMIF(Erfassung3!BD:BD,L91,Erfassung3!BG:BG)</f>
        <v>0</v>
      </c>
      <c r="O91">
        <f t="shared" si="12"/>
        <v>0</v>
      </c>
      <c r="P91">
        <f t="shared" si="13"/>
        <v>46</v>
      </c>
    </row>
    <row r="92" spans="1:16" x14ac:dyDescent="0.3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SUMIF(Erfassung3!BD:BD,L92,Erfassung3!BW:BW)</f>
        <v>0</v>
      </c>
      <c r="N92">
        <f>SUMIF(Erfassung3!BD:BD,L92,Erfassung3!BG:BG)</f>
        <v>0</v>
      </c>
      <c r="O92">
        <f t="shared" si="12"/>
        <v>0</v>
      </c>
      <c r="P92">
        <f t="shared" si="13"/>
        <v>46</v>
      </c>
    </row>
    <row r="93" spans="1:16" x14ac:dyDescent="0.3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SUMIF(Erfassung3!BD:BD,L93,Erfassung3!BW:BW)</f>
        <v>0</v>
      </c>
      <c r="N93">
        <f>SUMIF(Erfassung3!BD:BD,L93,Erfassung3!BG:BG)</f>
        <v>0</v>
      </c>
      <c r="O93">
        <f t="shared" si="12"/>
        <v>0</v>
      </c>
      <c r="P93">
        <f t="shared" si="13"/>
        <v>46</v>
      </c>
    </row>
    <row r="94" spans="1:16" x14ac:dyDescent="0.3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SUMIF(Erfassung3!BD:BD,L94,Erfassung3!BW:BW)</f>
        <v>0</v>
      </c>
      <c r="N94">
        <f>SUMIF(Erfassung3!BD:BD,L94,Erfassung3!BG:BG)</f>
        <v>0</v>
      </c>
      <c r="O94">
        <f t="shared" si="12"/>
        <v>0</v>
      </c>
      <c r="P94">
        <f t="shared" si="13"/>
        <v>46</v>
      </c>
    </row>
    <row r="95" spans="1:16" x14ac:dyDescent="0.3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SUMIF(Erfassung3!BD:BD,L95,Erfassung3!BW:BW)</f>
        <v>0</v>
      </c>
      <c r="N95">
        <f>SUMIF(Erfassung3!BD:BD,L95,Erfassung3!BG:BG)</f>
        <v>0</v>
      </c>
      <c r="O95">
        <f t="shared" si="12"/>
        <v>0</v>
      </c>
      <c r="P95">
        <f t="shared" si="13"/>
        <v>46</v>
      </c>
    </row>
    <row r="96" spans="1:16" x14ac:dyDescent="0.3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SUMIF(Erfassung3!BD:BD,L96,Erfassung3!BW:BW)</f>
        <v>0</v>
      </c>
      <c r="N96">
        <f>SUMIF(Erfassung3!BD:BD,L96,Erfassung3!BG:BG)</f>
        <v>0</v>
      </c>
      <c r="O96">
        <f t="shared" si="12"/>
        <v>0</v>
      </c>
      <c r="P96">
        <f t="shared" si="13"/>
        <v>46</v>
      </c>
    </row>
    <row r="97" spans="1:16" x14ac:dyDescent="0.3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SUMIF(Erfassung3!BD:BD,L97,Erfassung3!BW:BW)</f>
        <v>0</v>
      </c>
      <c r="N97">
        <f>SUMIF(Erfassung3!BD:BD,L97,Erfassung3!BG:BG)</f>
        <v>0</v>
      </c>
      <c r="O97">
        <f t="shared" si="12"/>
        <v>0</v>
      </c>
      <c r="P97">
        <f t="shared" si="13"/>
        <v>46</v>
      </c>
    </row>
    <row r="98" spans="1:16" x14ac:dyDescent="0.3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SUMIF(Erfassung3!BD:BD,L98,Erfassung3!BW:BW)</f>
        <v>0</v>
      </c>
      <c r="N98">
        <f>SUMIF(Erfassung3!BD:BD,L98,Erfassung3!BG:BG)</f>
        <v>0</v>
      </c>
      <c r="O98">
        <f t="shared" si="12"/>
        <v>0</v>
      </c>
      <c r="P98">
        <f t="shared" si="13"/>
        <v>46</v>
      </c>
    </row>
    <row r="99" spans="1:16" x14ac:dyDescent="0.3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SUMIF(Erfassung3!BD:BD,L99,Erfassung3!BW:BW)</f>
        <v>0</v>
      </c>
      <c r="N99">
        <f>SUMIF(Erfassung3!BD:BD,L99,Erfassung3!BG:BG)</f>
        <v>0</v>
      </c>
      <c r="O99">
        <f t="shared" si="12"/>
        <v>0</v>
      </c>
      <c r="P99">
        <f t="shared" si="13"/>
        <v>46</v>
      </c>
    </row>
    <row r="100" spans="1:16" x14ac:dyDescent="0.3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SUMIF(Erfassung3!BD:BD,L100,Erfassung3!BW:BW)</f>
        <v>0</v>
      </c>
      <c r="N100">
        <f>SUMIF(Erfassung3!BD:BD,L100,Erfassung3!BG:BG)</f>
        <v>0</v>
      </c>
      <c r="O100">
        <f t="shared" si="12"/>
        <v>0</v>
      </c>
      <c r="P100">
        <f t="shared" si="13"/>
        <v>46</v>
      </c>
    </row>
    <row r="101" spans="1:16" x14ac:dyDescent="0.3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SUMIF(Erfassung3!BD:BD,L101,Erfassung3!BW:BW)</f>
        <v>0</v>
      </c>
      <c r="N101">
        <f>SUMIF(Erfassung3!BD:BD,L101,Erfassung3!BG:BG)</f>
        <v>0</v>
      </c>
      <c r="O101">
        <f t="shared" si="12"/>
        <v>0</v>
      </c>
      <c r="P101">
        <f t="shared" si="13"/>
        <v>46</v>
      </c>
    </row>
    <row r="102" spans="1:16" x14ac:dyDescent="0.3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SUMIF(Erfassung3!BD:BD,L102,Erfassung3!BW:BW)</f>
        <v>0</v>
      </c>
      <c r="N102">
        <f>SUMIF(Erfassung3!BD:BD,L102,Erfassung3!BG:BG)</f>
        <v>0</v>
      </c>
      <c r="O102">
        <f t="shared" si="12"/>
        <v>0</v>
      </c>
      <c r="P102">
        <f t="shared" si="13"/>
        <v>46</v>
      </c>
    </row>
    <row r="103" spans="1:16" x14ac:dyDescent="0.3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SUMIF(Erfassung3!BD:BD,L103,Erfassung3!BW:BW)</f>
        <v>0</v>
      </c>
      <c r="N103">
        <f>SUMIF(Erfassung3!BD:BD,L103,Erfassung3!BG:BG)</f>
        <v>0</v>
      </c>
      <c r="O103">
        <f t="shared" si="12"/>
        <v>0</v>
      </c>
      <c r="P103">
        <f t="shared" si="13"/>
        <v>46</v>
      </c>
    </row>
    <row r="104" spans="1:16" x14ac:dyDescent="0.3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SUMIF(Erfassung3!BD:BD,L104,Erfassung3!BW:BW)</f>
        <v>0</v>
      </c>
      <c r="N104">
        <f>SUMIF(Erfassung3!BD:BD,L104,Erfassung3!BG:BG)</f>
        <v>0</v>
      </c>
      <c r="O104">
        <f t="shared" si="12"/>
        <v>0</v>
      </c>
      <c r="P104">
        <f t="shared" si="13"/>
        <v>46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7">
    <tabColor rgb="FF7030A0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33203125" defaultRowHeight="12.75" x14ac:dyDescent="0.35"/>
  <cols>
    <col min="1" max="1" width="5.265625" customWidth="1"/>
    <col min="2" max="2" width="8.265625" customWidth="1"/>
    <col min="3" max="4" width="27.73046875" customWidth="1"/>
    <col min="5" max="5" width="7.73046875" style="102" customWidth="1"/>
    <col min="6" max="6" width="7.73046875" customWidth="1"/>
    <col min="7" max="7" width="7.73046875" style="137" customWidth="1"/>
    <col min="12" max="12" width="11.33203125" style="227" hidden="1" customWidth="1"/>
    <col min="13" max="16" width="11.33203125" hidden="1" customWidth="1"/>
    <col min="17" max="17" width="0" hidden="1" customWidth="1"/>
  </cols>
  <sheetData>
    <row r="1" spans="1:16" ht="28.5" customHeight="1" x14ac:dyDescent="0.7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6">
      <c r="A2" s="138" t="s">
        <v>1791</v>
      </c>
      <c r="C2" s="50">
        <v>3</v>
      </c>
      <c r="D2" s="50" t="s">
        <v>1835</v>
      </c>
      <c r="E2" s="139"/>
      <c r="F2" s="54"/>
      <c r="L2" s="227">
        <f>INDEX(Starter!A:A,ROW()-1)</f>
        <v>25751</v>
      </c>
      <c r="M2">
        <f>INDEX(SchnittGes2!M:M,MATCH(L2,SchnittGes2!L:L,0))+INDEX(Schnitt3!M:M,MATCH(L2,Schnitt3!L:L,0))</f>
        <v>4482</v>
      </c>
      <c r="N2">
        <f>INDEX(SchnittGes2!N:N,MATCH(L2,SchnittGes2!L:L,0))+INDEX(Schnitt3!N:N,MATCH(L2,Schnitt3!L:L,0))</f>
        <v>25</v>
      </c>
      <c r="O2">
        <f t="shared" ref="O2:O11" si="0">IF(N2=0,0,M2/N2-ROW()/1000000000)</f>
        <v>179.27999999799999</v>
      </c>
      <c r="P2">
        <f t="shared" ref="P2:P33" si="1">RANK(O2,O:O)</f>
        <v>14</v>
      </c>
    </row>
    <row r="3" spans="1:16" x14ac:dyDescent="0.35">
      <c r="L3" s="227">
        <f>INDEX(Starter!A:A,ROW()-1)</f>
        <v>38258</v>
      </c>
      <c r="M3">
        <f>INDEX(SchnittGes2!M:M,MATCH(L3,SchnittGes2!L:L,0))+INDEX(Schnitt3!M:M,MATCH(L3,Schnitt3!L:L,0))</f>
        <v>2326</v>
      </c>
      <c r="N3">
        <f>INDEX(SchnittGes2!N:N,MATCH(L3,SchnittGes2!L:L,0))+INDEX(Schnitt3!N:N,MATCH(L3,Schnitt3!L:L,0))</f>
        <v>14</v>
      </c>
      <c r="O3">
        <f t="shared" si="0"/>
        <v>166.14285713985714</v>
      </c>
      <c r="P3">
        <f t="shared" si="1"/>
        <v>32</v>
      </c>
    </row>
    <row r="4" spans="1:16" x14ac:dyDescent="0.3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INDEX(SchnittGes2!M:M,MATCH(L4,SchnittGes2!L:L,0))+INDEX(Schnitt3!M:M,MATCH(L4,Schnitt3!L:L,0))</f>
        <v>3285</v>
      </c>
      <c r="N4">
        <f>INDEX(SchnittGes2!N:N,MATCH(L4,SchnittGes2!L:L,0))+INDEX(Schnitt3!N:N,MATCH(L4,Schnitt3!L:L,0))</f>
        <v>18</v>
      </c>
      <c r="O4">
        <f t="shared" si="0"/>
        <v>182.49999999600001</v>
      </c>
      <c r="P4">
        <f t="shared" si="1"/>
        <v>10</v>
      </c>
    </row>
    <row r="5" spans="1:16" x14ac:dyDescent="0.35">
      <c r="A5">
        <v>1</v>
      </c>
      <c r="B5">
        <f t="shared" ref="B5:B36" si="2">IFERROR(INDEX(L:L,MATCH(A5,P:P,0)),"")</f>
        <v>7801</v>
      </c>
      <c r="C5" t="str">
        <f>IFERROR(INDEX(Starter!B:B,MATCH(B5,Starter!A:A,0)),"")</f>
        <v>Schuster, Katharina</v>
      </c>
      <c r="D5" t="str">
        <f>IFERROR(INDEX(Starter!C:C,MATCH(B5,Starter!A:A,0)),"")</f>
        <v>BC Phönix 03 Lauf</v>
      </c>
      <c r="E5" s="102">
        <f t="shared" ref="E5:E36" si="3">IFERROR(INDEX(M:M,MATCH(A5,P:P,0)),"")</f>
        <v>5270</v>
      </c>
      <c r="F5">
        <f t="shared" ref="F5:F36" si="4">IFERROR(INDEX(N:N,MATCH(A5,P:P,0)),"")</f>
        <v>27</v>
      </c>
      <c r="G5" s="137">
        <f t="shared" ref="G5:G36" si="5">IFERROR(INDEX(O:O,MATCH(A5,P:P,0)),"")</f>
        <v>195.18518512918519</v>
      </c>
      <c r="L5" s="227">
        <f>INDEX(Starter!A:A,ROW()-1)</f>
        <v>7903</v>
      </c>
      <c r="M5">
        <f>INDEX(SchnittGes2!M:M,MATCH(L5,SchnittGes2!L:L,0))+INDEX(Schnitt3!M:M,MATCH(L5,Schnitt3!L:L,0))</f>
        <v>1426</v>
      </c>
      <c r="N5">
        <f>INDEX(SchnittGes2!N:N,MATCH(L5,SchnittGes2!L:L,0))+INDEX(Schnitt3!N:N,MATCH(L5,Schnitt3!L:L,0))</f>
        <v>9</v>
      </c>
      <c r="O5">
        <f t="shared" si="0"/>
        <v>158.44444443944445</v>
      </c>
      <c r="P5">
        <f t="shared" si="1"/>
        <v>43</v>
      </c>
    </row>
    <row r="6" spans="1:16" x14ac:dyDescent="0.35">
      <c r="A6">
        <f t="shared" ref="A6:A37" si="6">IFERROR(IF(A5+1&gt;MAX(P:P)-1,"",A5+1),"")</f>
        <v>2</v>
      </c>
      <c r="B6">
        <f t="shared" si="2"/>
        <v>25714</v>
      </c>
      <c r="C6" t="str">
        <f>IFERROR(INDEX(Starter!B:B,MATCH(B6,Starter!A:A,0)),"")</f>
        <v>Schulz, Carolin</v>
      </c>
      <c r="D6" t="str">
        <f>IFERROR(INDEX(Starter!C:C,MATCH(B6,Starter!A:A,0)),"")</f>
        <v>BC E.P.A. München</v>
      </c>
      <c r="E6" s="102">
        <f t="shared" si="3"/>
        <v>4553</v>
      </c>
      <c r="F6">
        <f t="shared" si="4"/>
        <v>24</v>
      </c>
      <c r="G6" s="137">
        <f t="shared" si="5"/>
        <v>189.70833326333334</v>
      </c>
      <c r="L6" s="227">
        <f>INDEX(Starter!A:A,ROW()-1)</f>
        <v>16170</v>
      </c>
      <c r="M6">
        <f>INDEX(SchnittGes2!M:M,MATCH(L6,SchnittGes2!L:L,0))+INDEX(Schnitt3!M:M,MATCH(L6,Schnitt3!L:L,0))</f>
        <v>2673</v>
      </c>
      <c r="N6">
        <f>INDEX(SchnittGes2!N:N,MATCH(L6,SchnittGes2!L:L,0))+INDEX(Schnitt3!N:N,MATCH(L6,Schnitt3!L:L,0))</f>
        <v>15</v>
      </c>
      <c r="O6">
        <f t="shared" si="0"/>
        <v>178.199999994</v>
      </c>
      <c r="P6">
        <f t="shared" si="1"/>
        <v>16</v>
      </c>
    </row>
    <row r="7" spans="1:16" x14ac:dyDescent="0.35">
      <c r="A7">
        <f t="shared" si="6"/>
        <v>3</v>
      </c>
      <c r="B7">
        <f t="shared" si="2"/>
        <v>38458</v>
      </c>
      <c r="C7" t="str">
        <f>IFERROR(INDEX(Starter!B:B,MATCH(B7,Starter!A:A,0)),"")</f>
        <v>Lindner, Theresa</v>
      </c>
      <c r="D7" t="str">
        <f>IFERROR(INDEX(Starter!C:C,MATCH(B7,Starter!A:A,0)),"")</f>
        <v>BSC Highroller Rosenheim</v>
      </c>
      <c r="E7" s="102">
        <f t="shared" si="3"/>
        <v>4143</v>
      </c>
      <c r="F7">
        <f t="shared" si="4"/>
        <v>22</v>
      </c>
      <c r="G7" s="137">
        <f t="shared" si="5"/>
        <v>188.31818175318182</v>
      </c>
      <c r="L7" s="227">
        <f>INDEX(Starter!A:A,ROW()-1)</f>
        <v>7889</v>
      </c>
      <c r="M7">
        <f>INDEX(SchnittGes2!M:M,MATCH(L7,SchnittGes2!L:L,0))+INDEX(Schnitt3!M:M,MATCH(L7,Schnitt3!L:L,0))</f>
        <v>4854</v>
      </c>
      <c r="N7">
        <f>INDEX(SchnittGes2!N:N,MATCH(L7,SchnittGes2!L:L,0))+INDEX(Schnitt3!N:N,MATCH(L7,Schnitt3!L:L,0))</f>
        <v>27</v>
      </c>
      <c r="O7">
        <f t="shared" si="0"/>
        <v>179.77777777077776</v>
      </c>
      <c r="P7">
        <f t="shared" si="1"/>
        <v>13</v>
      </c>
    </row>
    <row r="8" spans="1:16" x14ac:dyDescent="0.35">
      <c r="A8">
        <f t="shared" si="6"/>
        <v>4</v>
      </c>
      <c r="B8">
        <f t="shared" si="2"/>
        <v>7578</v>
      </c>
      <c r="C8" t="str">
        <f>IFERROR(INDEX(Starter!B:B,MATCH(B8,Starter!A:A,0)),"")</f>
        <v>Hinterwimmer, Sabine</v>
      </c>
      <c r="D8" t="str">
        <f>IFERROR(INDEX(Starter!C:C,MATCH(B8,Starter!A:A,0)),"")</f>
        <v>BK München</v>
      </c>
      <c r="E8" s="102">
        <f t="shared" si="3"/>
        <v>4859</v>
      </c>
      <c r="F8">
        <f t="shared" si="4"/>
        <v>26</v>
      </c>
      <c r="G8" s="137">
        <f t="shared" si="5"/>
        <v>186.88461536861539</v>
      </c>
      <c r="L8" s="227">
        <f>INDEX(Starter!A:A,ROW()-1)</f>
        <v>38222</v>
      </c>
      <c r="M8">
        <f>INDEX(SchnittGes2!M:M,MATCH(L8,SchnittGes2!L:L,0))+INDEX(Schnitt3!M:M,MATCH(L8,Schnitt3!L:L,0))</f>
        <v>1479</v>
      </c>
      <c r="N8">
        <f>INDEX(SchnittGes2!N:N,MATCH(L8,SchnittGes2!L:L,0))+INDEX(Schnitt3!N:N,MATCH(L8,Schnitt3!L:L,0))</f>
        <v>9</v>
      </c>
      <c r="O8">
        <f t="shared" si="0"/>
        <v>164.33333332533334</v>
      </c>
      <c r="P8">
        <f t="shared" si="1"/>
        <v>37</v>
      </c>
    </row>
    <row r="9" spans="1:16" x14ac:dyDescent="0.35">
      <c r="A9">
        <f t="shared" si="6"/>
        <v>5</v>
      </c>
      <c r="B9">
        <f t="shared" si="2"/>
        <v>38438</v>
      </c>
      <c r="C9" t="str">
        <f>IFERROR(INDEX(Starter!B:B,MATCH(B9,Starter!A:A,0)),"")</f>
        <v>Hassforth, Lea</v>
      </c>
      <c r="D9" t="str">
        <f>IFERROR(INDEX(Starter!C:C,MATCH(B9,Starter!A:A,0)),"")</f>
        <v>BK München</v>
      </c>
      <c r="E9" s="102">
        <f t="shared" si="3"/>
        <v>5010</v>
      </c>
      <c r="F9">
        <f t="shared" si="4"/>
        <v>27</v>
      </c>
      <c r="G9" s="137">
        <f t="shared" si="5"/>
        <v>185.55555554655555</v>
      </c>
      <c r="L9" s="227">
        <f>INDEX(Starter!A:A,ROW()-1)</f>
        <v>38438</v>
      </c>
      <c r="M9">
        <f>INDEX(SchnittGes2!M:M,MATCH(L9,SchnittGes2!L:L,0))+INDEX(Schnitt3!M:M,MATCH(L9,Schnitt3!L:L,0))</f>
        <v>5010</v>
      </c>
      <c r="N9">
        <f>INDEX(SchnittGes2!N:N,MATCH(L9,SchnittGes2!L:L,0))+INDEX(Schnitt3!N:N,MATCH(L9,Schnitt3!L:L,0))</f>
        <v>27</v>
      </c>
      <c r="O9">
        <f t="shared" si="0"/>
        <v>185.55555554655555</v>
      </c>
      <c r="P9">
        <f t="shared" si="1"/>
        <v>5</v>
      </c>
    </row>
    <row r="10" spans="1:16" x14ac:dyDescent="0.35">
      <c r="A10">
        <f t="shared" si="6"/>
        <v>6</v>
      </c>
      <c r="B10">
        <f t="shared" si="2"/>
        <v>25298</v>
      </c>
      <c r="C10" t="str">
        <f>IFERROR(INDEX(Starter!B:B,MATCH(B10,Starter!A:A,0)),"")</f>
        <v>Auer, Cornelia</v>
      </c>
      <c r="D10" t="str">
        <f>IFERROR(INDEX(Starter!C:C,MATCH(B10,Starter!A:A,0)),"")</f>
        <v>BSC Highroller Rosenheim</v>
      </c>
      <c r="E10" s="102">
        <f t="shared" si="3"/>
        <v>4076</v>
      </c>
      <c r="F10">
        <f t="shared" si="4"/>
        <v>22</v>
      </c>
      <c r="G10" s="137">
        <f t="shared" si="5"/>
        <v>185.27272724872728</v>
      </c>
      <c r="L10" s="227">
        <f>INDEX(Starter!A:A,ROW()-1)</f>
        <v>38553</v>
      </c>
      <c r="M10">
        <f>INDEX(SchnittGes2!M:M,MATCH(L10,SchnittGes2!L:L,0))+INDEX(Schnitt3!M:M,MATCH(L10,Schnitt3!L:L,0))</f>
        <v>4889</v>
      </c>
      <c r="N10">
        <f>INDEX(SchnittGes2!N:N,MATCH(L10,SchnittGes2!L:L,0))+INDEX(Schnitt3!N:N,MATCH(L10,Schnitt3!L:L,0))</f>
        <v>27</v>
      </c>
      <c r="O10">
        <f t="shared" si="0"/>
        <v>181.07407406407407</v>
      </c>
      <c r="P10">
        <f t="shared" si="1"/>
        <v>11</v>
      </c>
    </row>
    <row r="11" spans="1:16" x14ac:dyDescent="0.35">
      <c r="A11">
        <f t="shared" si="6"/>
        <v>7</v>
      </c>
      <c r="B11">
        <f t="shared" si="2"/>
        <v>7574</v>
      </c>
      <c r="C11" t="str">
        <f>IFERROR(INDEX(Starter!B:B,MATCH(B11,Starter!A:A,0)),"")</f>
        <v>Clemenz, Brigitte</v>
      </c>
      <c r="D11" t="str">
        <f>IFERROR(INDEX(Starter!C:C,MATCH(B11,Starter!A:A,0)),"")</f>
        <v>BK München</v>
      </c>
      <c r="E11" s="102">
        <f t="shared" si="3"/>
        <v>3317</v>
      </c>
      <c r="F11">
        <f t="shared" si="4"/>
        <v>18</v>
      </c>
      <c r="G11" s="137">
        <f t="shared" si="5"/>
        <v>184.27777775977776</v>
      </c>
      <c r="L11" s="227">
        <f>INDEX(Starter!A:A,ROW()-1)</f>
        <v>38350</v>
      </c>
      <c r="M11">
        <f>INDEX(SchnittGes2!M:M,MATCH(L11,SchnittGes2!L:L,0))+INDEX(Schnitt3!M:M,MATCH(L11,Schnitt3!L:L,0))</f>
        <v>4494</v>
      </c>
      <c r="N11">
        <f>INDEX(SchnittGes2!N:N,MATCH(L11,SchnittGes2!L:L,0))+INDEX(Schnitt3!N:N,MATCH(L11,Schnitt3!L:L,0))</f>
        <v>27</v>
      </c>
      <c r="O11">
        <f t="shared" si="0"/>
        <v>166.44444443344446</v>
      </c>
      <c r="P11">
        <f t="shared" si="1"/>
        <v>31</v>
      </c>
    </row>
    <row r="12" spans="1:16" x14ac:dyDescent="0.35">
      <c r="A12">
        <f t="shared" si="6"/>
        <v>8</v>
      </c>
      <c r="B12">
        <f t="shared" si="2"/>
        <v>7575</v>
      </c>
      <c r="C12" t="str">
        <f>IFERROR(INDEX(Starter!B:B,MATCH(B12,Starter!A:A,0)),"")</f>
        <v>Dozauer, Jessica</v>
      </c>
      <c r="D12" t="str">
        <f>IFERROR(INDEX(Starter!C:C,MATCH(B12,Starter!A:A,0)),"")</f>
        <v>BK München</v>
      </c>
      <c r="E12" s="102">
        <f t="shared" si="3"/>
        <v>3312</v>
      </c>
      <c r="F12">
        <f t="shared" si="4"/>
        <v>18</v>
      </c>
      <c r="G12" s="137">
        <f t="shared" si="5"/>
        <v>183.99999998300001</v>
      </c>
      <c r="L12" s="227">
        <f>INDEX(Starter!A:A,ROW()-1)</f>
        <v>16594</v>
      </c>
      <c r="M12">
        <f>INDEX(SchnittGes2!M:M,MATCH(L12,SchnittGes2!L:L,0))+INDEX(Schnitt3!M:M,MATCH(L12,Schnitt3!L:L,0))</f>
        <v>0</v>
      </c>
      <c r="N12">
        <f>INDEX(SchnittGes2!N:N,MATCH(L12,SchnittGes2!L:L,0))+INDEX(Schnitt3!N:N,MATCH(L12,Schnitt3!L:L,0))</f>
        <v>0</v>
      </c>
      <c r="O12">
        <f t="shared" ref="O12:O75" si="7">IF(N12=0,0,M12/N12-ROW()/1000000000)</f>
        <v>0</v>
      </c>
      <c r="P12">
        <f t="shared" si="1"/>
        <v>51</v>
      </c>
    </row>
    <row r="13" spans="1:16" x14ac:dyDescent="0.35">
      <c r="A13">
        <f t="shared" si="6"/>
        <v>9</v>
      </c>
      <c r="B13">
        <f t="shared" si="2"/>
        <v>7752</v>
      </c>
      <c r="C13" t="str">
        <f>IFERROR(INDEX(Starter!B:B,MATCH(B13,Starter!A:A,0)),"")</f>
        <v>Treffke, Helga</v>
      </c>
      <c r="D13" t="str">
        <f>IFERROR(INDEX(Starter!C:C,MATCH(B13,Starter!A:A,0)),"")</f>
        <v>BC E.P.A. München</v>
      </c>
      <c r="E13" s="102">
        <f t="shared" si="3"/>
        <v>1288</v>
      </c>
      <c r="F13">
        <f t="shared" si="4"/>
        <v>7</v>
      </c>
      <c r="G13" s="137">
        <f t="shared" si="5"/>
        <v>183.99999995900001</v>
      </c>
      <c r="L13" s="227">
        <f>INDEX(Starter!A:A,ROW()-1)</f>
        <v>16595</v>
      </c>
      <c r="M13">
        <f>INDEX(SchnittGes2!M:M,MATCH(L13,SchnittGes2!L:L,0))+INDEX(Schnitt3!M:M,MATCH(L13,Schnitt3!L:L,0))</f>
        <v>0</v>
      </c>
      <c r="N13">
        <f>INDEX(SchnittGes2!N:N,MATCH(L13,SchnittGes2!L:L,0))+INDEX(Schnitt3!N:N,MATCH(L13,Schnitt3!L:L,0))</f>
        <v>0</v>
      </c>
      <c r="O13">
        <f t="shared" si="7"/>
        <v>0</v>
      </c>
      <c r="P13">
        <f t="shared" si="1"/>
        <v>51</v>
      </c>
    </row>
    <row r="14" spans="1:16" x14ac:dyDescent="0.35">
      <c r="A14">
        <f t="shared" si="6"/>
        <v>10</v>
      </c>
      <c r="B14">
        <f t="shared" si="2"/>
        <v>25798</v>
      </c>
      <c r="C14" t="str">
        <f>IFERROR(INDEX(Starter!B:B,MATCH(B14,Starter!A:A,0)),"")</f>
        <v>Kicker-Mihatsch, Elvira</v>
      </c>
      <c r="D14" t="str">
        <f>IFERROR(INDEX(Starter!C:C,MATCH(B14,Starter!A:A,0)),"")</f>
        <v>BC Praetoria</v>
      </c>
      <c r="E14" s="102">
        <f t="shared" si="3"/>
        <v>3285</v>
      </c>
      <c r="F14">
        <f t="shared" si="4"/>
        <v>18</v>
      </c>
      <c r="G14" s="137">
        <f t="shared" si="5"/>
        <v>182.49999999600001</v>
      </c>
      <c r="L14" s="227">
        <f>INDEX(Starter!A:A,ROW()-1)</f>
        <v>7061</v>
      </c>
      <c r="M14">
        <f>INDEX(SchnittGes2!M:M,MATCH(L14,SchnittGes2!L:L,0))+INDEX(Schnitt3!M:M,MATCH(L14,Schnitt3!L:L,0))</f>
        <v>0</v>
      </c>
      <c r="N14">
        <f>INDEX(SchnittGes2!N:N,MATCH(L14,SchnittGes2!L:L,0))+INDEX(Schnitt3!N:N,MATCH(L14,Schnitt3!L:L,0))</f>
        <v>0</v>
      </c>
      <c r="O14">
        <f t="shared" si="7"/>
        <v>0</v>
      </c>
      <c r="P14">
        <f t="shared" si="1"/>
        <v>51</v>
      </c>
    </row>
    <row r="15" spans="1:16" x14ac:dyDescent="0.35">
      <c r="A15">
        <f t="shared" si="6"/>
        <v>11</v>
      </c>
      <c r="B15">
        <f t="shared" si="2"/>
        <v>38553</v>
      </c>
      <c r="C15" t="str">
        <f>IFERROR(INDEX(Starter!B:B,MATCH(B15,Starter!A:A,0)),"")</f>
        <v>Kirschke, Saskia</v>
      </c>
      <c r="D15" t="str">
        <f>IFERROR(INDEX(Starter!C:C,MATCH(B15,Starter!A:A,0)),"")</f>
        <v>BK München</v>
      </c>
      <c r="E15" s="102">
        <f t="shared" si="3"/>
        <v>4889</v>
      </c>
      <c r="F15">
        <f t="shared" si="4"/>
        <v>27</v>
      </c>
      <c r="G15" s="137">
        <f t="shared" si="5"/>
        <v>181.07407406407407</v>
      </c>
      <c r="L15" s="227">
        <f>INDEX(Starter!A:A,ROW()-1)</f>
        <v>25550</v>
      </c>
      <c r="M15">
        <f>INDEX(SchnittGes2!M:M,MATCH(L15,SchnittGes2!L:L,0))+INDEX(Schnitt3!M:M,MATCH(L15,Schnitt3!L:L,0))</f>
        <v>0</v>
      </c>
      <c r="N15">
        <f>INDEX(SchnittGes2!N:N,MATCH(L15,SchnittGes2!L:L,0))+INDEX(Schnitt3!N:N,MATCH(L15,Schnitt3!L:L,0))</f>
        <v>0</v>
      </c>
      <c r="O15">
        <f t="shared" si="7"/>
        <v>0</v>
      </c>
      <c r="P15">
        <f t="shared" si="1"/>
        <v>51</v>
      </c>
    </row>
    <row r="16" spans="1:16" x14ac:dyDescent="0.35">
      <c r="A16">
        <f t="shared" si="6"/>
        <v>12</v>
      </c>
      <c r="B16">
        <f t="shared" si="2"/>
        <v>25192</v>
      </c>
      <c r="C16" t="str">
        <f>IFERROR(INDEX(Starter!B:B,MATCH(B16,Starter!A:A,0)),"")</f>
        <v>Bess, Vanessa</v>
      </c>
      <c r="D16" t="str">
        <f>IFERROR(INDEX(Starter!C:C,MATCH(B16,Starter!A:A,0)),"")</f>
        <v>BC E.P.A. München</v>
      </c>
      <c r="E16" s="102">
        <f t="shared" si="3"/>
        <v>4501</v>
      </c>
      <c r="F16">
        <f t="shared" si="4"/>
        <v>25</v>
      </c>
      <c r="G16" s="137">
        <f t="shared" si="5"/>
        <v>180.03999993099998</v>
      </c>
      <c r="L16" s="227">
        <f>INDEX(Starter!A:A,ROW()-1)</f>
        <v>7578</v>
      </c>
      <c r="M16">
        <f>INDEX(SchnittGes2!M:M,MATCH(L16,SchnittGes2!L:L,0))+INDEX(Schnitt3!M:M,MATCH(L16,Schnitt3!L:L,0))</f>
        <v>4859</v>
      </c>
      <c r="N16">
        <f>INDEX(SchnittGes2!N:N,MATCH(L16,SchnittGes2!L:L,0))+INDEX(Schnitt3!N:N,MATCH(L16,Schnitt3!L:L,0))</f>
        <v>26</v>
      </c>
      <c r="O16">
        <f t="shared" si="7"/>
        <v>186.88461536861539</v>
      </c>
      <c r="P16">
        <f t="shared" si="1"/>
        <v>4</v>
      </c>
    </row>
    <row r="17" spans="1:16" x14ac:dyDescent="0.35">
      <c r="A17">
        <f t="shared" si="6"/>
        <v>13</v>
      </c>
      <c r="B17">
        <f t="shared" si="2"/>
        <v>7889</v>
      </c>
      <c r="C17" t="str">
        <f>IFERROR(INDEX(Starter!B:B,MATCH(B17,Starter!A:A,0)),"")</f>
        <v>Zahner, Barbara</v>
      </c>
      <c r="D17" t="str">
        <f>IFERROR(INDEX(Starter!C:C,MATCH(B17,Starter!A:A,0)),"")</f>
        <v>BC Praetoria</v>
      </c>
      <c r="E17" s="102">
        <f t="shared" si="3"/>
        <v>4854</v>
      </c>
      <c r="F17">
        <f t="shared" si="4"/>
        <v>27</v>
      </c>
      <c r="G17" s="137">
        <f t="shared" si="5"/>
        <v>179.77777777077776</v>
      </c>
      <c r="L17" s="227">
        <f>INDEX(Starter!A:A,ROW()-1)</f>
        <v>7575</v>
      </c>
      <c r="M17">
        <f>INDEX(SchnittGes2!M:M,MATCH(L17,SchnittGes2!L:L,0))+INDEX(Schnitt3!M:M,MATCH(L17,Schnitt3!L:L,0))</f>
        <v>3312</v>
      </c>
      <c r="N17">
        <f>INDEX(SchnittGes2!N:N,MATCH(L17,SchnittGes2!L:L,0))+INDEX(Schnitt3!N:N,MATCH(L17,Schnitt3!L:L,0))</f>
        <v>18</v>
      </c>
      <c r="O17">
        <f t="shared" si="7"/>
        <v>183.99999998300001</v>
      </c>
      <c r="P17">
        <f t="shared" si="1"/>
        <v>8</v>
      </c>
    </row>
    <row r="18" spans="1:16" x14ac:dyDescent="0.35">
      <c r="A18">
        <f t="shared" si="6"/>
        <v>14</v>
      </c>
      <c r="B18">
        <f t="shared" si="2"/>
        <v>25751</v>
      </c>
      <c r="C18" t="str">
        <f>IFERROR(INDEX(Starter!B:B,MATCH(B18,Starter!A:A,0)),"")</f>
        <v>Schlundt, Sabrina</v>
      </c>
      <c r="D18" t="str">
        <f>IFERROR(INDEX(Starter!C:C,MATCH(B18,Starter!A:A,0)),"")</f>
        <v>BC Praetoria</v>
      </c>
      <c r="E18" s="102">
        <f t="shared" si="3"/>
        <v>4482</v>
      </c>
      <c r="F18">
        <f t="shared" si="4"/>
        <v>25</v>
      </c>
      <c r="G18" s="137">
        <f t="shared" si="5"/>
        <v>179.27999999799999</v>
      </c>
      <c r="L18" s="227">
        <f>INDEX(Starter!A:A,ROW()-1)</f>
        <v>7574</v>
      </c>
      <c r="M18">
        <f>INDEX(SchnittGes2!M:M,MATCH(L18,SchnittGes2!L:L,0))+INDEX(Schnitt3!M:M,MATCH(L18,Schnitt3!L:L,0))</f>
        <v>3317</v>
      </c>
      <c r="N18">
        <f>INDEX(SchnittGes2!N:N,MATCH(L18,SchnittGes2!L:L,0))+INDEX(Schnitt3!N:N,MATCH(L18,Schnitt3!L:L,0))</f>
        <v>18</v>
      </c>
      <c r="O18">
        <f t="shared" si="7"/>
        <v>184.27777775977776</v>
      </c>
      <c r="P18">
        <f t="shared" si="1"/>
        <v>7</v>
      </c>
    </row>
    <row r="19" spans="1:16" x14ac:dyDescent="0.35">
      <c r="A19">
        <f t="shared" si="6"/>
        <v>15</v>
      </c>
      <c r="B19">
        <f t="shared" si="2"/>
        <v>38757</v>
      </c>
      <c r="C19" t="str">
        <f>IFERROR(INDEX(Starter!B:B,MATCH(B19,Starter!A:A,0)),"")</f>
        <v>Schanze, Bianka</v>
      </c>
      <c r="D19" t="str">
        <f>IFERROR(INDEX(Starter!C:C,MATCH(B19,Starter!A:A,0)),"")</f>
        <v>BSC Highroller Rosenheim</v>
      </c>
      <c r="E19" s="102">
        <f t="shared" si="3"/>
        <v>4475</v>
      </c>
      <c r="F19">
        <f t="shared" si="4"/>
        <v>25</v>
      </c>
      <c r="G19" s="137">
        <f t="shared" si="5"/>
        <v>178.99999997500001</v>
      </c>
      <c r="L19" s="227">
        <f>INDEX(Starter!A:A,ROW()-1)</f>
        <v>7576</v>
      </c>
      <c r="M19">
        <f>INDEX(SchnittGes2!M:M,MATCH(L19,SchnittGes2!L:L,0))+INDEX(Schnitt3!M:M,MATCH(L19,Schnitt3!L:L,0))</f>
        <v>2553</v>
      </c>
      <c r="N19">
        <f>INDEX(SchnittGes2!N:N,MATCH(L19,SchnittGes2!L:L,0))+INDEX(Schnitt3!N:N,MATCH(L19,Schnitt3!L:L,0))</f>
        <v>15</v>
      </c>
      <c r="O19">
        <f t="shared" si="7"/>
        <v>170.19999998099999</v>
      </c>
      <c r="P19">
        <f t="shared" si="1"/>
        <v>27</v>
      </c>
    </row>
    <row r="20" spans="1:16" x14ac:dyDescent="0.35">
      <c r="A20">
        <f t="shared" si="6"/>
        <v>16</v>
      </c>
      <c r="B20">
        <f t="shared" si="2"/>
        <v>16170</v>
      </c>
      <c r="C20" t="str">
        <f>IFERROR(INDEX(Starter!B:B,MATCH(B20,Starter!A:A,0)),"")</f>
        <v>Wölki, Elisabeth</v>
      </c>
      <c r="D20" t="str">
        <f>IFERROR(INDEX(Starter!C:C,MATCH(B20,Starter!A:A,0)),"")</f>
        <v>BC Praetoria</v>
      </c>
      <c r="E20" s="102">
        <f t="shared" si="3"/>
        <v>2673</v>
      </c>
      <c r="F20">
        <f t="shared" si="4"/>
        <v>15</v>
      </c>
      <c r="G20" s="137">
        <f t="shared" si="5"/>
        <v>178.199999994</v>
      </c>
      <c r="L20" s="227">
        <f>INDEX(Starter!A:A,ROW()-1)</f>
        <v>12850</v>
      </c>
      <c r="M20">
        <f>INDEX(SchnittGes2!M:M,MATCH(L20,SchnittGes2!L:L,0))+INDEX(Schnitt3!M:M,MATCH(L20,Schnitt3!L:L,0))</f>
        <v>2807</v>
      </c>
      <c r="N20">
        <f>INDEX(SchnittGes2!N:N,MATCH(L20,SchnittGes2!L:L,0))+INDEX(Schnitt3!N:N,MATCH(L20,Schnitt3!L:L,0))</f>
        <v>18</v>
      </c>
      <c r="O20">
        <f t="shared" si="7"/>
        <v>155.94444442444447</v>
      </c>
      <c r="P20">
        <f t="shared" si="1"/>
        <v>47</v>
      </c>
    </row>
    <row r="21" spans="1:16" x14ac:dyDescent="0.35">
      <c r="A21">
        <f t="shared" si="6"/>
        <v>17</v>
      </c>
      <c r="B21">
        <f t="shared" si="2"/>
        <v>7753</v>
      </c>
      <c r="C21" t="str">
        <f>IFERROR(INDEX(Starter!B:B,MATCH(B21,Starter!A:A,0)),"")</f>
        <v>Krämer, Gisela</v>
      </c>
      <c r="D21" t="str">
        <f>IFERROR(INDEX(Starter!C:C,MATCH(B21,Starter!A:A,0)),"")</f>
        <v>BC Frankenpower</v>
      </c>
      <c r="E21" s="102">
        <f t="shared" si="3"/>
        <v>4808</v>
      </c>
      <c r="F21">
        <f t="shared" si="4"/>
        <v>27</v>
      </c>
      <c r="G21" s="137">
        <f t="shared" si="5"/>
        <v>178.07407404507407</v>
      </c>
      <c r="L21" s="227">
        <f>INDEX(Starter!A:A,ROW()-1)</f>
        <v>16879</v>
      </c>
      <c r="M21">
        <f>INDEX(SchnittGes2!M:M,MATCH(L21,SchnittGes2!L:L,0))+INDEX(Schnitt3!M:M,MATCH(L21,Schnitt3!L:L,0))</f>
        <v>2033</v>
      </c>
      <c r="N21">
        <f>INDEX(SchnittGes2!N:N,MATCH(L21,SchnittGes2!L:L,0))+INDEX(Schnitt3!N:N,MATCH(L21,Schnitt3!L:L,0))</f>
        <v>13</v>
      </c>
      <c r="O21">
        <f t="shared" si="7"/>
        <v>156.38461536361538</v>
      </c>
      <c r="P21">
        <f t="shared" si="1"/>
        <v>46</v>
      </c>
    </row>
    <row r="22" spans="1:16" x14ac:dyDescent="0.35">
      <c r="A22">
        <f t="shared" si="6"/>
        <v>18</v>
      </c>
      <c r="B22">
        <f t="shared" si="2"/>
        <v>7976</v>
      </c>
      <c r="C22" t="str">
        <f>IFERROR(INDEX(Starter!B:B,MATCH(B22,Starter!A:A,0)),"")</f>
        <v>Martisko, Petra</v>
      </c>
      <c r="D22" t="str">
        <f>IFERROR(INDEX(Starter!C:C,MATCH(B22,Starter!A:A,0)),"")</f>
        <v>BF Rot-Weiß Lichtenhof 69</v>
      </c>
      <c r="E22" s="102">
        <f t="shared" si="3"/>
        <v>4803</v>
      </c>
      <c r="F22">
        <f t="shared" si="4"/>
        <v>27</v>
      </c>
      <c r="G22" s="137">
        <f t="shared" si="5"/>
        <v>177.88888882788888</v>
      </c>
      <c r="L22" s="227">
        <f>INDEX(Starter!A:A,ROW()-1)</f>
        <v>7991</v>
      </c>
      <c r="M22">
        <f>INDEX(SchnittGes2!M:M,MATCH(L22,SchnittGes2!L:L,0))+INDEX(Schnitt3!M:M,MATCH(L22,Schnitt3!L:L,0))</f>
        <v>792</v>
      </c>
      <c r="N22">
        <f>INDEX(SchnittGes2!N:N,MATCH(L22,SchnittGes2!L:L,0))+INDEX(Schnitt3!N:N,MATCH(L22,Schnitt3!L:L,0))</f>
        <v>5</v>
      </c>
      <c r="O22">
        <f t="shared" si="7"/>
        <v>158.39999997800001</v>
      </c>
      <c r="P22">
        <f t="shared" si="1"/>
        <v>44</v>
      </c>
    </row>
    <row r="23" spans="1:16" x14ac:dyDescent="0.35">
      <c r="A23">
        <f t="shared" si="6"/>
        <v>19</v>
      </c>
      <c r="B23">
        <f t="shared" si="2"/>
        <v>7534</v>
      </c>
      <c r="C23" t="str">
        <f>IFERROR(INDEX(Starter!B:B,MATCH(B23,Starter!A:A,0)),"")</f>
        <v>Lieb, Anja</v>
      </c>
      <c r="D23" t="str">
        <f>IFERROR(INDEX(Starter!C:C,MATCH(B23,Starter!A:A,0)),"")</f>
        <v>BC E.P.A. München</v>
      </c>
      <c r="E23" s="102">
        <f t="shared" si="3"/>
        <v>4437</v>
      </c>
      <c r="F23">
        <f t="shared" si="4"/>
        <v>25</v>
      </c>
      <c r="G23" s="137">
        <f t="shared" si="5"/>
        <v>177.479999929</v>
      </c>
      <c r="L23" s="227">
        <f>INDEX(Starter!A:A,ROW()-1)</f>
        <v>7024</v>
      </c>
      <c r="M23">
        <f>INDEX(SchnittGes2!M:M,MATCH(L23,SchnittGes2!L:L,0))+INDEX(Schnitt3!M:M,MATCH(L23,Schnitt3!L:L,0))</f>
        <v>0</v>
      </c>
      <c r="N23">
        <f>INDEX(SchnittGes2!N:N,MATCH(L23,SchnittGes2!L:L,0))+INDEX(Schnitt3!N:N,MATCH(L23,Schnitt3!L:L,0))</f>
        <v>0</v>
      </c>
      <c r="O23">
        <f t="shared" si="7"/>
        <v>0</v>
      </c>
      <c r="P23">
        <f t="shared" si="1"/>
        <v>51</v>
      </c>
    </row>
    <row r="24" spans="1:16" x14ac:dyDescent="0.35">
      <c r="A24">
        <f t="shared" si="6"/>
        <v>20</v>
      </c>
      <c r="B24">
        <f t="shared" si="2"/>
        <v>7786</v>
      </c>
      <c r="C24" t="str">
        <f>IFERROR(INDEX(Starter!B:B,MATCH(B24,Starter!A:A,0)),"")</f>
        <v>Reichel, Christina</v>
      </c>
      <c r="D24" t="str">
        <f>IFERROR(INDEX(Starter!C:C,MATCH(B24,Starter!A:A,0)),"")</f>
        <v>BC Phönix 03 Lauf</v>
      </c>
      <c r="E24" s="102">
        <f t="shared" si="3"/>
        <v>4789</v>
      </c>
      <c r="F24">
        <f t="shared" si="4"/>
        <v>27</v>
      </c>
      <c r="G24" s="137">
        <f t="shared" si="5"/>
        <v>177.37037031537039</v>
      </c>
      <c r="L24" s="227">
        <f>INDEX(Starter!A:A,ROW()-1)</f>
        <v>25298</v>
      </c>
      <c r="M24">
        <f>INDEX(SchnittGes2!M:M,MATCH(L24,SchnittGes2!L:L,0))+INDEX(Schnitt3!M:M,MATCH(L24,Schnitt3!L:L,0))</f>
        <v>4076</v>
      </c>
      <c r="N24">
        <f>INDEX(SchnittGes2!N:N,MATCH(L24,SchnittGes2!L:L,0))+INDEX(Schnitt3!N:N,MATCH(L24,Schnitt3!L:L,0))</f>
        <v>22</v>
      </c>
      <c r="O24">
        <f t="shared" si="7"/>
        <v>185.27272724872728</v>
      </c>
      <c r="P24">
        <f t="shared" si="1"/>
        <v>6</v>
      </c>
    </row>
    <row r="25" spans="1:16" x14ac:dyDescent="0.35">
      <c r="A25">
        <f t="shared" si="6"/>
        <v>21</v>
      </c>
      <c r="B25">
        <f t="shared" si="2"/>
        <v>7431</v>
      </c>
      <c r="C25" t="str">
        <f>IFERROR(INDEX(Starter!B:B,MATCH(B25,Starter!A:A,0)),"")</f>
        <v>Denz, Angelika</v>
      </c>
      <c r="D25" t="str">
        <f>IFERROR(INDEX(Starter!C:C,MATCH(B25,Starter!A:A,0)),"")</f>
        <v>BF Weiß-Blau</v>
      </c>
      <c r="E25" s="102">
        <f t="shared" si="3"/>
        <v>4067</v>
      </c>
      <c r="F25">
        <f t="shared" si="4"/>
        <v>23</v>
      </c>
      <c r="G25" s="137">
        <f t="shared" si="5"/>
        <v>176.82608691252176</v>
      </c>
      <c r="L25" s="227">
        <f>INDEX(Starter!A:A,ROW()-1)</f>
        <v>38757</v>
      </c>
      <c r="M25">
        <f>INDEX(SchnittGes2!M:M,MATCH(L25,SchnittGes2!L:L,0))+INDEX(Schnitt3!M:M,MATCH(L25,Schnitt3!L:L,0))</f>
        <v>4475</v>
      </c>
      <c r="N25">
        <f>INDEX(SchnittGes2!N:N,MATCH(L25,SchnittGes2!L:L,0))+INDEX(Schnitt3!N:N,MATCH(L25,Schnitt3!L:L,0))</f>
        <v>25</v>
      </c>
      <c r="O25">
        <f t="shared" si="7"/>
        <v>178.99999997500001</v>
      </c>
      <c r="P25">
        <f t="shared" si="1"/>
        <v>15</v>
      </c>
    </row>
    <row r="26" spans="1:16" x14ac:dyDescent="0.35">
      <c r="A26">
        <f t="shared" si="6"/>
        <v>22</v>
      </c>
      <c r="B26">
        <f t="shared" si="2"/>
        <v>7549</v>
      </c>
      <c r="C26" t="str">
        <f>IFERROR(INDEX(Starter!B:B,MATCH(B26,Starter!A:A,0)),"")</f>
        <v>Hernitschek, Angelika</v>
      </c>
      <c r="D26" t="str">
        <f>IFERROR(INDEX(Starter!C:C,MATCH(B26,Starter!A:A,0)),"")</f>
        <v>BC E.P.A. München</v>
      </c>
      <c r="E26" s="102">
        <f t="shared" si="3"/>
        <v>2465</v>
      </c>
      <c r="F26">
        <f t="shared" si="4"/>
        <v>14</v>
      </c>
      <c r="G26" s="137">
        <f t="shared" si="5"/>
        <v>176.07142850342859</v>
      </c>
      <c r="L26" s="227">
        <f>INDEX(Starter!A:A,ROW()-1)</f>
        <v>25630</v>
      </c>
      <c r="M26">
        <f>INDEX(SchnittGes2!M:M,MATCH(L26,SchnittGes2!L:L,0))+INDEX(Schnitt3!M:M,MATCH(L26,Schnitt3!L:L,0))</f>
        <v>3009</v>
      </c>
      <c r="N26">
        <f>INDEX(SchnittGes2!N:N,MATCH(L26,SchnittGes2!L:L,0))+INDEX(Schnitt3!N:N,MATCH(L26,Schnitt3!L:L,0))</f>
        <v>18</v>
      </c>
      <c r="O26">
        <f t="shared" si="7"/>
        <v>167.16666664066665</v>
      </c>
      <c r="P26">
        <f t="shared" si="1"/>
        <v>30</v>
      </c>
    </row>
    <row r="27" spans="1:16" x14ac:dyDescent="0.35">
      <c r="A27">
        <f t="shared" si="6"/>
        <v>23</v>
      </c>
      <c r="B27">
        <f t="shared" si="2"/>
        <v>38560</v>
      </c>
      <c r="C27" t="str">
        <f>IFERROR(INDEX(Starter!B:B,MATCH(B27,Starter!A:A,0)),"")</f>
        <v>Reng, Verena</v>
      </c>
      <c r="D27" t="str">
        <f>IFERROR(INDEX(Starter!C:C,MATCH(B27,Starter!A:A,0)),"")</f>
        <v>BC Frankenpower</v>
      </c>
      <c r="E27" s="102">
        <f t="shared" si="3"/>
        <v>4737</v>
      </c>
      <c r="F27">
        <f t="shared" si="4"/>
        <v>27</v>
      </c>
      <c r="G27" s="137">
        <f t="shared" si="5"/>
        <v>175.44444441244445</v>
      </c>
      <c r="L27" s="227">
        <f>INDEX(Starter!A:A,ROW()-1)</f>
        <v>38758</v>
      </c>
      <c r="M27">
        <f>INDEX(SchnittGes2!M:M,MATCH(L27,SchnittGes2!L:L,0))+INDEX(Schnitt3!M:M,MATCH(L27,Schnitt3!L:L,0))</f>
        <v>3614</v>
      </c>
      <c r="N27">
        <f>INDEX(SchnittGes2!N:N,MATCH(L27,SchnittGes2!L:L,0))+INDEX(Schnitt3!N:N,MATCH(L27,Schnitt3!L:L,0))</f>
        <v>21</v>
      </c>
      <c r="O27">
        <f t="shared" si="7"/>
        <v>172.0952380682381</v>
      </c>
      <c r="P27">
        <f t="shared" si="1"/>
        <v>26</v>
      </c>
    </row>
    <row r="28" spans="1:16" x14ac:dyDescent="0.35">
      <c r="A28">
        <f t="shared" si="6"/>
        <v>24</v>
      </c>
      <c r="B28">
        <f t="shared" si="2"/>
        <v>7087</v>
      </c>
      <c r="C28" t="str">
        <f>IFERROR(INDEX(Starter!B:B,MATCH(B28,Starter!A:A,0)),"")</f>
        <v>Albert, Beate</v>
      </c>
      <c r="D28" t="str">
        <f>IFERROR(INDEX(Starter!C:C,MATCH(B28,Starter!A:A,0)),"")</f>
        <v>BF Weiß-Blau</v>
      </c>
      <c r="E28" s="102">
        <f t="shared" si="3"/>
        <v>4706</v>
      </c>
      <c r="F28">
        <f t="shared" si="4"/>
        <v>27</v>
      </c>
      <c r="G28" s="137">
        <f t="shared" si="5"/>
        <v>174.2962962512963</v>
      </c>
      <c r="L28" s="227">
        <f>INDEX(Starter!A:A,ROW()-1)</f>
        <v>7754</v>
      </c>
      <c r="M28">
        <f>INDEX(SchnittGes2!M:M,MATCH(L28,SchnittGes2!L:L,0))+INDEX(Schnitt3!M:M,MATCH(L28,Schnitt3!L:L,0))</f>
        <v>0</v>
      </c>
      <c r="N28">
        <f>INDEX(SchnittGes2!N:N,MATCH(L28,SchnittGes2!L:L,0))+INDEX(Schnitt3!N:N,MATCH(L28,Schnitt3!L:L,0))</f>
        <v>0</v>
      </c>
      <c r="O28">
        <f t="shared" si="7"/>
        <v>0</v>
      </c>
      <c r="P28">
        <f t="shared" si="1"/>
        <v>51</v>
      </c>
    </row>
    <row r="29" spans="1:16" x14ac:dyDescent="0.35">
      <c r="A29">
        <f t="shared" si="6"/>
        <v>25</v>
      </c>
      <c r="B29">
        <f t="shared" si="2"/>
        <v>25982</v>
      </c>
      <c r="C29" t="str">
        <f>IFERROR(INDEX(Starter!B:B,MATCH(B29,Starter!A:A,0)),"")</f>
        <v>Panek, Sandra</v>
      </c>
      <c r="D29" t="str">
        <f>IFERROR(INDEX(Starter!C:C,MATCH(B29,Starter!A:A,0)),"")</f>
        <v>BF Rot-Weiß Lichtenhof 69</v>
      </c>
      <c r="E29" s="102">
        <f t="shared" si="3"/>
        <v>1565</v>
      </c>
      <c r="F29">
        <f t="shared" si="4"/>
        <v>9</v>
      </c>
      <c r="G29" s="137">
        <f t="shared" si="5"/>
        <v>173.88888883088887</v>
      </c>
      <c r="L29" s="227">
        <f>INDEX(Starter!A:A,ROW()-1)</f>
        <v>7753</v>
      </c>
      <c r="M29">
        <f>INDEX(SchnittGes2!M:M,MATCH(L29,SchnittGes2!L:L,0))+INDEX(Schnitt3!M:M,MATCH(L29,Schnitt3!L:L,0))</f>
        <v>4808</v>
      </c>
      <c r="N29">
        <f>INDEX(SchnittGes2!N:N,MATCH(L29,SchnittGes2!L:L,0))+INDEX(Schnitt3!N:N,MATCH(L29,Schnitt3!L:L,0))</f>
        <v>27</v>
      </c>
      <c r="O29">
        <f t="shared" si="7"/>
        <v>178.07407404507407</v>
      </c>
      <c r="P29">
        <f t="shared" si="1"/>
        <v>17</v>
      </c>
    </row>
    <row r="30" spans="1:16" x14ac:dyDescent="0.35">
      <c r="A30">
        <f t="shared" si="6"/>
        <v>26</v>
      </c>
      <c r="B30">
        <f t="shared" si="2"/>
        <v>38758</v>
      </c>
      <c r="C30" t="str">
        <f>IFERROR(INDEX(Starter!B:B,MATCH(B30,Starter!A:A,0)),"")</f>
        <v>Rauscher, Julia</v>
      </c>
      <c r="D30" t="str">
        <f>IFERROR(INDEX(Starter!C:C,MATCH(B30,Starter!A:A,0)),"")</f>
        <v>BSC Highroller Rosenheim</v>
      </c>
      <c r="E30" s="102">
        <f t="shared" si="3"/>
        <v>3614</v>
      </c>
      <c r="F30">
        <f t="shared" si="4"/>
        <v>21</v>
      </c>
      <c r="G30" s="137">
        <f t="shared" si="5"/>
        <v>172.0952380682381</v>
      </c>
      <c r="L30" s="227">
        <f>INDEX(Starter!A:A,ROW()-1)</f>
        <v>7758</v>
      </c>
      <c r="M30">
        <f>INDEX(SchnittGes2!M:M,MATCH(L30,SchnittGes2!L:L,0))+INDEX(Schnitt3!M:M,MATCH(L30,Schnitt3!L:L,0))</f>
        <v>4460</v>
      </c>
      <c r="N30">
        <f>INDEX(SchnittGes2!N:N,MATCH(L30,SchnittGes2!L:L,0))+INDEX(Schnitt3!N:N,MATCH(L30,Schnitt3!L:L,0))</f>
        <v>27</v>
      </c>
      <c r="O30">
        <f t="shared" si="7"/>
        <v>165.1851851551852</v>
      </c>
      <c r="P30">
        <f t="shared" si="1"/>
        <v>34</v>
      </c>
    </row>
    <row r="31" spans="1:16" x14ac:dyDescent="0.35">
      <c r="A31">
        <f t="shared" si="6"/>
        <v>27</v>
      </c>
      <c r="B31">
        <f t="shared" si="2"/>
        <v>7576</v>
      </c>
      <c r="C31" t="str">
        <f>IFERROR(INDEX(Starter!B:B,MATCH(B31,Starter!A:A,0)),"")</f>
        <v>Laub, Angela</v>
      </c>
      <c r="D31" t="str">
        <f>IFERROR(INDEX(Starter!C:C,MATCH(B31,Starter!A:A,0)),"")</f>
        <v>BK München</v>
      </c>
      <c r="E31" s="102">
        <f t="shared" si="3"/>
        <v>2553</v>
      </c>
      <c r="F31">
        <f t="shared" si="4"/>
        <v>15</v>
      </c>
      <c r="G31" s="137">
        <f t="shared" si="5"/>
        <v>170.19999998099999</v>
      </c>
      <c r="L31" s="227">
        <f>INDEX(Starter!A:A,ROW()-1)</f>
        <v>7757</v>
      </c>
      <c r="M31">
        <f>INDEX(SchnittGes2!M:M,MATCH(L31,SchnittGes2!L:L,0))+INDEX(Schnitt3!M:M,MATCH(L31,Schnitt3!L:L,0))</f>
        <v>4392</v>
      </c>
      <c r="N31">
        <f>INDEX(SchnittGes2!N:N,MATCH(L31,SchnittGes2!L:L,0))+INDEX(Schnitt3!N:N,MATCH(L31,Schnitt3!L:L,0))</f>
        <v>27</v>
      </c>
      <c r="O31">
        <f t="shared" si="7"/>
        <v>162.66666663566664</v>
      </c>
      <c r="P31">
        <f t="shared" si="1"/>
        <v>39</v>
      </c>
    </row>
    <row r="32" spans="1:16" x14ac:dyDescent="0.35">
      <c r="A32">
        <f t="shared" si="6"/>
        <v>28</v>
      </c>
      <c r="B32">
        <f t="shared" si="2"/>
        <v>38289</v>
      </c>
      <c r="C32" t="str">
        <f>IFERROR(INDEX(Starter!B:B,MATCH(B32,Starter!A:A,0)),"")</f>
        <v>Kirschke, Sandra</v>
      </c>
      <c r="D32" t="str">
        <f>IFERROR(INDEX(Starter!C:C,MATCH(B32,Starter!A:A,0)),"")</f>
        <v>BC LA Bowling</v>
      </c>
      <c r="E32" s="102">
        <f t="shared" si="3"/>
        <v>2033</v>
      </c>
      <c r="F32">
        <f t="shared" si="4"/>
        <v>12</v>
      </c>
      <c r="G32" s="137">
        <f t="shared" si="5"/>
        <v>169.41666659466665</v>
      </c>
      <c r="L32" s="227">
        <f>INDEX(Starter!A:A,ROW()-1)</f>
        <v>38560</v>
      </c>
      <c r="M32">
        <f>INDEX(SchnittGes2!M:M,MATCH(L32,SchnittGes2!L:L,0))+INDEX(Schnitt3!M:M,MATCH(L32,Schnitt3!L:L,0))</f>
        <v>4737</v>
      </c>
      <c r="N32">
        <f>INDEX(SchnittGes2!N:N,MATCH(L32,SchnittGes2!L:L,0))+INDEX(Schnitt3!N:N,MATCH(L32,Schnitt3!L:L,0))</f>
        <v>27</v>
      </c>
      <c r="O32">
        <f t="shared" si="7"/>
        <v>175.44444441244445</v>
      </c>
      <c r="P32">
        <f t="shared" si="1"/>
        <v>23</v>
      </c>
    </row>
    <row r="33" spans="1:16" x14ac:dyDescent="0.35">
      <c r="A33">
        <f t="shared" si="6"/>
        <v>29</v>
      </c>
      <c r="B33">
        <f t="shared" si="2"/>
        <v>7787</v>
      </c>
      <c r="C33" t="str">
        <f>IFERROR(INDEX(Starter!B:B,MATCH(B33,Starter!A:A,0)),"")</f>
        <v>Kleim, Helga</v>
      </c>
      <c r="D33" t="str">
        <f>IFERROR(INDEX(Starter!C:C,MATCH(B33,Starter!A:A,0)),"")</f>
        <v>BC Phönix 03 Lauf</v>
      </c>
      <c r="E33" s="102">
        <f t="shared" si="3"/>
        <v>4025</v>
      </c>
      <c r="F33">
        <f t="shared" si="4"/>
        <v>24</v>
      </c>
      <c r="G33" s="137">
        <f t="shared" si="5"/>
        <v>167.70833327933335</v>
      </c>
      <c r="L33" s="227">
        <f>INDEX(Starter!A:A,ROW()-1)</f>
        <v>7755</v>
      </c>
      <c r="M33">
        <f>INDEX(SchnittGes2!M:M,MATCH(L33,SchnittGes2!L:L,0))+INDEX(Schnitt3!M:M,MATCH(L33,Schnitt3!L:L,0))</f>
        <v>0</v>
      </c>
      <c r="N33">
        <f>INDEX(SchnittGes2!N:N,MATCH(L33,SchnittGes2!L:L,0))+INDEX(Schnitt3!N:N,MATCH(L33,Schnitt3!L:L,0))</f>
        <v>0</v>
      </c>
      <c r="O33">
        <f t="shared" si="7"/>
        <v>0</v>
      </c>
      <c r="P33">
        <f t="shared" si="1"/>
        <v>51</v>
      </c>
    </row>
    <row r="34" spans="1:16" x14ac:dyDescent="0.35">
      <c r="A34">
        <f t="shared" si="6"/>
        <v>30</v>
      </c>
      <c r="B34">
        <f t="shared" si="2"/>
        <v>25630</v>
      </c>
      <c r="C34" t="str">
        <f>IFERROR(INDEX(Starter!B:B,MATCH(B34,Starter!A:A,0)),"")</f>
        <v>Groll, Hanni</v>
      </c>
      <c r="D34" t="str">
        <f>IFERROR(INDEX(Starter!C:C,MATCH(B34,Starter!A:A,0)),"")</f>
        <v>BSC Highroller Rosenheim</v>
      </c>
      <c r="E34" s="102">
        <f t="shared" si="3"/>
        <v>3009</v>
      </c>
      <c r="F34">
        <f t="shared" si="4"/>
        <v>18</v>
      </c>
      <c r="G34" s="137">
        <f t="shared" si="5"/>
        <v>167.16666664066665</v>
      </c>
      <c r="L34" s="227">
        <f>INDEX(Starter!A:A,ROW()-1)</f>
        <v>7676</v>
      </c>
      <c r="M34">
        <f>INDEX(SchnittGes2!M:M,MATCH(L34,SchnittGes2!L:L,0))+INDEX(Schnitt3!M:M,MATCH(L34,Schnitt3!L:L,0))</f>
        <v>0</v>
      </c>
      <c r="N34">
        <f>INDEX(SchnittGes2!N:N,MATCH(L34,SchnittGes2!L:L,0))+INDEX(Schnitt3!N:N,MATCH(L34,Schnitt3!L:L,0))</f>
        <v>0</v>
      </c>
      <c r="O34">
        <f t="shared" si="7"/>
        <v>0</v>
      </c>
      <c r="P34">
        <f t="shared" ref="P34:P65" si="8">RANK(O34,O:O)</f>
        <v>51</v>
      </c>
    </row>
    <row r="35" spans="1:16" x14ac:dyDescent="0.35">
      <c r="A35">
        <f t="shared" si="6"/>
        <v>31</v>
      </c>
      <c r="B35">
        <f t="shared" si="2"/>
        <v>38350</v>
      </c>
      <c r="C35" t="str">
        <f>IFERROR(INDEX(Starter!B:B,MATCH(B35,Starter!A:A,0)),"")</f>
        <v>Seeger, Melanie</v>
      </c>
      <c r="D35" t="str">
        <f>IFERROR(INDEX(Starter!C:C,MATCH(B35,Starter!A:A,0)),"")</f>
        <v>BK München</v>
      </c>
      <c r="E35" s="102">
        <f t="shared" si="3"/>
        <v>4494</v>
      </c>
      <c r="F35">
        <f t="shared" si="4"/>
        <v>27</v>
      </c>
      <c r="G35" s="137">
        <f t="shared" si="5"/>
        <v>166.44444443344446</v>
      </c>
      <c r="L35" s="227">
        <f>INDEX(Starter!A:A,ROW()-1)</f>
        <v>16804</v>
      </c>
      <c r="M35">
        <f>INDEX(SchnittGes2!M:M,MATCH(L35,SchnittGes2!L:L,0))+INDEX(Schnitt3!M:M,MATCH(L35,Schnitt3!L:L,0))</f>
        <v>0</v>
      </c>
      <c r="N35">
        <f>INDEX(SchnittGes2!N:N,MATCH(L35,SchnittGes2!L:L,0))+INDEX(Schnitt3!N:N,MATCH(L35,Schnitt3!L:L,0))</f>
        <v>0</v>
      </c>
      <c r="O35">
        <f t="shared" si="7"/>
        <v>0</v>
      </c>
      <c r="P35">
        <f t="shared" si="8"/>
        <v>51</v>
      </c>
    </row>
    <row r="36" spans="1:16" x14ac:dyDescent="0.35">
      <c r="A36">
        <f t="shared" si="6"/>
        <v>32</v>
      </c>
      <c r="B36">
        <f t="shared" si="2"/>
        <v>38258</v>
      </c>
      <c r="C36" t="str">
        <f>IFERROR(INDEX(Starter!B:B,MATCH(B36,Starter!A:A,0)),"")</f>
        <v>Bösl, Anna</v>
      </c>
      <c r="D36" t="str">
        <f>IFERROR(INDEX(Starter!C:C,MATCH(B36,Starter!A:A,0)),"")</f>
        <v>BC Praetoria</v>
      </c>
      <c r="E36" s="102">
        <f t="shared" si="3"/>
        <v>2326</v>
      </c>
      <c r="F36">
        <f t="shared" si="4"/>
        <v>14</v>
      </c>
      <c r="G36" s="137">
        <f t="shared" si="5"/>
        <v>166.14285713985714</v>
      </c>
      <c r="L36" s="227">
        <f>INDEX(Starter!A:A,ROW()-1)</f>
        <v>7978</v>
      </c>
      <c r="M36">
        <f>INDEX(SchnittGes2!M:M,MATCH(L36,SchnittGes2!L:L,0))+INDEX(Schnitt3!M:M,MATCH(L36,Schnitt3!L:L,0))</f>
        <v>0</v>
      </c>
      <c r="N36">
        <f>INDEX(SchnittGes2!N:N,MATCH(L36,SchnittGes2!L:L,0))+INDEX(Schnitt3!N:N,MATCH(L36,Schnitt3!L:L,0))</f>
        <v>0</v>
      </c>
      <c r="O36">
        <f t="shared" si="7"/>
        <v>0</v>
      </c>
      <c r="P36">
        <f t="shared" si="8"/>
        <v>51</v>
      </c>
    </row>
    <row r="37" spans="1:16" x14ac:dyDescent="0.35">
      <c r="A37">
        <f t="shared" si="6"/>
        <v>33</v>
      </c>
      <c r="B37">
        <f t="shared" ref="B37:B68" si="9">IFERROR(INDEX(L:L,MATCH(A37,P:P,0)),"")</f>
        <v>16414</v>
      </c>
      <c r="C37" t="str">
        <f>IFERROR(INDEX(Starter!B:B,MATCH(B37,Starter!A:A,0)),"")</f>
        <v>Dornacher, Hannelore</v>
      </c>
      <c r="D37" t="str">
        <f>IFERROR(INDEX(Starter!C:C,MATCH(B37,Starter!A:A,0)),"")</f>
        <v>BF Weiß-Blau</v>
      </c>
      <c r="E37" s="102">
        <f t="shared" ref="E37:E68" si="10">IFERROR(INDEX(M:M,MATCH(A37,P:P,0)),"")</f>
        <v>3969</v>
      </c>
      <c r="F37">
        <f t="shared" ref="F37:F68" si="11">IFERROR(INDEX(N:N,MATCH(A37,P:P,0)),"")</f>
        <v>24</v>
      </c>
      <c r="G37" s="137">
        <f t="shared" ref="G37:G68" si="12">IFERROR(INDEX(O:O,MATCH(A37,P:P,0)),"")</f>
        <v>165.374999954</v>
      </c>
      <c r="L37" s="227">
        <f>INDEX(Starter!A:A,ROW()-1)</f>
        <v>16029</v>
      </c>
      <c r="M37">
        <f>INDEX(SchnittGes2!M:M,MATCH(L37,SchnittGes2!L:L,0))+INDEX(Schnitt3!M:M,MATCH(L37,Schnitt3!L:L,0))</f>
        <v>0</v>
      </c>
      <c r="N37">
        <f>INDEX(SchnittGes2!N:N,MATCH(L37,SchnittGes2!L:L,0))+INDEX(Schnitt3!N:N,MATCH(L37,Schnitt3!L:L,0))</f>
        <v>0</v>
      </c>
      <c r="O37">
        <f t="shared" si="7"/>
        <v>0</v>
      </c>
      <c r="P37">
        <f t="shared" si="8"/>
        <v>51</v>
      </c>
    </row>
    <row r="38" spans="1:16" x14ac:dyDescent="0.35">
      <c r="A38">
        <f t="shared" ref="A38:A69" si="13">IFERROR(IF(A37+1&gt;MAX(P:P)-1,"",A37+1),"")</f>
        <v>34</v>
      </c>
      <c r="B38">
        <f t="shared" si="9"/>
        <v>7758</v>
      </c>
      <c r="C38" t="str">
        <f>IFERROR(INDEX(Starter!B:B,MATCH(B38,Starter!A:A,0)),"")</f>
        <v>Deinlein, Christine</v>
      </c>
      <c r="D38" t="str">
        <f>IFERROR(INDEX(Starter!C:C,MATCH(B38,Starter!A:A,0)),"")</f>
        <v>BC Frankenpower</v>
      </c>
      <c r="E38" s="102">
        <f t="shared" si="10"/>
        <v>4460</v>
      </c>
      <c r="F38">
        <f t="shared" si="11"/>
        <v>27</v>
      </c>
      <c r="G38" s="137">
        <f t="shared" si="12"/>
        <v>165.1851851551852</v>
      </c>
      <c r="L38" s="227">
        <f>INDEX(Starter!A:A,ROW()-1)</f>
        <v>7082</v>
      </c>
      <c r="M38">
        <f>INDEX(SchnittGes2!M:M,MATCH(L38,SchnittGes2!L:L,0))+INDEX(Schnitt3!M:M,MATCH(L38,Schnitt3!L:L,0))</f>
        <v>0</v>
      </c>
      <c r="N38">
        <f>INDEX(SchnittGes2!N:N,MATCH(L38,SchnittGes2!L:L,0))+INDEX(Schnitt3!N:N,MATCH(L38,Schnitt3!L:L,0))</f>
        <v>0</v>
      </c>
      <c r="O38">
        <f t="shared" si="7"/>
        <v>0</v>
      </c>
      <c r="P38">
        <f t="shared" si="8"/>
        <v>51</v>
      </c>
    </row>
    <row r="39" spans="1:16" x14ac:dyDescent="0.35">
      <c r="A39">
        <f t="shared" si="13"/>
        <v>35</v>
      </c>
      <c r="B39">
        <f t="shared" si="9"/>
        <v>38210</v>
      </c>
      <c r="C39" t="str">
        <f>IFERROR(INDEX(Starter!B:B,MATCH(B39,Starter!A:A,0)),"")</f>
        <v>Kulzer, Katharina</v>
      </c>
      <c r="D39" t="str">
        <f>IFERROR(INDEX(Starter!C:C,MATCH(B39,Starter!A:A,0)),"")</f>
        <v>BC Phönix 03 Lauf</v>
      </c>
      <c r="E39" s="102">
        <f t="shared" si="10"/>
        <v>3299</v>
      </c>
      <c r="F39">
        <f t="shared" si="11"/>
        <v>20</v>
      </c>
      <c r="G39" s="137">
        <f t="shared" si="12"/>
        <v>164.94999993299999</v>
      </c>
      <c r="L39" s="227">
        <f>INDEX(Starter!A:A,ROW()-1)</f>
        <v>16700</v>
      </c>
      <c r="M39">
        <f>INDEX(SchnittGes2!M:M,MATCH(L39,SchnittGes2!L:L,0))+INDEX(Schnitt3!M:M,MATCH(L39,Schnitt3!L:L,0))</f>
        <v>0</v>
      </c>
      <c r="N39">
        <f>INDEX(SchnittGes2!N:N,MATCH(L39,SchnittGes2!L:L,0))+INDEX(Schnitt3!N:N,MATCH(L39,Schnitt3!L:L,0))</f>
        <v>0</v>
      </c>
      <c r="O39">
        <f t="shared" si="7"/>
        <v>0</v>
      </c>
      <c r="P39">
        <f t="shared" si="8"/>
        <v>51</v>
      </c>
    </row>
    <row r="40" spans="1:16" x14ac:dyDescent="0.35">
      <c r="A40">
        <f t="shared" si="13"/>
        <v>36</v>
      </c>
      <c r="B40">
        <f t="shared" si="9"/>
        <v>38513</v>
      </c>
      <c r="C40" t="str">
        <f>IFERROR(INDEX(Starter!B:B,MATCH(B40,Starter!A:A,0)),"")</f>
        <v>Thöne, Melanie</v>
      </c>
      <c r="D40" t="str">
        <f>IFERROR(INDEX(Starter!C:C,MATCH(B40,Starter!A:A,0)),"")</f>
        <v>BF Rot-Weiß Lichtenhof 69</v>
      </c>
      <c r="E40" s="102">
        <f t="shared" si="10"/>
        <v>4112</v>
      </c>
      <c r="F40">
        <f t="shared" si="11"/>
        <v>25</v>
      </c>
      <c r="G40" s="137">
        <f t="shared" si="12"/>
        <v>164.47999994099999</v>
      </c>
      <c r="L40" s="227">
        <f>INDEX(Starter!A:A,ROW()-1)</f>
        <v>38737</v>
      </c>
      <c r="M40">
        <f>INDEX(SchnittGes2!M:M,MATCH(L40,SchnittGes2!L:L,0))+INDEX(Schnitt3!M:M,MATCH(L40,Schnitt3!L:L,0))</f>
        <v>0</v>
      </c>
      <c r="N40">
        <f>INDEX(SchnittGes2!N:N,MATCH(L40,SchnittGes2!L:L,0))+INDEX(Schnitt3!N:N,MATCH(L40,Schnitt3!L:L,0))</f>
        <v>0</v>
      </c>
      <c r="O40">
        <f t="shared" si="7"/>
        <v>0</v>
      </c>
      <c r="P40">
        <f t="shared" si="8"/>
        <v>51</v>
      </c>
    </row>
    <row r="41" spans="1:16" x14ac:dyDescent="0.35">
      <c r="A41">
        <f t="shared" si="13"/>
        <v>37</v>
      </c>
      <c r="B41">
        <f t="shared" si="9"/>
        <v>38222</v>
      </c>
      <c r="C41" t="str">
        <f>IFERROR(INDEX(Starter!B:B,MATCH(B41,Starter!A:A,0)),"")</f>
        <v>Helmbrecht, Carolin</v>
      </c>
      <c r="D41" t="str">
        <f>IFERROR(INDEX(Starter!C:C,MATCH(B41,Starter!A:A,0)),"")</f>
        <v>BK München</v>
      </c>
      <c r="E41" s="102">
        <f t="shared" si="10"/>
        <v>1479</v>
      </c>
      <c r="F41">
        <f t="shared" si="11"/>
        <v>9</v>
      </c>
      <c r="G41" s="137">
        <f t="shared" si="12"/>
        <v>164.33333332533334</v>
      </c>
      <c r="L41" s="227">
        <f>INDEX(Starter!A:A,ROW()-1)</f>
        <v>7752</v>
      </c>
      <c r="M41">
        <f>INDEX(SchnittGes2!M:M,MATCH(L41,SchnittGes2!L:L,0))+INDEX(Schnitt3!M:M,MATCH(L41,Schnitt3!L:L,0))</f>
        <v>1288</v>
      </c>
      <c r="N41">
        <f>INDEX(SchnittGes2!N:N,MATCH(L41,SchnittGes2!L:L,0))+INDEX(Schnitt3!N:N,MATCH(L41,Schnitt3!L:L,0))</f>
        <v>7</v>
      </c>
      <c r="O41">
        <f t="shared" si="7"/>
        <v>183.99999995900001</v>
      </c>
      <c r="P41">
        <f t="shared" si="8"/>
        <v>9</v>
      </c>
    </row>
    <row r="42" spans="1:16" x14ac:dyDescent="0.35">
      <c r="A42">
        <f t="shared" si="13"/>
        <v>38</v>
      </c>
      <c r="B42">
        <f t="shared" si="9"/>
        <v>25397</v>
      </c>
      <c r="C42" t="str">
        <f>IFERROR(INDEX(Starter!B:B,MATCH(B42,Starter!A:A,0)),"")</f>
        <v>Weninger, Diana</v>
      </c>
      <c r="D42" t="str">
        <f>IFERROR(INDEX(Starter!C:C,MATCH(B42,Starter!A:A,0)),"")</f>
        <v>BC E.P.A. München</v>
      </c>
      <c r="E42" s="102">
        <f t="shared" si="10"/>
        <v>1959</v>
      </c>
      <c r="F42">
        <f t="shared" si="11"/>
        <v>12</v>
      </c>
      <c r="G42" s="137">
        <f t="shared" si="12"/>
        <v>163.24999995799999</v>
      </c>
      <c r="L42" s="227">
        <f>INDEX(Starter!A:A,ROW()-1)</f>
        <v>25397</v>
      </c>
      <c r="M42">
        <f>INDEX(SchnittGes2!M:M,MATCH(L42,SchnittGes2!L:L,0))+INDEX(Schnitt3!M:M,MATCH(L42,Schnitt3!L:L,0))</f>
        <v>1959</v>
      </c>
      <c r="N42">
        <f>INDEX(SchnittGes2!N:N,MATCH(L42,SchnittGes2!L:L,0))+INDEX(Schnitt3!N:N,MATCH(L42,Schnitt3!L:L,0))</f>
        <v>12</v>
      </c>
      <c r="O42">
        <f t="shared" si="7"/>
        <v>163.24999995799999</v>
      </c>
      <c r="P42">
        <f t="shared" si="8"/>
        <v>38</v>
      </c>
    </row>
    <row r="43" spans="1:16" x14ac:dyDescent="0.35">
      <c r="A43">
        <f t="shared" si="13"/>
        <v>39</v>
      </c>
      <c r="B43">
        <f t="shared" si="9"/>
        <v>7757</v>
      </c>
      <c r="C43" t="str">
        <f>IFERROR(INDEX(Starter!B:B,MATCH(B43,Starter!A:A,0)),"")</f>
        <v>Legl, Renate</v>
      </c>
      <c r="D43" t="str">
        <f>IFERROR(INDEX(Starter!C:C,MATCH(B43,Starter!A:A,0)),"")</f>
        <v>BC Frankenpower</v>
      </c>
      <c r="E43" s="102">
        <f t="shared" si="10"/>
        <v>4392</v>
      </c>
      <c r="F43">
        <f t="shared" si="11"/>
        <v>27</v>
      </c>
      <c r="G43" s="137">
        <f t="shared" si="12"/>
        <v>162.66666663566664</v>
      </c>
      <c r="L43" s="227">
        <f>INDEX(Starter!A:A,ROW()-1)</f>
        <v>38061</v>
      </c>
      <c r="M43">
        <f>INDEX(SchnittGes2!M:M,MATCH(L43,SchnittGes2!L:L,0))+INDEX(Schnitt3!M:M,MATCH(L43,Schnitt3!L:L,0))</f>
        <v>0</v>
      </c>
      <c r="N43">
        <f>INDEX(SchnittGes2!N:N,MATCH(L43,SchnittGes2!L:L,0))+INDEX(Schnitt3!N:N,MATCH(L43,Schnitt3!L:L,0))</f>
        <v>0</v>
      </c>
      <c r="O43">
        <f t="shared" si="7"/>
        <v>0</v>
      </c>
      <c r="P43">
        <f t="shared" si="8"/>
        <v>51</v>
      </c>
    </row>
    <row r="44" spans="1:16" x14ac:dyDescent="0.35">
      <c r="A44">
        <f t="shared" si="13"/>
        <v>40</v>
      </c>
      <c r="B44">
        <f t="shared" si="9"/>
        <v>21185</v>
      </c>
      <c r="C44" t="str">
        <f>IFERROR(INDEX(Starter!B:B,MATCH(B44,Starter!A:A,0)),"")</f>
        <v>Richter, Petra</v>
      </c>
      <c r="D44" t="str">
        <f>IFERROR(INDEX(Starter!C:C,MATCH(B44,Starter!A:A,0)),"")</f>
        <v>BF Weiß-Blau</v>
      </c>
      <c r="E44" s="102">
        <f t="shared" si="10"/>
        <v>2599</v>
      </c>
      <c r="F44">
        <f t="shared" si="11"/>
        <v>16</v>
      </c>
      <c r="G44" s="137">
        <f t="shared" si="12"/>
        <v>162.437499949</v>
      </c>
      <c r="L44" s="227">
        <f>INDEX(Starter!A:A,ROW()-1)</f>
        <v>7431</v>
      </c>
      <c r="M44">
        <f>INDEX(SchnittGes2!M:M,MATCH(L44,SchnittGes2!L:L,0))+INDEX(Schnitt3!M:M,MATCH(L44,Schnitt3!L:L,0))</f>
        <v>4067</v>
      </c>
      <c r="N44">
        <f>INDEX(SchnittGes2!N:N,MATCH(L44,SchnittGes2!L:L,0))+INDEX(Schnitt3!N:N,MATCH(L44,Schnitt3!L:L,0))</f>
        <v>23</v>
      </c>
      <c r="O44">
        <f t="shared" si="7"/>
        <v>176.82608691252176</v>
      </c>
      <c r="P44">
        <f t="shared" si="8"/>
        <v>21</v>
      </c>
    </row>
    <row r="45" spans="1:16" x14ac:dyDescent="0.35">
      <c r="A45">
        <f t="shared" si="13"/>
        <v>41</v>
      </c>
      <c r="B45">
        <f t="shared" si="9"/>
        <v>25347</v>
      </c>
      <c r="C45" t="str">
        <f>IFERROR(INDEX(Starter!B:B,MATCH(B45,Starter!A:A,0)),"")</f>
        <v>Schulz-Burkert, Roswitha</v>
      </c>
      <c r="D45" t="str">
        <f>IFERROR(INDEX(Starter!C:C,MATCH(B45,Starter!A:A,0)),"")</f>
        <v>BC Phönix 03 Lauf</v>
      </c>
      <c r="E45" s="102">
        <f t="shared" si="10"/>
        <v>1125</v>
      </c>
      <c r="F45">
        <f t="shared" si="11"/>
        <v>7</v>
      </c>
      <c r="G45" s="137">
        <f t="shared" si="12"/>
        <v>160.71428564128573</v>
      </c>
      <c r="L45" s="227">
        <f>INDEX(Starter!A:A,ROW()-1)</f>
        <v>7087</v>
      </c>
      <c r="M45">
        <f>INDEX(SchnittGes2!M:M,MATCH(L45,SchnittGes2!L:L,0))+INDEX(Schnitt3!M:M,MATCH(L45,Schnitt3!L:L,0))</f>
        <v>4706</v>
      </c>
      <c r="N45">
        <f>INDEX(SchnittGes2!N:N,MATCH(L45,SchnittGes2!L:L,0))+INDEX(Schnitt3!N:N,MATCH(L45,Schnitt3!L:L,0))</f>
        <v>27</v>
      </c>
      <c r="O45">
        <f t="shared" si="7"/>
        <v>174.2962962512963</v>
      </c>
      <c r="P45">
        <f t="shared" si="8"/>
        <v>24</v>
      </c>
    </row>
    <row r="46" spans="1:16" x14ac:dyDescent="0.35">
      <c r="A46">
        <f t="shared" si="13"/>
        <v>42</v>
      </c>
      <c r="B46">
        <f t="shared" si="9"/>
        <v>7972</v>
      </c>
      <c r="C46" t="str">
        <f>IFERROR(INDEX(Starter!B:B,MATCH(B46,Starter!A:A,0)),"")</f>
        <v>Hödl, Renate</v>
      </c>
      <c r="D46" t="str">
        <f>IFERROR(INDEX(Starter!C:C,MATCH(B46,Starter!A:A,0)),"")</f>
        <v>BF Rot-Weiß Lichtenhof 69</v>
      </c>
      <c r="E46" s="102">
        <f t="shared" si="10"/>
        <v>3501</v>
      </c>
      <c r="F46">
        <f t="shared" si="11"/>
        <v>22</v>
      </c>
      <c r="G46" s="137">
        <f t="shared" si="12"/>
        <v>159.13636357636364</v>
      </c>
      <c r="L46" s="227">
        <f>INDEX(Starter!A:A,ROW()-1)</f>
        <v>16414</v>
      </c>
      <c r="M46">
        <f>INDEX(SchnittGes2!M:M,MATCH(L46,SchnittGes2!L:L,0))+INDEX(Schnitt3!M:M,MATCH(L46,Schnitt3!L:L,0))</f>
        <v>3969</v>
      </c>
      <c r="N46">
        <f>INDEX(SchnittGes2!N:N,MATCH(L46,SchnittGes2!L:L,0))+INDEX(Schnitt3!N:N,MATCH(L46,Schnitt3!L:L,0))</f>
        <v>24</v>
      </c>
      <c r="O46">
        <f t="shared" si="7"/>
        <v>165.374999954</v>
      </c>
      <c r="P46">
        <f t="shared" si="8"/>
        <v>33</v>
      </c>
    </row>
    <row r="47" spans="1:16" x14ac:dyDescent="0.35">
      <c r="A47">
        <f t="shared" si="13"/>
        <v>43</v>
      </c>
      <c r="B47">
        <f t="shared" si="9"/>
        <v>7903</v>
      </c>
      <c r="C47" t="str">
        <f>IFERROR(INDEX(Starter!B:B,MATCH(B47,Starter!A:A,0)),"")</f>
        <v>Spieler, Regina</v>
      </c>
      <c r="D47" t="str">
        <f>IFERROR(INDEX(Starter!C:C,MATCH(B47,Starter!A:A,0)),"")</f>
        <v>BC Praetoria</v>
      </c>
      <c r="E47" s="102">
        <f t="shared" si="10"/>
        <v>1426</v>
      </c>
      <c r="F47">
        <f t="shared" si="11"/>
        <v>9</v>
      </c>
      <c r="G47" s="137">
        <f t="shared" si="12"/>
        <v>158.44444443944445</v>
      </c>
      <c r="L47" s="227">
        <f>INDEX(Starter!A:A,ROW()-1)</f>
        <v>16713</v>
      </c>
      <c r="M47">
        <f>INDEX(SchnittGes2!M:M,MATCH(L47,SchnittGes2!L:L,0))+INDEX(Schnitt3!M:M,MATCH(L47,Schnitt3!L:L,0))</f>
        <v>0</v>
      </c>
      <c r="N47">
        <f>INDEX(SchnittGes2!N:N,MATCH(L47,SchnittGes2!L:L,0))+INDEX(Schnitt3!N:N,MATCH(L47,Schnitt3!L:L,0))</f>
        <v>0</v>
      </c>
      <c r="O47">
        <f t="shared" si="7"/>
        <v>0</v>
      </c>
      <c r="P47">
        <f t="shared" si="8"/>
        <v>51</v>
      </c>
    </row>
    <row r="48" spans="1:16" x14ac:dyDescent="0.35">
      <c r="A48">
        <f t="shared" si="13"/>
        <v>44</v>
      </c>
      <c r="B48">
        <f t="shared" si="9"/>
        <v>7991</v>
      </c>
      <c r="C48" t="str">
        <f>IFERROR(INDEX(Starter!B:B,MATCH(B48,Starter!A:A,0)),"")</f>
        <v>Strahl, Pakwipa</v>
      </c>
      <c r="D48" t="str">
        <f>IFERROR(INDEX(Starter!C:C,MATCH(B48,Starter!A:A,0)),"")</f>
        <v>BK München</v>
      </c>
      <c r="E48" s="102">
        <f t="shared" si="10"/>
        <v>792</v>
      </c>
      <c r="F48">
        <f t="shared" si="11"/>
        <v>5</v>
      </c>
      <c r="G48" s="137">
        <f t="shared" si="12"/>
        <v>158.39999997800001</v>
      </c>
      <c r="L48" s="227">
        <f>INDEX(Starter!A:A,ROW()-1)</f>
        <v>7541</v>
      </c>
      <c r="M48">
        <f>INDEX(SchnittGes2!M:M,MATCH(L48,SchnittGes2!L:L,0))+INDEX(Schnitt3!M:M,MATCH(L48,Schnitt3!L:L,0))</f>
        <v>0</v>
      </c>
      <c r="N48">
        <f>INDEX(SchnittGes2!N:N,MATCH(L48,SchnittGes2!L:L,0))+INDEX(Schnitt3!N:N,MATCH(L48,Schnitt3!L:L,0))</f>
        <v>0</v>
      </c>
      <c r="O48">
        <f t="shared" si="7"/>
        <v>0</v>
      </c>
      <c r="P48">
        <f t="shared" si="8"/>
        <v>51</v>
      </c>
    </row>
    <row r="49" spans="1:16" x14ac:dyDescent="0.35">
      <c r="A49">
        <f t="shared" si="13"/>
        <v>45</v>
      </c>
      <c r="B49">
        <f t="shared" si="9"/>
        <v>25551</v>
      </c>
      <c r="C49" t="str">
        <f>IFERROR(INDEX(Starter!B:B,MATCH(B49,Starter!A:A,0)),"")</f>
        <v>Wahl, Alexandra</v>
      </c>
      <c r="D49" t="str">
        <f>IFERROR(INDEX(Starter!C:C,MATCH(B49,Starter!A:A,0)),"")</f>
        <v>BF Rot-Weiß Lichtenhof 69</v>
      </c>
      <c r="E49" s="102">
        <f t="shared" si="10"/>
        <v>3928</v>
      </c>
      <c r="F49">
        <f t="shared" si="11"/>
        <v>25</v>
      </c>
      <c r="G49" s="137">
        <f t="shared" si="12"/>
        <v>157.11999994300001</v>
      </c>
      <c r="L49" s="227">
        <f>INDEX(Starter!A:A,ROW()-1)</f>
        <v>7546</v>
      </c>
      <c r="M49">
        <f>INDEX(SchnittGes2!M:M,MATCH(L49,SchnittGes2!L:L,0))+INDEX(Schnitt3!M:M,MATCH(L49,Schnitt3!L:L,0))</f>
        <v>1018</v>
      </c>
      <c r="N49">
        <f>INDEX(SchnittGes2!N:N,MATCH(L49,SchnittGes2!L:L,0))+INDEX(Schnitt3!N:N,MATCH(L49,Schnitt3!L:L,0))</f>
        <v>7</v>
      </c>
      <c r="O49">
        <f t="shared" si="7"/>
        <v>145.42857137957142</v>
      </c>
      <c r="P49">
        <f t="shared" si="8"/>
        <v>49</v>
      </c>
    </row>
    <row r="50" spans="1:16" x14ac:dyDescent="0.35">
      <c r="A50">
        <f t="shared" si="13"/>
        <v>46</v>
      </c>
      <c r="B50">
        <f t="shared" si="9"/>
        <v>16879</v>
      </c>
      <c r="C50" t="str">
        <f>IFERROR(INDEX(Starter!B:B,MATCH(B50,Starter!A:A,0)),"")</f>
        <v>Danzer, Andrea</v>
      </c>
      <c r="D50" t="str">
        <f>IFERROR(INDEX(Starter!C:C,MATCH(B50,Starter!A:A,0)),"")</f>
        <v>BK München</v>
      </c>
      <c r="E50" s="102">
        <f t="shared" si="10"/>
        <v>2033</v>
      </c>
      <c r="F50">
        <f t="shared" si="11"/>
        <v>13</v>
      </c>
      <c r="G50" s="137">
        <f t="shared" si="12"/>
        <v>156.38461536361538</v>
      </c>
      <c r="L50" s="227">
        <f>INDEX(Starter!A:A,ROW()-1)</f>
        <v>16953</v>
      </c>
      <c r="M50">
        <f>INDEX(SchnittGes2!M:M,MATCH(L50,SchnittGes2!L:L,0))+INDEX(Schnitt3!M:M,MATCH(L50,Schnitt3!L:L,0))</f>
        <v>0</v>
      </c>
      <c r="N50">
        <f>INDEX(SchnittGes2!N:N,MATCH(L50,SchnittGes2!L:L,0))+INDEX(Schnitt3!N:N,MATCH(L50,Schnitt3!L:L,0))</f>
        <v>0</v>
      </c>
      <c r="O50">
        <f t="shared" si="7"/>
        <v>0</v>
      </c>
      <c r="P50">
        <f t="shared" si="8"/>
        <v>51</v>
      </c>
    </row>
    <row r="51" spans="1:16" x14ac:dyDescent="0.35">
      <c r="A51">
        <f t="shared" si="13"/>
        <v>47</v>
      </c>
      <c r="B51">
        <f t="shared" si="9"/>
        <v>12850</v>
      </c>
      <c r="C51" t="str">
        <f>IFERROR(INDEX(Starter!B:B,MATCH(B51,Starter!A:A,0)),"")</f>
        <v>Müller, Angelika</v>
      </c>
      <c r="D51" t="str">
        <f>IFERROR(INDEX(Starter!C:C,MATCH(B51,Starter!A:A,0)),"")</f>
        <v>BK München</v>
      </c>
      <c r="E51" s="102">
        <f t="shared" si="10"/>
        <v>2807</v>
      </c>
      <c r="F51">
        <f t="shared" si="11"/>
        <v>18</v>
      </c>
      <c r="G51" s="137">
        <f t="shared" si="12"/>
        <v>155.94444442444447</v>
      </c>
      <c r="L51" s="227">
        <f>INDEX(Starter!A:A,ROW()-1)</f>
        <v>21185</v>
      </c>
      <c r="M51">
        <f>INDEX(SchnittGes2!M:M,MATCH(L51,SchnittGes2!L:L,0))+INDEX(Schnitt3!M:M,MATCH(L51,Schnitt3!L:L,0))</f>
        <v>2599</v>
      </c>
      <c r="N51">
        <f>INDEX(SchnittGes2!N:N,MATCH(L51,SchnittGes2!L:L,0))+INDEX(Schnitt3!N:N,MATCH(L51,Schnitt3!L:L,0))</f>
        <v>16</v>
      </c>
      <c r="O51">
        <f t="shared" si="7"/>
        <v>162.437499949</v>
      </c>
      <c r="P51">
        <f t="shared" si="8"/>
        <v>40</v>
      </c>
    </row>
    <row r="52" spans="1:16" x14ac:dyDescent="0.35">
      <c r="A52">
        <f t="shared" si="13"/>
        <v>48</v>
      </c>
      <c r="B52">
        <f t="shared" si="9"/>
        <v>7551</v>
      </c>
      <c r="C52" t="str">
        <f>IFERROR(INDEX(Starter!B:B,MATCH(B52,Starter!A:A,0)),"")</f>
        <v>Zehner, Gabriele</v>
      </c>
      <c r="D52" t="str">
        <f>IFERROR(INDEX(Starter!C:C,MATCH(B52,Starter!A:A,0)),"")</f>
        <v>BF Weiß-Blau</v>
      </c>
      <c r="E52" s="102">
        <f t="shared" si="10"/>
        <v>1698</v>
      </c>
      <c r="F52">
        <f t="shared" si="11"/>
        <v>11</v>
      </c>
      <c r="G52" s="137">
        <f t="shared" si="12"/>
        <v>154.36363631163638</v>
      </c>
      <c r="L52" s="227">
        <f>INDEX(Starter!A:A,ROW()-1)</f>
        <v>7551</v>
      </c>
      <c r="M52">
        <f>INDEX(SchnittGes2!M:M,MATCH(L52,SchnittGes2!L:L,0))+INDEX(Schnitt3!M:M,MATCH(L52,Schnitt3!L:L,0))</f>
        <v>1698</v>
      </c>
      <c r="N52">
        <f>INDEX(SchnittGes2!N:N,MATCH(L52,SchnittGes2!L:L,0))+INDEX(Schnitt3!N:N,MATCH(L52,Schnitt3!L:L,0))</f>
        <v>11</v>
      </c>
      <c r="O52">
        <f t="shared" si="7"/>
        <v>154.36363631163638</v>
      </c>
      <c r="P52">
        <f t="shared" si="8"/>
        <v>48</v>
      </c>
    </row>
    <row r="53" spans="1:16" x14ac:dyDescent="0.35">
      <c r="A53">
        <f t="shared" si="13"/>
        <v>49</v>
      </c>
      <c r="B53">
        <f t="shared" si="9"/>
        <v>7546</v>
      </c>
      <c r="C53" t="str">
        <f>IFERROR(INDEX(Starter!B:B,MATCH(B53,Starter!A:A,0)),"")</f>
        <v>Mc Fadden, Brigitte</v>
      </c>
      <c r="D53" t="str">
        <f>IFERROR(INDEX(Starter!C:C,MATCH(B53,Starter!A:A,0)),"")</f>
        <v>BF Weiß-Blau</v>
      </c>
      <c r="E53" s="102">
        <f t="shared" si="10"/>
        <v>1018</v>
      </c>
      <c r="F53">
        <f t="shared" si="11"/>
        <v>7</v>
      </c>
      <c r="G53" s="137">
        <f t="shared" si="12"/>
        <v>145.42857137957142</v>
      </c>
      <c r="L53" s="227">
        <f>INDEX(Starter!A:A,ROW()-1)</f>
        <v>16900</v>
      </c>
      <c r="M53">
        <f>INDEX(SchnittGes2!M:M,MATCH(L53,SchnittGes2!L:L,0))+INDEX(Schnitt3!M:M,MATCH(L53,Schnitt3!L:L,0))</f>
        <v>420</v>
      </c>
      <c r="N53">
        <f>INDEX(SchnittGes2!N:N,MATCH(L53,SchnittGes2!L:L,0))+INDEX(Schnitt3!N:N,MATCH(L53,Schnitt3!L:L,0))</f>
        <v>3</v>
      </c>
      <c r="O53">
        <f t="shared" si="7"/>
        <v>139.99999994699999</v>
      </c>
      <c r="P53">
        <f t="shared" si="8"/>
        <v>50</v>
      </c>
    </row>
    <row r="54" spans="1:16" x14ac:dyDescent="0.35">
      <c r="A54">
        <f t="shared" si="13"/>
        <v>50</v>
      </c>
      <c r="B54">
        <f t="shared" si="9"/>
        <v>16900</v>
      </c>
      <c r="C54" t="str">
        <f>IFERROR(INDEX(Starter!B:B,MATCH(B54,Starter!A:A,0)),"")</f>
        <v>Grom-Ruffershöfer, Ilse</v>
      </c>
      <c r="D54" t="str">
        <f>IFERROR(INDEX(Starter!C:C,MATCH(B54,Starter!A:A,0)),"")</f>
        <v>BC Phönix 03 Lauf</v>
      </c>
      <c r="E54" s="102">
        <f t="shared" si="10"/>
        <v>420</v>
      </c>
      <c r="F54">
        <f t="shared" si="11"/>
        <v>3</v>
      </c>
      <c r="G54" s="137">
        <f t="shared" si="12"/>
        <v>139.99999994699999</v>
      </c>
      <c r="L54" s="227">
        <f>INDEX(Starter!A:A,ROW()-1)</f>
        <v>7787</v>
      </c>
      <c r="M54">
        <f>INDEX(SchnittGes2!M:M,MATCH(L54,SchnittGes2!L:L,0))+INDEX(Schnitt3!M:M,MATCH(L54,Schnitt3!L:L,0))</f>
        <v>4025</v>
      </c>
      <c r="N54">
        <f>INDEX(SchnittGes2!N:N,MATCH(L54,SchnittGes2!L:L,0))+INDEX(Schnitt3!N:N,MATCH(L54,Schnitt3!L:L,0))</f>
        <v>24</v>
      </c>
      <c r="O54">
        <f t="shared" si="7"/>
        <v>167.70833327933335</v>
      </c>
      <c r="P54">
        <f t="shared" si="8"/>
        <v>29</v>
      </c>
    </row>
    <row r="55" spans="1:16" x14ac:dyDescent="0.35">
      <c r="A55" t="str">
        <f t="shared" si="13"/>
        <v/>
      </c>
      <c r="B55" t="str">
        <f t="shared" si="9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10"/>
        <v/>
      </c>
      <c r="F55" t="str">
        <f t="shared" si="11"/>
        <v/>
      </c>
      <c r="G55" s="137" t="str">
        <f t="shared" si="12"/>
        <v/>
      </c>
      <c r="L55" s="227">
        <f>INDEX(Starter!A:A,ROW()-1)</f>
        <v>7786</v>
      </c>
      <c r="M55">
        <f>INDEX(SchnittGes2!M:M,MATCH(L55,SchnittGes2!L:L,0))+INDEX(Schnitt3!M:M,MATCH(L55,Schnitt3!L:L,0))</f>
        <v>4789</v>
      </c>
      <c r="N55">
        <f>INDEX(SchnittGes2!N:N,MATCH(L55,SchnittGes2!L:L,0))+INDEX(Schnitt3!N:N,MATCH(L55,Schnitt3!L:L,0))</f>
        <v>27</v>
      </c>
      <c r="O55">
        <f t="shared" si="7"/>
        <v>177.37037031537039</v>
      </c>
      <c r="P55">
        <f t="shared" si="8"/>
        <v>20</v>
      </c>
    </row>
    <row r="56" spans="1:16" x14ac:dyDescent="0.35">
      <c r="A56" t="str">
        <f t="shared" si="13"/>
        <v/>
      </c>
      <c r="B56" t="str">
        <f t="shared" si="9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10"/>
        <v/>
      </c>
      <c r="F56" t="str">
        <f t="shared" si="11"/>
        <v/>
      </c>
      <c r="G56" s="137" t="str">
        <f t="shared" si="12"/>
        <v/>
      </c>
      <c r="L56" s="227">
        <f>INDEX(Starter!A:A,ROW()-1)</f>
        <v>7801</v>
      </c>
      <c r="M56">
        <f>INDEX(SchnittGes2!M:M,MATCH(L56,SchnittGes2!L:L,0))+INDEX(Schnitt3!M:M,MATCH(L56,Schnitt3!L:L,0))</f>
        <v>5270</v>
      </c>
      <c r="N56">
        <f>INDEX(SchnittGes2!N:N,MATCH(L56,SchnittGes2!L:L,0))+INDEX(Schnitt3!N:N,MATCH(L56,Schnitt3!L:L,0))</f>
        <v>27</v>
      </c>
      <c r="O56">
        <f t="shared" si="7"/>
        <v>195.18518512918519</v>
      </c>
      <c r="P56">
        <f t="shared" si="8"/>
        <v>1</v>
      </c>
    </row>
    <row r="57" spans="1:16" x14ac:dyDescent="0.35">
      <c r="A57" t="str">
        <f t="shared" si="13"/>
        <v/>
      </c>
      <c r="B57" t="str">
        <f t="shared" si="9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10"/>
        <v/>
      </c>
      <c r="F57" t="str">
        <f t="shared" si="11"/>
        <v/>
      </c>
      <c r="G57" s="137" t="str">
        <f t="shared" si="12"/>
        <v/>
      </c>
      <c r="L57" s="227">
        <f>INDEX(Starter!A:A,ROW()-1)</f>
        <v>25551</v>
      </c>
      <c r="M57">
        <f>INDEX(SchnittGes2!M:M,MATCH(L57,SchnittGes2!L:L,0))+INDEX(Schnitt3!M:M,MATCH(L57,Schnitt3!L:L,0))</f>
        <v>3928</v>
      </c>
      <c r="N57">
        <f>INDEX(SchnittGes2!N:N,MATCH(L57,SchnittGes2!L:L,0))+INDEX(Schnitt3!N:N,MATCH(L57,Schnitt3!L:L,0))</f>
        <v>25</v>
      </c>
      <c r="O57">
        <f t="shared" si="7"/>
        <v>157.11999994300001</v>
      </c>
      <c r="P57">
        <f t="shared" si="8"/>
        <v>45</v>
      </c>
    </row>
    <row r="58" spans="1:16" x14ac:dyDescent="0.35">
      <c r="A58" t="str">
        <f t="shared" si="13"/>
        <v/>
      </c>
      <c r="B58" t="str">
        <f t="shared" si="9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10"/>
        <v/>
      </c>
      <c r="F58" t="str">
        <f t="shared" si="11"/>
        <v/>
      </c>
      <c r="G58" s="137" t="str">
        <f t="shared" si="12"/>
        <v/>
      </c>
      <c r="L58" s="227">
        <f>INDEX(Starter!A:A,ROW()-1)</f>
        <v>25982</v>
      </c>
      <c r="M58">
        <f>INDEX(SchnittGes2!M:M,MATCH(L58,SchnittGes2!L:L,0))+INDEX(Schnitt3!M:M,MATCH(L58,Schnitt3!L:L,0))</f>
        <v>1565</v>
      </c>
      <c r="N58">
        <f>INDEX(SchnittGes2!N:N,MATCH(L58,SchnittGes2!L:L,0))+INDEX(Schnitt3!N:N,MATCH(L58,Schnitt3!L:L,0))</f>
        <v>9</v>
      </c>
      <c r="O58">
        <f t="shared" si="7"/>
        <v>173.88888883088887</v>
      </c>
      <c r="P58">
        <f t="shared" si="8"/>
        <v>25</v>
      </c>
    </row>
    <row r="59" spans="1:16" x14ac:dyDescent="0.35">
      <c r="A59" t="str">
        <f t="shared" si="13"/>
        <v/>
      </c>
      <c r="B59" t="str">
        <f t="shared" si="9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10"/>
        <v/>
      </c>
      <c r="F59" t="str">
        <f t="shared" si="11"/>
        <v/>
      </c>
      <c r="G59" s="137" t="str">
        <f t="shared" si="12"/>
        <v/>
      </c>
      <c r="L59" s="227">
        <f>INDEX(Starter!A:A,ROW()-1)</f>
        <v>38513</v>
      </c>
      <c r="M59">
        <f>INDEX(SchnittGes2!M:M,MATCH(L59,SchnittGes2!L:L,0))+INDEX(Schnitt3!M:M,MATCH(L59,Schnitt3!L:L,0))</f>
        <v>4112</v>
      </c>
      <c r="N59">
        <f>INDEX(SchnittGes2!N:N,MATCH(L59,SchnittGes2!L:L,0))+INDEX(Schnitt3!N:N,MATCH(L59,Schnitt3!L:L,0))</f>
        <v>25</v>
      </c>
      <c r="O59">
        <f t="shared" si="7"/>
        <v>164.47999994099999</v>
      </c>
      <c r="P59">
        <f t="shared" si="8"/>
        <v>36</v>
      </c>
    </row>
    <row r="60" spans="1:16" x14ac:dyDescent="0.35">
      <c r="A60" t="str">
        <f t="shared" si="13"/>
        <v/>
      </c>
      <c r="B60" t="str">
        <f t="shared" si="9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10"/>
        <v/>
      </c>
      <c r="F60" t="str">
        <f t="shared" si="11"/>
        <v/>
      </c>
      <c r="G60" s="137" t="str">
        <f t="shared" si="12"/>
        <v/>
      </c>
      <c r="L60" s="227">
        <f>INDEX(Starter!A:A,ROW()-1)</f>
        <v>7972</v>
      </c>
      <c r="M60">
        <f>INDEX(SchnittGes2!M:M,MATCH(L60,SchnittGes2!L:L,0))+INDEX(Schnitt3!M:M,MATCH(L60,Schnitt3!L:L,0))</f>
        <v>3501</v>
      </c>
      <c r="N60">
        <f>INDEX(SchnittGes2!N:N,MATCH(L60,SchnittGes2!L:L,0))+INDEX(Schnitt3!N:N,MATCH(L60,Schnitt3!L:L,0))</f>
        <v>22</v>
      </c>
      <c r="O60">
        <f t="shared" si="7"/>
        <v>159.13636357636364</v>
      </c>
      <c r="P60">
        <f t="shared" si="8"/>
        <v>42</v>
      </c>
    </row>
    <row r="61" spans="1:16" x14ac:dyDescent="0.35">
      <c r="A61" t="str">
        <f t="shared" si="13"/>
        <v/>
      </c>
      <c r="B61" t="str">
        <f t="shared" si="9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10"/>
        <v/>
      </c>
      <c r="F61" t="str">
        <f t="shared" si="11"/>
        <v/>
      </c>
      <c r="G61" s="137" t="str">
        <f t="shared" si="12"/>
        <v/>
      </c>
      <c r="L61" s="227">
        <f>INDEX(Starter!A:A,ROW()-1)</f>
        <v>7976</v>
      </c>
      <c r="M61">
        <f>INDEX(SchnittGes2!M:M,MATCH(L61,SchnittGes2!L:L,0))+INDEX(Schnitt3!M:M,MATCH(L61,Schnitt3!L:L,0))</f>
        <v>4803</v>
      </c>
      <c r="N61">
        <f>INDEX(SchnittGes2!N:N,MATCH(L61,SchnittGes2!L:L,0))+INDEX(Schnitt3!N:N,MATCH(L61,Schnitt3!L:L,0))</f>
        <v>27</v>
      </c>
      <c r="O61">
        <f t="shared" si="7"/>
        <v>177.88888882788888</v>
      </c>
      <c r="P61">
        <f t="shared" si="8"/>
        <v>18</v>
      </c>
    </row>
    <row r="62" spans="1:16" x14ac:dyDescent="0.35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10"/>
        <v/>
      </c>
      <c r="F62" t="str">
        <f t="shared" si="11"/>
        <v/>
      </c>
      <c r="G62" s="137" t="str">
        <f t="shared" si="12"/>
        <v/>
      </c>
      <c r="L62" s="227">
        <f>INDEX(Starter!A:A,ROW()-1)</f>
        <v>7977</v>
      </c>
      <c r="M62">
        <f>INDEX(SchnittGes2!M:M,MATCH(L62,SchnittGes2!L:L,0))+INDEX(Schnitt3!M:M,MATCH(L62,Schnitt3!L:L,0))</f>
        <v>0</v>
      </c>
      <c r="N62">
        <f>INDEX(SchnittGes2!N:N,MATCH(L62,SchnittGes2!L:L,0))+INDEX(Schnitt3!N:N,MATCH(L62,Schnitt3!L:L,0))</f>
        <v>0</v>
      </c>
      <c r="O62">
        <f t="shared" si="7"/>
        <v>0</v>
      </c>
      <c r="P62">
        <f t="shared" si="8"/>
        <v>51</v>
      </c>
    </row>
    <row r="63" spans="1:16" x14ac:dyDescent="0.3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10"/>
        <v/>
      </c>
      <c r="F63" t="str">
        <f t="shared" si="11"/>
        <v/>
      </c>
      <c r="G63" s="137" t="str">
        <f t="shared" si="12"/>
        <v/>
      </c>
      <c r="L63" s="227">
        <f>INDEX(Starter!A:A,ROW()-1)</f>
        <v>7975</v>
      </c>
      <c r="M63">
        <f>INDEX(SchnittGes2!M:M,MATCH(L63,SchnittGes2!L:L,0))+INDEX(Schnitt3!M:M,MATCH(L63,Schnitt3!L:L,0))</f>
        <v>0</v>
      </c>
      <c r="N63">
        <f>INDEX(SchnittGes2!N:N,MATCH(L63,SchnittGes2!L:L,0))+INDEX(Schnitt3!N:N,MATCH(L63,Schnitt3!L:L,0))</f>
        <v>0</v>
      </c>
      <c r="O63">
        <f t="shared" si="7"/>
        <v>0</v>
      </c>
      <c r="P63">
        <f t="shared" si="8"/>
        <v>51</v>
      </c>
    </row>
    <row r="64" spans="1:16" x14ac:dyDescent="0.3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16475</v>
      </c>
      <c r="M64">
        <f>INDEX(SchnittGes2!M:M,MATCH(L64,SchnittGes2!L:L,0))+INDEX(Schnitt3!M:M,MATCH(L64,Schnitt3!L:L,0))</f>
        <v>0</v>
      </c>
      <c r="N64">
        <f>INDEX(SchnittGes2!N:N,MATCH(L64,SchnittGes2!L:L,0))+INDEX(Schnitt3!N:N,MATCH(L64,Schnitt3!L:L,0))</f>
        <v>0</v>
      </c>
      <c r="O64">
        <f t="shared" si="7"/>
        <v>0</v>
      </c>
      <c r="P64">
        <f t="shared" si="8"/>
        <v>51</v>
      </c>
    </row>
    <row r="65" spans="1:16" x14ac:dyDescent="0.3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38458</v>
      </c>
      <c r="M65">
        <f>INDEX(SchnittGes2!M:M,MATCH(L65,SchnittGes2!L:L,0))+INDEX(Schnitt3!M:M,MATCH(L65,Schnitt3!L:L,0))</f>
        <v>4143</v>
      </c>
      <c r="N65">
        <f>INDEX(SchnittGes2!N:N,MATCH(L65,SchnittGes2!L:L,0))+INDEX(Schnitt3!N:N,MATCH(L65,Schnitt3!L:L,0))</f>
        <v>22</v>
      </c>
      <c r="O65">
        <f t="shared" si="7"/>
        <v>188.31818175318182</v>
      </c>
      <c r="P65">
        <f t="shared" si="8"/>
        <v>3</v>
      </c>
    </row>
    <row r="66" spans="1:16" x14ac:dyDescent="0.3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25808</v>
      </c>
      <c r="M66">
        <f>INDEX(SchnittGes2!M:M,MATCH(L66,SchnittGes2!L:L,0))+INDEX(Schnitt3!M:M,MATCH(L66,Schnitt3!L:L,0))</f>
        <v>0</v>
      </c>
      <c r="N66">
        <f>INDEX(SchnittGes2!N:N,MATCH(L66,SchnittGes2!L:L,0))+INDEX(Schnitt3!N:N,MATCH(L66,Schnitt3!L:L,0))</f>
        <v>0</v>
      </c>
      <c r="O66">
        <f t="shared" si="7"/>
        <v>0</v>
      </c>
      <c r="P66">
        <f t="shared" ref="P66:P97" si="14">RANK(O66,O:O)</f>
        <v>51</v>
      </c>
    </row>
    <row r="67" spans="1:16" x14ac:dyDescent="0.3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38210</v>
      </c>
      <c r="M67">
        <f>INDEX(SchnittGes2!M:M,MATCH(L67,SchnittGes2!L:L,0))+INDEX(Schnitt3!M:M,MATCH(L67,Schnitt3!L:L,0))</f>
        <v>3299</v>
      </c>
      <c r="N67">
        <f>INDEX(SchnittGes2!N:N,MATCH(L67,SchnittGes2!L:L,0))+INDEX(Schnitt3!N:N,MATCH(L67,Schnitt3!L:L,0))</f>
        <v>20</v>
      </c>
      <c r="O67">
        <f t="shared" si="7"/>
        <v>164.94999993299999</v>
      </c>
      <c r="P67">
        <f t="shared" si="14"/>
        <v>35</v>
      </c>
    </row>
    <row r="68" spans="1:16" x14ac:dyDescent="0.3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7549</v>
      </c>
      <c r="M68">
        <f>INDEX(SchnittGes2!M:M,MATCH(L68,SchnittGes2!L:L,0))+INDEX(Schnitt3!M:M,MATCH(L68,Schnitt3!L:L,0))</f>
        <v>2465</v>
      </c>
      <c r="N68">
        <f>INDEX(SchnittGes2!N:N,MATCH(L68,SchnittGes2!L:L,0))+INDEX(Schnitt3!N:N,MATCH(L68,Schnitt3!L:L,0))</f>
        <v>14</v>
      </c>
      <c r="O68">
        <f t="shared" si="7"/>
        <v>176.07142850342859</v>
      </c>
      <c r="P68">
        <f t="shared" si="14"/>
        <v>22</v>
      </c>
    </row>
    <row r="69" spans="1:16" x14ac:dyDescent="0.3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INDEX(SchnittGes2!M:M,MATCH(L69,SchnittGes2!L:L,0))+INDEX(Schnitt3!M:M,MATCH(L69,Schnitt3!L:L,0))</f>
        <v>4501</v>
      </c>
      <c r="N69">
        <f>INDEX(SchnittGes2!N:N,MATCH(L69,SchnittGes2!L:L,0))+INDEX(Schnitt3!N:N,MATCH(L69,Schnitt3!L:L,0))</f>
        <v>25</v>
      </c>
      <c r="O69">
        <f t="shared" si="7"/>
        <v>180.03999993099998</v>
      </c>
      <c r="P69">
        <f t="shared" si="14"/>
        <v>12</v>
      </c>
    </row>
    <row r="70" spans="1:16" x14ac:dyDescent="0.3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INDEX(SchnittGes2!M:M,MATCH(L70,SchnittGes2!L:L,0))+INDEX(Schnitt3!M:M,MATCH(L70,Schnitt3!L:L,0))</f>
        <v>4553</v>
      </c>
      <c r="N70">
        <f>INDEX(SchnittGes2!N:N,MATCH(L70,SchnittGes2!L:L,0))+INDEX(Schnitt3!N:N,MATCH(L70,Schnitt3!L:L,0))</f>
        <v>24</v>
      </c>
      <c r="O70">
        <f t="shared" si="7"/>
        <v>189.70833326333334</v>
      </c>
      <c r="P70">
        <f t="shared" si="14"/>
        <v>2</v>
      </c>
    </row>
    <row r="71" spans="1:16" x14ac:dyDescent="0.3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INDEX(SchnittGes2!M:M,MATCH(L71,SchnittGes2!L:L,0))+INDEX(Schnitt3!M:M,MATCH(L71,Schnitt3!L:L,0))</f>
        <v>4437</v>
      </c>
      <c r="N71">
        <f>INDEX(SchnittGes2!N:N,MATCH(L71,SchnittGes2!L:L,0))+INDEX(Schnitt3!N:N,MATCH(L71,Schnitt3!L:L,0))</f>
        <v>25</v>
      </c>
      <c r="O71">
        <f t="shared" si="7"/>
        <v>177.479999929</v>
      </c>
      <c r="P71">
        <f t="shared" si="14"/>
        <v>19</v>
      </c>
    </row>
    <row r="72" spans="1:16" x14ac:dyDescent="0.3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INDEX(SchnittGes2!M:M,MATCH(L72,SchnittGes2!L:L,0))+INDEX(Schnitt3!M:M,MATCH(L72,Schnitt3!L:L,0))</f>
        <v>2033</v>
      </c>
      <c r="N72">
        <f>INDEX(SchnittGes2!N:N,MATCH(L72,SchnittGes2!L:L,0))+INDEX(Schnitt3!N:N,MATCH(L72,Schnitt3!L:L,0))</f>
        <v>12</v>
      </c>
      <c r="O72">
        <f t="shared" si="7"/>
        <v>169.41666659466665</v>
      </c>
      <c r="P72">
        <f t="shared" si="14"/>
        <v>28</v>
      </c>
    </row>
    <row r="73" spans="1:16" x14ac:dyDescent="0.3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INDEX(SchnittGes2!M:M,MATCH(L73,SchnittGes2!L:L,0))+INDEX(Schnitt3!M:M,MATCH(L73,Schnitt3!L:L,0))</f>
        <v>1125</v>
      </c>
      <c r="N73">
        <f>INDEX(SchnittGes2!N:N,MATCH(L73,SchnittGes2!L:L,0))+INDEX(Schnitt3!N:N,MATCH(L73,Schnitt3!L:L,0))</f>
        <v>7</v>
      </c>
      <c r="O73">
        <f t="shared" si="7"/>
        <v>160.71428564128573</v>
      </c>
      <c r="P73">
        <f t="shared" si="14"/>
        <v>41</v>
      </c>
    </row>
    <row r="74" spans="1:16" x14ac:dyDescent="0.3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38607</v>
      </c>
      <c r="M74">
        <f>INDEX(SchnittGes2!M:M,MATCH(L74,SchnittGes2!L:L,0))+INDEX(Schnitt3!M:M,MATCH(L74,Schnitt3!L:L,0))</f>
        <v>0</v>
      </c>
      <c r="N74">
        <f>INDEX(SchnittGes2!N:N,MATCH(L74,SchnittGes2!L:L,0))+INDEX(Schnitt3!N:N,MATCH(L74,Schnitt3!L:L,0))</f>
        <v>0</v>
      </c>
      <c r="O74">
        <f t="shared" si="7"/>
        <v>0</v>
      </c>
      <c r="P74">
        <f t="shared" si="14"/>
        <v>51</v>
      </c>
    </row>
    <row r="75" spans="1:16" x14ac:dyDescent="0.3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INDEX(SchnittGes2!M:M,MATCH(L75,SchnittGes2!L:L,0))+INDEX(Schnitt3!M:M,MATCH(L75,Schnitt3!L:L,0))</f>
        <v>0</v>
      </c>
      <c r="N75">
        <f>INDEX(SchnittGes2!N:N,MATCH(L75,SchnittGes2!L:L,0))+INDEX(Schnitt3!N:N,MATCH(L75,Schnitt3!L:L,0))</f>
        <v>0</v>
      </c>
      <c r="O75">
        <f t="shared" si="7"/>
        <v>0</v>
      </c>
      <c r="P75">
        <f t="shared" si="14"/>
        <v>51</v>
      </c>
    </row>
    <row r="76" spans="1:16" x14ac:dyDescent="0.3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INDEX(SchnittGes2!M:M,MATCH(L76,SchnittGes2!L:L,0))+INDEX(Schnitt3!M:M,MATCH(L76,Schnitt3!L:L,0))</f>
        <v>0</v>
      </c>
      <c r="N76">
        <f>INDEX(SchnittGes2!N:N,MATCH(L76,SchnittGes2!L:L,0))+INDEX(Schnitt3!N:N,MATCH(L76,Schnitt3!L:L,0))</f>
        <v>0</v>
      </c>
      <c r="O76">
        <f t="shared" ref="O76:O104" si="20">IF(N76=0,0,M76/N76-ROW()/1000000000)</f>
        <v>0</v>
      </c>
      <c r="P76">
        <f t="shared" si="14"/>
        <v>51</v>
      </c>
    </row>
    <row r="77" spans="1:16" x14ac:dyDescent="0.3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INDEX(SchnittGes2!M:M,MATCH(L77,SchnittGes2!L:L,0))+INDEX(Schnitt3!M:M,MATCH(L77,Schnitt3!L:L,0))</f>
        <v>0</v>
      </c>
      <c r="N77">
        <f>INDEX(SchnittGes2!N:N,MATCH(L77,SchnittGes2!L:L,0))+INDEX(Schnitt3!N:N,MATCH(L77,Schnitt3!L:L,0))</f>
        <v>0</v>
      </c>
      <c r="O77">
        <f t="shared" si="20"/>
        <v>0</v>
      </c>
      <c r="P77">
        <f t="shared" si="14"/>
        <v>51</v>
      </c>
    </row>
    <row r="78" spans="1:16" x14ac:dyDescent="0.3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INDEX(SchnittGes2!M:M,MATCH(L78,SchnittGes2!L:L,0))+INDEX(Schnitt3!M:M,MATCH(L78,Schnitt3!L:L,0))</f>
        <v>0</v>
      </c>
      <c r="N78">
        <f>INDEX(SchnittGes2!N:N,MATCH(L78,SchnittGes2!L:L,0))+INDEX(Schnitt3!N:N,MATCH(L78,Schnitt3!L:L,0))</f>
        <v>0</v>
      </c>
      <c r="O78">
        <f t="shared" si="20"/>
        <v>0</v>
      </c>
      <c r="P78">
        <f t="shared" si="14"/>
        <v>51</v>
      </c>
    </row>
    <row r="79" spans="1:16" x14ac:dyDescent="0.3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INDEX(SchnittGes2!M:M,MATCH(L79,SchnittGes2!L:L,0))+INDEX(Schnitt3!M:M,MATCH(L79,Schnitt3!L:L,0))</f>
        <v>0</v>
      </c>
      <c r="N79">
        <f>INDEX(SchnittGes2!N:N,MATCH(L79,SchnittGes2!L:L,0))+INDEX(Schnitt3!N:N,MATCH(L79,Schnitt3!L:L,0))</f>
        <v>0</v>
      </c>
      <c r="O79">
        <f t="shared" si="20"/>
        <v>0</v>
      </c>
      <c r="P79">
        <f t="shared" si="14"/>
        <v>51</v>
      </c>
    </row>
    <row r="80" spans="1:16" x14ac:dyDescent="0.3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INDEX(SchnittGes2!M:M,MATCH(L80,SchnittGes2!L:L,0))+INDEX(Schnitt3!M:M,MATCH(L80,Schnitt3!L:L,0))</f>
        <v>0</v>
      </c>
      <c r="N80">
        <f>INDEX(SchnittGes2!N:N,MATCH(L80,SchnittGes2!L:L,0))+INDEX(Schnitt3!N:N,MATCH(L80,Schnitt3!L:L,0))</f>
        <v>0</v>
      </c>
      <c r="O80">
        <f t="shared" si="20"/>
        <v>0</v>
      </c>
      <c r="P80">
        <f t="shared" si="14"/>
        <v>51</v>
      </c>
    </row>
    <row r="81" spans="1:16" x14ac:dyDescent="0.3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INDEX(SchnittGes2!M:M,MATCH(L81,SchnittGes2!L:L,0))+INDEX(Schnitt3!M:M,MATCH(L81,Schnitt3!L:L,0))</f>
        <v>0</v>
      </c>
      <c r="N81">
        <f>INDEX(SchnittGes2!N:N,MATCH(L81,SchnittGes2!L:L,0))+INDEX(Schnitt3!N:N,MATCH(L81,Schnitt3!L:L,0))</f>
        <v>0</v>
      </c>
      <c r="O81">
        <f t="shared" si="20"/>
        <v>0</v>
      </c>
      <c r="P81">
        <f t="shared" si="14"/>
        <v>51</v>
      </c>
    </row>
    <row r="82" spans="1:16" x14ac:dyDescent="0.3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INDEX(SchnittGes2!M:M,MATCH(L82,SchnittGes2!L:L,0))+INDEX(Schnitt3!M:M,MATCH(L82,Schnitt3!L:L,0))</f>
        <v>0</v>
      </c>
      <c r="N82">
        <f>INDEX(SchnittGes2!N:N,MATCH(L82,SchnittGes2!L:L,0))+INDEX(Schnitt3!N:N,MATCH(L82,Schnitt3!L:L,0))</f>
        <v>0</v>
      </c>
      <c r="O82">
        <f t="shared" si="20"/>
        <v>0</v>
      </c>
      <c r="P82">
        <f t="shared" si="14"/>
        <v>51</v>
      </c>
    </row>
    <row r="83" spans="1:16" x14ac:dyDescent="0.3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INDEX(SchnittGes2!M:M,MATCH(L83,SchnittGes2!L:L,0))+INDEX(Schnitt3!M:M,MATCH(L83,Schnitt3!L:L,0))</f>
        <v>0</v>
      </c>
      <c r="N83">
        <f>INDEX(SchnittGes2!N:N,MATCH(L83,SchnittGes2!L:L,0))+INDEX(Schnitt3!N:N,MATCH(L83,Schnitt3!L:L,0))</f>
        <v>0</v>
      </c>
      <c r="O83">
        <f t="shared" si="20"/>
        <v>0</v>
      </c>
      <c r="P83">
        <f t="shared" si="14"/>
        <v>51</v>
      </c>
    </row>
    <row r="84" spans="1:16" x14ac:dyDescent="0.3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INDEX(SchnittGes2!M:M,MATCH(L84,SchnittGes2!L:L,0))+INDEX(Schnitt3!M:M,MATCH(L84,Schnitt3!L:L,0))</f>
        <v>0</v>
      </c>
      <c r="N84">
        <f>INDEX(SchnittGes2!N:N,MATCH(L84,SchnittGes2!L:L,0))+INDEX(Schnitt3!N:N,MATCH(L84,Schnitt3!L:L,0))</f>
        <v>0</v>
      </c>
      <c r="O84">
        <f t="shared" si="20"/>
        <v>0</v>
      </c>
      <c r="P84">
        <f t="shared" si="14"/>
        <v>51</v>
      </c>
    </row>
    <row r="85" spans="1:16" x14ac:dyDescent="0.3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INDEX(SchnittGes2!M:M,MATCH(L85,SchnittGes2!L:L,0))+INDEX(Schnitt3!M:M,MATCH(L85,Schnitt3!L:L,0))</f>
        <v>0</v>
      </c>
      <c r="N85">
        <f>INDEX(SchnittGes2!N:N,MATCH(L85,SchnittGes2!L:L,0))+INDEX(Schnitt3!N:N,MATCH(L85,Schnitt3!L:L,0))</f>
        <v>0</v>
      </c>
      <c r="O85">
        <f t="shared" si="20"/>
        <v>0</v>
      </c>
      <c r="P85">
        <f t="shared" si="14"/>
        <v>51</v>
      </c>
    </row>
    <row r="86" spans="1:16" x14ac:dyDescent="0.3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INDEX(SchnittGes2!M:M,MATCH(L86,SchnittGes2!L:L,0))+INDEX(Schnitt3!M:M,MATCH(L86,Schnitt3!L:L,0))</f>
        <v>0</v>
      </c>
      <c r="N86">
        <f>INDEX(SchnittGes2!N:N,MATCH(L86,SchnittGes2!L:L,0))+INDEX(Schnitt3!N:N,MATCH(L86,Schnitt3!L:L,0))</f>
        <v>0</v>
      </c>
      <c r="O86">
        <f t="shared" si="20"/>
        <v>0</v>
      </c>
      <c r="P86">
        <f t="shared" si="14"/>
        <v>51</v>
      </c>
    </row>
    <row r="87" spans="1:16" x14ac:dyDescent="0.3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INDEX(SchnittGes2!M:M,MATCH(L87,SchnittGes2!L:L,0))+INDEX(Schnitt3!M:M,MATCH(L87,Schnitt3!L:L,0))</f>
        <v>0</v>
      </c>
      <c r="N87">
        <f>INDEX(SchnittGes2!N:N,MATCH(L87,SchnittGes2!L:L,0))+INDEX(Schnitt3!N:N,MATCH(L87,Schnitt3!L:L,0))</f>
        <v>0</v>
      </c>
      <c r="O87">
        <f t="shared" si="20"/>
        <v>0</v>
      </c>
      <c r="P87">
        <f t="shared" si="14"/>
        <v>51</v>
      </c>
    </row>
    <row r="88" spans="1:16" x14ac:dyDescent="0.3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INDEX(SchnittGes2!M:M,MATCH(L88,SchnittGes2!L:L,0))+INDEX(Schnitt3!M:M,MATCH(L88,Schnitt3!L:L,0))</f>
        <v>0</v>
      </c>
      <c r="N88">
        <f>INDEX(SchnittGes2!N:N,MATCH(L88,SchnittGes2!L:L,0))+INDEX(Schnitt3!N:N,MATCH(L88,Schnitt3!L:L,0))</f>
        <v>0</v>
      </c>
      <c r="O88">
        <f t="shared" si="20"/>
        <v>0</v>
      </c>
      <c r="P88">
        <f t="shared" si="14"/>
        <v>51</v>
      </c>
    </row>
    <row r="89" spans="1:16" x14ac:dyDescent="0.3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INDEX(SchnittGes2!M:M,MATCH(L89,SchnittGes2!L:L,0))+INDEX(Schnitt3!M:M,MATCH(L89,Schnitt3!L:L,0))</f>
        <v>0</v>
      </c>
      <c r="N89">
        <f>INDEX(SchnittGes2!N:N,MATCH(L89,SchnittGes2!L:L,0))+INDEX(Schnitt3!N:N,MATCH(L89,Schnitt3!L:L,0))</f>
        <v>0</v>
      </c>
      <c r="O89">
        <f t="shared" si="20"/>
        <v>0</v>
      </c>
      <c r="P89">
        <f t="shared" si="14"/>
        <v>51</v>
      </c>
    </row>
    <row r="90" spans="1:16" x14ac:dyDescent="0.3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INDEX(SchnittGes2!M:M,MATCH(L90,SchnittGes2!L:L,0))+INDEX(Schnitt3!M:M,MATCH(L90,Schnitt3!L:L,0))</f>
        <v>0</v>
      </c>
      <c r="N90">
        <f>INDEX(SchnittGes2!N:N,MATCH(L90,SchnittGes2!L:L,0))+INDEX(Schnitt3!N:N,MATCH(L90,Schnitt3!L:L,0))</f>
        <v>0</v>
      </c>
      <c r="O90">
        <f t="shared" si="20"/>
        <v>0</v>
      </c>
      <c r="P90">
        <f t="shared" si="14"/>
        <v>51</v>
      </c>
    </row>
    <row r="91" spans="1:16" x14ac:dyDescent="0.3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INDEX(SchnittGes2!M:M,MATCH(L91,SchnittGes2!L:L,0))+INDEX(Schnitt3!M:M,MATCH(L91,Schnitt3!L:L,0))</f>
        <v>0</v>
      </c>
      <c r="N91">
        <f>INDEX(SchnittGes2!N:N,MATCH(L91,SchnittGes2!L:L,0))+INDEX(Schnitt3!N:N,MATCH(L91,Schnitt3!L:L,0))</f>
        <v>0</v>
      </c>
      <c r="O91">
        <f t="shared" si="20"/>
        <v>0</v>
      </c>
      <c r="P91">
        <f t="shared" si="14"/>
        <v>51</v>
      </c>
    </row>
    <row r="92" spans="1:16" x14ac:dyDescent="0.3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INDEX(SchnittGes2!M:M,MATCH(L92,SchnittGes2!L:L,0))+INDEX(Schnitt3!M:M,MATCH(L92,Schnitt3!L:L,0))</f>
        <v>0</v>
      </c>
      <c r="N92">
        <f>INDEX(SchnittGes2!N:N,MATCH(L92,SchnittGes2!L:L,0))+INDEX(Schnitt3!N:N,MATCH(L92,Schnitt3!L:L,0))</f>
        <v>0</v>
      </c>
      <c r="O92">
        <f t="shared" si="20"/>
        <v>0</v>
      </c>
      <c r="P92">
        <f t="shared" si="14"/>
        <v>51</v>
      </c>
    </row>
    <row r="93" spans="1:16" x14ac:dyDescent="0.3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INDEX(SchnittGes2!M:M,MATCH(L93,SchnittGes2!L:L,0))+INDEX(Schnitt3!M:M,MATCH(L93,Schnitt3!L:L,0))</f>
        <v>0</v>
      </c>
      <c r="N93">
        <f>INDEX(SchnittGes2!N:N,MATCH(L93,SchnittGes2!L:L,0))+INDEX(Schnitt3!N:N,MATCH(L93,Schnitt3!L:L,0))</f>
        <v>0</v>
      </c>
      <c r="O93">
        <f t="shared" si="20"/>
        <v>0</v>
      </c>
      <c r="P93">
        <f t="shared" si="14"/>
        <v>51</v>
      </c>
    </row>
    <row r="94" spans="1:16" x14ac:dyDescent="0.3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INDEX(SchnittGes2!M:M,MATCH(L94,SchnittGes2!L:L,0))+INDEX(Schnitt3!M:M,MATCH(L94,Schnitt3!L:L,0))</f>
        <v>0</v>
      </c>
      <c r="N94">
        <f>INDEX(SchnittGes2!N:N,MATCH(L94,SchnittGes2!L:L,0))+INDEX(Schnitt3!N:N,MATCH(L94,Schnitt3!L:L,0))</f>
        <v>0</v>
      </c>
      <c r="O94">
        <f t="shared" si="20"/>
        <v>0</v>
      </c>
      <c r="P94">
        <f t="shared" si="14"/>
        <v>51</v>
      </c>
    </row>
    <row r="95" spans="1:16" x14ac:dyDescent="0.3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INDEX(SchnittGes2!M:M,MATCH(L95,SchnittGes2!L:L,0))+INDEX(Schnitt3!M:M,MATCH(L95,Schnitt3!L:L,0))</f>
        <v>0</v>
      </c>
      <c r="N95">
        <f>INDEX(SchnittGes2!N:N,MATCH(L95,SchnittGes2!L:L,0))+INDEX(Schnitt3!N:N,MATCH(L95,Schnitt3!L:L,0))</f>
        <v>0</v>
      </c>
      <c r="O95">
        <f t="shared" si="20"/>
        <v>0</v>
      </c>
      <c r="P95">
        <f t="shared" si="14"/>
        <v>51</v>
      </c>
    </row>
    <row r="96" spans="1:16" x14ac:dyDescent="0.3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INDEX(SchnittGes2!M:M,MATCH(L96,SchnittGes2!L:L,0))+INDEX(Schnitt3!M:M,MATCH(L96,Schnitt3!L:L,0))</f>
        <v>0</v>
      </c>
      <c r="N96">
        <f>INDEX(SchnittGes2!N:N,MATCH(L96,SchnittGes2!L:L,0))+INDEX(Schnitt3!N:N,MATCH(L96,Schnitt3!L:L,0))</f>
        <v>0</v>
      </c>
      <c r="O96">
        <f t="shared" si="20"/>
        <v>0</v>
      </c>
      <c r="P96">
        <f t="shared" si="14"/>
        <v>51</v>
      </c>
    </row>
    <row r="97" spans="1:16" x14ac:dyDescent="0.3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INDEX(SchnittGes2!M:M,MATCH(L97,SchnittGes2!L:L,0))+INDEX(Schnitt3!M:M,MATCH(L97,Schnitt3!L:L,0))</f>
        <v>0</v>
      </c>
      <c r="N97">
        <f>INDEX(SchnittGes2!N:N,MATCH(L97,SchnittGes2!L:L,0))+INDEX(Schnitt3!N:N,MATCH(L97,Schnitt3!L:L,0))</f>
        <v>0</v>
      </c>
      <c r="O97">
        <f t="shared" si="20"/>
        <v>0</v>
      </c>
      <c r="P97">
        <f t="shared" si="14"/>
        <v>51</v>
      </c>
    </row>
    <row r="98" spans="1:16" x14ac:dyDescent="0.3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INDEX(SchnittGes2!M:M,MATCH(L98,SchnittGes2!L:L,0))+INDEX(Schnitt3!M:M,MATCH(L98,Schnitt3!L:L,0))</f>
        <v>0</v>
      </c>
      <c r="N98">
        <f>INDEX(SchnittGes2!N:N,MATCH(L98,SchnittGes2!L:L,0))+INDEX(Schnitt3!N:N,MATCH(L98,Schnitt3!L:L,0))</f>
        <v>0</v>
      </c>
      <c r="O98">
        <f t="shared" si="20"/>
        <v>0</v>
      </c>
      <c r="P98">
        <f t="shared" ref="P98:P104" si="21">RANK(O98,O:O)</f>
        <v>51</v>
      </c>
    </row>
    <row r="99" spans="1:16" x14ac:dyDescent="0.3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INDEX(SchnittGes2!M:M,MATCH(L99,SchnittGes2!L:L,0))+INDEX(Schnitt3!M:M,MATCH(L99,Schnitt3!L:L,0))</f>
        <v>0</v>
      </c>
      <c r="N99">
        <f>INDEX(SchnittGes2!N:N,MATCH(L99,SchnittGes2!L:L,0))+INDEX(Schnitt3!N:N,MATCH(L99,Schnitt3!L:L,0))</f>
        <v>0</v>
      </c>
      <c r="O99">
        <f t="shared" si="20"/>
        <v>0</v>
      </c>
      <c r="P99">
        <f t="shared" si="21"/>
        <v>51</v>
      </c>
    </row>
    <row r="100" spans="1:16" x14ac:dyDescent="0.3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INDEX(SchnittGes2!M:M,MATCH(L100,SchnittGes2!L:L,0))+INDEX(Schnitt3!M:M,MATCH(L100,Schnitt3!L:L,0))</f>
        <v>0</v>
      </c>
      <c r="N100">
        <f>INDEX(SchnittGes2!N:N,MATCH(L100,SchnittGes2!L:L,0))+INDEX(Schnitt3!N:N,MATCH(L100,Schnitt3!L:L,0))</f>
        <v>0</v>
      </c>
      <c r="O100">
        <f t="shared" si="20"/>
        <v>0</v>
      </c>
      <c r="P100">
        <f t="shared" si="21"/>
        <v>51</v>
      </c>
    </row>
    <row r="101" spans="1:16" x14ac:dyDescent="0.3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INDEX(SchnittGes2!M:M,MATCH(L101,SchnittGes2!L:L,0))+INDEX(Schnitt3!M:M,MATCH(L101,Schnitt3!L:L,0))</f>
        <v>0</v>
      </c>
      <c r="N101">
        <f>INDEX(SchnittGes2!N:N,MATCH(L101,SchnittGes2!L:L,0))+INDEX(Schnitt3!N:N,MATCH(L101,Schnitt3!L:L,0))</f>
        <v>0</v>
      </c>
      <c r="O101">
        <f t="shared" si="20"/>
        <v>0</v>
      </c>
      <c r="P101">
        <f t="shared" si="21"/>
        <v>51</v>
      </c>
    </row>
    <row r="102" spans="1:16" x14ac:dyDescent="0.3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INDEX(SchnittGes2!M:M,MATCH(L102,SchnittGes2!L:L,0))+INDEX(Schnitt3!M:M,MATCH(L102,Schnitt3!L:L,0))</f>
        <v>0</v>
      </c>
      <c r="N102">
        <f>INDEX(SchnittGes2!N:N,MATCH(L102,SchnittGes2!L:L,0))+INDEX(Schnitt3!N:N,MATCH(L102,Schnitt3!L:L,0))</f>
        <v>0</v>
      </c>
      <c r="O102">
        <f t="shared" si="20"/>
        <v>0</v>
      </c>
      <c r="P102">
        <f t="shared" si="21"/>
        <v>51</v>
      </c>
    </row>
    <row r="103" spans="1:16" x14ac:dyDescent="0.3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INDEX(SchnittGes2!M:M,MATCH(L103,SchnittGes2!L:L,0))+INDEX(Schnitt3!M:M,MATCH(L103,Schnitt3!L:L,0))</f>
        <v>0</v>
      </c>
      <c r="N103">
        <f>INDEX(SchnittGes2!N:N,MATCH(L103,SchnittGes2!L:L,0))+INDEX(Schnitt3!N:N,MATCH(L103,Schnitt3!L:L,0))</f>
        <v>0</v>
      </c>
      <c r="O103">
        <f t="shared" si="20"/>
        <v>0</v>
      </c>
      <c r="P103">
        <f t="shared" si="21"/>
        <v>51</v>
      </c>
    </row>
    <row r="104" spans="1:16" x14ac:dyDescent="0.3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INDEX(SchnittGes2!M:M,MATCH(L104,SchnittGes2!L:L,0))+INDEX(Schnitt3!M:M,MATCH(L104,Schnitt3!L:L,0))</f>
        <v>0</v>
      </c>
      <c r="N104">
        <f>INDEX(SchnittGes2!N:N,MATCH(L104,SchnittGes2!L:L,0))+INDEX(Schnitt3!N:N,MATCH(L104,Schnitt3!L:L,0))</f>
        <v>0</v>
      </c>
      <c r="O104">
        <f t="shared" si="20"/>
        <v>0</v>
      </c>
      <c r="P104">
        <f t="shared" si="21"/>
        <v>51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1"/>
    <pageSetUpPr autoPageBreaks="0"/>
  </sheetPr>
  <dimension ref="A1:V81"/>
  <sheetViews>
    <sheetView showGridLines="0" topLeftCell="A67" zoomScaleNormal="100" workbookViewId="0">
      <selection activeCell="C74" sqref="C74:T74"/>
    </sheetView>
  </sheetViews>
  <sheetFormatPr baseColWidth="10" defaultColWidth="0" defaultRowHeight="12.75" x14ac:dyDescent="0.35"/>
  <cols>
    <col min="1" max="1" width="1.06640625" customWidth="1"/>
    <col min="2" max="2" width="3.59765625" customWidth="1"/>
    <col min="3" max="3" width="10.796875" customWidth="1"/>
    <col min="4" max="4" width="1.33203125" customWidth="1"/>
    <col min="5" max="5" width="3.73046875" customWidth="1"/>
    <col min="6" max="6" width="3" customWidth="1"/>
    <col min="7" max="7" width="2" customWidth="1"/>
    <col min="8" max="8" width="11.06640625" customWidth="1"/>
    <col min="9" max="9" width="2.06640625" customWidth="1"/>
    <col min="10" max="10" width="3.06640625" customWidth="1"/>
    <col min="11" max="11" width="0.796875" customWidth="1"/>
    <col min="12" max="12" width="9.265625" customWidth="1"/>
    <col min="13" max="13" width="2.06640625" customWidth="1"/>
    <col min="14" max="14" width="3.06640625" customWidth="1"/>
    <col min="15" max="15" width="0.796875" customWidth="1"/>
    <col min="16" max="16" width="11.06640625" customWidth="1"/>
    <col min="17" max="17" width="2.06640625" customWidth="1"/>
    <col min="18" max="18" width="3.06640625" customWidth="1"/>
    <col min="19" max="19" width="0.796875" customWidth="1"/>
    <col min="20" max="20" width="11.796875" customWidth="1"/>
    <col min="21" max="21" width="2.06640625" customWidth="1"/>
    <col min="22" max="22" width="1" customWidth="1"/>
    <col min="23" max="16384" width="9.06640625" hidden="1"/>
  </cols>
  <sheetData>
    <row r="1" spans="2:21" ht="3.75" customHeight="1" x14ac:dyDescent="0.35"/>
    <row r="2" spans="2:21" ht="25.15" x14ac:dyDescent="0.7">
      <c r="B2" s="314" t="s">
        <v>1837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</row>
    <row r="3" spans="2:21" ht="11.25" customHeight="1" x14ac:dyDescent="0.7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4">
      <c r="P4" s="157"/>
      <c r="Q4" s="315"/>
      <c r="R4" s="315"/>
      <c r="S4" s="315"/>
      <c r="T4" s="315"/>
      <c r="U4" s="315"/>
    </row>
    <row r="5" spans="2:21" ht="11.25" customHeight="1" x14ac:dyDescent="0.3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35">
      <c r="B6" s="17"/>
      <c r="C6" s="140" t="s">
        <v>1795</v>
      </c>
      <c r="D6" s="140"/>
      <c r="E6" s="316">
        <f>+Spielzettel4!T2</f>
        <v>4</v>
      </c>
      <c r="F6" s="317"/>
      <c r="P6" s="140" t="s">
        <v>1838</v>
      </c>
      <c r="Q6" s="318" t="str">
        <f>+Spielzettel4!U1</f>
        <v>15.02./16.02.</v>
      </c>
      <c r="R6" s="319">
        <v>0</v>
      </c>
      <c r="S6" s="319">
        <v>0</v>
      </c>
      <c r="T6" s="320">
        <v>0</v>
      </c>
      <c r="U6" s="18"/>
    </row>
    <row r="7" spans="2:21" x14ac:dyDescent="0.35">
      <c r="B7" s="17"/>
      <c r="C7" s="140"/>
      <c r="D7" s="140"/>
      <c r="U7" s="18"/>
    </row>
    <row r="8" spans="2:21" x14ac:dyDescent="0.35">
      <c r="B8" s="17"/>
      <c r="C8" s="140" t="s">
        <v>1839</v>
      </c>
      <c r="D8" s="140"/>
      <c r="E8" s="321" t="str">
        <f>+Spielzettel4!F2</f>
        <v>Nürnberg West Bowling</v>
      </c>
      <c r="F8" s="322"/>
      <c r="G8" s="322"/>
      <c r="H8" s="322">
        <v>0</v>
      </c>
      <c r="I8" s="322"/>
      <c r="J8" s="323"/>
      <c r="N8" s="140" t="s">
        <v>1840</v>
      </c>
      <c r="P8" s="321" t="str">
        <f>+Spielzettel4!F1</f>
        <v>Bayernliga Frauen</v>
      </c>
      <c r="Q8" s="322"/>
      <c r="R8" s="322"/>
      <c r="S8" s="322"/>
      <c r="T8" s="323"/>
      <c r="U8" s="18"/>
    </row>
    <row r="9" spans="2:21" ht="11.25" customHeight="1" thickBot="1" x14ac:dyDescent="0.4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15" thickBot="1" x14ac:dyDescent="0.4"/>
    <row r="11" spans="2:21" s="1" customFormat="1" ht="30" customHeight="1" thickBot="1" x14ac:dyDescent="0.4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4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 t="s">
        <v>2568</v>
      </c>
      <c r="M12" s="165" t="s">
        <v>1843</v>
      </c>
      <c r="P12" s="166"/>
      <c r="U12" s="18"/>
    </row>
    <row r="13" spans="2:21" ht="6.75" customHeight="1" thickBot="1" x14ac:dyDescent="0.55000000000000004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35">
      <c r="B14" s="17"/>
      <c r="U14" s="18"/>
    </row>
    <row r="15" spans="2:21" ht="13.15" x14ac:dyDescent="0.4">
      <c r="B15" s="17"/>
      <c r="C15" s="148" t="s">
        <v>1844</v>
      </c>
      <c r="D15" s="148"/>
      <c r="F15" s="151" t="s">
        <v>2549</v>
      </c>
      <c r="G15" s="154"/>
      <c r="H15" t="s">
        <v>1845</v>
      </c>
      <c r="J15" s="151"/>
      <c r="L15" t="s">
        <v>1846</v>
      </c>
      <c r="U15" s="18"/>
    </row>
    <row r="16" spans="2:21" ht="13.15" x14ac:dyDescent="0.4">
      <c r="B16" s="17"/>
      <c r="C16" s="148"/>
      <c r="D16" s="148"/>
      <c r="F16" s="44"/>
      <c r="J16" s="153"/>
      <c r="U16" s="18"/>
    </row>
    <row r="17" spans="2:21" ht="13.15" x14ac:dyDescent="0.4">
      <c r="B17" s="17"/>
      <c r="C17" s="148" t="s">
        <v>1847</v>
      </c>
      <c r="D17" s="148"/>
      <c r="F17" s="151" t="s">
        <v>2549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3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200000000000003" customHeight="1" x14ac:dyDescent="0.35">
      <c r="B19" s="17"/>
      <c r="C19" s="326"/>
      <c r="D19" s="327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9"/>
      <c r="U19" s="18"/>
    </row>
    <row r="20" spans="2:21" ht="12.75" customHeight="1" x14ac:dyDescent="0.3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35">
      <c r="B21" s="17"/>
      <c r="C21" s="148" t="s">
        <v>1849</v>
      </c>
      <c r="D21" s="148"/>
      <c r="U21" s="18"/>
    </row>
    <row r="22" spans="2:21" ht="13.15" x14ac:dyDescent="0.4">
      <c r="B22" s="17"/>
      <c r="C22" s="148" t="s">
        <v>1850</v>
      </c>
      <c r="D22" s="148"/>
      <c r="F22" s="151"/>
      <c r="H22" t="s">
        <v>1845</v>
      </c>
      <c r="J22" s="151" t="s">
        <v>2549</v>
      </c>
      <c r="L22" t="s">
        <v>1846</v>
      </c>
      <c r="U22" s="18"/>
    </row>
    <row r="23" spans="2:21" ht="18.75" customHeight="1" x14ac:dyDescent="0.3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200000000000003" customHeight="1" x14ac:dyDescent="0.35">
      <c r="B24" s="17"/>
      <c r="C24" s="326" t="s">
        <v>2366</v>
      </c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30"/>
      <c r="U24" s="18"/>
    </row>
    <row r="25" spans="2:21" ht="12.75" customHeight="1" thickBot="1" x14ac:dyDescent="0.4">
      <c r="B25" s="17"/>
      <c r="C25" s="171"/>
      <c r="D25" s="171"/>
      <c r="U25" s="18"/>
    </row>
    <row r="26" spans="2:21" s="175" customFormat="1" ht="21.75" customHeight="1" x14ac:dyDescent="0.4">
      <c r="B26" s="172" t="s">
        <v>1852</v>
      </c>
      <c r="C26" s="173"/>
      <c r="D26" s="173"/>
      <c r="E26" s="173"/>
      <c r="F26" s="173"/>
      <c r="G26" s="173"/>
      <c r="H26" s="152">
        <v>0.50347222222222221</v>
      </c>
      <c r="I26" s="173"/>
      <c r="J26" s="174" t="s">
        <v>1853</v>
      </c>
      <c r="K26" s="174"/>
      <c r="L26" s="152">
        <v>0.53472222222222221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55000000000000004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5">
      <c r="B28" s="177"/>
      <c r="U28" s="18"/>
    </row>
    <row r="29" spans="2:21" ht="13.15" x14ac:dyDescent="0.4">
      <c r="B29" s="17"/>
      <c r="C29" s="148" t="s">
        <v>1854</v>
      </c>
      <c r="D29" s="148"/>
      <c r="F29" s="151"/>
      <c r="H29" t="s">
        <v>1845</v>
      </c>
      <c r="J29" s="151" t="s">
        <v>2549</v>
      </c>
      <c r="L29" t="s">
        <v>1846</v>
      </c>
      <c r="U29" s="18"/>
    </row>
    <row r="30" spans="2:21" ht="17.25" customHeight="1" x14ac:dyDescent="0.35">
      <c r="B30" s="17"/>
      <c r="C30" s="148" t="s">
        <v>1855</v>
      </c>
      <c r="D30" s="148"/>
      <c r="F30" s="331"/>
      <c r="G30" s="331"/>
      <c r="H30" s="148"/>
      <c r="U30" s="18"/>
    </row>
    <row r="31" spans="2:21" ht="17.25" customHeight="1" x14ac:dyDescent="0.3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200000000000003" customHeight="1" x14ac:dyDescent="0.35">
      <c r="B32" s="17"/>
      <c r="C32" s="326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30"/>
      <c r="U32" s="18"/>
    </row>
    <row r="33" spans="2:21" x14ac:dyDescent="0.35">
      <c r="B33" s="17"/>
      <c r="C33" s="171"/>
      <c r="D33" s="171"/>
      <c r="U33" s="18"/>
    </row>
    <row r="34" spans="2:21" ht="6.75" customHeight="1" x14ac:dyDescent="0.35">
      <c r="B34" s="17"/>
      <c r="C34" s="171"/>
      <c r="D34" s="171"/>
      <c r="U34" s="18"/>
    </row>
    <row r="35" spans="2:21" ht="13.15" x14ac:dyDescent="0.4">
      <c r="B35" s="17"/>
      <c r="C35" s="148" t="s">
        <v>1857</v>
      </c>
      <c r="D35" s="148"/>
      <c r="F35" s="151" t="s">
        <v>2549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35">
      <c r="B36" s="17"/>
      <c r="C36" s="149" t="s">
        <v>1861</v>
      </c>
      <c r="D36" s="149"/>
      <c r="F36" s="332"/>
      <c r="G36" s="332"/>
      <c r="H36" s="332"/>
      <c r="U36" s="18"/>
    </row>
    <row r="37" spans="2:21" ht="11.25" customHeight="1" x14ac:dyDescent="0.35">
      <c r="B37" s="17"/>
      <c r="U37" s="18"/>
    </row>
    <row r="38" spans="2:21" ht="13.9" x14ac:dyDescent="0.4">
      <c r="B38" s="179" t="s">
        <v>1862</v>
      </c>
      <c r="U38" s="18"/>
    </row>
    <row r="39" spans="2:21" ht="9" customHeight="1" x14ac:dyDescent="0.35">
      <c r="B39" s="17"/>
      <c r="U39" s="18"/>
    </row>
    <row r="40" spans="2:21" ht="80.25" customHeight="1" x14ac:dyDescent="0.35">
      <c r="B40" s="17"/>
      <c r="C40" s="326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30"/>
      <c r="U40" s="18"/>
    </row>
    <row r="41" spans="2:21" ht="11.25" customHeight="1" thickBot="1" x14ac:dyDescent="0.4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15" thickBot="1" x14ac:dyDescent="0.4"/>
    <row r="43" spans="2:21" s="1" customFormat="1" ht="30" customHeight="1" thickBot="1" x14ac:dyDescent="0.4">
      <c r="B43" s="162"/>
      <c r="C43" s="324" t="s">
        <v>1863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163"/>
    </row>
    <row r="44" spans="2:21" ht="9" customHeight="1" x14ac:dyDescent="0.35">
      <c r="B44" s="17"/>
      <c r="U44" s="18"/>
    </row>
    <row r="45" spans="2:21" ht="13.9" x14ac:dyDescent="0.4">
      <c r="B45" s="179"/>
      <c r="C45" s="166" t="s">
        <v>1864</v>
      </c>
      <c r="D45" s="166"/>
      <c r="U45" s="18"/>
    </row>
    <row r="46" spans="2:21" ht="9" customHeight="1" x14ac:dyDescent="0.35">
      <c r="B46" s="17"/>
      <c r="U46" s="18"/>
    </row>
    <row r="47" spans="2:21" ht="36.75" customHeight="1" x14ac:dyDescent="0.35">
      <c r="B47" s="17"/>
      <c r="C47" s="326"/>
      <c r="D47" s="327"/>
      <c r="E47" s="327"/>
      <c r="F47" s="327"/>
      <c r="G47" s="327"/>
      <c r="H47" s="327"/>
      <c r="I47" s="327"/>
      <c r="J47" s="327"/>
      <c r="K47" s="327"/>
      <c r="L47" s="327"/>
      <c r="M47" s="327"/>
      <c r="N47" s="327"/>
      <c r="O47" s="327"/>
      <c r="P47" s="327"/>
      <c r="Q47" s="327"/>
      <c r="R47" s="327"/>
      <c r="S47" s="327"/>
      <c r="T47" s="330"/>
      <c r="U47" s="18"/>
    </row>
    <row r="48" spans="2:21" ht="12.75" customHeight="1" x14ac:dyDescent="0.35">
      <c r="B48" s="17"/>
      <c r="C48" s="171"/>
      <c r="D48" s="171"/>
      <c r="U48" s="18"/>
    </row>
    <row r="49" spans="2:21" ht="12.75" customHeight="1" x14ac:dyDescent="0.4">
      <c r="B49" s="179"/>
      <c r="C49" s="166" t="s">
        <v>1865</v>
      </c>
      <c r="D49" s="166"/>
      <c r="U49" s="18"/>
    </row>
    <row r="50" spans="2:21" ht="6.75" customHeight="1" x14ac:dyDescent="0.35">
      <c r="B50" s="17"/>
      <c r="U50" s="18"/>
    </row>
    <row r="51" spans="2:21" ht="36.75" customHeight="1" x14ac:dyDescent="0.35">
      <c r="B51" s="17"/>
      <c r="C51" s="326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30"/>
      <c r="U51" s="18"/>
    </row>
    <row r="52" spans="2:21" ht="12.75" customHeight="1" x14ac:dyDescent="0.35">
      <c r="B52" s="17"/>
      <c r="C52" s="171"/>
      <c r="D52" s="171"/>
      <c r="U52" s="18"/>
    </row>
    <row r="53" spans="2:21" ht="12.75" customHeight="1" x14ac:dyDescent="0.4">
      <c r="B53" s="179"/>
      <c r="C53" s="166" t="s">
        <v>1866</v>
      </c>
      <c r="D53" s="166"/>
      <c r="U53" s="18"/>
    </row>
    <row r="54" spans="2:21" ht="6.75" customHeight="1" x14ac:dyDescent="0.35">
      <c r="B54" s="17"/>
      <c r="U54" s="18"/>
    </row>
    <row r="55" spans="2:21" ht="36.75" customHeight="1" x14ac:dyDescent="0.35">
      <c r="B55" s="17"/>
      <c r="C55" s="326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7"/>
      <c r="Q55" s="327"/>
      <c r="R55" s="327"/>
      <c r="S55" s="327"/>
      <c r="T55" s="330"/>
      <c r="U55" s="18"/>
    </row>
    <row r="56" spans="2:21" ht="11.25" customHeight="1" x14ac:dyDescent="0.35">
      <c r="B56" s="17"/>
      <c r="C56" s="171"/>
      <c r="D56" s="171"/>
      <c r="U56" s="18"/>
    </row>
    <row r="57" spans="2:21" ht="13.5" customHeight="1" x14ac:dyDescent="0.4">
      <c r="B57" s="179"/>
      <c r="C57" s="166" t="s">
        <v>1867</v>
      </c>
      <c r="D57" s="166"/>
      <c r="U57" s="18"/>
    </row>
    <row r="58" spans="2:21" ht="6.75" customHeight="1" x14ac:dyDescent="0.35">
      <c r="B58" s="17"/>
      <c r="U58" s="18"/>
    </row>
    <row r="59" spans="2:21" ht="36.75" customHeight="1" x14ac:dyDescent="0.35">
      <c r="B59" s="17"/>
      <c r="C59" s="326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30"/>
      <c r="U59" s="18"/>
    </row>
    <row r="60" spans="2:21" ht="11.25" customHeight="1" x14ac:dyDescent="0.35">
      <c r="B60" s="17"/>
      <c r="C60" s="171"/>
      <c r="D60" s="171"/>
      <c r="U60" s="18"/>
    </row>
    <row r="61" spans="2:21" ht="13.9" x14ac:dyDescent="0.4">
      <c r="B61" s="179"/>
      <c r="C61" s="166" t="s">
        <v>1868</v>
      </c>
      <c r="D61" s="166"/>
      <c r="U61" s="18"/>
    </row>
    <row r="62" spans="2:21" ht="6" customHeight="1" x14ac:dyDescent="0.35">
      <c r="B62" s="17"/>
      <c r="U62" s="18"/>
    </row>
    <row r="63" spans="2:21" ht="36.75" customHeight="1" x14ac:dyDescent="0.35">
      <c r="B63" s="17"/>
      <c r="C63" s="326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  <c r="T63" s="330"/>
      <c r="U63" s="18"/>
    </row>
    <row r="64" spans="2:21" ht="12.75" customHeight="1" x14ac:dyDescent="0.35">
      <c r="B64" s="17"/>
      <c r="C64" s="171"/>
      <c r="D64" s="171"/>
      <c r="U64" s="18"/>
    </row>
    <row r="65" spans="1:21" ht="12.75" customHeight="1" x14ac:dyDescent="0.4">
      <c r="B65" s="179"/>
      <c r="C65" s="166" t="s">
        <v>1869</v>
      </c>
      <c r="D65" s="166"/>
      <c r="U65" s="18"/>
    </row>
    <row r="66" spans="1:21" ht="6.75" customHeight="1" x14ac:dyDescent="0.35">
      <c r="B66" s="17"/>
      <c r="U66" s="18"/>
    </row>
    <row r="67" spans="1:21" ht="36.75" customHeight="1" x14ac:dyDescent="0.35">
      <c r="B67" s="17"/>
      <c r="C67" s="326" t="s">
        <v>2569</v>
      </c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30"/>
      <c r="U67" s="18"/>
    </row>
    <row r="68" spans="1:21" ht="11.25" customHeight="1" thickBot="1" x14ac:dyDescent="0.4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4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5">
      <c r="B70" s="177"/>
      <c r="U70" s="18"/>
    </row>
    <row r="71" spans="1:21" s="52" customFormat="1" ht="18" customHeight="1" x14ac:dyDescent="0.5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35">
      <c r="B72" s="17"/>
      <c r="P72" s="52"/>
      <c r="Q72" s="52"/>
      <c r="U72" s="18"/>
    </row>
    <row r="73" spans="1:21" ht="6" customHeight="1" x14ac:dyDescent="0.3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200000000000003" customHeight="1" x14ac:dyDescent="0.35">
      <c r="B74" s="17"/>
      <c r="C74" s="335" t="s">
        <v>2572</v>
      </c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7"/>
      <c r="U74" s="18"/>
    </row>
    <row r="75" spans="1:21" ht="11.25" customHeight="1" thickBot="1" x14ac:dyDescent="0.4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35"/>
    <row r="77" spans="1:21" ht="13.15" x14ac:dyDescent="0.4">
      <c r="B77" s="166" t="s">
        <v>1871</v>
      </c>
      <c r="D77" s="334" t="s">
        <v>2571</v>
      </c>
      <c r="E77" s="334"/>
      <c r="F77" s="334"/>
      <c r="G77" s="334"/>
      <c r="H77" s="334"/>
      <c r="I77" s="334"/>
      <c r="J77" s="334"/>
      <c r="K77" s="334"/>
      <c r="L77" s="334"/>
      <c r="M77" s="334"/>
      <c r="P77" s="334"/>
      <c r="Q77" s="334"/>
      <c r="R77" s="334"/>
      <c r="S77" s="334"/>
      <c r="T77" s="334"/>
      <c r="U77" s="334"/>
    </row>
    <row r="78" spans="1:21" x14ac:dyDescent="0.3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35"/>
    <row r="80" spans="1:21" ht="13.15" x14ac:dyDescent="0.4">
      <c r="B80" s="166" t="s">
        <v>1874</v>
      </c>
      <c r="D80" s="334" t="s">
        <v>2570</v>
      </c>
      <c r="E80" s="334"/>
      <c r="F80" s="334"/>
      <c r="G80" s="334"/>
      <c r="H80" s="334"/>
      <c r="I80" s="334"/>
      <c r="J80" s="334"/>
      <c r="K80" s="334"/>
      <c r="L80" s="334"/>
      <c r="M80" s="334"/>
      <c r="P80" s="334"/>
      <c r="Q80" s="334"/>
      <c r="R80" s="334"/>
      <c r="S80" s="334"/>
      <c r="T80" s="334"/>
      <c r="U80" s="334"/>
    </row>
    <row r="81" spans="3:16" x14ac:dyDescent="0.3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F36:H36"/>
    <mergeCell ref="C40:T40"/>
    <mergeCell ref="C43:T43"/>
    <mergeCell ref="C47:T47"/>
    <mergeCell ref="C51:T51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19">
    <tabColor indexed="10"/>
    <pageSetUpPr fitToPage="1"/>
  </sheetPr>
  <dimension ref="A1:AC290"/>
  <sheetViews>
    <sheetView showGridLines="0" view="pageBreakPreview" topLeftCell="C1" zoomScaleNormal="100" zoomScaleSheetLayoutView="100" workbookViewId="0">
      <pane ySplit="2" topLeftCell="A3" activePane="bottomLeft" state="frozen"/>
      <selection activeCell="C7" sqref="C7"/>
      <selection pane="bottomLeft" activeCell="AC3" sqref="AC3"/>
    </sheetView>
  </sheetViews>
  <sheetFormatPr baseColWidth="10" defaultColWidth="11.33203125" defaultRowHeight="12.75" x14ac:dyDescent="0.35"/>
  <cols>
    <col min="1" max="1" width="4.33203125" customWidth="1"/>
    <col min="2" max="2" width="18.06640625" customWidth="1"/>
    <col min="3" max="3" width="6.33203125" customWidth="1"/>
    <col min="4" max="21" width="5.73046875" customWidth="1"/>
    <col min="22" max="22" width="8.33203125" customWidth="1"/>
    <col min="23" max="23" width="6.73046875" customWidth="1"/>
    <col min="25" max="25" width="7.73046875" customWidth="1"/>
    <col min="26" max="26" width="2.73046875" customWidth="1"/>
    <col min="27" max="27" width="7.73046875" customWidth="1"/>
    <col min="28" max="28" width="2.73046875" customWidth="1"/>
  </cols>
  <sheetData>
    <row r="1" spans="1:29" ht="21" customHeight="1" x14ac:dyDescent="0.7">
      <c r="B1" s="44" t="s">
        <v>1813</v>
      </c>
      <c r="C1" s="45"/>
      <c r="D1" s="46" t="s">
        <v>1792</v>
      </c>
      <c r="E1" s="47"/>
      <c r="F1" s="359" t="str">
        <f>Schlüssel!$C$1</f>
        <v>Bayernliga Frauen</v>
      </c>
      <c r="G1" s="359"/>
      <c r="H1" s="359"/>
      <c r="I1" s="359"/>
      <c r="J1" s="359"/>
      <c r="K1" s="359"/>
      <c r="L1" s="359"/>
      <c r="M1" s="359"/>
      <c r="N1" s="359"/>
      <c r="O1" s="359"/>
      <c r="P1" s="45"/>
      <c r="Q1" s="45"/>
      <c r="R1" s="48"/>
      <c r="S1" s="49" t="s">
        <v>1794</v>
      </c>
      <c r="T1" s="50"/>
      <c r="U1" s="360" t="str">
        <f>Schlüssel!$BU$1</f>
        <v>15.02./16.02.</v>
      </c>
      <c r="V1" s="361"/>
      <c r="W1" s="362"/>
      <c r="AC1" s="51" t="s">
        <v>1836</v>
      </c>
    </row>
    <row r="2" spans="1:29" ht="17.25" customHeight="1" thickBot="1" x14ac:dyDescent="0.65">
      <c r="A2" s="52"/>
      <c r="B2" s="96">
        <v>1</v>
      </c>
      <c r="D2" s="46" t="s">
        <v>1793</v>
      </c>
      <c r="E2" s="54"/>
      <c r="F2" s="358" t="str">
        <f>Schlüssel!$BK$2</f>
        <v>Nürnberg West Bowling</v>
      </c>
      <c r="G2" s="358"/>
      <c r="H2" s="358"/>
      <c r="I2" s="358"/>
      <c r="J2" s="358"/>
      <c r="K2" s="358"/>
      <c r="L2" s="358"/>
      <c r="M2" s="358"/>
      <c r="N2" s="358"/>
      <c r="O2" s="358"/>
      <c r="P2" s="55"/>
      <c r="Q2" s="55"/>
      <c r="S2" s="49" t="s">
        <v>1791</v>
      </c>
      <c r="T2" s="56">
        <v>4</v>
      </c>
      <c r="U2" s="50"/>
      <c r="V2" s="50"/>
      <c r="AC2" s="97">
        <v>11</v>
      </c>
    </row>
    <row r="3" spans="1:29" ht="15.75" customHeight="1" thickBot="1" x14ac:dyDescent="0.4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5" thickBot="1" x14ac:dyDescent="0.45">
      <c r="A4" s="2"/>
      <c r="B4" s="44"/>
      <c r="C4" s="63"/>
      <c r="D4" s="64" t="s">
        <v>10</v>
      </c>
      <c r="E4" s="44">
        <f>VLOOKUP($B2,Schlüssel!$A$5:$DZ$14,73)</f>
        <v>19</v>
      </c>
      <c r="F4" s="65" t="s">
        <v>10</v>
      </c>
      <c r="G4" s="44">
        <f>VLOOKUP($B2,Schlüssel!$A$5:$DZ$14,74)</f>
        <v>11</v>
      </c>
      <c r="H4" s="65" t="s">
        <v>10</v>
      </c>
      <c r="I4" s="44">
        <f>VLOOKUP($B2,Schlüssel!$A$5:$DZ$14,75)</f>
        <v>15</v>
      </c>
      <c r="J4" s="65" t="s">
        <v>10</v>
      </c>
      <c r="K4" s="44">
        <f>VLOOKUP($B2,Schlüssel!$A$5:$DZ$14,76)</f>
        <v>20</v>
      </c>
      <c r="L4" s="65" t="s">
        <v>10</v>
      </c>
      <c r="M4" s="44">
        <f>VLOOKUP($B2,Schlüssel!$A$5:$DZ$14,77)</f>
        <v>17</v>
      </c>
      <c r="N4" s="65" t="s">
        <v>10</v>
      </c>
      <c r="O4" s="44">
        <f>VLOOKUP($B2,Schlüssel!$A$5:$DZ$14,78)</f>
        <v>14</v>
      </c>
      <c r="P4" s="65" t="s">
        <v>10</v>
      </c>
      <c r="Q4" s="44">
        <f>VLOOKUP($B2,Schlüssel!$A$5:$DZ$14,79)</f>
        <v>12</v>
      </c>
      <c r="R4" s="65" t="s">
        <v>10</v>
      </c>
      <c r="S4" s="44">
        <f>VLOOKUP($B2,Schlüssel!$A$5:$DZ$14,80)</f>
        <v>16</v>
      </c>
      <c r="T4" s="65" t="s">
        <v>10</v>
      </c>
      <c r="U4" s="66">
        <f>VLOOKUP($B2,Schlüssel!$A$5:$DZ$14,81)</f>
        <v>13</v>
      </c>
    </row>
    <row r="5" spans="1:29" ht="20.25" customHeight="1" x14ac:dyDescent="0.35">
      <c r="B5" s="67" t="s">
        <v>1</v>
      </c>
      <c r="C5" s="68"/>
      <c r="D5" s="354" t="s">
        <v>1800</v>
      </c>
      <c r="E5" s="355"/>
      <c r="F5" s="354" t="s">
        <v>1801</v>
      </c>
      <c r="G5" s="355"/>
      <c r="H5" s="354" t="s">
        <v>1802</v>
      </c>
      <c r="I5" s="355"/>
      <c r="J5" s="354" t="s">
        <v>1803</v>
      </c>
      <c r="K5" s="355"/>
      <c r="L5" s="354" t="s">
        <v>1804</v>
      </c>
      <c r="M5" s="355"/>
      <c r="N5" s="354" t="s">
        <v>1805</v>
      </c>
      <c r="O5" s="355"/>
      <c r="P5" s="354" t="s">
        <v>1806</v>
      </c>
      <c r="Q5" s="355"/>
      <c r="R5" s="354" t="s">
        <v>1807</v>
      </c>
      <c r="S5" s="355"/>
      <c r="T5" s="354" t="s">
        <v>1808</v>
      </c>
      <c r="U5" s="355"/>
      <c r="V5" s="356" t="s">
        <v>1799</v>
      </c>
      <c r="W5" s="357"/>
    </row>
    <row r="6" spans="1:29" ht="15" customHeight="1" thickBot="1" x14ac:dyDescent="0.4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2" customHeight="1" x14ac:dyDescent="0.35">
      <c r="A7" s="351" t="s">
        <v>0</v>
      </c>
      <c r="B7" s="73"/>
      <c r="C7" s="74"/>
      <c r="D7" s="75"/>
      <c r="E7" s="348"/>
      <c r="F7" s="75"/>
      <c r="G7" s="348"/>
      <c r="H7" s="75"/>
      <c r="I7" s="348"/>
      <c r="J7" s="75"/>
      <c r="K7" s="348"/>
      <c r="L7" s="75"/>
      <c r="M7" s="348"/>
      <c r="N7" s="75"/>
      <c r="O7" s="348"/>
      <c r="P7" s="75"/>
      <c r="Q7" s="348"/>
      <c r="R7" s="75"/>
      <c r="S7" s="348"/>
      <c r="T7" s="75"/>
      <c r="U7" s="348"/>
      <c r="V7" s="75"/>
      <c r="W7" s="348"/>
    </row>
    <row r="8" spans="1:29" ht="17.2" customHeight="1" x14ac:dyDescent="0.35">
      <c r="A8" s="352"/>
      <c r="B8" s="76"/>
      <c r="C8" s="77"/>
      <c r="D8" s="78"/>
      <c r="E8" s="349"/>
      <c r="F8" s="78"/>
      <c r="G8" s="349"/>
      <c r="H8" s="78"/>
      <c r="I8" s="349"/>
      <c r="J8" s="78"/>
      <c r="K8" s="349"/>
      <c r="L8" s="78"/>
      <c r="M8" s="349"/>
      <c r="N8" s="78"/>
      <c r="O8" s="349"/>
      <c r="P8" s="78"/>
      <c r="Q8" s="349"/>
      <c r="R8" s="78"/>
      <c r="S8" s="349"/>
      <c r="T8" s="78"/>
      <c r="U8" s="349"/>
      <c r="V8" s="78"/>
      <c r="W8" s="349"/>
    </row>
    <row r="9" spans="1:29" ht="17.2" customHeight="1" thickBot="1" x14ac:dyDescent="0.4">
      <c r="A9" s="353"/>
      <c r="B9" s="79"/>
      <c r="C9" s="80"/>
      <c r="D9" s="69"/>
      <c r="E9" s="350"/>
      <c r="F9" s="69"/>
      <c r="G9" s="350"/>
      <c r="H9" s="69"/>
      <c r="I9" s="350"/>
      <c r="J9" s="69"/>
      <c r="K9" s="350"/>
      <c r="L9" s="69"/>
      <c r="M9" s="350"/>
      <c r="N9" s="69"/>
      <c r="O9" s="350"/>
      <c r="P9" s="69"/>
      <c r="Q9" s="350"/>
      <c r="R9" s="69"/>
      <c r="S9" s="350"/>
      <c r="T9" s="69"/>
      <c r="U9" s="350"/>
      <c r="V9" s="69"/>
      <c r="W9" s="350"/>
    </row>
    <row r="10" spans="1:29" ht="17.2" customHeight="1" x14ac:dyDescent="0.35">
      <c r="A10" s="351" t="s">
        <v>2</v>
      </c>
      <c r="B10" s="73"/>
      <c r="C10" s="74"/>
      <c r="D10" s="75"/>
      <c r="E10" s="348"/>
      <c r="F10" s="75"/>
      <c r="G10" s="348"/>
      <c r="H10" s="75"/>
      <c r="I10" s="348"/>
      <c r="J10" s="75"/>
      <c r="K10" s="348"/>
      <c r="L10" s="75"/>
      <c r="M10" s="348"/>
      <c r="N10" s="75"/>
      <c r="O10" s="348"/>
      <c r="P10" s="75"/>
      <c r="Q10" s="348"/>
      <c r="R10" s="75"/>
      <c r="S10" s="348"/>
      <c r="T10" s="75"/>
      <c r="U10" s="348"/>
      <c r="V10" s="75"/>
      <c r="W10" s="348"/>
    </row>
    <row r="11" spans="1:29" ht="17.2" customHeight="1" x14ac:dyDescent="0.35">
      <c r="A11" s="352"/>
      <c r="B11" s="76"/>
      <c r="C11" s="77"/>
      <c r="D11" s="78"/>
      <c r="E11" s="349"/>
      <c r="F11" s="78"/>
      <c r="G11" s="349"/>
      <c r="H11" s="78"/>
      <c r="I11" s="349"/>
      <c r="J11" s="78"/>
      <c r="K11" s="349"/>
      <c r="L11" s="78"/>
      <c r="M11" s="349"/>
      <c r="N11" s="78"/>
      <c r="O11" s="349"/>
      <c r="P11" s="78"/>
      <c r="Q11" s="349"/>
      <c r="R11" s="78"/>
      <c r="S11" s="349"/>
      <c r="T11" s="78"/>
      <c r="U11" s="349"/>
      <c r="V11" s="78"/>
      <c r="W11" s="349"/>
    </row>
    <row r="12" spans="1:29" ht="17.2" customHeight="1" thickBot="1" x14ac:dyDescent="0.4">
      <c r="A12" s="353"/>
      <c r="B12" s="79"/>
      <c r="C12" s="80"/>
      <c r="D12" s="69"/>
      <c r="E12" s="350"/>
      <c r="F12" s="69"/>
      <c r="G12" s="350"/>
      <c r="H12" s="69"/>
      <c r="I12" s="350"/>
      <c r="J12" s="69"/>
      <c r="K12" s="350"/>
      <c r="L12" s="69"/>
      <c r="M12" s="350"/>
      <c r="N12" s="69"/>
      <c r="O12" s="350"/>
      <c r="P12" s="69"/>
      <c r="Q12" s="350"/>
      <c r="R12" s="69"/>
      <c r="S12" s="350"/>
      <c r="T12" s="69"/>
      <c r="U12" s="350"/>
      <c r="V12" s="69"/>
      <c r="W12" s="350"/>
    </row>
    <row r="13" spans="1:29" ht="17.2" customHeight="1" x14ac:dyDescent="0.35">
      <c r="A13" s="351" t="s">
        <v>3</v>
      </c>
      <c r="B13" s="73"/>
      <c r="C13" s="74"/>
      <c r="D13" s="75"/>
      <c r="E13" s="348"/>
      <c r="F13" s="75"/>
      <c r="G13" s="348"/>
      <c r="H13" s="75"/>
      <c r="I13" s="348"/>
      <c r="J13" s="75"/>
      <c r="K13" s="348"/>
      <c r="L13" s="75"/>
      <c r="M13" s="348"/>
      <c r="N13" s="75"/>
      <c r="O13" s="348"/>
      <c r="P13" s="75"/>
      <c r="Q13" s="348"/>
      <c r="R13" s="75"/>
      <c r="S13" s="348"/>
      <c r="T13" s="75"/>
      <c r="U13" s="348"/>
      <c r="V13" s="75"/>
      <c r="W13" s="348"/>
    </row>
    <row r="14" spans="1:29" ht="17.2" customHeight="1" x14ac:dyDescent="0.35">
      <c r="A14" s="352"/>
      <c r="B14" s="76"/>
      <c r="C14" s="77"/>
      <c r="D14" s="78"/>
      <c r="E14" s="349"/>
      <c r="F14" s="78"/>
      <c r="G14" s="349"/>
      <c r="H14" s="78"/>
      <c r="I14" s="349"/>
      <c r="J14" s="78"/>
      <c r="K14" s="349"/>
      <c r="L14" s="78"/>
      <c r="M14" s="349"/>
      <c r="N14" s="78"/>
      <c r="O14" s="349"/>
      <c r="P14" s="78"/>
      <c r="Q14" s="349"/>
      <c r="R14" s="78"/>
      <c r="S14" s="349"/>
      <c r="T14" s="78"/>
      <c r="U14" s="349"/>
      <c r="V14" s="78"/>
      <c r="W14" s="349"/>
    </row>
    <row r="15" spans="1:29" ht="17.2" customHeight="1" thickBot="1" x14ac:dyDescent="0.4">
      <c r="A15" s="353"/>
      <c r="B15" s="79"/>
      <c r="C15" s="80"/>
      <c r="D15" s="69"/>
      <c r="E15" s="350"/>
      <c r="F15" s="69"/>
      <c r="G15" s="350"/>
      <c r="H15" s="69"/>
      <c r="I15" s="350"/>
      <c r="J15" s="69"/>
      <c r="K15" s="350"/>
      <c r="L15" s="69"/>
      <c r="M15" s="350"/>
      <c r="N15" s="69"/>
      <c r="O15" s="350"/>
      <c r="P15" s="69"/>
      <c r="Q15" s="350"/>
      <c r="R15" s="69"/>
      <c r="S15" s="350"/>
      <c r="T15" s="69"/>
      <c r="U15" s="350"/>
      <c r="V15" s="69"/>
      <c r="W15" s="350"/>
    </row>
    <row r="16" spans="1:29" ht="17.2" customHeight="1" x14ac:dyDescent="0.35">
      <c r="A16" s="351" t="s">
        <v>11</v>
      </c>
      <c r="B16" s="73"/>
      <c r="C16" s="74"/>
      <c r="D16" s="75"/>
      <c r="E16" s="348"/>
      <c r="F16" s="75"/>
      <c r="G16" s="348"/>
      <c r="H16" s="75"/>
      <c r="I16" s="348"/>
      <c r="J16" s="75"/>
      <c r="K16" s="348"/>
      <c r="L16" s="75"/>
      <c r="M16" s="348"/>
      <c r="N16" s="75"/>
      <c r="O16" s="348"/>
      <c r="P16" s="75"/>
      <c r="Q16" s="348"/>
      <c r="R16" s="75"/>
      <c r="S16" s="348"/>
      <c r="T16" s="75"/>
      <c r="U16" s="348"/>
      <c r="V16" s="75"/>
      <c r="W16" s="348"/>
    </row>
    <row r="17" spans="1:29" ht="17.2" customHeight="1" x14ac:dyDescent="0.35">
      <c r="A17" s="352"/>
      <c r="B17" s="76"/>
      <c r="C17" s="77"/>
      <c r="D17" s="78"/>
      <c r="E17" s="349"/>
      <c r="F17" s="78"/>
      <c r="G17" s="349"/>
      <c r="H17" s="78"/>
      <c r="I17" s="349"/>
      <c r="J17" s="78"/>
      <c r="K17" s="349"/>
      <c r="L17" s="78"/>
      <c r="M17" s="349"/>
      <c r="N17" s="78"/>
      <c r="O17" s="349"/>
      <c r="P17" s="78"/>
      <c r="Q17" s="349"/>
      <c r="R17" s="78"/>
      <c r="S17" s="349"/>
      <c r="T17" s="78"/>
      <c r="U17" s="349"/>
      <c r="V17" s="78"/>
      <c r="W17" s="349"/>
    </row>
    <row r="18" spans="1:29" ht="17.2" customHeight="1" thickBot="1" x14ac:dyDescent="0.4">
      <c r="A18" s="353"/>
      <c r="B18" s="79"/>
      <c r="C18" s="80"/>
      <c r="D18" s="69"/>
      <c r="E18" s="350"/>
      <c r="F18" s="69"/>
      <c r="G18" s="350"/>
      <c r="H18" s="69"/>
      <c r="I18" s="350"/>
      <c r="J18" s="69"/>
      <c r="K18" s="350"/>
      <c r="L18" s="69"/>
      <c r="M18" s="350"/>
      <c r="N18" s="69"/>
      <c r="O18" s="350"/>
      <c r="P18" s="69"/>
      <c r="Q18" s="350"/>
      <c r="R18" s="69"/>
      <c r="S18" s="350"/>
      <c r="T18" s="69"/>
      <c r="U18" s="350"/>
      <c r="V18" s="69"/>
      <c r="W18" s="350"/>
    </row>
    <row r="19" spans="1:29" ht="27.75" customHeight="1" thickBot="1" x14ac:dyDescent="0.4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4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3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35">
      <c r="B22" s="88" t="s">
        <v>1797</v>
      </c>
      <c r="C22" s="89" t="s">
        <v>1798</v>
      </c>
      <c r="D22" s="346">
        <f>VLOOKUP(B2,Schlüssel!$A$5:$DZ$14,63)</f>
        <v>10</v>
      </c>
      <c r="E22" s="346"/>
      <c r="F22" s="346">
        <f>VLOOKUP(B2,Schlüssel!$A$5:$DZ$14,64)</f>
        <v>9</v>
      </c>
      <c r="G22" s="346"/>
      <c r="H22" s="346">
        <f>VLOOKUP(B2,Schlüssel!$A$5:$DZ$14,65)</f>
        <v>7</v>
      </c>
      <c r="I22" s="346"/>
      <c r="J22" s="346">
        <f>VLOOKUP(B2,Schlüssel!$A$5:$DZ$14,66)</f>
        <v>4</v>
      </c>
      <c r="K22" s="346"/>
      <c r="L22" s="346">
        <f>VLOOKUP(B2,Schlüssel!$A$5:$DZ$14,67)</f>
        <v>6</v>
      </c>
      <c r="M22" s="346"/>
      <c r="N22" s="346">
        <f>VLOOKUP(B2,Schlüssel!$A$5:$DZ$14,68)</f>
        <v>2</v>
      </c>
      <c r="O22" s="346"/>
      <c r="P22" s="346">
        <f>VLOOKUP(B2,Schlüssel!$A$5:$DZ$14,69)</f>
        <v>8</v>
      </c>
      <c r="Q22" s="346"/>
      <c r="R22" s="346">
        <f>VLOOKUP(B2,Schlüssel!$A$5:$DZ$14,70)</f>
        <v>3</v>
      </c>
      <c r="S22" s="346"/>
      <c r="T22" s="346">
        <f>VLOOKUP(B2,Schlüssel!$A$5:$DZ$14,71)</f>
        <v>5</v>
      </c>
      <c r="U22" s="346"/>
      <c r="V22" s="347"/>
      <c r="W22" s="347"/>
    </row>
    <row r="23" spans="1:29" ht="28.5" customHeight="1" x14ac:dyDescent="0.35">
      <c r="B23" s="90"/>
      <c r="C23" s="86"/>
      <c r="D23" s="343" t="str">
        <f>VLOOKUP(D22,Schlüssel!$A$5:$K$14,2)</f>
        <v>BK München 4</v>
      </c>
      <c r="E23" s="344"/>
      <c r="F23" s="343" t="str">
        <f>VLOOKUP(F22,Schlüssel!$A$5:$K$14,2)</f>
        <v>RW Lichtenhof 69 Stein 2</v>
      </c>
      <c r="G23" s="344"/>
      <c r="H23" s="343" t="str">
        <f>VLOOKUP(H22,Schlüssel!$A$5:$K$14,2)</f>
        <v>Frankenpower Nürnberg</v>
      </c>
      <c r="I23" s="344"/>
      <c r="J23" s="343" t="str">
        <f>VLOOKUP(J22,Schlüssel!$A$5:$K$14,2)</f>
        <v>BK München 3</v>
      </c>
      <c r="K23" s="344"/>
      <c r="L23" s="343" t="str">
        <f>VLOOKUP(L22,Schlüssel!$A$5:$K$14,2)</f>
        <v>Phönix 03 Lauf</v>
      </c>
      <c r="M23" s="344"/>
      <c r="N23" s="343" t="str">
        <f>VLOOKUP(N22,Schlüssel!$A$5:$K$14,2)</f>
        <v>BK München 2</v>
      </c>
      <c r="O23" s="344"/>
      <c r="P23" s="343" t="str">
        <f>VLOOKUP(P22,Schlüssel!$A$5:$K$14,2)</f>
        <v>EPA München 1</v>
      </c>
      <c r="Q23" s="344"/>
      <c r="R23" s="343" t="str">
        <f>VLOOKUP(R22,Schlüssel!$A$5:$K$14,2)</f>
        <v>Highroller Rosenheim</v>
      </c>
      <c r="S23" s="344"/>
      <c r="T23" s="343" t="str">
        <f>VLOOKUP(T22,Schlüssel!$A$5:$K$14,2)</f>
        <v xml:space="preserve">Weiß Blau Unterföhring </v>
      </c>
      <c r="U23" s="344"/>
      <c r="V23" s="345"/>
      <c r="W23" s="345"/>
    </row>
    <row r="24" spans="1:29" ht="12" customHeight="1" x14ac:dyDescent="0.35">
      <c r="B24" s="90"/>
      <c r="C24" s="86"/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2"/>
      <c r="V24" s="301"/>
      <c r="W24" s="301"/>
    </row>
    <row r="25" spans="1:29" ht="16.05" customHeight="1" x14ac:dyDescent="0.35">
      <c r="B25" s="91" t="s">
        <v>0</v>
      </c>
      <c r="C25" s="92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40"/>
      <c r="W25" s="340"/>
    </row>
    <row r="26" spans="1:29" ht="16.05" customHeight="1" x14ac:dyDescent="0.35">
      <c r="B26" s="91" t="s">
        <v>2</v>
      </c>
      <c r="C26" s="92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40"/>
      <c r="W26" s="340"/>
    </row>
    <row r="27" spans="1:29" ht="16.05" customHeight="1" x14ac:dyDescent="0.35">
      <c r="B27" s="91" t="s">
        <v>3</v>
      </c>
      <c r="C27" s="92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40"/>
      <c r="W27" s="340"/>
    </row>
    <row r="28" spans="1:29" ht="16.05" customHeight="1" x14ac:dyDescent="0.35">
      <c r="B28" s="91" t="s">
        <v>11</v>
      </c>
      <c r="C28" s="92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40"/>
      <c r="W28" s="340"/>
    </row>
    <row r="29" spans="1:29" ht="16.05" customHeight="1" x14ac:dyDescent="0.35">
      <c r="B29" s="93" t="s">
        <v>1799</v>
      </c>
      <c r="C29" s="94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290"/>
      <c r="W29" s="290"/>
    </row>
    <row r="30" spans="1:29" ht="21" customHeight="1" x14ac:dyDescent="0.7">
      <c r="B30" s="44" t="s">
        <v>1813</v>
      </c>
      <c r="C30" s="45"/>
      <c r="D30" s="46" t="s">
        <v>1792</v>
      </c>
      <c r="E30" s="47"/>
      <c r="F30" s="359" t="str">
        <f>Schlüssel!$C$1</f>
        <v>Bayernliga Frauen</v>
      </c>
      <c r="G30" s="359"/>
      <c r="H30" s="359"/>
      <c r="I30" s="359"/>
      <c r="J30" s="359"/>
      <c r="K30" s="359"/>
      <c r="L30" s="359"/>
      <c r="M30" s="359"/>
      <c r="N30" s="359"/>
      <c r="O30" s="359"/>
      <c r="P30" s="45"/>
      <c r="Q30" s="45"/>
      <c r="R30" s="48"/>
      <c r="S30" s="49" t="s">
        <v>1794</v>
      </c>
      <c r="T30" s="50"/>
      <c r="U30" s="360" t="str">
        <f>Schlüssel!$BU$1</f>
        <v>15.02./16.02.</v>
      </c>
      <c r="V30" s="361"/>
      <c r="W30" s="362"/>
      <c r="AC30" s="51"/>
    </row>
    <row r="31" spans="1:29" ht="17.25" customHeight="1" thickBot="1" x14ac:dyDescent="0.65">
      <c r="A31" s="52"/>
      <c r="B31" s="96">
        <f>+B2+1</f>
        <v>2</v>
      </c>
      <c r="D31" s="46" t="s">
        <v>1793</v>
      </c>
      <c r="E31" s="54"/>
      <c r="F31" s="358" t="str">
        <f>Schlüssel!$BK$2</f>
        <v>Nürnberg West Bowling</v>
      </c>
      <c r="G31" s="358"/>
      <c r="H31" s="358"/>
      <c r="I31" s="358"/>
      <c r="J31" s="358"/>
      <c r="K31" s="358"/>
      <c r="L31" s="358"/>
      <c r="M31" s="358"/>
      <c r="N31" s="358"/>
      <c r="O31" s="358"/>
      <c r="P31" s="55"/>
      <c r="Q31" s="55"/>
      <c r="S31" s="49" t="s">
        <v>1791</v>
      </c>
      <c r="T31" s="56">
        <v>4</v>
      </c>
      <c r="U31" s="50"/>
      <c r="V31" s="50"/>
      <c r="AC31" s="97"/>
    </row>
    <row r="32" spans="1:29" ht="15.75" customHeight="1" thickBot="1" x14ac:dyDescent="0.4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5" thickBot="1" x14ac:dyDescent="0.45">
      <c r="A33" s="2"/>
      <c r="B33" s="44"/>
      <c r="C33" s="63"/>
      <c r="D33" s="64" t="s">
        <v>10</v>
      </c>
      <c r="E33" s="44">
        <f>VLOOKUP($B31,Schlüssel!$A$5:$DZ$14,73)</f>
        <v>18</v>
      </c>
      <c r="F33" s="65" t="s">
        <v>10</v>
      </c>
      <c r="G33" s="44">
        <f>VLOOKUP($B31,Schlüssel!$A$5:$DZ$14,74)</f>
        <v>20</v>
      </c>
      <c r="H33" s="65" t="s">
        <v>10</v>
      </c>
      <c r="I33" s="44">
        <f>VLOOKUP($B31,Schlüssel!$A$5:$DZ$14,75)</f>
        <v>14</v>
      </c>
      <c r="J33" s="65" t="s">
        <v>10</v>
      </c>
      <c r="K33" s="44">
        <f>VLOOKUP($B31,Schlüssel!$A$5:$DZ$14,76)</f>
        <v>16</v>
      </c>
      <c r="L33" s="65" t="s">
        <v>10</v>
      </c>
      <c r="M33" s="44">
        <f>VLOOKUP($B31,Schlüssel!$A$5:$DZ$14,77)</f>
        <v>11</v>
      </c>
      <c r="N33" s="65" t="s">
        <v>10</v>
      </c>
      <c r="O33" s="44">
        <f>VLOOKUP($B31,Schlüssel!$A$5:$DZ$14,78)</f>
        <v>13</v>
      </c>
      <c r="P33" s="65" t="s">
        <v>10</v>
      </c>
      <c r="Q33" s="44">
        <f>VLOOKUP($B31,Schlüssel!$A$5:$DZ$14,79)</f>
        <v>17</v>
      </c>
      <c r="R33" s="65" t="s">
        <v>10</v>
      </c>
      <c r="S33" s="44">
        <f>VLOOKUP($B31,Schlüssel!$A$5:$DZ$14,80)</f>
        <v>12</v>
      </c>
      <c r="T33" s="65" t="s">
        <v>10</v>
      </c>
      <c r="U33" s="66">
        <f>VLOOKUP($B31,Schlüssel!$A$5:$DZ$14,81)</f>
        <v>15</v>
      </c>
    </row>
    <row r="34" spans="1:23" ht="20.25" customHeight="1" x14ac:dyDescent="0.35">
      <c r="B34" s="67" t="s">
        <v>1</v>
      </c>
      <c r="C34" s="68"/>
      <c r="D34" s="354" t="s">
        <v>1800</v>
      </c>
      <c r="E34" s="355"/>
      <c r="F34" s="354" t="s">
        <v>1801</v>
      </c>
      <c r="G34" s="355"/>
      <c r="H34" s="354" t="s">
        <v>1802</v>
      </c>
      <c r="I34" s="355"/>
      <c r="J34" s="354" t="s">
        <v>1803</v>
      </c>
      <c r="K34" s="355"/>
      <c r="L34" s="354" t="s">
        <v>1804</v>
      </c>
      <c r="M34" s="355"/>
      <c r="N34" s="354" t="s">
        <v>1805</v>
      </c>
      <c r="O34" s="355"/>
      <c r="P34" s="354" t="s">
        <v>1806</v>
      </c>
      <c r="Q34" s="355"/>
      <c r="R34" s="354" t="s">
        <v>1807</v>
      </c>
      <c r="S34" s="355"/>
      <c r="T34" s="354" t="s">
        <v>1808</v>
      </c>
      <c r="U34" s="355"/>
      <c r="V34" s="356" t="s">
        <v>1799</v>
      </c>
      <c r="W34" s="357"/>
    </row>
    <row r="35" spans="1:23" ht="15" customHeight="1" thickBot="1" x14ac:dyDescent="0.4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2" customHeight="1" x14ac:dyDescent="0.35">
      <c r="A36" s="351" t="s">
        <v>0</v>
      </c>
      <c r="B36" s="73"/>
      <c r="C36" s="74"/>
      <c r="D36" s="75"/>
      <c r="E36" s="348"/>
      <c r="F36" s="75"/>
      <c r="G36" s="348"/>
      <c r="H36" s="75"/>
      <c r="I36" s="348"/>
      <c r="J36" s="75"/>
      <c r="K36" s="348"/>
      <c r="L36" s="75"/>
      <c r="M36" s="348"/>
      <c r="N36" s="75"/>
      <c r="O36" s="348"/>
      <c r="P36" s="75"/>
      <c r="Q36" s="348"/>
      <c r="R36" s="75"/>
      <c r="S36" s="348"/>
      <c r="T36" s="75"/>
      <c r="U36" s="348"/>
      <c r="V36" s="75"/>
      <c r="W36" s="348"/>
    </row>
    <row r="37" spans="1:23" ht="17.2" customHeight="1" x14ac:dyDescent="0.35">
      <c r="A37" s="352"/>
      <c r="B37" s="76"/>
      <c r="C37" s="77"/>
      <c r="D37" s="78"/>
      <c r="E37" s="349"/>
      <c r="F37" s="78"/>
      <c r="G37" s="349"/>
      <c r="H37" s="78"/>
      <c r="I37" s="349"/>
      <c r="J37" s="78"/>
      <c r="K37" s="349"/>
      <c r="L37" s="78"/>
      <c r="M37" s="349"/>
      <c r="N37" s="78"/>
      <c r="O37" s="349"/>
      <c r="P37" s="78"/>
      <c r="Q37" s="349"/>
      <c r="R37" s="78"/>
      <c r="S37" s="349"/>
      <c r="T37" s="78"/>
      <c r="U37" s="349"/>
      <c r="V37" s="78"/>
      <c r="W37" s="349"/>
    </row>
    <row r="38" spans="1:23" ht="17.2" customHeight="1" thickBot="1" x14ac:dyDescent="0.4">
      <c r="A38" s="353"/>
      <c r="B38" s="79"/>
      <c r="C38" s="80"/>
      <c r="D38" s="69"/>
      <c r="E38" s="350"/>
      <c r="F38" s="69"/>
      <c r="G38" s="350"/>
      <c r="H38" s="69"/>
      <c r="I38" s="350"/>
      <c r="J38" s="69"/>
      <c r="K38" s="350"/>
      <c r="L38" s="69"/>
      <c r="M38" s="350"/>
      <c r="N38" s="69"/>
      <c r="O38" s="350"/>
      <c r="P38" s="69"/>
      <c r="Q38" s="350"/>
      <c r="R38" s="69"/>
      <c r="S38" s="350"/>
      <c r="T38" s="69"/>
      <c r="U38" s="350"/>
      <c r="V38" s="69"/>
      <c r="W38" s="350"/>
    </row>
    <row r="39" spans="1:23" ht="17.2" customHeight="1" x14ac:dyDescent="0.35">
      <c r="A39" s="351" t="s">
        <v>2</v>
      </c>
      <c r="B39" s="73"/>
      <c r="C39" s="74"/>
      <c r="D39" s="75"/>
      <c r="E39" s="348"/>
      <c r="F39" s="75"/>
      <c r="G39" s="348"/>
      <c r="H39" s="75"/>
      <c r="I39" s="348"/>
      <c r="J39" s="75"/>
      <c r="K39" s="348"/>
      <c r="L39" s="75"/>
      <c r="M39" s="348"/>
      <c r="N39" s="75"/>
      <c r="O39" s="348"/>
      <c r="P39" s="75"/>
      <c r="Q39" s="348"/>
      <c r="R39" s="75"/>
      <c r="S39" s="348"/>
      <c r="T39" s="75"/>
      <c r="U39" s="348"/>
      <c r="V39" s="75"/>
      <c r="W39" s="348"/>
    </row>
    <row r="40" spans="1:23" ht="17.2" customHeight="1" x14ac:dyDescent="0.35">
      <c r="A40" s="352"/>
      <c r="B40" s="76"/>
      <c r="C40" s="77"/>
      <c r="D40" s="78"/>
      <c r="E40" s="349"/>
      <c r="F40" s="78"/>
      <c r="G40" s="349"/>
      <c r="H40" s="78"/>
      <c r="I40" s="349"/>
      <c r="J40" s="78"/>
      <c r="K40" s="349"/>
      <c r="L40" s="78"/>
      <c r="M40" s="349"/>
      <c r="N40" s="78"/>
      <c r="O40" s="349"/>
      <c r="P40" s="78"/>
      <c r="Q40" s="349"/>
      <c r="R40" s="78"/>
      <c r="S40" s="349"/>
      <c r="T40" s="78"/>
      <c r="U40" s="349"/>
      <c r="V40" s="78"/>
      <c r="W40" s="349"/>
    </row>
    <row r="41" spans="1:23" ht="17.2" customHeight="1" thickBot="1" x14ac:dyDescent="0.4">
      <c r="A41" s="353"/>
      <c r="B41" s="79"/>
      <c r="C41" s="80"/>
      <c r="D41" s="69"/>
      <c r="E41" s="350"/>
      <c r="F41" s="69"/>
      <c r="G41" s="350"/>
      <c r="H41" s="69"/>
      <c r="I41" s="350"/>
      <c r="J41" s="69"/>
      <c r="K41" s="350"/>
      <c r="L41" s="69"/>
      <c r="M41" s="350"/>
      <c r="N41" s="69"/>
      <c r="O41" s="350"/>
      <c r="P41" s="69"/>
      <c r="Q41" s="350"/>
      <c r="R41" s="69"/>
      <c r="S41" s="350"/>
      <c r="T41" s="69"/>
      <c r="U41" s="350"/>
      <c r="V41" s="69"/>
      <c r="W41" s="350"/>
    </row>
    <row r="42" spans="1:23" ht="17.2" customHeight="1" x14ac:dyDescent="0.35">
      <c r="A42" s="351" t="s">
        <v>3</v>
      </c>
      <c r="B42" s="73"/>
      <c r="C42" s="74"/>
      <c r="D42" s="75"/>
      <c r="E42" s="348"/>
      <c r="F42" s="75"/>
      <c r="G42" s="348"/>
      <c r="H42" s="75"/>
      <c r="I42" s="348"/>
      <c r="J42" s="75"/>
      <c r="K42" s="348"/>
      <c r="L42" s="75"/>
      <c r="M42" s="348"/>
      <c r="N42" s="75"/>
      <c r="O42" s="348"/>
      <c r="P42" s="75"/>
      <c r="Q42" s="348"/>
      <c r="R42" s="75"/>
      <c r="S42" s="348"/>
      <c r="T42" s="75"/>
      <c r="U42" s="348"/>
      <c r="V42" s="75"/>
      <c r="W42" s="348"/>
    </row>
    <row r="43" spans="1:23" ht="17.2" customHeight="1" x14ac:dyDescent="0.35">
      <c r="A43" s="352"/>
      <c r="B43" s="76"/>
      <c r="C43" s="77"/>
      <c r="D43" s="78"/>
      <c r="E43" s="349"/>
      <c r="F43" s="78"/>
      <c r="G43" s="349"/>
      <c r="H43" s="78"/>
      <c r="I43" s="349"/>
      <c r="J43" s="78"/>
      <c r="K43" s="349"/>
      <c r="L43" s="78"/>
      <c r="M43" s="349"/>
      <c r="N43" s="78"/>
      <c r="O43" s="349"/>
      <c r="P43" s="78"/>
      <c r="Q43" s="349"/>
      <c r="R43" s="78"/>
      <c r="S43" s="349"/>
      <c r="T43" s="78"/>
      <c r="U43" s="349"/>
      <c r="V43" s="78"/>
      <c r="W43" s="349"/>
    </row>
    <row r="44" spans="1:23" ht="17.2" customHeight="1" thickBot="1" x14ac:dyDescent="0.4">
      <c r="A44" s="353"/>
      <c r="B44" s="79"/>
      <c r="C44" s="80"/>
      <c r="D44" s="69"/>
      <c r="E44" s="350"/>
      <c r="F44" s="69"/>
      <c r="G44" s="350"/>
      <c r="H44" s="69"/>
      <c r="I44" s="350"/>
      <c r="J44" s="69"/>
      <c r="K44" s="350"/>
      <c r="L44" s="69"/>
      <c r="M44" s="350"/>
      <c r="N44" s="69"/>
      <c r="O44" s="350"/>
      <c r="P44" s="69"/>
      <c r="Q44" s="350"/>
      <c r="R44" s="69"/>
      <c r="S44" s="350"/>
      <c r="T44" s="69"/>
      <c r="U44" s="350"/>
      <c r="V44" s="69"/>
      <c r="W44" s="350"/>
    </row>
    <row r="45" spans="1:23" ht="17.2" customHeight="1" x14ac:dyDescent="0.35">
      <c r="A45" s="351" t="s">
        <v>11</v>
      </c>
      <c r="B45" s="73"/>
      <c r="C45" s="74"/>
      <c r="D45" s="75"/>
      <c r="E45" s="348"/>
      <c r="F45" s="75"/>
      <c r="G45" s="348"/>
      <c r="H45" s="75"/>
      <c r="I45" s="348"/>
      <c r="J45" s="75"/>
      <c r="K45" s="348"/>
      <c r="L45" s="75"/>
      <c r="M45" s="348"/>
      <c r="N45" s="75"/>
      <c r="O45" s="348"/>
      <c r="P45" s="75"/>
      <c r="Q45" s="348"/>
      <c r="R45" s="75"/>
      <c r="S45" s="348"/>
      <c r="T45" s="75"/>
      <c r="U45" s="348"/>
      <c r="V45" s="75"/>
      <c r="W45" s="348"/>
    </row>
    <row r="46" spans="1:23" ht="17.2" customHeight="1" x14ac:dyDescent="0.35">
      <c r="A46" s="352"/>
      <c r="B46" s="76"/>
      <c r="C46" s="77"/>
      <c r="D46" s="78"/>
      <c r="E46" s="349"/>
      <c r="F46" s="78"/>
      <c r="G46" s="349"/>
      <c r="H46" s="78"/>
      <c r="I46" s="349"/>
      <c r="J46" s="78"/>
      <c r="K46" s="349"/>
      <c r="L46" s="78"/>
      <c r="M46" s="349"/>
      <c r="N46" s="78"/>
      <c r="O46" s="349"/>
      <c r="P46" s="78"/>
      <c r="Q46" s="349"/>
      <c r="R46" s="78"/>
      <c r="S46" s="349"/>
      <c r="T46" s="78"/>
      <c r="U46" s="349"/>
      <c r="V46" s="78"/>
      <c r="W46" s="349"/>
    </row>
    <row r="47" spans="1:23" ht="17.2" customHeight="1" thickBot="1" x14ac:dyDescent="0.4">
      <c r="A47" s="353"/>
      <c r="B47" s="79"/>
      <c r="C47" s="80"/>
      <c r="D47" s="69"/>
      <c r="E47" s="350"/>
      <c r="F47" s="69"/>
      <c r="G47" s="350"/>
      <c r="H47" s="69"/>
      <c r="I47" s="350"/>
      <c r="J47" s="69"/>
      <c r="K47" s="350"/>
      <c r="L47" s="69"/>
      <c r="M47" s="350"/>
      <c r="N47" s="69"/>
      <c r="O47" s="350"/>
      <c r="P47" s="69"/>
      <c r="Q47" s="350"/>
      <c r="R47" s="69"/>
      <c r="S47" s="350"/>
      <c r="T47" s="69"/>
      <c r="U47" s="350"/>
      <c r="V47" s="69"/>
      <c r="W47" s="350"/>
    </row>
    <row r="48" spans="1:23" ht="27.75" customHeight="1" thickBot="1" x14ac:dyDescent="0.4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4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3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35">
      <c r="B51" s="88" t="s">
        <v>1797</v>
      </c>
      <c r="C51" s="89" t="s">
        <v>1798</v>
      </c>
      <c r="D51" s="346">
        <f>VLOOKUP(B31,Schlüssel!$A$5:$DZ$14,63)</f>
        <v>4</v>
      </c>
      <c r="E51" s="346"/>
      <c r="F51" s="346">
        <f>VLOOKUP(B31,Schlüssel!$A$5:$DZ$14,64)</f>
        <v>5</v>
      </c>
      <c r="G51" s="346"/>
      <c r="H51" s="346">
        <f>VLOOKUP(B31,Schlüssel!$A$5:$DZ$14,65)</f>
        <v>9</v>
      </c>
      <c r="I51" s="346"/>
      <c r="J51" s="346">
        <f>VLOOKUP(B31,Schlüssel!$A$5:$DZ$14,66)</f>
        <v>6</v>
      </c>
      <c r="K51" s="346"/>
      <c r="L51" s="346">
        <f>VLOOKUP(B31,Schlüssel!$A$5:$DZ$14,67)</f>
        <v>7</v>
      </c>
      <c r="M51" s="346"/>
      <c r="N51" s="346">
        <f>VLOOKUP(B31,Schlüssel!$A$5:$DZ$14,68)</f>
        <v>1</v>
      </c>
      <c r="O51" s="346"/>
      <c r="P51" s="346">
        <f>VLOOKUP(B31,Schlüssel!$A$5:$DZ$14,69)</f>
        <v>3</v>
      </c>
      <c r="Q51" s="346"/>
      <c r="R51" s="346">
        <f>VLOOKUP(B31,Schlüssel!$A$5:$DZ$14,70)</f>
        <v>10</v>
      </c>
      <c r="S51" s="346"/>
      <c r="T51" s="346">
        <f>VLOOKUP(B31,Schlüssel!$A$5:$DZ$14,71)</f>
        <v>8</v>
      </c>
      <c r="U51" s="346"/>
      <c r="V51" s="347"/>
      <c r="W51" s="347"/>
    </row>
    <row r="52" spans="1:29" ht="28.5" customHeight="1" x14ac:dyDescent="0.35">
      <c r="B52" s="90"/>
      <c r="C52" s="86"/>
      <c r="D52" s="343" t="str">
        <f>VLOOKUP(D51,Schlüssel!$A$5:$K$14,2)</f>
        <v>BK München 3</v>
      </c>
      <c r="E52" s="344"/>
      <c r="F52" s="343" t="str">
        <f>VLOOKUP(F51,Schlüssel!$A$5:$K$14,2)</f>
        <v xml:space="preserve">Weiß Blau Unterföhring </v>
      </c>
      <c r="G52" s="344"/>
      <c r="H52" s="343" t="str">
        <f>VLOOKUP(H51,Schlüssel!$A$5:$K$14,2)</f>
        <v>RW Lichtenhof 69 Stein 2</v>
      </c>
      <c r="I52" s="344"/>
      <c r="J52" s="343" t="str">
        <f>VLOOKUP(J51,Schlüssel!$A$5:$K$14,2)</f>
        <v>Phönix 03 Lauf</v>
      </c>
      <c r="K52" s="344"/>
      <c r="L52" s="343" t="str">
        <f>VLOOKUP(L51,Schlüssel!$A$5:$K$14,2)</f>
        <v>Frankenpower Nürnberg</v>
      </c>
      <c r="M52" s="344"/>
      <c r="N52" s="343" t="str">
        <f>VLOOKUP(N51,Schlüssel!$A$5:$K$14,2)</f>
        <v>Praetoria Regensburg</v>
      </c>
      <c r="O52" s="344"/>
      <c r="P52" s="343" t="str">
        <f>VLOOKUP(P51,Schlüssel!$A$5:$K$14,2)</f>
        <v>Highroller Rosenheim</v>
      </c>
      <c r="Q52" s="344"/>
      <c r="R52" s="343" t="str">
        <f>VLOOKUP(R51,Schlüssel!$A$5:$K$14,2)</f>
        <v>BK München 4</v>
      </c>
      <c r="S52" s="344"/>
      <c r="T52" s="343" t="str">
        <f>VLOOKUP(T51,Schlüssel!$A$5:$K$14,2)</f>
        <v>EPA München 1</v>
      </c>
      <c r="U52" s="344"/>
      <c r="V52" s="345"/>
      <c r="W52" s="345"/>
    </row>
    <row r="53" spans="1:29" ht="12" customHeight="1" x14ac:dyDescent="0.35">
      <c r="B53" s="90"/>
      <c r="C53" s="86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2"/>
      <c r="V53" s="301"/>
      <c r="W53" s="301"/>
    </row>
    <row r="54" spans="1:29" ht="16.05" customHeight="1" x14ac:dyDescent="0.35">
      <c r="B54" s="91" t="s">
        <v>0</v>
      </c>
      <c r="C54" s="92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40"/>
      <c r="W54" s="340"/>
    </row>
    <row r="55" spans="1:29" ht="16.05" customHeight="1" x14ac:dyDescent="0.35">
      <c r="B55" s="91" t="s">
        <v>2</v>
      </c>
      <c r="C55" s="92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40"/>
      <c r="W55" s="340"/>
    </row>
    <row r="56" spans="1:29" ht="16.05" customHeight="1" x14ac:dyDescent="0.35">
      <c r="B56" s="91" t="s">
        <v>3</v>
      </c>
      <c r="C56" s="92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  <c r="S56" s="339"/>
      <c r="T56" s="339"/>
      <c r="U56" s="339"/>
      <c r="V56" s="340"/>
      <c r="W56" s="340"/>
    </row>
    <row r="57" spans="1:29" ht="16.05" customHeight="1" x14ac:dyDescent="0.35">
      <c r="B57" s="91" t="s">
        <v>11</v>
      </c>
      <c r="C57" s="92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39"/>
      <c r="V57" s="340"/>
      <c r="W57" s="340"/>
    </row>
    <row r="58" spans="1:29" ht="16.05" customHeight="1" x14ac:dyDescent="0.35">
      <c r="B58" s="93" t="s">
        <v>1799</v>
      </c>
      <c r="C58" s="94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38"/>
      <c r="R58" s="338"/>
      <c r="S58" s="338"/>
      <c r="T58" s="338"/>
      <c r="U58" s="338"/>
      <c r="V58" s="290"/>
      <c r="W58" s="290"/>
    </row>
    <row r="59" spans="1:29" ht="21" customHeight="1" x14ac:dyDescent="0.7">
      <c r="B59" s="44" t="s">
        <v>1813</v>
      </c>
      <c r="C59" s="45"/>
      <c r="D59" s="46" t="s">
        <v>1792</v>
      </c>
      <c r="E59" s="47"/>
      <c r="F59" s="359" t="str">
        <f>Schlüssel!$C$1</f>
        <v>Bayernliga Frauen</v>
      </c>
      <c r="G59" s="359"/>
      <c r="H59" s="359"/>
      <c r="I59" s="359"/>
      <c r="J59" s="359"/>
      <c r="K59" s="359"/>
      <c r="L59" s="359"/>
      <c r="M59" s="359"/>
      <c r="N59" s="359"/>
      <c r="O59" s="359"/>
      <c r="P59" s="45"/>
      <c r="Q59" s="45"/>
      <c r="R59" s="48"/>
      <c r="S59" s="49" t="s">
        <v>1794</v>
      </c>
      <c r="T59" s="50"/>
      <c r="U59" s="360" t="str">
        <f>Schlüssel!$BU$1</f>
        <v>15.02./16.02.</v>
      </c>
      <c r="V59" s="361"/>
      <c r="W59" s="362"/>
      <c r="AC59" s="51"/>
    </row>
    <row r="60" spans="1:29" ht="17.25" customHeight="1" thickBot="1" x14ac:dyDescent="0.65">
      <c r="A60" s="52"/>
      <c r="B60" s="96">
        <f>+B31+1</f>
        <v>3</v>
      </c>
      <c r="D60" s="46" t="s">
        <v>1793</v>
      </c>
      <c r="E60" s="54"/>
      <c r="F60" s="358" t="str">
        <f>Schlüssel!$BK$2</f>
        <v>Nürnberg West Bowling</v>
      </c>
      <c r="G60" s="358"/>
      <c r="H60" s="358"/>
      <c r="I60" s="358"/>
      <c r="J60" s="358"/>
      <c r="K60" s="358"/>
      <c r="L60" s="358"/>
      <c r="M60" s="358"/>
      <c r="N60" s="358"/>
      <c r="O60" s="358"/>
      <c r="P60" s="55"/>
      <c r="Q60" s="55"/>
      <c r="S60" s="49" t="s">
        <v>1791</v>
      </c>
      <c r="T60" s="56">
        <v>4</v>
      </c>
      <c r="U60" s="50"/>
      <c r="V60" s="50"/>
      <c r="AC60" s="97"/>
    </row>
    <row r="61" spans="1:29" ht="15.75" customHeight="1" thickBot="1" x14ac:dyDescent="0.4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5" thickBot="1" x14ac:dyDescent="0.45">
      <c r="A62" s="2"/>
      <c r="B62" s="44"/>
      <c r="C62" s="63"/>
      <c r="D62" s="64" t="s">
        <v>10</v>
      </c>
      <c r="E62" s="44">
        <f>VLOOKUP($B60,Schlüssel!$A$5:$DZ$14,73)</f>
        <v>13</v>
      </c>
      <c r="F62" s="65" t="s">
        <v>10</v>
      </c>
      <c r="G62" s="44">
        <f>VLOOKUP($B60,Schlüssel!$A$5:$DZ$14,74)</f>
        <v>16</v>
      </c>
      <c r="H62" s="65" t="s">
        <v>10</v>
      </c>
      <c r="I62" s="44">
        <f>VLOOKUP($B60,Schlüssel!$A$5:$DZ$14,75)</f>
        <v>17</v>
      </c>
      <c r="J62" s="65" t="s">
        <v>10</v>
      </c>
      <c r="K62" s="44">
        <f>VLOOKUP($B60,Schlüssel!$A$5:$DZ$14,76)</f>
        <v>14</v>
      </c>
      <c r="L62" s="65" t="s">
        <v>10</v>
      </c>
      <c r="M62" s="44">
        <f>VLOOKUP($B60,Schlüssel!$A$5:$DZ$14,77)</f>
        <v>19</v>
      </c>
      <c r="N62" s="65" t="s">
        <v>10</v>
      </c>
      <c r="O62" s="44">
        <f>VLOOKUP($B60,Schlüssel!$A$5:$DZ$14,78)</f>
        <v>11</v>
      </c>
      <c r="P62" s="65" t="s">
        <v>10</v>
      </c>
      <c r="Q62" s="44">
        <f>VLOOKUP($B60,Schlüssel!$A$5:$DZ$14,79)</f>
        <v>18</v>
      </c>
      <c r="R62" s="65" t="s">
        <v>10</v>
      </c>
      <c r="S62" s="44">
        <f>VLOOKUP($B60,Schlüssel!$A$5:$DZ$14,80)</f>
        <v>15</v>
      </c>
      <c r="T62" s="65" t="s">
        <v>10</v>
      </c>
      <c r="U62" s="66">
        <f>VLOOKUP($B60,Schlüssel!$A$5:$DZ$14,81)</f>
        <v>20</v>
      </c>
    </row>
    <row r="63" spans="1:29" ht="20.25" customHeight="1" x14ac:dyDescent="0.35">
      <c r="B63" s="67" t="s">
        <v>1</v>
      </c>
      <c r="C63" s="68"/>
      <c r="D63" s="354" t="s">
        <v>1800</v>
      </c>
      <c r="E63" s="355"/>
      <c r="F63" s="354" t="s">
        <v>1801</v>
      </c>
      <c r="G63" s="355"/>
      <c r="H63" s="354" t="s">
        <v>1802</v>
      </c>
      <c r="I63" s="355"/>
      <c r="J63" s="354" t="s">
        <v>1803</v>
      </c>
      <c r="K63" s="355"/>
      <c r="L63" s="354" t="s">
        <v>1804</v>
      </c>
      <c r="M63" s="355"/>
      <c r="N63" s="354" t="s">
        <v>1805</v>
      </c>
      <c r="O63" s="355"/>
      <c r="P63" s="354" t="s">
        <v>1806</v>
      </c>
      <c r="Q63" s="355"/>
      <c r="R63" s="354" t="s">
        <v>1807</v>
      </c>
      <c r="S63" s="355"/>
      <c r="T63" s="354" t="s">
        <v>1808</v>
      </c>
      <c r="U63" s="355"/>
      <c r="V63" s="356" t="s">
        <v>1799</v>
      </c>
      <c r="W63" s="357"/>
    </row>
    <row r="64" spans="1:29" ht="15" customHeight="1" thickBot="1" x14ac:dyDescent="0.4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2" customHeight="1" x14ac:dyDescent="0.35">
      <c r="A65" s="351" t="s">
        <v>0</v>
      </c>
      <c r="B65" s="73"/>
      <c r="C65" s="74"/>
      <c r="D65" s="75"/>
      <c r="E65" s="348"/>
      <c r="F65" s="75"/>
      <c r="G65" s="348"/>
      <c r="H65" s="75"/>
      <c r="I65" s="348"/>
      <c r="J65" s="75"/>
      <c r="K65" s="348"/>
      <c r="L65" s="75"/>
      <c r="M65" s="348"/>
      <c r="N65" s="75"/>
      <c r="O65" s="348"/>
      <c r="P65" s="75"/>
      <c r="Q65" s="348"/>
      <c r="R65" s="75"/>
      <c r="S65" s="348"/>
      <c r="T65" s="75"/>
      <c r="U65" s="348"/>
      <c r="V65" s="75"/>
      <c r="W65" s="348"/>
    </row>
    <row r="66" spans="1:23" ht="17.2" customHeight="1" x14ac:dyDescent="0.35">
      <c r="A66" s="352"/>
      <c r="B66" s="76"/>
      <c r="C66" s="77"/>
      <c r="D66" s="78"/>
      <c r="E66" s="349"/>
      <c r="F66" s="78"/>
      <c r="G66" s="349"/>
      <c r="H66" s="78"/>
      <c r="I66" s="349"/>
      <c r="J66" s="78"/>
      <c r="K66" s="349"/>
      <c r="L66" s="78"/>
      <c r="M66" s="349"/>
      <c r="N66" s="78"/>
      <c r="O66" s="349"/>
      <c r="P66" s="78"/>
      <c r="Q66" s="349"/>
      <c r="R66" s="78"/>
      <c r="S66" s="349"/>
      <c r="T66" s="78"/>
      <c r="U66" s="349"/>
      <c r="V66" s="78"/>
      <c r="W66" s="349"/>
    </row>
    <row r="67" spans="1:23" ht="17.2" customHeight="1" thickBot="1" x14ac:dyDescent="0.4">
      <c r="A67" s="353"/>
      <c r="B67" s="79"/>
      <c r="C67" s="80"/>
      <c r="D67" s="69"/>
      <c r="E67" s="350"/>
      <c r="F67" s="69"/>
      <c r="G67" s="350"/>
      <c r="H67" s="69"/>
      <c r="I67" s="350"/>
      <c r="J67" s="69"/>
      <c r="K67" s="350"/>
      <c r="L67" s="69"/>
      <c r="M67" s="350"/>
      <c r="N67" s="69"/>
      <c r="O67" s="350"/>
      <c r="P67" s="69"/>
      <c r="Q67" s="350"/>
      <c r="R67" s="69"/>
      <c r="S67" s="350"/>
      <c r="T67" s="69"/>
      <c r="U67" s="350"/>
      <c r="V67" s="69"/>
      <c r="W67" s="350"/>
    </row>
    <row r="68" spans="1:23" ht="17.2" customHeight="1" x14ac:dyDescent="0.35">
      <c r="A68" s="351" t="s">
        <v>2</v>
      </c>
      <c r="B68" s="73"/>
      <c r="C68" s="74"/>
      <c r="D68" s="75"/>
      <c r="E68" s="348"/>
      <c r="F68" s="75"/>
      <c r="G68" s="348"/>
      <c r="H68" s="75"/>
      <c r="I68" s="348"/>
      <c r="J68" s="75"/>
      <c r="K68" s="348"/>
      <c r="L68" s="75"/>
      <c r="M68" s="348"/>
      <c r="N68" s="75"/>
      <c r="O68" s="348"/>
      <c r="P68" s="75"/>
      <c r="Q68" s="348"/>
      <c r="R68" s="75"/>
      <c r="S68" s="348"/>
      <c r="T68" s="75"/>
      <c r="U68" s="348"/>
      <c r="V68" s="75"/>
      <c r="W68" s="348"/>
    </row>
    <row r="69" spans="1:23" ht="17.2" customHeight="1" x14ac:dyDescent="0.35">
      <c r="A69" s="352"/>
      <c r="B69" s="76"/>
      <c r="C69" s="77"/>
      <c r="D69" s="78"/>
      <c r="E69" s="349"/>
      <c r="F69" s="78"/>
      <c r="G69" s="349"/>
      <c r="H69" s="78"/>
      <c r="I69" s="349"/>
      <c r="J69" s="78"/>
      <c r="K69" s="349"/>
      <c r="L69" s="78"/>
      <c r="M69" s="349"/>
      <c r="N69" s="78"/>
      <c r="O69" s="349"/>
      <c r="P69" s="78"/>
      <c r="Q69" s="349"/>
      <c r="R69" s="78"/>
      <c r="S69" s="349"/>
      <c r="T69" s="78"/>
      <c r="U69" s="349"/>
      <c r="V69" s="78"/>
      <c r="W69" s="349"/>
    </row>
    <row r="70" spans="1:23" ht="17.2" customHeight="1" thickBot="1" x14ac:dyDescent="0.4">
      <c r="A70" s="353"/>
      <c r="B70" s="79"/>
      <c r="C70" s="80"/>
      <c r="D70" s="69"/>
      <c r="E70" s="350"/>
      <c r="F70" s="69"/>
      <c r="G70" s="350"/>
      <c r="H70" s="69"/>
      <c r="I70" s="350"/>
      <c r="J70" s="69"/>
      <c r="K70" s="350"/>
      <c r="L70" s="69"/>
      <c r="M70" s="350"/>
      <c r="N70" s="69"/>
      <c r="O70" s="350"/>
      <c r="P70" s="69"/>
      <c r="Q70" s="350"/>
      <c r="R70" s="69"/>
      <c r="S70" s="350"/>
      <c r="T70" s="69"/>
      <c r="U70" s="350"/>
      <c r="V70" s="69"/>
      <c r="W70" s="350"/>
    </row>
    <row r="71" spans="1:23" ht="17.2" customHeight="1" x14ac:dyDescent="0.35">
      <c r="A71" s="351" t="s">
        <v>3</v>
      </c>
      <c r="B71" s="73"/>
      <c r="C71" s="74"/>
      <c r="D71" s="75"/>
      <c r="E71" s="348"/>
      <c r="F71" s="75"/>
      <c r="G71" s="348"/>
      <c r="H71" s="75"/>
      <c r="I71" s="348"/>
      <c r="J71" s="75"/>
      <c r="K71" s="348"/>
      <c r="L71" s="75"/>
      <c r="M71" s="348"/>
      <c r="N71" s="75"/>
      <c r="O71" s="348"/>
      <c r="P71" s="75"/>
      <c r="Q71" s="348"/>
      <c r="R71" s="75"/>
      <c r="S71" s="348"/>
      <c r="T71" s="75"/>
      <c r="U71" s="348"/>
      <c r="V71" s="75"/>
      <c r="W71" s="348"/>
    </row>
    <row r="72" spans="1:23" ht="17.2" customHeight="1" x14ac:dyDescent="0.35">
      <c r="A72" s="352"/>
      <c r="B72" s="76"/>
      <c r="C72" s="77"/>
      <c r="D72" s="78"/>
      <c r="E72" s="349"/>
      <c r="F72" s="78"/>
      <c r="G72" s="349"/>
      <c r="H72" s="78"/>
      <c r="I72" s="349"/>
      <c r="J72" s="78"/>
      <c r="K72" s="349"/>
      <c r="L72" s="78"/>
      <c r="M72" s="349"/>
      <c r="N72" s="78"/>
      <c r="O72" s="349"/>
      <c r="P72" s="78"/>
      <c r="Q72" s="349"/>
      <c r="R72" s="78"/>
      <c r="S72" s="349"/>
      <c r="T72" s="78"/>
      <c r="U72" s="349"/>
      <c r="V72" s="78"/>
      <c r="W72" s="349"/>
    </row>
    <row r="73" spans="1:23" ht="17.2" customHeight="1" thickBot="1" x14ac:dyDescent="0.4">
      <c r="A73" s="353"/>
      <c r="B73" s="79"/>
      <c r="C73" s="80"/>
      <c r="D73" s="69"/>
      <c r="E73" s="350"/>
      <c r="F73" s="69"/>
      <c r="G73" s="350"/>
      <c r="H73" s="69"/>
      <c r="I73" s="350"/>
      <c r="J73" s="69"/>
      <c r="K73" s="350"/>
      <c r="L73" s="69"/>
      <c r="M73" s="350"/>
      <c r="N73" s="69"/>
      <c r="O73" s="350"/>
      <c r="P73" s="69"/>
      <c r="Q73" s="350"/>
      <c r="R73" s="69"/>
      <c r="S73" s="350"/>
      <c r="T73" s="69"/>
      <c r="U73" s="350"/>
      <c r="V73" s="69"/>
      <c r="W73" s="350"/>
    </row>
    <row r="74" spans="1:23" ht="17.2" customHeight="1" x14ac:dyDescent="0.35">
      <c r="A74" s="351" t="s">
        <v>11</v>
      </c>
      <c r="B74" s="73"/>
      <c r="C74" s="74"/>
      <c r="D74" s="75"/>
      <c r="E74" s="348"/>
      <c r="F74" s="75"/>
      <c r="G74" s="348"/>
      <c r="H74" s="75"/>
      <c r="I74" s="348"/>
      <c r="J74" s="75"/>
      <c r="K74" s="348"/>
      <c r="L74" s="75"/>
      <c r="M74" s="348"/>
      <c r="N74" s="75"/>
      <c r="O74" s="348"/>
      <c r="P74" s="75"/>
      <c r="Q74" s="348"/>
      <c r="R74" s="75"/>
      <c r="S74" s="348"/>
      <c r="T74" s="75"/>
      <c r="U74" s="348"/>
      <c r="V74" s="75"/>
      <c r="W74" s="348"/>
    </row>
    <row r="75" spans="1:23" ht="17.2" customHeight="1" x14ac:dyDescent="0.35">
      <c r="A75" s="352"/>
      <c r="B75" s="76"/>
      <c r="C75" s="77"/>
      <c r="D75" s="78"/>
      <c r="E75" s="349"/>
      <c r="F75" s="78"/>
      <c r="G75" s="349"/>
      <c r="H75" s="78"/>
      <c r="I75" s="349"/>
      <c r="J75" s="78"/>
      <c r="K75" s="349"/>
      <c r="L75" s="78"/>
      <c r="M75" s="349"/>
      <c r="N75" s="78"/>
      <c r="O75" s="349"/>
      <c r="P75" s="78"/>
      <c r="Q75" s="349"/>
      <c r="R75" s="78"/>
      <c r="S75" s="349"/>
      <c r="T75" s="78"/>
      <c r="U75" s="349"/>
      <c r="V75" s="78"/>
      <c r="W75" s="349"/>
    </row>
    <row r="76" spans="1:23" ht="17.2" customHeight="1" thickBot="1" x14ac:dyDescent="0.4">
      <c r="A76" s="353"/>
      <c r="B76" s="79"/>
      <c r="C76" s="80"/>
      <c r="D76" s="69"/>
      <c r="E76" s="350"/>
      <c r="F76" s="69"/>
      <c r="G76" s="350"/>
      <c r="H76" s="69"/>
      <c r="I76" s="350"/>
      <c r="J76" s="69"/>
      <c r="K76" s="350"/>
      <c r="L76" s="69"/>
      <c r="M76" s="350"/>
      <c r="N76" s="69"/>
      <c r="O76" s="350"/>
      <c r="P76" s="69"/>
      <c r="Q76" s="350"/>
      <c r="R76" s="69"/>
      <c r="S76" s="350"/>
      <c r="T76" s="69"/>
      <c r="U76" s="350"/>
      <c r="V76" s="69"/>
      <c r="W76" s="350"/>
    </row>
    <row r="77" spans="1:23" ht="27.75" customHeight="1" thickBot="1" x14ac:dyDescent="0.4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4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3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35">
      <c r="B80" s="88" t="s">
        <v>1797</v>
      </c>
      <c r="C80" s="89" t="s">
        <v>1798</v>
      </c>
      <c r="D80" s="346">
        <f>VLOOKUP(B60,Schlüssel!$A$5:$DZ$14,63)</f>
        <v>8</v>
      </c>
      <c r="E80" s="346"/>
      <c r="F80" s="346">
        <f>VLOOKUP(B60,Schlüssel!$A$5:$DZ$14,64)</f>
        <v>4</v>
      </c>
      <c r="G80" s="346"/>
      <c r="H80" s="346">
        <f>VLOOKUP(B60,Schlüssel!$A$5:$DZ$14,65)</f>
        <v>5</v>
      </c>
      <c r="I80" s="346"/>
      <c r="J80" s="346">
        <f>VLOOKUP(B60,Schlüssel!$A$5:$DZ$14,66)</f>
        <v>7</v>
      </c>
      <c r="K80" s="346"/>
      <c r="L80" s="346">
        <f>VLOOKUP(B60,Schlüssel!$A$5:$DZ$14,67)</f>
        <v>9</v>
      </c>
      <c r="M80" s="346"/>
      <c r="N80" s="346">
        <f>VLOOKUP(B60,Schlüssel!$A$5:$DZ$14,68)</f>
        <v>6</v>
      </c>
      <c r="O80" s="346"/>
      <c r="P80" s="346">
        <f>VLOOKUP(B60,Schlüssel!$A$5:$DZ$14,69)</f>
        <v>2</v>
      </c>
      <c r="Q80" s="346"/>
      <c r="R80" s="346">
        <f>VLOOKUP(B60,Schlüssel!$A$5:$DZ$14,70)</f>
        <v>1</v>
      </c>
      <c r="S80" s="346"/>
      <c r="T80" s="346">
        <f>VLOOKUP(B60,Schlüssel!$A$5:$DZ$14,71)</f>
        <v>10</v>
      </c>
      <c r="U80" s="346"/>
      <c r="V80" s="347"/>
      <c r="W80" s="347"/>
    </row>
    <row r="81" spans="1:29" ht="28.5" customHeight="1" x14ac:dyDescent="0.35">
      <c r="B81" s="90"/>
      <c r="C81" s="86"/>
      <c r="D81" s="343" t="str">
        <f>VLOOKUP(D80,Schlüssel!$A$5:$K$14,2)</f>
        <v>EPA München 1</v>
      </c>
      <c r="E81" s="344"/>
      <c r="F81" s="343" t="str">
        <f>VLOOKUP(F80,Schlüssel!$A$5:$K$14,2)</f>
        <v>BK München 3</v>
      </c>
      <c r="G81" s="344"/>
      <c r="H81" s="343" t="str">
        <f>VLOOKUP(H80,Schlüssel!$A$5:$K$14,2)</f>
        <v xml:space="preserve">Weiß Blau Unterföhring </v>
      </c>
      <c r="I81" s="344"/>
      <c r="J81" s="343" t="str">
        <f>VLOOKUP(J80,Schlüssel!$A$5:$K$14,2)</f>
        <v>Frankenpower Nürnberg</v>
      </c>
      <c r="K81" s="344"/>
      <c r="L81" s="343" t="str">
        <f>VLOOKUP(L80,Schlüssel!$A$5:$K$14,2)</f>
        <v>RW Lichtenhof 69 Stein 2</v>
      </c>
      <c r="M81" s="344"/>
      <c r="N81" s="343" t="str">
        <f>VLOOKUP(N80,Schlüssel!$A$5:$K$14,2)</f>
        <v>Phönix 03 Lauf</v>
      </c>
      <c r="O81" s="344"/>
      <c r="P81" s="343" t="str">
        <f>VLOOKUP(P80,Schlüssel!$A$5:$K$14,2)</f>
        <v>BK München 2</v>
      </c>
      <c r="Q81" s="344"/>
      <c r="R81" s="343" t="str">
        <f>VLOOKUP(R80,Schlüssel!$A$5:$K$14,2)</f>
        <v>Praetoria Regensburg</v>
      </c>
      <c r="S81" s="344"/>
      <c r="T81" s="343" t="str">
        <f>VLOOKUP(T80,Schlüssel!$A$5:$K$14,2)</f>
        <v>BK München 4</v>
      </c>
      <c r="U81" s="344"/>
      <c r="V81" s="345"/>
      <c r="W81" s="345"/>
    </row>
    <row r="82" spans="1:29" ht="12" customHeight="1" x14ac:dyDescent="0.35">
      <c r="B82" s="90"/>
      <c r="C82" s="86"/>
      <c r="D82" s="341"/>
      <c r="E82" s="341"/>
      <c r="F82" s="341"/>
      <c r="G82" s="341"/>
      <c r="H82" s="341"/>
      <c r="I82" s="341"/>
      <c r="J82" s="341"/>
      <c r="K82" s="341"/>
      <c r="L82" s="341"/>
      <c r="M82" s="341"/>
      <c r="N82" s="341"/>
      <c r="O82" s="341"/>
      <c r="P82" s="341"/>
      <c r="Q82" s="341"/>
      <c r="R82" s="341"/>
      <c r="S82" s="341"/>
      <c r="T82" s="341"/>
      <c r="U82" s="342"/>
      <c r="V82" s="301"/>
      <c r="W82" s="301"/>
    </row>
    <row r="83" spans="1:29" ht="16.05" customHeight="1" x14ac:dyDescent="0.35">
      <c r="B83" s="91" t="s">
        <v>0</v>
      </c>
      <c r="C83" s="92"/>
      <c r="D83" s="339"/>
      <c r="E83" s="339"/>
      <c r="F83" s="339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39"/>
      <c r="S83" s="339"/>
      <c r="T83" s="339"/>
      <c r="U83" s="339"/>
      <c r="V83" s="340"/>
      <c r="W83" s="340"/>
    </row>
    <row r="84" spans="1:29" ht="16.05" customHeight="1" x14ac:dyDescent="0.35">
      <c r="B84" s="91" t="s">
        <v>2</v>
      </c>
      <c r="C84" s="92"/>
      <c r="D84" s="339"/>
      <c r="E84" s="339"/>
      <c r="F84" s="339"/>
      <c r="G84" s="339"/>
      <c r="H84" s="339"/>
      <c r="I84" s="339"/>
      <c r="J84" s="339"/>
      <c r="K84" s="339"/>
      <c r="L84" s="339"/>
      <c r="M84" s="339"/>
      <c r="N84" s="339"/>
      <c r="O84" s="339"/>
      <c r="P84" s="339"/>
      <c r="Q84" s="339"/>
      <c r="R84" s="339"/>
      <c r="S84" s="339"/>
      <c r="T84" s="339"/>
      <c r="U84" s="339"/>
      <c r="V84" s="340"/>
      <c r="W84" s="340"/>
    </row>
    <row r="85" spans="1:29" ht="16.05" customHeight="1" x14ac:dyDescent="0.35">
      <c r="B85" s="91" t="s">
        <v>3</v>
      </c>
      <c r="C85" s="92"/>
      <c r="D85" s="339"/>
      <c r="E85" s="339"/>
      <c r="F85" s="339"/>
      <c r="G85" s="339"/>
      <c r="H85" s="339"/>
      <c r="I85" s="339"/>
      <c r="J85" s="339"/>
      <c r="K85" s="339"/>
      <c r="L85" s="339"/>
      <c r="M85" s="339"/>
      <c r="N85" s="339"/>
      <c r="O85" s="339"/>
      <c r="P85" s="339"/>
      <c r="Q85" s="339"/>
      <c r="R85" s="339"/>
      <c r="S85" s="339"/>
      <c r="T85" s="339"/>
      <c r="U85" s="339"/>
      <c r="V85" s="340"/>
      <c r="W85" s="340"/>
    </row>
    <row r="86" spans="1:29" ht="16.05" customHeight="1" x14ac:dyDescent="0.35">
      <c r="B86" s="91" t="s">
        <v>11</v>
      </c>
      <c r="C86" s="92"/>
      <c r="D86" s="339"/>
      <c r="E86" s="339"/>
      <c r="F86" s="339"/>
      <c r="G86" s="339"/>
      <c r="H86" s="339"/>
      <c r="I86" s="339"/>
      <c r="J86" s="339"/>
      <c r="K86" s="339"/>
      <c r="L86" s="339"/>
      <c r="M86" s="339"/>
      <c r="N86" s="339"/>
      <c r="O86" s="339"/>
      <c r="P86" s="339"/>
      <c r="Q86" s="339"/>
      <c r="R86" s="339"/>
      <c r="S86" s="339"/>
      <c r="T86" s="339"/>
      <c r="U86" s="339"/>
      <c r="V86" s="340"/>
      <c r="W86" s="340"/>
    </row>
    <row r="87" spans="1:29" ht="16.05" customHeight="1" x14ac:dyDescent="0.35">
      <c r="B87" s="93" t="s">
        <v>1799</v>
      </c>
      <c r="C87" s="94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38"/>
      <c r="R87" s="338"/>
      <c r="S87" s="338"/>
      <c r="T87" s="338"/>
      <c r="U87" s="338"/>
      <c r="V87" s="290"/>
      <c r="W87" s="290"/>
    </row>
    <row r="88" spans="1:29" ht="21" customHeight="1" x14ac:dyDescent="0.7">
      <c r="B88" s="44" t="s">
        <v>1813</v>
      </c>
      <c r="C88" s="45"/>
      <c r="D88" s="46" t="s">
        <v>1792</v>
      </c>
      <c r="E88" s="47"/>
      <c r="F88" s="359" t="str">
        <f>Schlüssel!$C$1</f>
        <v>Bayernliga Frauen</v>
      </c>
      <c r="G88" s="359"/>
      <c r="H88" s="359"/>
      <c r="I88" s="359"/>
      <c r="J88" s="359"/>
      <c r="K88" s="359"/>
      <c r="L88" s="359"/>
      <c r="M88" s="359"/>
      <c r="N88" s="359"/>
      <c r="O88" s="359"/>
      <c r="P88" s="45"/>
      <c r="Q88" s="45"/>
      <c r="R88" s="48"/>
      <c r="S88" s="49" t="s">
        <v>1794</v>
      </c>
      <c r="T88" s="50"/>
      <c r="U88" s="360" t="str">
        <f>Schlüssel!$BU$1</f>
        <v>15.02./16.02.</v>
      </c>
      <c r="V88" s="361"/>
      <c r="W88" s="362"/>
      <c r="AC88" s="51"/>
    </row>
    <row r="89" spans="1:29" ht="17.25" customHeight="1" thickBot="1" x14ac:dyDescent="0.65">
      <c r="A89" s="52"/>
      <c r="B89" s="96">
        <f>+B60+1</f>
        <v>4</v>
      </c>
      <c r="D89" s="46" t="s">
        <v>1793</v>
      </c>
      <c r="E89" s="54"/>
      <c r="F89" s="358" t="str">
        <f>Schlüssel!$BK$2</f>
        <v>Nürnberg West Bowling</v>
      </c>
      <c r="G89" s="358"/>
      <c r="H89" s="358"/>
      <c r="I89" s="358"/>
      <c r="J89" s="358"/>
      <c r="K89" s="358"/>
      <c r="L89" s="358"/>
      <c r="M89" s="358"/>
      <c r="N89" s="358"/>
      <c r="O89" s="358"/>
      <c r="P89" s="55"/>
      <c r="Q89" s="55"/>
      <c r="S89" s="49" t="s">
        <v>1791</v>
      </c>
      <c r="T89" s="56">
        <v>4</v>
      </c>
      <c r="U89" s="50"/>
      <c r="V89" s="50"/>
      <c r="AC89" s="97"/>
    </row>
    <row r="90" spans="1:29" ht="15.75" customHeight="1" thickBot="1" x14ac:dyDescent="0.4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5" thickBot="1" x14ac:dyDescent="0.45">
      <c r="A91" s="2"/>
      <c r="B91" s="44"/>
      <c r="C91" s="63"/>
      <c r="D91" s="64" t="s">
        <v>10</v>
      </c>
      <c r="E91" s="44">
        <f>VLOOKUP($B89,Schlüssel!$A$5:$DZ$14,73)</f>
        <v>17</v>
      </c>
      <c r="F91" s="65" t="s">
        <v>10</v>
      </c>
      <c r="G91" s="44">
        <f>VLOOKUP($B89,Schlüssel!$A$5:$DZ$14,74)</f>
        <v>15</v>
      </c>
      <c r="H91" s="65" t="s">
        <v>10</v>
      </c>
      <c r="I91" s="44">
        <f>VLOOKUP($B89,Schlüssel!$A$5:$DZ$14,75)</f>
        <v>11</v>
      </c>
      <c r="J91" s="65" t="s">
        <v>10</v>
      </c>
      <c r="K91" s="44">
        <f>VLOOKUP($B89,Schlüssel!$A$5:$DZ$14,76)</f>
        <v>19</v>
      </c>
      <c r="L91" s="65" t="s">
        <v>10</v>
      </c>
      <c r="M91" s="44">
        <f>VLOOKUP($B89,Schlüssel!$A$5:$DZ$14,77)</f>
        <v>16</v>
      </c>
      <c r="N91" s="65" t="s">
        <v>10</v>
      </c>
      <c r="O91" s="44">
        <f>VLOOKUP($B89,Schlüssel!$A$5:$DZ$14,78)</f>
        <v>20</v>
      </c>
      <c r="P91" s="65" t="s">
        <v>10</v>
      </c>
      <c r="Q91" s="44">
        <f>VLOOKUP($B89,Schlüssel!$A$5:$DZ$14,79)</f>
        <v>13</v>
      </c>
      <c r="R91" s="65" t="s">
        <v>10</v>
      </c>
      <c r="S91" s="44">
        <f>VLOOKUP($B89,Schlüssel!$A$5:$DZ$14,80)</f>
        <v>18</v>
      </c>
      <c r="T91" s="65" t="s">
        <v>10</v>
      </c>
      <c r="U91" s="66">
        <f>VLOOKUP($B89,Schlüssel!$A$5:$DZ$14,81)</f>
        <v>12</v>
      </c>
    </row>
    <row r="92" spans="1:29" ht="20.25" customHeight="1" x14ac:dyDescent="0.35">
      <c r="B92" s="67" t="s">
        <v>1</v>
      </c>
      <c r="C92" s="68"/>
      <c r="D92" s="354" t="s">
        <v>1800</v>
      </c>
      <c r="E92" s="355"/>
      <c r="F92" s="354" t="s">
        <v>1801</v>
      </c>
      <c r="G92" s="355"/>
      <c r="H92" s="354" t="s">
        <v>1802</v>
      </c>
      <c r="I92" s="355"/>
      <c r="J92" s="354" t="s">
        <v>1803</v>
      </c>
      <c r="K92" s="355"/>
      <c r="L92" s="354" t="s">
        <v>1804</v>
      </c>
      <c r="M92" s="355"/>
      <c r="N92" s="354" t="s">
        <v>1805</v>
      </c>
      <c r="O92" s="355"/>
      <c r="P92" s="354" t="s">
        <v>1806</v>
      </c>
      <c r="Q92" s="355"/>
      <c r="R92" s="354" t="s">
        <v>1807</v>
      </c>
      <c r="S92" s="355"/>
      <c r="T92" s="354" t="s">
        <v>1808</v>
      </c>
      <c r="U92" s="355"/>
      <c r="V92" s="356" t="s">
        <v>1799</v>
      </c>
      <c r="W92" s="357"/>
    </row>
    <row r="93" spans="1:29" ht="15" customHeight="1" thickBot="1" x14ac:dyDescent="0.4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2" customHeight="1" x14ac:dyDescent="0.35">
      <c r="A94" s="351" t="s">
        <v>0</v>
      </c>
      <c r="B94" s="73"/>
      <c r="C94" s="74"/>
      <c r="D94" s="75"/>
      <c r="E94" s="348"/>
      <c r="F94" s="75"/>
      <c r="G94" s="348"/>
      <c r="H94" s="75"/>
      <c r="I94" s="348"/>
      <c r="J94" s="75"/>
      <c r="K94" s="348"/>
      <c r="L94" s="75"/>
      <c r="M94" s="348"/>
      <c r="N94" s="75"/>
      <c r="O94" s="348"/>
      <c r="P94" s="75"/>
      <c r="Q94" s="348"/>
      <c r="R94" s="75"/>
      <c r="S94" s="348"/>
      <c r="T94" s="75"/>
      <c r="U94" s="348"/>
      <c r="V94" s="75"/>
      <c r="W94" s="348"/>
    </row>
    <row r="95" spans="1:29" ht="17.2" customHeight="1" x14ac:dyDescent="0.35">
      <c r="A95" s="352"/>
      <c r="B95" s="76"/>
      <c r="C95" s="77"/>
      <c r="D95" s="78"/>
      <c r="E95" s="349"/>
      <c r="F95" s="78"/>
      <c r="G95" s="349"/>
      <c r="H95" s="78"/>
      <c r="I95" s="349"/>
      <c r="J95" s="78"/>
      <c r="K95" s="349"/>
      <c r="L95" s="78"/>
      <c r="M95" s="349"/>
      <c r="N95" s="78"/>
      <c r="O95" s="349"/>
      <c r="P95" s="78"/>
      <c r="Q95" s="349"/>
      <c r="R95" s="78"/>
      <c r="S95" s="349"/>
      <c r="T95" s="78"/>
      <c r="U95" s="349"/>
      <c r="V95" s="78"/>
      <c r="W95" s="349"/>
    </row>
    <row r="96" spans="1:29" ht="17.2" customHeight="1" thickBot="1" x14ac:dyDescent="0.4">
      <c r="A96" s="353"/>
      <c r="B96" s="79"/>
      <c r="C96" s="80"/>
      <c r="D96" s="69"/>
      <c r="E96" s="350"/>
      <c r="F96" s="69"/>
      <c r="G96" s="350"/>
      <c r="H96" s="69"/>
      <c r="I96" s="350"/>
      <c r="J96" s="69"/>
      <c r="K96" s="350"/>
      <c r="L96" s="69"/>
      <c r="M96" s="350"/>
      <c r="N96" s="69"/>
      <c r="O96" s="350"/>
      <c r="P96" s="69"/>
      <c r="Q96" s="350"/>
      <c r="R96" s="69"/>
      <c r="S96" s="350"/>
      <c r="T96" s="69"/>
      <c r="U96" s="350"/>
      <c r="V96" s="69"/>
      <c r="W96" s="350"/>
    </row>
    <row r="97" spans="1:23" ht="17.2" customHeight="1" x14ac:dyDescent="0.35">
      <c r="A97" s="351" t="s">
        <v>2</v>
      </c>
      <c r="B97" s="73"/>
      <c r="C97" s="74"/>
      <c r="D97" s="75"/>
      <c r="E97" s="348"/>
      <c r="F97" s="75"/>
      <c r="G97" s="348"/>
      <c r="H97" s="75"/>
      <c r="I97" s="348"/>
      <c r="J97" s="75"/>
      <c r="K97" s="348"/>
      <c r="L97" s="75"/>
      <c r="M97" s="348"/>
      <c r="N97" s="75"/>
      <c r="O97" s="348"/>
      <c r="P97" s="75"/>
      <c r="Q97" s="348"/>
      <c r="R97" s="75"/>
      <c r="S97" s="348"/>
      <c r="T97" s="75"/>
      <c r="U97" s="348"/>
      <c r="V97" s="75"/>
      <c r="W97" s="348"/>
    </row>
    <row r="98" spans="1:23" ht="17.2" customHeight="1" x14ac:dyDescent="0.35">
      <c r="A98" s="352"/>
      <c r="B98" s="76"/>
      <c r="C98" s="77"/>
      <c r="D98" s="78"/>
      <c r="E98" s="349"/>
      <c r="F98" s="78"/>
      <c r="G98" s="349"/>
      <c r="H98" s="78"/>
      <c r="I98" s="349"/>
      <c r="J98" s="78"/>
      <c r="K98" s="349"/>
      <c r="L98" s="78"/>
      <c r="M98" s="349"/>
      <c r="N98" s="78"/>
      <c r="O98" s="349"/>
      <c r="P98" s="78"/>
      <c r="Q98" s="349"/>
      <c r="R98" s="78"/>
      <c r="S98" s="349"/>
      <c r="T98" s="78"/>
      <c r="U98" s="349"/>
      <c r="V98" s="78"/>
      <c r="W98" s="349"/>
    </row>
    <row r="99" spans="1:23" ht="17.2" customHeight="1" thickBot="1" x14ac:dyDescent="0.4">
      <c r="A99" s="353"/>
      <c r="B99" s="79"/>
      <c r="C99" s="80"/>
      <c r="D99" s="69"/>
      <c r="E99" s="350"/>
      <c r="F99" s="69"/>
      <c r="G99" s="350"/>
      <c r="H99" s="69"/>
      <c r="I99" s="350"/>
      <c r="J99" s="69"/>
      <c r="K99" s="350"/>
      <c r="L99" s="69"/>
      <c r="M99" s="350"/>
      <c r="N99" s="69"/>
      <c r="O99" s="350"/>
      <c r="P99" s="69"/>
      <c r="Q99" s="350"/>
      <c r="R99" s="69"/>
      <c r="S99" s="350"/>
      <c r="T99" s="69"/>
      <c r="U99" s="350"/>
      <c r="V99" s="69"/>
      <c r="W99" s="350"/>
    </row>
    <row r="100" spans="1:23" ht="17.2" customHeight="1" x14ac:dyDescent="0.35">
      <c r="A100" s="351" t="s">
        <v>3</v>
      </c>
      <c r="B100" s="73"/>
      <c r="C100" s="74"/>
      <c r="D100" s="75"/>
      <c r="E100" s="348"/>
      <c r="F100" s="75"/>
      <c r="G100" s="348"/>
      <c r="H100" s="75"/>
      <c r="I100" s="348"/>
      <c r="J100" s="75"/>
      <c r="K100" s="348"/>
      <c r="L100" s="75"/>
      <c r="M100" s="348"/>
      <c r="N100" s="75"/>
      <c r="O100" s="348"/>
      <c r="P100" s="75"/>
      <c r="Q100" s="348"/>
      <c r="R100" s="75"/>
      <c r="S100" s="348"/>
      <c r="T100" s="75"/>
      <c r="U100" s="348"/>
      <c r="V100" s="75"/>
      <c r="W100" s="348"/>
    </row>
    <row r="101" spans="1:23" ht="17.2" customHeight="1" x14ac:dyDescent="0.35">
      <c r="A101" s="352"/>
      <c r="B101" s="76"/>
      <c r="C101" s="77"/>
      <c r="D101" s="78"/>
      <c r="E101" s="349"/>
      <c r="F101" s="78"/>
      <c r="G101" s="349"/>
      <c r="H101" s="78"/>
      <c r="I101" s="349"/>
      <c r="J101" s="78"/>
      <c r="K101" s="349"/>
      <c r="L101" s="78"/>
      <c r="M101" s="349"/>
      <c r="N101" s="78"/>
      <c r="O101" s="349"/>
      <c r="P101" s="78"/>
      <c r="Q101" s="349"/>
      <c r="R101" s="78"/>
      <c r="S101" s="349"/>
      <c r="T101" s="78"/>
      <c r="U101" s="349"/>
      <c r="V101" s="78"/>
      <c r="W101" s="349"/>
    </row>
    <row r="102" spans="1:23" ht="17.2" customHeight="1" thickBot="1" x14ac:dyDescent="0.4">
      <c r="A102" s="353"/>
      <c r="B102" s="79"/>
      <c r="C102" s="80"/>
      <c r="D102" s="69"/>
      <c r="E102" s="350"/>
      <c r="F102" s="69"/>
      <c r="G102" s="350"/>
      <c r="H102" s="69"/>
      <c r="I102" s="350"/>
      <c r="J102" s="69"/>
      <c r="K102" s="350"/>
      <c r="L102" s="69"/>
      <c r="M102" s="350"/>
      <c r="N102" s="69"/>
      <c r="O102" s="350"/>
      <c r="P102" s="69"/>
      <c r="Q102" s="350"/>
      <c r="R102" s="69"/>
      <c r="S102" s="350"/>
      <c r="T102" s="69"/>
      <c r="U102" s="350"/>
      <c r="V102" s="69"/>
      <c r="W102" s="350"/>
    </row>
    <row r="103" spans="1:23" ht="17.2" customHeight="1" x14ac:dyDescent="0.35">
      <c r="A103" s="351" t="s">
        <v>11</v>
      </c>
      <c r="B103" s="73"/>
      <c r="C103" s="74"/>
      <c r="D103" s="75"/>
      <c r="E103" s="348"/>
      <c r="F103" s="75"/>
      <c r="G103" s="348"/>
      <c r="H103" s="75"/>
      <c r="I103" s="348"/>
      <c r="J103" s="75"/>
      <c r="K103" s="348"/>
      <c r="L103" s="75"/>
      <c r="M103" s="348"/>
      <c r="N103" s="75"/>
      <c r="O103" s="348"/>
      <c r="P103" s="75"/>
      <c r="Q103" s="348"/>
      <c r="R103" s="75"/>
      <c r="S103" s="348"/>
      <c r="T103" s="75"/>
      <c r="U103" s="348"/>
      <c r="V103" s="75"/>
      <c r="W103" s="348"/>
    </row>
    <row r="104" spans="1:23" ht="17.2" customHeight="1" x14ac:dyDescent="0.35">
      <c r="A104" s="352"/>
      <c r="B104" s="76"/>
      <c r="C104" s="77"/>
      <c r="D104" s="78"/>
      <c r="E104" s="349"/>
      <c r="F104" s="78"/>
      <c r="G104" s="349"/>
      <c r="H104" s="78"/>
      <c r="I104" s="349"/>
      <c r="J104" s="78"/>
      <c r="K104" s="349"/>
      <c r="L104" s="78"/>
      <c r="M104" s="349"/>
      <c r="N104" s="78"/>
      <c r="O104" s="349"/>
      <c r="P104" s="78"/>
      <c r="Q104" s="349"/>
      <c r="R104" s="78"/>
      <c r="S104" s="349"/>
      <c r="T104" s="78"/>
      <c r="U104" s="349"/>
      <c r="V104" s="78"/>
      <c r="W104" s="349"/>
    </row>
    <row r="105" spans="1:23" ht="17.2" customHeight="1" thickBot="1" x14ac:dyDescent="0.4">
      <c r="A105" s="353"/>
      <c r="B105" s="79"/>
      <c r="C105" s="80"/>
      <c r="D105" s="69"/>
      <c r="E105" s="350"/>
      <c r="F105" s="69"/>
      <c r="G105" s="350"/>
      <c r="H105" s="69"/>
      <c r="I105" s="350"/>
      <c r="J105" s="69"/>
      <c r="K105" s="350"/>
      <c r="L105" s="69"/>
      <c r="M105" s="350"/>
      <c r="N105" s="69"/>
      <c r="O105" s="350"/>
      <c r="P105" s="69"/>
      <c r="Q105" s="350"/>
      <c r="R105" s="69"/>
      <c r="S105" s="350"/>
      <c r="T105" s="69"/>
      <c r="U105" s="350"/>
      <c r="V105" s="69"/>
      <c r="W105" s="350"/>
    </row>
    <row r="106" spans="1:23" ht="27.75" customHeight="1" thickBot="1" x14ac:dyDescent="0.4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4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3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35">
      <c r="B109" s="88" t="s">
        <v>1797</v>
      </c>
      <c r="C109" s="89" t="s">
        <v>1798</v>
      </c>
      <c r="D109" s="346">
        <f>VLOOKUP(B89,Schlüssel!$A$5:$DZ$14,63)</f>
        <v>2</v>
      </c>
      <c r="E109" s="346"/>
      <c r="F109" s="346">
        <f>VLOOKUP(B89,Schlüssel!$A$5:$DZ$14,64)</f>
        <v>3</v>
      </c>
      <c r="G109" s="346"/>
      <c r="H109" s="346">
        <f>VLOOKUP(B89,Schlüssel!$A$5:$DZ$14,65)</f>
        <v>10</v>
      </c>
      <c r="I109" s="346"/>
      <c r="J109" s="346">
        <f>VLOOKUP(B89,Schlüssel!$A$5:$DZ$14,66)</f>
        <v>1</v>
      </c>
      <c r="K109" s="346"/>
      <c r="L109" s="346">
        <f>VLOOKUP(B89,Schlüssel!$A$5:$DZ$14,67)</f>
        <v>8</v>
      </c>
      <c r="M109" s="346"/>
      <c r="N109" s="346">
        <f>VLOOKUP(B89,Schlüssel!$A$5:$DZ$14,68)</f>
        <v>7</v>
      </c>
      <c r="O109" s="346"/>
      <c r="P109" s="346">
        <f>VLOOKUP(B89,Schlüssel!$A$5:$DZ$14,69)</f>
        <v>9</v>
      </c>
      <c r="Q109" s="346"/>
      <c r="R109" s="346">
        <f>VLOOKUP(B89,Schlüssel!$A$5:$DZ$14,70)</f>
        <v>5</v>
      </c>
      <c r="S109" s="346"/>
      <c r="T109" s="346">
        <f>VLOOKUP(B89,Schlüssel!$A$5:$DZ$14,71)</f>
        <v>6</v>
      </c>
      <c r="U109" s="346"/>
      <c r="V109" s="347"/>
      <c r="W109" s="347"/>
    </row>
    <row r="110" spans="1:23" ht="28.5" customHeight="1" x14ac:dyDescent="0.35">
      <c r="B110" s="90"/>
      <c r="C110" s="86"/>
      <c r="D110" s="343" t="str">
        <f>VLOOKUP(D109,Schlüssel!$A$5:$K$14,2)</f>
        <v>BK München 2</v>
      </c>
      <c r="E110" s="344"/>
      <c r="F110" s="343" t="str">
        <f>VLOOKUP(F109,Schlüssel!$A$5:$K$14,2)</f>
        <v>Highroller Rosenheim</v>
      </c>
      <c r="G110" s="344"/>
      <c r="H110" s="343" t="str">
        <f>VLOOKUP(H109,Schlüssel!$A$5:$K$14,2)</f>
        <v>BK München 4</v>
      </c>
      <c r="I110" s="344"/>
      <c r="J110" s="343" t="str">
        <f>VLOOKUP(J109,Schlüssel!$A$5:$K$14,2)</f>
        <v>Praetoria Regensburg</v>
      </c>
      <c r="K110" s="344"/>
      <c r="L110" s="343" t="str">
        <f>VLOOKUP(L109,Schlüssel!$A$5:$K$14,2)</f>
        <v>EPA München 1</v>
      </c>
      <c r="M110" s="344"/>
      <c r="N110" s="343" t="str">
        <f>VLOOKUP(N109,Schlüssel!$A$5:$K$14,2)</f>
        <v>Frankenpower Nürnberg</v>
      </c>
      <c r="O110" s="344"/>
      <c r="P110" s="343" t="str">
        <f>VLOOKUP(P109,Schlüssel!$A$5:$K$14,2)</f>
        <v>RW Lichtenhof 69 Stein 2</v>
      </c>
      <c r="Q110" s="344"/>
      <c r="R110" s="343" t="str">
        <f>VLOOKUP(R109,Schlüssel!$A$5:$K$14,2)</f>
        <v xml:space="preserve">Weiß Blau Unterföhring </v>
      </c>
      <c r="S110" s="344"/>
      <c r="T110" s="343" t="str">
        <f>VLOOKUP(T109,Schlüssel!$A$5:$K$14,2)</f>
        <v>Phönix 03 Lauf</v>
      </c>
      <c r="U110" s="344"/>
      <c r="V110" s="345"/>
      <c r="W110" s="345"/>
    </row>
    <row r="111" spans="1:23" ht="12" customHeight="1" x14ac:dyDescent="0.35">
      <c r="B111" s="90"/>
      <c r="C111" s="86"/>
      <c r="D111" s="341"/>
      <c r="E111" s="341"/>
      <c r="F111" s="341"/>
      <c r="G111" s="341"/>
      <c r="H111" s="341"/>
      <c r="I111" s="341"/>
      <c r="J111" s="341"/>
      <c r="K111" s="341"/>
      <c r="L111" s="341"/>
      <c r="M111" s="341"/>
      <c r="N111" s="341"/>
      <c r="O111" s="341"/>
      <c r="P111" s="341"/>
      <c r="Q111" s="341"/>
      <c r="R111" s="341"/>
      <c r="S111" s="341"/>
      <c r="T111" s="341"/>
      <c r="U111" s="342"/>
      <c r="V111" s="301"/>
      <c r="W111" s="301"/>
    </row>
    <row r="112" spans="1:23" ht="16.05" customHeight="1" x14ac:dyDescent="0.35">
      <c r="B112" s="91" t="s">
        <v>0</v>
      </c>
      <c r="C112" s="92"/>
      <c r="D112" s="339"/>
      <c r="E112" s="339"/>
      <c r="F112" s="339"/>
      <c r="G112" s="339"/>
      <c r="H112" s="339"/>
      <c r="I112" s="339"/>
      <c r="J112" s="339"/>
      <c r="K112" s="339"/>
      <c r="L112" s="339"/>
      <c r="M112" s="339"/>
      <c r="N112" s="339"/>
      <c r="O112" s="339"/>
      <c r="P112" s="339"/>
      <c r="Q112" s="339"/>
      <c r="R112" s="339"/>
      <c r="S112" s="339"/>
      <c r="T112" s="339"/>
      <c r="U112" s="339"/>
      <c r="V112" s="340"/>
      <c r="W112" s="340"/>
    </row>
    <row r="113" spans="1:29" ht="16.05" customHeight="1" x14ac:dyDescent="0.35">
      <c r="B113" s="91" t="s">
        <v>2</v>
      </c>
      <c r="C113" s="92"/>
      <c r="D113" s="339"/>
      <c r="E113" s="339"/>
      <c r="F113" s="339"/>
      <c r="G113" s="339"/>
      <c r="H113" s="339"/>
      <c r="I113" s="339"/>
      <c r="J113" s="339"/>
      <c r="K113" s="339"/>
      <c r="L113" s="339"/>
      <c r="M113" s="339"/>
      <c r="N113" s="339"/>
      <c r="O113" s="339"/>
      <c r="P113" s="339"/>
      <c r="Q113" s="339"/>
      <c r="R113" s="339"/>
      <c r="S113" s="339"/>
      <c r="T113" s="339"/>
      <c r="U113" s="339"/>
      <c r="V113" s="340"/>
      <c r="W113" s="340"/>
    </row>
    <row r="114" spans="1:29" ht="16.05" customHeight="1" x14ac:dyDescent="0.35">
      <c r="B114" s="91" t="s">
        <v>3</v>
      </c>
      <c r="C114" s="92"/>
      <c r="D114" s="339"/>
      <c r="E114" s="339"/>
      <c r="F114" s="339"/>
      <c r="G114" s="339"/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40"/>
      <c r="W114" s="340"/>
    </row>
    <row r="115" spans="1:29" ht="16.05" customHeight="1" x14ac:dyDescent="0.35">
      <c r="B115" s="91" t="s">
        <v>11</v>
      </c>
      <c r="C115" s="92"/>
      <c r="D115" s="339"/>
      <c r="E115" s="339"/>
      <c r="F115" s="339"/>
      <c r="G115" s="339"/>
      <c r="H115" s="339"/>
      <c r="I115" s="339"/>
      <c r="J115" s="339"/>
      <c r="K115" s="339"/>
      <c r="L115" s="339"/>
      <c r="M115" s="339"/>
      <c r="N115" s="339"/>
      <c r="O115" s="339"/>
      <c r="P115" s="339"/>
      <c r="Q115" s="339"/>
      <c r="R115" s="339"/>
      <c r="S115" s="339"/>
      <c r="T115" s="339"/>
      <c r="U115" s="339"/>
      <c r="V115" s="340"/>
      <c r="W115" s="340"/>
    </row>
    <row r="116" spans="1:29" ht="16.05" customHeight="1" x14ac:dyDescent="0.35">
      <c r="B116" s="93" t="s">
        <v>1799</v>
      </c>
      <c r="C116" s="94"/>
      <c r="D116" s="338"/>
      <c r="E116" s="338"/>
      <c r="F116" s="338"/>
      <c r="G116" s="338"/>
      <c r="H116" s="338"/>
      <c r="I116" s="338"/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  <c r="U116" s="338"/>
      <c r="V116" s="290"/>
      <c r="W116" s="290"/>
    </row>
    <row r="117" spans="1:29" ht="21" customHeight="1" x14ac:dyDescent="0.7">
      <c r="B117" s="44" t="s">
        <v>1813</v>
      </c>
      <c r="C117" s="45"/>
      <c r="D117" s="46" t="s">
        <v>1792</v>
      </c>
      <c r="E117" s="47"/>
      <c r="F117" s="359" t="str">
        <f>Schlüssel!$C$1</f>
        <v>Bayernliga Frauen</v>
      </c>
      <c r="G117" s="359"/>
      <c r="H117" s="359"/>
      <c r="I117" s="359"/>
      <c r="J117" s="359"/>
      <c r="K117" s="359"/>
      <c r="L117" s="359"/>
      <c r="M117" s="359"/>
      <c r="N117" s="359"/>
      <c r="O117" s="359"/>
      <c r="P117" s="45"/>
      <c r="Q117" s="45"/>
      <c r="R117" s="48"/>
      <c r="S117" s="49" t="s">
        <v>1794</v>
      </c>
      <c r="T117" s="50"/>
      <c r="U117" s="360" t="str">
        <f>Schlüssel!$BU$1</f>
        <v>15.02./16.02.</v>
      </c>
      <c r="V117" s="361"/>
      <c r="W117" s="362"/>
      <c r="AC117" s="51"/>
    </row>
    <row r="118" spans="1:29" ht="17.25" customHeight="1" thickBot="1" x14ac:dyDescent="0.65">
      <c r="A118" s="52"/>
      <c r="B118" s="96">
        <f>+B89+1</f>
        <v>5</v>
      </c>
      <c r="D118" s="46" t="s">
        <v>1793</v>
      </c>
      <c r="E118" s="54"/>
      <c r="F118" s="358" t="str">
        <f>Schlüssel!$BK$2</f>
        <v>Nürnberg West Bowling</v>
      </c>
      <c r="G118" s="358"/>
      <c r="H118" s="358"/>
      <c r="I118" s="358"/>
      <c r="J118" s="358"/>
      <c r="K118" s="358"/>
      <c r="L118" s="358"/>
      <c r="M118" s="358"/>
      <c r="N118" s="358"/>
      <c r="O118" s="358"/>
      <c r="P118" s="55"/>
      <c r="Q118" s="55"/>
      <c r="S118" s="49" t="s">
        <v>1791</v>
      </c>
      <c r="T118" s="56">
        <v>4</v>
      </c>
      <c r="U118" s="50"/>
      <c r="V118" s="50"/>
      <c r="AC118" s="97"/>
    </row>
    <row r="119" spans="1:29" ht="15.75" customHeight="1" thickBot="1" x14ac:dyDescent="0.4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5" thickBot="1" x14ac:dyDescent="0.45">
      <c r="A120" s="2"/>
      <c r="B120" s="44"/>
      <c r="C120" s="63"/>
      <c r="D120" s="64" t="s">
        <v>10</v>
      </c>
      <c r="E120" s="44">
        <f>VLOOKUP($B118,Schlüssel!$A$5:$DZ$14,73)</f>
        <v>12</v>
      </c>
      <c r="F120" s="65" t="s">
        <v>10</v>
      </c>
      <c r="G120" s="44">
        <f>VLOOKUP($B118,Schlüssel!$A$5:$DZ$14,74)</f>
        <v>19</v>
      </c>
      <c r="H120" s="65" t="s">
        <v>10</v>
      </c>
      <c r="I120" s="44">
        <f>VLOOKUP($B118,Schlüssel!$A$5:$DZ$14,75)</f>
        <v>18</v>
      </c>
      <c r="J120" s="65" t="s">
        <v>10</v>
      </c>
      <c r="K120" s="44">
        <f>VLOOKUP($B118,Schlüssel!$A$5:$DZ$14,76)</f>
        <v>11</v>
      </c>
      <c r="L120" s="65" t="s">
        <v>10</v>
      </c>
      <c r="M120" s="44">
        <f>VLOOKUP($B118,Schlüssel!$A$5:$DZ$14,77)</f>
        <v>13</v>
      </c>
      <c r="N120" s="65" t="s">
        <v>10</v>
      </c>
      <c r="O120" s="44">
        <f>VLOOKUP($B118,Schlüssel!$A$5:$DZ$14,78)</f>
        <v>15</v>
      </c>
      <c r="P120" s="65" t="s">
        <v>10</v>
      </c>
      <c r="Q120" s="44">
        <f>VLOOKUP($B118,Schlüssel!$A$5:$DZ$14,79)</f>
        <v>20</v>
      </c>
      <c r="R120" s="65" t="s">
        <v>10</v>
      </c>
      <c r="S120" s="44">
        <f>VLOOKUP($B118,Schlüssel!$A$5:$DZ$14,80)</f>
        <v>17</v>
      </c>
      <c r="T120" s="65" t="s">
        <v>10</v>
      </c>
      <c r="U120" s="66">
        <f>VLOOKUP($B118,Schlüssel!$A$5:$DZ$14,81)</f>
        <v>14</v>
      </c>
    </row>
    <row r="121" spans="1:29" ht="20.25" customHeight="1" x14ac:dyDescent="0.35">
      <c r="B121" s="67" t="s">
        <v>1</v>
      </c>
      <c r="C121" s="68"/>
      <c r="D121" s="354" t="s">
        <v>1800</v>
      </c>
      <c r="E121" s="355"/>
      <c r="F121" s="354" t="s">
        <v>1801</v>
      </c>
      <c r="G121" s="355"/>
      <c r="H121" s="354" t="s">
        <v>1802</v>
      </c>
      <c r="I121" s="355"/>
      <c r="J121" s="354" t="s">
        <v>1803</v>
      </c>
      <c r="K121" s="355"/>
      <c r="L121" s="354" t="s">
        <v>1804</v>
      </c>
      <c r="M121" s="355"/>
      <c r="N121" s="354" t="s">
        <v>1805</v>
      </c>
      <c r="O121" s="355"/>
      <c r="P121" s="354" t="s">
        <v>1806</v>
      </c>
      <c r="Q121" s="355"/>
      <c r="R121" s="354" t="s">
        <v>1807</v>
      </c>
      <c r="S121" s="355"/>
      <c r="T121" s="354" t="s">
        <v>1808</v>
      </c>
      <c r="U121" s="355"/>
      <c r="V121" s="356" t="s">
        <v>1799</v>
      </c>
      <c r="W121" s="357"/>
    </row>
    <row r="122" spans="1:29" ht="15" customHeight="1" thickBot="1" x14ac:dyDescent="0.4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2" customHeight="1" x14ac:dyDescent="0.35">
      <c r="A123" s="351" t="s">
        <v>0</v>
      </c>
      <c r="B123" s="73"/>
      <c r="C123" s="74"/>
      <c r="D123" s="75"/>
      <c r="E123" s="348"/>
      <c r="F123" s="75"/>
      <c r="G123" s="348"/>
      <c r="H123" s="75"/>
      <c r="I123" s="348"/>
      <c r="J123" s="75"/>
      <c r="K123" s="348"/>
      <c r="L123" s="75"/>
      <c r="M123" s="348"/>
      <c r="N123" s="75"/>
      <c r="O123" s="348"/>
      <c r="P123" s="75"/>
      <c r="Q123" s="348"/>
      <c r="R123" s="75"/>
      <c r="S123" s="348"/>
      <c r="T123" s="75"/>
      <c r="U123" s="348"/>
      <c r="V123" s="75"/>
      <c r="W123" s="348"/>
    </row>
    <row r="124" spans="1:29" ht="17.2" customHeight="1" x14ac:dyDescent="0.35">
      <c r="A124" s="352"/>
      <c r="B124" s="76"/>
      <c r="C124" s="77"/>
      <c r="D124" s="78"/>
      <c r="E124" s="349"/>
      <c r="F124" s="78"/>
      <c r="G124" s="349"/>
      <c r="H124" s="78"/>
      <c r="I124" s="349"/>
      <c r="J124" s="78"/>
      <c r="K124" s="349"/>
      <c r="L124" s="78"/>
      <c r="M124" s="349"/>
      <c r="N124" s="78"/>
      <c r="O124" s="349"/>
      <c r="P124" s="78"/>
      <c r="Q124" s="349"/>
      <c r="R124" s="78"/>
      <c r="S124" s="349"/>
      <c r="T124" s="78"/>
      <c r="U124" s="349"/>
      <c r="V124" s="78"/>
      <c r="W124" s="349"/>
    </row>
    <row r="125" spans="1:29" ht="17.2" customHeight="1" thickBot="1" x14ac:dyDescent="0.4">
      <c r="A125" s="353"/>
      <c r="B125" s="79"/>
      <c r="C125" s="80"/>
      <c r="D125" s="69"/>
      <c r="E125" s="350"/>
      <c r="F125" s="69"/>
      <c r="G125" s="350"/>
      <c r="H125" s="69"/>
      <c r="I125" s="350"/>
      <c r="J125" s="69"/>
      <c r="K125" s="350"/>
      <c r="L125" s="69"/>
      <c r="M125" s="350"/>
      <c r="N125" s="69"/>
      <c r="O125" s="350"/>
      <c r="P125" s="69"/>
      <c r="Q125" s="350"/>
      <c r="R125" s="69"/>
      <c r="S125" s="350"/>
      <c r="T125" s="69"/>
      <c r="U125" s="350"/>
      <c r="V125" s="69"/>
      <c r="W125" s="350"/>
    </row>
    <row r="126" spans="1:29" ht="17.2" customHeight="1" x14ac:dyDescent="0.35">
      <c r="A126" s="351" t="s">
        <v>2</v>
      </c>
      <c r="B126" s="73"/>
      <c r="C126" s="74"/>
      <c r="D126" s="75"/>
      <c r="E126" s="348"/>
      <c r="F126" s="75"/>
      <c r="G126" s="348"/>
      <c r="H126" s="75"/>
      <c r="I126" s="348"/>
      <c r="J126" s="75"/>
      <c r="K126" s="348"/>
      <c r="L126" s="75"/>
      <c r="M126" s="348"/>
      <c r="N126" s="75"/>
      <c r="O126" s="348"/>
      <c r="P126" s="75"/>
      <c r="Q126" s="348"/>
      <c r="R126" s="75"/>
      <c r="S126" s="348"/>
      <c r="T126" s="75"/>
      <c r="U126" s="348"/>
      <c r="V126" s="75"/>
      <c r="W126" s="348"/>
    </row>
    <row r="127" spans="1:29" ht="17.2" customHeight="1" x14ac:dyDescent="0.35">
      <c r="A127" s="352"/>
      <c r="B127" s="76"/>
      <c r="C127" s="77"/>
      <c r="D127" s="78"/>
      <c r="E127" s="349"/>
      <c r="F127" s="78"/>
      <c r="G127" s="349"/>
      <c r="H127" s="78"/>
      <c r="I127" s="349"/>
      <c r="J127" s="78"/>
      <c r="K127" s="349"/>
      <c r="L127" s="78"/>
      <c r="M127" s="349"/>
      <c r="N127" s="78"/>
      <c r="O127" s="349"/>
      <c r="P127" s="78"/>
      <c r="Q127" s="349"/>
      <c r="R127" s="78"/>
      <c r="S127" s="349"/>
      <c r="T127" s="78"/>
      <c r="U127" s="349"/>
      <c r="V127" s="78"/>
      <c r="W127" s="349"/>
    </row>
    <row r="128" spans="1:29" ht="17.2" customHeight="1" thickBot="1" x14ac:dyDescent="0.4">
      <c r="A128" s="353"/>
      <c r="B128" s="79"/>
      <c r="C128" s="80"/>
      <c r="D128" s="69"/>
      <c r="E128" s="350"/>
      <c r="F128" s="69"/>
      <c r="G128" s="350"/>
      <c r="H128" s="69"/>
      <c r="I128" s="350"/>
      <c r="J128" s="69"/>
      <c r="K128" s="350"/>
      <c r="L128" s="69"/>
      <c r="M128" s="350"/>
      <c r="N128" s="69"/>
      <c r="O128" s="350"/>
      <c r="P128" s="69"/>
      <c r="Q128" s="350"/>
      <c r="R128" s="69"/>
      <c r="S128" s="350"/>
      <c r="T128" s="69"/>
      <c r="U128" s="350"/>
      <c r="V128" s="69"/>
      <c r="W128" s="350"/>
    </row>
    <row r="129" spans="1:23" ht="17.2" customHeight="1" x14ac:dyDescent="0.35">
      <c r="A129" s="351" t="s">
        <v>3</v>
      </c>
      <c r="B129" s="73"/>
      <c r="C129" s="74"/>
      <c r="D129" s="75"/>
      <c r="E129" s="348"/>
      <c r="F129" s="75"/>
      <c r="G129" s="348"/>
      <c r="H129" s="75"/>
      <c r="I129" s="348"/>
      <c r="J129" s="75"/>
      <c r="K129" s="348"/>
      <c r="L129" s="75"/>
      <c r="M129" s="348"/>
      <c r="N129" s="75"/>
      <c r="O129" s="348"/>
      <c r="P129" s="75"/>
      <c r="Q129" s="348"/>
      <c r="R129" s="75"/>
      <c r="S129" s="348"/>
      <c r="T129" s="75"/>
      <c r="U129" s="348"/>
      <c r="V129" s="75"/>
      <c r="W129" s="348"/>
    </row>
    <row r="130" spans="1:23" ht="17.2" customHeight="1" x14ac:dyDescent="0.35">
      <c r="A130" s="352"/>
      <c r="B130" s="76"/>
      <c r="C130" s="77"/>
      <c r="D130" s="78"/>
      <c r="E130" s="349"/>
      <c r="F130" s="78"/>
      <c r="G130" s="349"/>
      <c r="H130" s="78"/>
      <c r="I130" s="349"/>
      <c r="J130" s="78"/>
      <c r="K130" s="349"/>
      <c r="L130" s="78"/>
      <c r="M130" s="349"/>
      <c r="N130" s="78"/>
      <c r="O130" s="349"/>
      <c r="P130" s="78"/>
      <c r="Q130" s="349"/>
      <c r="R130" s="78"/>
      <c r="S130" s="349"/>
      <c r="T130" s="78"/>
      <c r="U130" s="349"/>
      <c r="V130" s="78"/>
      <c r="W130" s="349"/>
    </row>
    <row r="131" spans="1:23" ht="17.2" customHeight="1" thickBot="1" x14ac:dyDescent="0.4">
      <c r="A131" s="353"/>
      <c r="B131" s="79"/>
      <c r="C131" s="80"/>
      <c r="D131" s="69"/>
      <c r="E131" s="350"/>
      <c r="F131" s="69"/>
      <c r="G131" s="350"/>
      <c r="H131" s="69"/>
      <c r="I131" s="350"/>
      <c r="J131" s="69"/>
      <c r="K131" s="350"/>
      <c r="L131" s="69"/>
      <c r="M131" s="350"/>
      <c r="N131" s="69"/>
      <c r="O131" s="350"/>
      <c r="P131" s="69"/>
      <c r="Q131" s="350"/>
      <c r="R131" s="69"/>
      <c r="S131" s="350"/>
      <c r="T131" s="69"/>
      <c r="U131" s="350"/>
      <c r="V131" s="69"/>
      <c r="W131" s="350"/>
    </row>
    <row r="132" spans="1:23" ht="17.2" customHeight="1" x14ac:dyDescent="0.35">
      <c r="A132" s="351" t="s">
        <v>11</v>
      </c>
      <c r="B132" s="73"/>
      <c r="C132" s="74"/>
      <c r="D132" s="75"/>
      <c r="E132" s="348"/>
      <c r="F132" s="75"/>
      <c r="G132" s="348"/>
      <c r="H132" s="75"/>
      <c r="I132" s="348"/>
      <c r="J132" s="75"/>
      <c r="K132" s="348"/>
      <c r="L132" s="75"/>
      <c r="M132" s="348"/>
      <c r="N132" s="75"/>
      <c r="O132" s="348"/>
      <c r="P132" s="75"/>
      <c r="Q132" s="348"/>
      <c r="R132" s="75"/>
      <c r="S132" s="348"/>
      <c r="T132" s="75"/>
      <c r="U132" s="348"/>
      <c r="V132" s="75"/>
      <c r="W132" s="348"/>
    </row>
    <row r="133" spans="1:23" ht="17.2" customHeight="1" x14ac:dyDescent="0.35">
      <c r="A133" s="352"/>
      <c r="B133" s="76"/>
      <c r="C133" s="77"/>
      <c r="D133" s="78"/>
      <c r="E133" s="349"/>
      <c r="F133" s="78"/>
      <c r="G133" s="349"/>
      <c r="H133" s="78"/>
      <c r="I133" s="349"/>
      <c r="J133" s="78"/>
      <c r="K133" s="349"/>
      <c r="L133" s="78"/>
      <c r="M133" s="349"/>
      <c r="N133" s="78"/>
      <c r="O133" s="349"/>
      <c r="P133" s="78"/>
      <c r="Q133" s="349"/>
      <c r="R133" s="78"/>
      <c r="S133" s="349"/>
      <c r="T133" s="78"/>
      <c r="U133" s="349"/>
      <c r="V133" s="78"/>
      <c r="W133" s="349"/>
    </row>
    <row r="134" spans="1:23" ht="17.2" customHeight="1" thickBot="1" x14ac:dyDescent="0.4">
      <c r="A134" s="353"/>
      <c r="B134" s="79"/>
      <c r="C134" s="80"/>
      <c r="D134" s="69"/>
      <c r="E134" s="350"/>
      <c r="F134" s="69"/>
      <c r="G134" s="350"/>
      <c r="H134" s="69"/>
      <c r="I134" s="350"/>
      <c r="J134" s="69"/>
      <c r="K134" s="350"/>
      <c r="L134" s="69"/>
      <c r="M134" s="350"/>
      <c r="N134" s="69"/>
      <c r="O134" s="350"/>
      <c r="P134" s="69"/>
      <c r="Q134" s="350"/>
      <c r="R134" s="69"/>
      <c r="S134" s="350"/>
      <c r="T134" s="69"/>
      <c r="U134" s="350"/>
      <c r="V134" s="69"/>
      <c r="W134" s="350"/>
    </row>
    <row r="135" spans="1:23" ht="27.75" customHeight="1" thickBot="1" x14ac:dyDescent="0.4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4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3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35">
      <c r="B138" s="88" t="s">
        <v>1797</v>
      </c>
      <c r="C138" s="89" t="s">
        <v>1798</v>
      </c>
      <c r="D138" s="346">
        <f>VLOOKUP(B118,Schlüssel!$A$5:$DZ$14,63)</f>
        <v>7</v>
      </c>
      <c r="E138" s="346"/>
      <c r="F138" s="346">
        <f>VLOOKUP(B118,Schlüssel!$A$5:$DZ$14,64)</f>
        <v>2</v>
      </c>
      <c r="G138" s="346"/>
      <c r="H138" s="346">
        <f>VLOOKUP(B118,Schlüssel!$A$5:$DZ$14,65)</f>
        <v>3</v>
      </c>
      <c r="I138" s="346"/>
      <c r="J138" s="346">
        <f>VLOOKUP(B118,Schlüssel!$A$5:$DZ$14,66)</f>
        <v>8</v>
      </c>
      <c r="K138" s="346"/>
      <c r="L138" s="346">
        <f>VLOOKUP(B118,Schlüssel!$A$5:$DZ$14,67)</f>
        <v>10</v>
      </c>
      <c r="M138" s="346"/>
      <c r="N138" s="346">
        <f>VLOOKUP(B118,Schlüssel!$A$5:$DZ$14,68)</f>
        <v>9</v>
      </c>
      <c r="O138" s="346"/>
      <c r="P138" s="346">
        <f>VLOOKUP(B118,Schlüssel!$A$5:$DZ$14,69)</f>
        <v>6</v>
      </c>
      <c r="Q138" s="346"/>
      <c r="R138" s="346">
        <f>VLOOKUP(B118,Schlüssel!$A$5:$DZ$14,70)</f>
        <v>4</v>
      </c>
      <c r="S138" s="346"/>
      <c r="T138" s="346">
        <f>VLOOKUP(B118,Schlüssel!$A$5:$DZ$14,71)</f>
        <v>1</v>
      </c>
      <c r="U138" s="346"/>
      <c r="V138" s="347"/>
      <c r="W138" s="347"/>
    </row>
    <row r="139" spans="1:23" ht="28.5" customHeight="1" x14ac:dyDescent="0.35">
      <c r="B139" s="90"/>
      <c r="C139" s="86"/>
      <c r="D139" s="343" t="str">
        <f>VLOOKUP(D138,Schlüssel!$A$5:$K$14,2)</f>
        <v>Frankenpower Nürnberg</v>
      </c>
      <c r="E139" s="344"/>
      <c r="F139" s="343" t="str">
        <f>VLOOKUP(F138,Schlüssel!$A$5:$K$14,2)</f>
        <v>BK München 2</v>
      </c>
      <c r="G139" s="344"/>
      <c r="H139" s="343" t="str">
        <f>VLOOKUP(H138,Schlüssel!$A$5:$K$14,2)</f>
        <v>Highroller Rosenheim</v>
      </c>
      <c r="I139" s="344"/>
      <c r="J139" s="343" t="str">
        <f>VLOOKUP(J138,Schlüssel!$A$5:$K$14,2)</f>
        <v>EPA München 1</v>
      </c>
      <c r="K139" s="344"/>
      <c r="L139" s="343" t="str">
        <f>VLOOKUP(L138,Schlüssel!$A$5:$K$14,2)</f>
        <v>BK München 4</v>
      </c>
      <c r="M139" s="344"/>
      <c r="N139" s="343" t="str">
        <f>VLOOKUP(N138,Schlüssel!$A$5:$K$14,2)</f>
        <v>RW Lichtenhof 69 Stein 2</v>
      </c>
      <c r="O139" s="344"/>
      <c r="P139" s="343" t="str">
        <f>VLOOKUP(P138,Schlüssel!$A$5:$K$14,2)</f>
        <v>Phönix 03 Lauf</v>
      </c>
      <c r="Q139" s="344"/>
      <c r="R139" s="343" t="str">
        <f>VLOOKUP(R138,Schlüssel!$A$5:$K$14,2)</f>
        <v>BK München 3</v>
      </c>
      <c r="S139" s="344"/>
      <c r="T139" s="343" t="str">
        <f>VLOOKUP(T138,Schlüssel!$A$5:$K$14,2)</f>
        <v>Praetoria Regensburg</v>
      </c>
      <c r="U139" s="344"/>
      <c r="V139" s="345"/>
      <c r="W139" s="345"/>
    </row>
    <row r="140" spans="1:23" ht="12" customHeight="1" x14ac:dyDescent="0.35">
      <c r="B140" s="90"/>
      <c r="C140" s="86"/>
      <c r="D140" s="341"/>
      <c r="E140" s="341"/>
      <c r="F140" s="341"/>
      <c r="G140" s="341"/>
      <c r="H140" s="341"/>
      <c r="I140" s="341"/>
      <c r="J140" s="341"/>
      <c r="K140" s="341"/>
      <c r="L140" s="341"/>
      <c r="M140" s="341"/>
      <c r="N140" s="341"/>
      <c r="O140" s="341"/>
      <c r="P140" s="341"/>
      <c r="Q140" s="341"/>
      <c r="R140" s="341"/>
      <c r="S140" s="341"/>
      <c r="T140" s="341"/>
      <c r="U140" s="342"/>
      <c r="V140" s="301"/>
      <c r="W140" s="301"/>
    </row>
    <row r="141" spans="1:23" ht="16.05" customHeight="1" x14ac:dyDescent="0.35">
      <c r="B141" s="91" t="s">
        <v>0</v>
      </c>
      <c r="C141" s="92"/>
      <c r="D141" s="339"/>
      <c r="E141" s="339"/>
      <c r="F141" s="339"/>
      <c r="G141" s="339"/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40"/>
      <c r="W141" s="340"/>
    </row>
    <row r="142" spans="1:23" ht="16.05" customHeight="1" x14ac:dyDescent="0.35">
      <c r="B142" s="91" t="s">
        <v>2</v>
      </c>
      <c r="C142" s="92"/>
      <c r="D142" s="339"/>
      <c r="E142" s="339"/>
      <c r="F142" s="339"/>
      <c r="G142" s="339"/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40"/>
      <c r="W142" s="340"/>
    </row>
    <row r="143" spans="1:23" ht="16.05" customHeight="1" x14ac:dyDescent="0.35">
      <c r="B143" s="91" t="s">
        <v>3</v>
      </c>
      <c r="C143" s="92"/>
      <c r="D143" s="339"/>
      <c r="E143" s="339"/>
      <c r="F143" s="339"/>
      <c r="G143" s="339"/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40"/>
      <c r="W143" s="340"/>
    </row>
    <row r="144" spans="1:23" ht="16.05" customHeight="1" x14ac:dyDescent="0.35">
      <c r="B144" s="91" t="s">
        <v>11</v>
      </c>
      <c r="C144" s="92"/>
      <c r="D144" s="339"/>
      <c r="E144" s="339"/>
      <c r="F144" s="339"/>
      <c r="G144" s="339"/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40"/>
      <c r="W144" s="340"/>
    </row>
    <row r="145" spans="1:29" ht="16.05" customHeight="1" x14ac:dyDescent="0.35">
      <c r="B145" s="93" t="s">
        <v>1799</v>
      </c>
      <c r="C145" s="94"/>
      <c r="D145" s="338"/>
      <c r="E145" s="338"/>
      <c r="F145" s="338"/>
      <c r="G145" s="338"/>
      <c r="H145" s="338"/>
      <c r="I145" s="338"/>
      <c r="J145" s="338"/>
      <c r="K145" s="338"/>
      <c r="L145" s="338"/>
      <c r="M145" s="338"/>
      <c r="N145" s="338"/>
      <c r="O145" s="338"/>
      <c r="P145" s="338"/>
      <c r="Q145" s="338"/>
      <c r="R145" s="338"/>
      <c r="S145" s="338"/>
      <c r="T145" s="338"/>
      <c r="U145" s="338"/>
      <c r="V145" s="290"/>
      <c r="W145" s="290"/>
    </row>
    <row r="146" spans="1:29" ht="21" customHeight="1" x14ac:dyDescent="0.7">
      <c r="B146" s="44" t="s">
        <v>1813</v>
      </c>
      <c r="C146" s="45"/>
      <c r="D146" s="46" t="s">
        <v>1792</v>
      </c>
      <c r="E146" s="47"/>
      <c r="F146" s="359" t="str">
        <f>Schlüssel!$C$1</f>
        <v>Bayernliga Frauen</v>
      </c>
      <c r="G146" s="359"/>
      <c r="H146" s="359"/>
      <c r="I146" s="359"/>
      <c r="J146" s="359"/>
      <c r="K146" s="359"/>
      <c r="L146" s="359"/>
      <c r="M146" s="359"/>
      <c r="N146" s="359"/>
      <c r="O146" s="359"/>
      <c r="P146" s="45"/>
      <c r="Q146" s="45"/>
      <c r="R146" s="48"/>
      <c r="S146" s="49" t="s">
        <v>1794</v>
      </c>
      <c r="T146" s="50"/>
      <c r="U146" s="360" t="str">
        <f>Schlüssel!$BU$1</f>
        <v>15.02./16.02.</v>
      </c>
      <c r="V146" s="361"/>
      <c r="W146" s="362"/>
      <c r="AC146" s="51"/>
    </row>
    <row r="147" spans="1:29" ht="17.25" customHeight="1" thickBot="1" x14ac:dyDescent="0.65">
      <c r="A147" s="52"/>
      <c r="B147" s="96">
        <f>+B118+1</f>
        <v>6</v>
      </c>
      <c r="D147" s="46" t="s">
        <v>1793</v>
      </c>
      <c r="E147" s="54"/>
      <c r="F147" s="358" t="str">
        <f>Schlüssel!$BK$2</f>
        <v>Nürnberg West Bowling</v>
      </c>
      <c r="G147" s="358"/>
      <c r="H147" s="358"/>
      <c r="I147" s="358"/>
      <c r="J147" s="358"/>
      <c r="K147" s="358"/>
      <c r="L147" s="358"/>
      <c r="M147" s="358"/>
      <c r="N147" s="358"/>
      <c r="O147" s="358"/>
      <c r="P147" s="55"/>
      <c r="Q147" s="55"/>
      <c r="S147" s="49" t="s">
        <v>1791</v>
      </c>
      <c r="T147" s="56">
        <v>4</v>
      </c>
      <c r="U147" s="50"/>
      <c r="V147" s="50"/>
      <c r="AC147" s="97"/>
    </row>
    <row r="148" spans="1:29" ht="15.75" customHeight="1" thickBot="1" x14ac:dyDescent="0.4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5" thickBot="1" x14ac:dyDescent="0.45">
      <c r="A149" s="2"/>
      <c r="B149" s="44"/>
      <c r="C149" s="63"/>
      <c r="D149" s="64" t="s">
        <v>10</v>
      </c>
      <c r="E149" s="44">
        <f>VLOOKUP($B147,Schlüssel!$A$5:$DZ$14,73)</f>
        <v>16</v>
      </c>
      <c r="F149" s="65" t="s">
        <v>10</v>
      </c>
      <c r="G149" s="44">
        <f>VLOOKUP($B147,Schlüssel!$A$5:$DZ$14,74)</f>
        <v>14</v>
      </c>
      <c r="H149" s="65" t="s">
        <v>10</v>
      </c>
      <c r="I149" s="44">
        <f>VLOOKUP($B147,Schlüssel!$A$5:$DZ$14,75)</f>
        <v>20</v>
      </c>
      <c r="J149" s="65" t="s">
        <v>10</v>
      </c>
      <c r="K149" s="44">
        <f>VLOOKUP($B147,Schlüssel!$A$5:$DZ$14,76)</f>
        <v>15</v>
      </c>
      <c r="L149" s="65" t="s">
        <v>10</v>
      </c>
      <c r="M149" s="44">
        <f>VLOOKUP($B147,Schlüssel!$A$5:$DZ$14,77)</f>
        <v>18</v>
      </c>
      <c r="N149" s="65" t="s">
        <v>10</v>
      </c>
      <c r="O149" s="44">
        <f>VLOOKUP($B147,Schlüssel!$A$5:$DZ$14,78)</f>
        <v>12</v>
      </c>
      <c r="P149" s="65" t="s">
        <v>10</v>
      </c>
      <c r="Q149" s="44">
        <f>VLOOKUP($B147,Schlüssel!$A$5:$DZ$14,79)</f>
        <v>19</v>
      </c>
      <c r="R149" s="65" t="s">
        <v>10</v>
      </c>
      <c r="S149" s="44">
        <f>VLOOKUP($B147,Schlüssel!$A$5:$DZ$14,80)</f>
        <v>13</v>
      </c>
      <c r="T149" s="65" t="s">
        <v>10</v>
      </c>
      <c r="U149" s="66">
        <f>VLOOKUP($B147,Schlüssel!$A$5:$DZ$14,81)</f>
        <v>11</v>
      </c>
    </row>
    <row r="150" spans="1:29" ht="20.25" customHeight="1" x14ac:dyDescent="0.35">
      <c r="B150" s="67" t="s">
        <v>1</v>
      </c>
      <c r="C150" s="68"/>
      <c r="D150" s="354" t="s">
        <v>1800</v>
      </c>
      <c r="E150" s="355"/>
      <c r="F150" s="354" t="s">
        <v>1801</v>
      </c>
      <c r="G150" s="355"/>
      <c r="H150" s="354" t="s">
        <v>1802</v>
      </c>
      <c r="I150" s="355"/>
      <c r="J150" s="354" t="s">
        <v>1803</v>
      </c>
      <c r="K150" s="355"/>
      <c r="L150" s="354" t="s">
        <v>1804</v>
      </c>
      <c r="M150" s="355"/>
      <c r="N150" s="354" t="s">
        <v>1805</v>
      </c>
      <c r="O150" s="355"/>
      <c r="P150" s="354" t="s">
        <v>1806</v>
      </c>
      <c r="Q150" s="355"/>
      <c r="R150" s="354" t="s">
        <v>1807</v>
      </c>
      <c r="S150" s="355"/>
      <c r="T150" s="354" t="s">
        <v>1808</v>
      </c>
      <c r="U150" s="355"/>
      <c r="V150" s="356" t="s">
        <v>1799</v>
      </c>
      <c r="W150" s="357"/>
    </row>
    <row r="151" spans="1:29" ht="15" customHeight="1" thickBot="1" x14ac:dyDescent="0.4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2" customHeight="1" x14ac:dyDescent="0.35">
      <c r="A152" s="351" t="s">
        <v>0</v>
      </c>
      <c r="B152" s="73"/>
      <c r="C152" s="74"/>
      <c r="D152" s="75"/>
      <c r="E152" s="348"/>
      <c r="F152" s="75"/>
      <c r="G152" s="348"/>
      <c r="H152" s="75"/>
      <c r="I152" s="348"/>
      <c r="J152" s="75"/>
      <c r="K152" s="348"/>
      <c r="L152" s="75"/>
      <c r="M152" s="348"/>
      <c r="N152" s="75"/>
      <c r="O152" s="348"/>
      <c r="P152" s="75"/>
      <c r="Q152" s="348"/>
      <c r="R152" s="75"/>
      <c r="S152" s="348"/>
      <c r="T152" s="75"/>
      <c r="U152" s="348"/>
      <c r="V152" s="75"/>
      <c r="W152" s="348"/>
    </row>
    <row r="153" spans="1:29" ht="17.2" customHeight="1" x14ac:dyDescent="0.35">
      <c r="A153" s="352"/>
      <c r="B153" s="76"/>
      <c r="C153" s="77"/>
      <c r="D153" s="78"/>
      <c r="E153" s="349"/>
      <c r="F153" s="78"/>
      <c r="G153" s="349"/>
      <c r="H153" s="78"/>
      <c r="I153" s="349"/>
      <c r="J153" s="78"/>
      <c r="K153" s="349"/>
      <c r="L153" s="78"/>
      <c r="M153" s="349"/>
      <c r="N153" s="78"/>
      <c r="O153" s="349"/>
      <c r="P153" s="78"/>
      <c r="Q153" s="349"/>
      <c r="R153" s="78"/>
      <c r="S153" s="349"/>
      <c r="T153" s="78"/>
      <c r="U153" s="349"/>
      <c r="V153" s="78"/>
      <c r="W153" s="349"/>
    </row>
    <row r="154" spans="1:29" ht="17.2" customHeight="1" thickBot="1" x14ac:dyDescent="0.4">
      <c r="A154" s="353"/>
      <c r="B154" s="79"/>
      <c r="C154" s="80"/>
      <c r="D154" s="69"/>
      <c r="E154" s="350"/>
      <c r="F154" s="69"/>
      <c r="G154" s="350"/>
      <c r="H154" s="69"/>
      <c r="I154" s="350"/>
      <c r="J154" s="69"/>
      <c r="K154" s="350"/>
      <c r="L154" s="69"/>
      <c r="M154" s="350"/>
      <c r="N154" s="69"/>
      <c r="O154" s="350"/>
      <c r="P154" s="69"/>
      <c r="Q154" s="350"/>
      <c r="R154" s="69"/>
      <c r="S154" s="350"/>
      <c r="T154" s="69"/>
      <c r="U154" s="350"/>
      <c r="V154" s="69"/>
      <c r="W154" s="350"/>
    </row>
    <row r="155" spans="1:29" ht="17.2" customHeight="1" x14ac:dyDescent="0.35">
      <c r="A155" s="351" t="s">
        <v>2</v>
      </c>
      <c r="B155" s="73"/>
      <c r="C155" s="74"/>
      <c r="D155" s="75"/>
      <c r="E155" s="348"/>
      <c r="F155" s="75"/>
      <c r="G155" s="348"/>
      <c r="H155" s="75"/>
      <c r="I155" s="348"/>
      <c r="J155" s="75"/>
      <c r="K155" s="348"/>
      <c r="L155" s="75"/>
      <c r="M155" s="348"/>
      <c r="N155" s="75"/>
      <c r="O155" s="348"/>
      <c r="P155" s="75"/>
      <c r="Q155" s="348"/>
      <c r="R155" s="75"/>
      <c r="S155" s="348"/>
      <c r="T155" s="75"/>
      <c r="U155" s="348"/>
      <c r="V155" s="75"/>
      <c r="W155" s="348"/>
    </row>
    <row r="156" spans="1:29" ht="17.2" customHeight="1" x14ac:dyDescent="0.35">
      <c r="A156" s="352"/>
      <c r="B156" s="76"/>
      <c r="C156" s="77"/>
      <c r="D156" s="78"/>
      <c r="E156" s="349"/>
      <c r="F156" s="78"/>
      <c r="G156" s="349"/>
      <c r="H156" s="78"/>
      <c r="I156" s="349"/>
      <c r="J156" s="78"/>
      <c r="K156" s="349"/>
      <c r="L156" s="78"/>
      <c r="M156" s="349"/>
      <c r="N156" s="78"/>
      <c r="O156" s="349"/>
      <c r="P156" s="78"/>
      <c r="Q156" s="349"/>
      <c r="R156" s="78"/>
      <c r="S156" s="349"/>
      <c r="T156" s="78"/>
      <c r="U156" s="349"/>
      <c r="V156" s="78"/>
      <c r="W156" s="349"/>
    </row>
    <row r="157" spans="1:29" ht="17.2" customHeight="1" thickBot="1" x14ac:dyDescent="0.4">
      <c r="A157" s="353"/>
      <c r="B157" s="79"/>
      <c r="C157" s="80"/>
      <c r="D157" s="69"/>
      <c r="E157" s="350"/>
      <c r="F157" s="69"/>
      <c r="G157" s="350"/>
      <c r="H157" s="69"/>
      <c r="I157" s="350"/>
      <c r="J157" s="69"/>
      <c r="K157" s="350"/>
      <c r="L157" s="69"/>
      <c r="M157" s="350"/>
      <c r="N157" s="69"/>
      <c r="O157" s="350"/>
      <c r="P157" s="69"/>
      <c r="Q157" s="350"/>
      <c r="R157" s="69"/>
      <c r="S157" s="350"/>
      <c r="T157" s="69"/>
      <c r="U157" s="350"/>
      <c r="V157" s="69"/>
      <c r="W157" s="350"/>
    </row>
    <row r="158" spans="1:29" ht="17.2" customHeight="1" x14ac:dyDescent="0.35">
      <c r="A158" s="351" t="s">
        <v>3</v>
      </c>
      <c r="B158" s="73"/>
      <c r="C158" s="74"/>
      <c r="D158" s="75"/>
      <c r="E158" s="348"/>
      <c r="F158" s="75"/>
      <c r="G158" s="348"/>
      <c r="H158" s="75"/>
      <c r="I158" s="348"/>
      <c r="J158" s="75"/>
      <c r="K158" s="348"/>
      <c r="L158" s="75"/>
      <c r="M158" s="348"/>
      <c r="N158" s="75"/>
      <c r="O158" s="348"/>
      <c r="P158" s="75"/>
      <c r="Q158" s="348"/>
      <c r="R158" s="75"/>
      <c r="S158" s="348"/>
      <c r="T158" s="75"/>
      <c r="U158" s="348"/>
      <c r="V158" s="75"/>
      <c r="W158" s="348"/>
    </row>
    <row r="159" spans="1:29" ht="17.2" customHeight="1" x14ac:dyDescent="0.35">
      <c r="A159" s="352"/>
      <c r="B159" s="76"/>
      <c r="C159" s="77"/>
      <c r="D159" s="78"/>
      <c r="E159" s="349"/>
      <c r="F159" s="78"/>
      <c r="G159" s="349"/>
      <c r="H159" s="78"/>
      <c r="I159" s="349"/>
      <c r="J159" s="78"/>
      <c r="K159" s="349"/>
      <c r="L159" s="78"/>
      <c r="M159" s="349"/>
      <c r="N159" s="78"/>
      <c r="O159" s="349"/>
      <c r="P159" s="78"/>
      <c r="Q159" s="349"/>
      <c r="R159" s="78"/>
      <c r="S159" s="349"/>
      <c r="T159" s="78"/>
      <c r="U159" s="349"/>
      <c r="V159" s="78"/>
      <c r="W159" s="349"/>
    </row>
    <row r="160" spans="1:29" ht="17.2" customHeight="1" thickBot="1" x14ac:dyDescent="0.4">
      <c r="A160" s="353"/>
      <c r="B160" s="79"/>
      <c r="C160" s="80"/>
      <c r="D160" s="69"/>
      <c r="E160" s="350"/>
      <c r="F160" s="69"/>
      <c r="G160" s="350"/>
      <c r="H160" s="69"/>
      <c r="I160" s="350"/>
      <c r="J160" s="69"/>
      <c r="K160" s="350"/>
      <c r="L160" s="69"/>
      <c r="M160" s="350"/>
      <c r="N160" s="69"/>
      <c r="O160" s="350"/>
      <c r="P160" s="69"/>
      <c r="Q160" s="350"/>
      <c r="R160" s="69"/>
      <c r="S160" s="350"/>
      <c r="T160" s="69"/>
      <c r="U160" s="350"/>
      <c r="V160" s="69"/>
      <c r="W160" s="350"/>
    </row>
    <row r="161" spans="1:29" ht="17.2" customHeight="1" x14ac:dyDescent="0.35">
      <c r="A161" s="351" t="s">
        <v>11</v>
      </c>
      <c r="B161" s="73"/>
      <c r="C161" s="74"/>
      <c r="D161" s="75"/>
      <c r="E161" s="348"/>
      <c r="F161" s="75"/>
      <c r="G161" s="348"/>
      <c r="H161" s="75"/>
      <c r="I161" s="348"/>
      <c r="J161" s="75"/>
      <c r="K161" s="348"/>
      <c r="L161" s="75"/>
      <c r="M161" s="348"/>
      <c r="N161" s="75"/>
      <c r="O161" s="348"/>
      <c r="P161" s="75"/>
      <c r="Q161" s="348"/>
      <c r="R161" s="75"/>
      <c r="S161" s="348"/>
      <c r="T161" s="75"/>
      <c r="U161" s="348"/>
      <c r="V161" s="75"/>
      <c r="W161" s="348"/>
    </row>
    <row r="162" spans="1:29" ht="17.2" customHeight="1" x14ac:dyDescent="0.35">
      <c r="A162" s="352"/>
      <c r="B162" s="76"/>
      <c r="C162" s="77"/>
      <c r="D162" s="78"/>
      <c r="E162" s="349"/>
      <c r="F162" s="78"/>
      <c r="G162" s="349"/>
      <c r="H162" s="78"/>
      <c r="I162" s="349"/>
      <c r="J162" s="78"/>
      <c r="K162" s="349"/>
      <c r="L162" s="78"/>
      <c r="M162" s="349"/>
      <c r="N162" s="78"/>
      <c r="O162" s="349"/>
      <c r="P162" s="78"/>
      <c r="Q162" s="349"/>
      <c r="R162" s="78"/>
      <c r="S162" s="349"/>
      <c r="T162" s="78"/>
      <c r="U162" s="349"/>
      <c r="V162" s="78"/>
      <c r="W162" s="349"/>
    </row>
    <row r="163" spans="1:29" ht="17.2" customHeight="1" thickBot="1" x14ac:dyDescent="0.4">
      <c r="A163" s="353"/>
      <c r="B163" s="79"/>
      <c r="C163" s="80"/>
      <c r="D163" s="69"/>
      <c r="E163" s="350"/>
      <c r="F163" s="69"/>
      <c r="G163" s="350"/>
      <c r="H163" s="69"/>
      <c r="I163" s="350"/>
      <c r="J163" s="69"/>
      <c r="K163" s="350"/>
      <c r="L163" s="69"/>
      <c r="M163" s="350"/>
      <c r="N163" s="69"/>
      <c r="O163" s="350"/>
      <c r="P163" s="69"/>
      <c r="Q163" s="350"/>
      <c r="R163" s="69"/>
      <c r="S163" s="350"/>
      <c r="T163" s="69"/>
      <c r="U163" s="350"/>
      <c r="V163" s="69"/>
      <c r="W163" s="350"/>
    </row>
    <row r="164" spans="1:29" ht="27.75" customHeight="1" thickBot="1" x14ac:dyDescent="0.4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4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3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35">
      <c r="B167" s="88" t="s">
        <v>1797</v>
      </c>
      <c r="C167" s="89" t="s">
        <v>1798</v>
      </c>
      <c r="D167" s="346">
        <f>VLOOKUP(B147,Schlüssel!$A$5:$DZ$14,63)</f>
        <v>9</v>
      </c>
      <c r="E167" s="346"/>
      <c r="F167" s="346">
        <f>VLOOKUP(B147,Schlüssel!$A$5:$DZ$14,64)</f>
        <v>10</v>
      </c>
      <c r="G167" s="346"/>
      <c r="H167" s="346">
        <f>VLOOKUP(B147,Schlüssel!$A$5:$DZ$14,65)</f>
        <v>8</v>
      </c>
      <c r="I167" s="346"/>
      <c r="J167" s="346">
        <f>VLOOKUP(B147,Schlüssel!$A$5:$DZ$14,66)</f>
        <v>2</v>
      </c>
      <c r="K167" s="346"/>
      <c r="L167" s="346">
        <f>VLOOKUP(B147,Schlüssel!$A$5:$DZ$14,67)</f>
        <v>1</v>
      </c>
      <c r="M167" s="346"/>
      <c r="N167" s="346">
        <f>VLOOKUP(B147,Schlüssel!$A$5:$DZ$14,68)</f>
        <v>3</v>
      </c>
      <c r="O167" s="346"/>
      <c r="P167" s="346">
        <f>VLOOKUP(B147,Schlüssel!$A$5:$DZ$14,69)</f>
        <v>5</v>
      </c>
      <c r="Q167" s="346"/>
      <c r="R167" s="346">
        <f>VLOOKUP(B147,Schlüssel!$A$5:$DZ$14,70)</f>
        <v>7</v>
      </c>
      <c r="S167" s="346"/>
      <c r="T167" s="346">
        <f>VLOOKUP(B147,Schlüssel!$A$5:$DZ$14,71)</f>
        <v>4</v>
      </c>
      <c r="U167" s="346"/>
      <c r="V167" s="347"/>
      <c r="W167" s="347"/>
    </row>
    <row r="168" spans="1:29" ht="28.5" customHeight="1" x14ac:dyDescent="0.35">
      <c r="B168" s="90"/>
      <c r="C168" s="86"/>
      <c r="D168" s="343" t="str">
        <f>VLOOKUP(D167,Schlüssel!$A$5:$K$14,2)</f>
        <v>RW Lichtenhof 69 Stein 2</v>
      </c>
      <c r="E168" s="344"/>
      <c r="F168" s="343" t="str">
        <f>VLOOKUP(F167,Schlüssel!$A$5:$K$14,2)</f>
        <v>BK München 4</v>
      </c>
      <c r="G168" s="344"/>
      <c r="H168" s="343" t="str">
        <f>VLOOKUP(H167,Schlüssel!$A$5:$K$14,2)</f>
        <v>EPA München 1</v>
      </c>
      <c r="I168" s="344"/>
      <c r="J168" s="343" t="str">
        <f>VLOOKUP(J167,Schlüssel!$A$5:$K$14,2)</f>
        <v>BK München 2</v>
      </c>
      <c r="K168" s="344"/>
      <c r="L168" s="343" t="str">
        <f>VLOOKUP(L167,Schlüssel!$A$5:$K$14,2)</f>
        <v>Praetoria Regensburg</v>
      </c>
      <c r="M168" s="344"/>
      <c r="N168" s="343" t="str">
        <f>VLOOKUP(N167,Schlüssel!$A$5:$K$14,2)</f>
        <v>Highroller Rosenheim</v>
      </c>
      <c r="O168" s="344"/>
      <c r="P168" s="343" t="str">
        <f>VLOOKUP(P167,Schlüssel!$A$5:$K$14,2)</f>
        <v xml:space="preserve">Weiß Blau Unterföhring </v>
      </c>
      <c r="Q168" s="344"/>
      <c r="R168" s="343" t="str">
        <f>VLOOKUP(R167,Schlüssel!$A$5:$K$14,2)</f>
        <v>Frankenpower Nürnberg</v>
      </c>
      <c r="S168" s="344"/>
      <c r="T168" s="343" t="str">
        <f>VLOOKUP(T167,Schlüssel!$A$5:$K$14,2)</f>
        <v>BK München 3</v>
      </c>
      <c r="U168" s="344"/>
      <c r="V168" s="345"/>
      <c r="W168" s="345"/>
    </row>
    <row r="169" spans="1:29" ht="12" customHeight="1" x14ac:dyDescent="0.35">
      <c r="B169" s="90"/>
      <c r="C169" s="86"/>
      <c r="D169" s="341"/>
      <c r="E169" s="341"/>
      <c r="F169" s="341"/>
      <c r="G169" s="341"/>
      <c r="H169" s="341"/>
      <c r="I169" s="341"/>
      <c r="J169" s="341"/>
      <c r="K169" s="341"/>
      <c r="L169" s="341"/>
      <c r="M169" s="341"/>
      <c r="N169" s="341"/>
      <c r="O169" s="341"/>
      <c r="P169" s="341"/>
      <c r="Q169" s="341"/>
      <c r="R169" s="341"/>
      <c r="S169" s="341"/>
      <c r="T169" s="341"/>
      <c r="U169" s="342"/>
      <c r="V169" s="301"/>
      <c r="W169" s="301"/>
    </row>
    <row r="170" spans="1:29" ht="16.05" customHeight="1" x14ac:dyDescent="0.35">
      <c r="B170" s="91" t="s">
        <v>0</v>
      </c>
      <c r="C170" s="92"/>
      <c r="D170" s="339"/>
      <c r="E170" s="339"/>
      <c r="F170" s="339"/>
      <c r="G170" s="339"/>
      <c r="H170" s="339"/>
      <c r="I170" s="339"/>
      <c r="J170" s="339"/>
      <c r="K170" s="339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40"/>
      <c r="W170" s="340"/>
    </row>
    <row r="171" spans="1:29" ht="16.05" customHeight="1" x14ac:dyDescent="0.35">
      <c r="B171" s="91" t="s">
        <v>2</v>
      </c>
      <c r="C171" s="92"/>
      <c r="D171" s="339"/>
      <c r="E171" s="339"/>
      <c r="F171" s="339"/>
      <c r="G171" s="339"/>
      <c r="H171" s="339"/>
      <c r="I171" s="339"/>
      <c r="J171" s="339"/>
      <c r="K171" s="33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40"/>
      <c r="W171" s="340"/>
    </row>
    <row r="172" spans="1:29" ht="16.05" customHeight="1" x14ac:dyDescent="0.35">
      <c r="B172" s="91" t="s">
        <v>3</v>
      </c>
      <c r="C172" s="92"/>
      <c r="D172" s="339"/>
      <c r="E172" s="339"/>
      <c r="F172" s="339"/>
      <c r="G172" s="339"/>
      <c r="H172" s="339"/>
      <c r="I172" s="339"/>
      <c r="J172" s="339"/>
      <c r="K172" s="339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40"/>
      <c r="W172" s="340"/>
    </row>
    <row r="173" spans="1:29" ht="16.05" customHeight="1" x14ac:dyDescent="0.35">
      <c r="B173" s="91" t="s">
        <v>11</v>
      </c>
      <c r="C173" s="92"/>
      <c r="D173" s="339"/>
      <c r="E173" s="339"/>
      <c r="F173" s="339"/>
      <c r="G173" s="339"/>
      <c r="H173" s="339"/>
      <c r="I173" s="339"/>
      <c r="J173" s="339"/>
      <c r="K173" s="339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40"/>
      <c r="W173" s="340"/>
    </row>
    <row r="174" spans="1:29" ht="16.05" customHeight="1" x14ac:dyDescent="0.35">
      <c r="B174" s="93" t="s">
        <v>1799</v>
      </c>
      <c r="C174" s="94"/>
      <c r="D174" s="338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290"/>
      <c r="W174" s="290"/>
    </row>
    <row r="175" spans="1:29" ht="21" customHeight="1" x14ac:dyDescent="0.7">
      <c r="B175" s="44" t="s">
        <v>1813</v>
      </c>
      <c r="C175" s="45"/>
      <c r="D175" s="46" t="s">
        <v>1792</v>
      </c>
      <c r="E175" s="47"/>
      <c r="F175" s="359" t="str">
        <f>Schlüssel!$C$1</f>
        <v>Bayernliga Frauen</v>
      </c>
      <c r="G175" s="359"/>
      <c r="H175" s="359"/>
      <c r="I175" s="359"/>
      <c r="J175" s="359"/>
      <c r="K175" s="359"/>
      <c r="L175" s="359"/>
      <c r="M175" s="359"/>
      <c r="N175" s="359"/>
      <c r="O175" s="359"/>
      <c r="P175" s="45"/>
      <c r="Q175" s="45"/>
      <c r="R175" s="48"/>
      <c r="S175" s="49" t="s">
        <v>1794</v>
      </c>
      <c r="T175" s="50"/>
      <c r="U175" s="360" t="str">
        <f>Schlüssel!$BU$1</f>
        <v>15.02./16.02.</v>
      </c>
      <c r="V175" s="361"/>
      <c r="W175" s="362"/>
      <c r="AC175" s="51"/>
    </row>
    <row r="176" spans="1:29" ht="17.25" customHeight="1" thickBot="1" x14ac:dyDescent="0.65">
      <c r="A176" s="52"/>
      <c r="B176" s="96">
        <f>+B147+1</f>
        <v>7</v>
      </c>
      <c r="D176" s="46" t="s">
        <v>1793</v>
      </c>
      <c r="E176" s="54"/>
      <c r="F176" s="358" t="str">
        <f>Schlüssel!$BK$2</f>
        <v>Nürnberg West Bowling</v>
      </c>
      <c r="G176" s="358"/>
      <c r="H176" s="358"/>
      <c r="I176" s="358"/>
      <c r="J176" s="358"/>
      <c r="K176" s="358"/>
      <c r="L176" s="358"/>
      <c r="M176" s="358"/>
      <c r="N176" s="358"/>
      <c r="O176" s="358"/>
      <c r="P176" s="55"/>
      <c r="Q176" s="55"/>
      <c r="S176" s="49" t="s">
        <v>1791</v>
      </c>
      <c r="T176" s="56">
        <v>4</v>
      </c>
      <c r="U176" s="50"/>
      <c r="V176" s="50"/>
      <c r="AC176" s="97"/>
    </row>
    <row r="177" spans="1:23" ht="15.75" customHeight="1" thickBot="1" x14ac:dyDescent="0.4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5" thickBot="1" x14ac:dyDescent="0.45">
      <c r="A178" s="2"/>
      <c r="B178" s="44"/>
      <c r="C178" s="63"/>
      <c r="D178" s="64" t="s">
        <v>10</v>
      </c>
      <c r="E178" s="44">
        <f>VLOOKUP($B176,Schlüssel!$A$5:$DZ$14,73)</f>
        <v>11</v>
      </c>
      <c r="F178" s="65" t="s">
        <v>10</v>
      </c>
      <c r="G178" s="44">
        <f>VLOOKUP($B176,Schlüssel!$A$5:$DZ$14,74)</f>
        <v>17</v>
      </c>
      <c r="H178" s="65" t="s">
        <v>10</v>
      </c>
      <c r="I178" s="44">
        <f>VLOOKUP($B176,Schlüssel!$A$5:$DZ$14,75)</f>
        <v>16</v>
      </c>
      <c r="J178" s="65" t="s">
        <v>10</v>
      </c>
      <c r="K178" s="44">
        <f>VLOOKUP($B176,Schlüssel!$A$5:$DZ$14,76)</f>
        <v>13</v>
      </c>
      <c r="L178" s="65" t="s">
        <v>10</v>
      </c>
      <c r="M178" s="44">
        <f>VLOOKUP($B176,Schlüssel!$A$5:$DZ$14,77)</f>
        <v>12</v>
      </c>
      <c r="N178" s="65" t="s">
        <v>10</v>
      </c>
      <c r="O178" s="44">
        <f>VLOOKUP($B176,Schlüssel!$A$5:$DZ$14,78)</f>
        <v>19</v>
      </c>
      <c r="P178" s="65" t="s">
        <v>10</v>
      </c>
      <c r="Q178" s="44">
        <f>VLOOKUP($B176,Schlüssel!$A$5:$DZ$14,79)</f>
        <v>15</v>
      </c>
      <c r="R178" s="65" t="s">
        <v>10</v>
      </c>
      <c r="S178" s="44">
        <f>VLOOKUP($B176,Schlüssel!$A$5:$DZ$14,80)</f>
        <v>14</v>
      </c>
      <c r="T178" s="65" t="s">
        <v>10</v>
      </c>
      <c r="U178" s="66">
        <f>VLOOKUP($B176,Schlüssel!$A$5:$DZ$14,81)</f>
        <v>18</v>
      </c>
    </row>
    <row r="179" spans="1:23" ht="20.25" customHeight="1" x14ac:dyDescent="0.35">
      <c r="B179" s="67" t="s">
        <v>1</v>
      </c>
      <c r="C179" s="68"/>
      <c r="D179" s="354" t="s">
        <v>1800</v>
      </c>
      <c r="E179" s="355"/>
      <c r="F179" s="354" t="s">
        <v>1801</v>
      </c>
      <c r="G179" s="355"/>
      <c r="H179" s="354" t="s">
        <v>1802</v>
      </c>
      <c r="I179" s="355"/>
      <c r="J179" s="354" t="s">
        <v>1803</v>
      </c>
      <c r="K179" s="355"/>
      <c r="L179" s="354" t="s">
        <v>1804</v>
      </c>
      <c r="M179" s="355"/>
      <c r="N179" s="354" t="s">
        <v>1805</v>
      </c>
      <c r="O179" s="355"/>
      <c r="P179" s="354" t="s">
        <v>1806</v>
      </c>
      <c r="Q179" s="355"/>
      <c r="R179" s="354" t="s">
        <v>1807</v>
      </c>
      <c r="S179" s="355"/>
      <c r="T179" s="354" t="s">
        <v>1808</v>
      </c>
      <c r="U179" s="355"/>
      <c r="V179" s="356" t="s">
        <v>1799</v>
      </c>
      <c r="W179" s="357"/>
    </row>
    <row r="180" spans="1:23" ht="15" customHeight="1" thickBot="1" x14ac:dyDescent="0.4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2" customHeight="1" x14ac:dyDescent="0.35">
      <c r="A181" s="351" t="s">
        <v>0</v>
      </c>
      <c r="B181" s="73"/>
      <c r="C181" s="74"/>
      <c r="D181" s="75"/>
      <c r="E181" s="348"/>
      <c r="F181" s="75"/>
      <c r="G181" s="348"/>
      <c r="H181" s="75"/>
      <c r="I181" s="348"/>
      <c r="J181" s="75"/>
      <c r="K181" s="348"/>
      <c r="L181" s="75"/>
      <c r="M181" s="348"/>
      <c r="N181" s="75"/>
      <c r="O181" s="348"/>
      <c r="P181" s="75"/>
      <c r="Q181" s="348"/>
      <c r="R181" s="75"/>
      <c r="S181" s="348"/>
      <c r="T181" s="75"/>
      <c r="U181" s="348"/>
      <c r="V181" s="75"/>
      <c r="W181" s="348"/>
    </row>
    <row r="182" spans="1:23" ht="17.2" customHeight="1" x14ac:dyDescent="0.35">
      <c r="A182" s="352"/>
      <c r="B182" s="76"/>
      <c r="C182" s="77"/>
      <c r="D182" s="78"/>
      <c r="E182" s="349"/>
      <c r="F182" s="78"/>
      <c r="G182" s="349"/>
      <c r="H182" s="78"/>
      <c r="I182" s="349"/>
      <c r="J182" s="78"/>
      <c r="K182" s="349"/>
      <c r="L182" s="78"/>
      <c r="M182" s="349"/>
      <c r="N182" s="78"/>
      <c r="O182" s="349"/>
      <c r="P182" s="78"/>
      <c r="Q182" s="349"/>
      <c r="R182" s="78"/>
      <c r="S182" s="349"/>
      <c r="T182" s="78"/>
      <c r="U182" s="349"/>
      <c r="V182" s="78"/>
      <c r="W182" s="349"/>
    </row>
    <row r="183" spans="1:23" ht="17.2" customHeight="1" thickBot="1" x14ac:dyDescent="0.4">
      <c r="A183" s="353"/>
      <c r="B183" s="79"/>
      <c r="C183" s="80"/>
      <c r="D183" s="69"/>
      <c r="E183" s="350"/>
      <c r="F183" s="69"/>
      <c r="G183" s="350"/>
      <c r="H183" s="69"/>
      <c r="I183" s="350"/>
      <c r="J183" s="69"/>
      <c r="K183" s="350"/>
      <c r="L183" s="69"/>
      <c r="M183" s="350"/>
      <c r="N183" s="69"/>
      <c r="O183" s="350"/>
      <c r="P183" s="69"/>
      <c r="Q183" s="350"/>
      <c r="R183" s="69"/>
      <c r="S183" s="350"/>
      <c r="T183" s="69"/>
      <c r="U183" s="350"/>
      <c r="V183" s="69"/>
      <c r="W183" s="350"/>
    </row>
    <row r="184" spans="1:23" ht="17.2" customHeight="1" x14ac:dyDescent="0.35">
      <c r="A184" s="351" t="s">
        <v>2</v>
      </c>
      <c r="B184" s="73"/>
      <c r="C184" s="74"/>
      <c r="D184" s="75"/>
      <c r="E184" s="348"/>
      <c r="F184" s="75"/>
      <c r="G184" s="348"/>
      <c r="H184" s="75"/>
      <c r="I184" s="348"/>
      <c r="J184" s="75"/>
      <c r="K184" s="348"/>
      <c r="L184" s="75"/>
      <c r="M184" s="348"/>
      <c r="N184" s="75"/>
      <c r="O184" s="348"/>
      <c r="P184" s="75"/>
      <c r="Q184" s="348"/>
      <c r="R184" s="75"/>
      <c r="S184" s="348"/>
      <c r="T184" s="75"/>
      <c r="U184" s="348"/>
      <c r="V184" s="75"/>
      <c r="W184" s="348"/>
    </row>
    <row r="185" spans="1:23" ht="17.2" customHeight="1" x14ac:dyDescent="0.35">
      <c r="A185" s="352"/>
      <c r="B185" s="76"/>
      <c r="C185" s="77"/>
      <c r="D185" s="78"/>
      <c r="E185" s="349"/>
      <c r="F185" s="78"/>
      <c r="G185" s="349"/>
      <c r="H185" s="78"/>
      <c r="I185" s="349"/>
      <c r="J185" s="78"/>
      <c r="K185" s="349"/>
      <c r="L185" s="78"/>
      <c r="M185" s="349"/>
      <c r="N185" s="78"/>
      <c r="O185" s="349"/>
      <c r="P185" s="78"/>
      <c r="Q185" s="349"/>
      <c r="R185" s="78"/>
      <c r="S185" s="349"/>
      <c r="T185" s="78"/>
      <c r="U185" s="349"/>
      <c r="V185" s="78"/>
      <c r="W185" s="349"/>
    </row>
    <row r="186" spans="1:23" ht="17.2" customHeight="1" thickBot="1" x14ac:dyDescent="0.4">
      <c r="A186" s="353"/>
      <c r="B186" s="79"/>
      <c r="C186" s="80"/>
      <c r="D186" s="69"/>
      <c r="E186" s="350"/>
      <c r="F186" s="69"/>
      <c r="G186" s="350"/>
      <c r="H186" s="69"/>
      <c r="I186" s="350"/>
      <c r="J186" s="69"/>
      <c r="K186" s="350"/>
      <c r="L186" s="69"/>
      <c r="M186" s="350"/>
      <c r="N186" s="69"/>
      <c r="O186" s="350"/>
      <c r="P186" s="69"/>
      <c r="Q186" s="350"/>
      <c r="R186" s="69"/>
      <c r="S186" s="350"/>
      <c r="T186" s="69"/>
      <c r="U186" s="350"/>
      <c r="V186" s="69"/>
      <c r="W186" s="350"/>
    </row>
    <row r="187" spans="1:23" ht="17.2" customHeight="1" x14ac:dyDescent="0.35">
      <c r="A187" s="351" t="s">
        <v>3</v>
      </c>
      <c r="B187" s="73"/>
      <c r="C187" s="74"/>
      <c r="D187" s="75"/>
      <c r="E187" s="348"/>
      <c r="F187" s="75"/>
      <c r="G187" s="348"/>
      <c r="H187" s="75"/>
      <c r="I187" s="348"/>
      <c r="J187" s="75"/>
      <c r="K187" s="348"/>
      <c r="L187" s="75"/>
      <c r="M187" s="348"/>
      <c r="N187" s="75"/>
      <c r="O187" s="348"/>
      <c r="P187" s="75"/>
      <c r="Q187" s="348"/>
      <c r="R187" s="75"/>
      <c r="S187" s="348"/>
      <c r="T187" s="75"/>
      <c r="U187" s="348"/>
      <c r="V187" s="75"/>
      <c r="W187" s="348"/>
    </row>
    <row r="188" spans="1:23" ht="17.2" customHeight="1" x14ac:dyDescent="0.35">
      <c r="A188" s="352"/>
      <c r="B188" s="76"/>
      <c r="C188" s="77"/>
      <c r="D188" s="78"/>
      <c r="E188" s="349"/>
      <c r="F188" s="78"/>
      <c r="G188" s="349"/>
      <c r="H188" s="78"/>
      <c r="I188" s="349"/>
      <c r="J188" s="78"/>
      <c r="K188" s="349"/>
      <c r="L188" s="78"/>
      <c r="M188" s="349"/>
      <c r="N188" s="78"/>
      <c r="O188" s="349"/>
      <c r="P188" s="78"/>
      <c r="Q188" s="349"/>
      <c r="R188" s="78"/>
      <c r="S188" s="349"/>
      <c r="T188" s="78"/>
      <c r="U188" s="349"/>
      <c r="V188" s="78"/>
      <c r="W188" s="349"/>
    </row>
    <row r="189" spans="1:23" ht="17.2" customHeight="1" thickBot="1" x14ac:dyDescent="0.4">
      <c r="A189" s="353"/>
      <c r="B189" s="79"/>
      <c r="C189" s="80"/>
      <c r="D189" s="69"/>
      <c r="E189" s="350"/>
      <c r="F189" s="69"/>
      <c r="G189" s="350"/>
      <c r="H189" s="69"/>
      <c r="I189" s="350"/>
      <c r="J189" s="69"/>
      <c r="K189" s="350"/>
      <c r="L189" s="69"/>
      <c r="M189" s="350"/>
      <c r="N189" s="69"/>
      <c r="O189" s="350"/>
      <c r="P189" s="69"/>
      <c r="Q189" s="350"/>
      <c r="R189" s="69"/>
      <c r="S189" s="350"/>
      <c r="T189" s="69"/>
      <c r="U189" s="350"/>
      <c r="V189" s="69"/>
      <c r="W189" s="350"/>
    </row>
    <row r="190" spans="1:23" ht="17.2" customHeight="1" x14ac:dyDescent="0.35">
      <c r="A190" s="351" t="s">
        <v>11</v>
      </c>
      <c r="B190" s="73"/>
      <c r="C190" s="74"/>
      <c r="D190" s="75"/>
      <c r="E190" s="348"/>
      <c r="F190" s="75"/>
      <c r="G190" s="348"/>
      <c r="H190" s="75"/>
      <c r="I190" s="348"/>
      <c r="J190" s="75"/>
      <c r="K190" s="348"/>
      <c r="L190" s="75"/>
      <c r="M190" s="348"/>
      <c r="N190" s="75"/>
      <c r="O190" s="348"/>
      <c r="P190" s="75"/>
      <c r="Q190" s="348"/>
      <c r="R190" s="75"/>
      <c r="S190" s="348"/>
      <c r="T190" s="75"/>
      <c r="U190" s="348"/>
      <c r="V190" s="75"/>
      <c r="W190" s="348"/>
    </row>
    <row r="191" spans="1:23" ht="17.2" customHeight="1" x14ac:dyDescent="0.35">
      <c r="A191" s="352"/>
      <c r="B191" s="76"/>
      <c r="C191" s="77"/>
      <c r="D191" s="78"/>
      <c r="E191" s="349"/>
      <c r="F191" s="78"/>
      <c r="G191" s="349"/>
      <c r="H191" s="78"/>
      <c r="I191" s="349"/>
      <c r="J191" s="78"/>
      <c r="K191" s="349"/>
      <c r="L191" s="78"/>
      <c r="M191" s="349"/>
      <c r="N191" s="78"/>
      <c r="O191" s="349"/>
      <c r="P191" s="78"/>
      <c r="Q191" s="349"/>
      <c r="R191" s="78"/>
      <c r="S191" s="349"/>
      <c r="T191" s="78"/>
      <c r="U191" s="349"/>
      <c r="V191" s="78"/>
      <c r="W191" s="349"/>
    </row>
    <row r="192" spans="1:23" ht="17.2" customHeight="1" thickBot="1" x14ac:dyDescent="0.4">
      <c r="A192" s="353"/>
      <c r="B192" s="79"/>
      <c r="C192" s="80"/>
      <c r="D192" s="69"/>
      <c r="E192" s="350"/>
      <c r="F192" s="69"/>
      <c r="G192" s="350"/>
      <c r="H192" s="69"/>
      <c r="I192" s="350"/>
      <c r="J192" s="69"/>
      <c r="K192" s="350"/>
      <c r="L192" s="69"/>
      <c r="M192" s="350"/>
      <c r="N192" s="69"/>
      <c r="O192" s="350"/>
      <c r="P192" s="69"/>
      <c r="Q192" s="350"/>
      <c r="R192" s="69"/>
      <c r="S192" s="350"/>
      <c r="T192" s="69"/>
      <c r="U192" s="350"/>
      <c r="V192" s="69"/>
      <c r="W192" s="350"/>
    </row>
    <row r="193" spans="1:29" ht="27.75" customHeight="1" thickBot="1" x14ac:dyDescent="0.4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4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3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35">
      <c r="B196" s="88" t="s">
        <v>1797</v>
      </c>
      <c r="C196" s="89" t="s">
        <v>1798</v>
      </c>
      <c r="D196" s="346">
        <f>VLOOKUP(B176,Schlüssel!$A$5:$DZ$14,63)</f>
        <v>5</v>
      </c>
      <c r="E196" s="346"/>
      <c r="F196" s="346">
        <f>VLOOKUP(B176,Schlüssel!$A$5:$DZ$14,64)</f>
        <v>8</v>
      </c>
      <c r="G196" s="346"/>
      <c r="H196" s="346">
        <f>VLOOKUP(B176,Schlüssel!$A$5:$DZ$14,65)</f>
        <v>1</v>
      </c>
      <c r="I196" s="346"/>
      <c r="J196" s="346">
        <f>VLOOKUP(B176,Schlüssel!$A$5:$DZ$14,66)</f>
        <v>3</v>
      </c>
      <c r="K196" s="346"/>
      <c r="L196" s="346">
        <f>VLOOKUP(B176,Schlüssel!$A$5:$DZ$14,67)</f>
        <v>2</v>
      </c>
      <c r="M196" s="346"/>
      <c r="N196" s="346">
        <f>VLOOKUP(B176,Schlüssel!$A$5:$DZ$14,68)</f>
        <v>4</v>
      </c>
      <c r="O196" s="346"/>
      <c r="P196" s="346">
        <f>VLOOKUP(B176,Schlüssel!$A$5:$DZ$14,69)</f>
        <v>10</v>
      </c>
      <c r="Q196" s="346"/>
      <c r="R196" s="346">
        <f>VLOOKUP(B176,Schlüssel!$A$5:$DZ$14,70)</f>
        <v>6</v>
      </c>
      <c r="S196" s="346"/>
      <c r="T196" s="346">
        <f>VLOOKUP(B176,Schlüssel!$A$5:$DZ$14,71)</f>
        <v>9</v>
      </c>
      <c r="U196" s="346"/>
      <c r="V196" s="347"/>
      <c r="W196" s="347"/>
    </row>
    <row r="197" spans="1:29" ht="28.5" customHeight="1" x14ac:dyDescent="0.35">
      <c r="B197" s="90"/>
      <c r="C197" s="86"/>
      <c r="D197" s="343" t="str">
        <f>VLOOKUP(D196,Schlüssel!$A$5:$K$14,2)</f>
        <v xml:space="preserve">Weiß Blau Unterföhring </v>
      </c>
      <c r="E197" s="344"/>
      <c r="F197" s="343" t="str">
        <f>VLOOKUP(F196,Schlüssel!$A$5:$K$14,2)</f>
        <v>EPA München 1</v>
      </c>
      <c r="G197" s="344"/>
      <c r="H197" s="343" t="str">
        <f>VLOOKUP(H196,Schlüssel!$A$5:$K$14,2)</f>
        <v>Praetoria Regensburg</v>
      </c>
      <c r="I197" s="344"/>
      <c r="J197" s="343" t="str">
        <f>VLOOKUP(J196,Schlüssel!$A$5:$K$14,2)</f>
        <v>Highroller Rosenheim</v>
      </c>
      <c r="K197" s="344"/>
      <c r="L197" s="343" t="str">
        <f>VLOOKUP(L196,Schlüssel!$A$5:$K$14,2)</f>
        <v>BK München 2</v>
      </c>
      <c r="M197" s="344"/>
      <c r="N197" s="343" t="str">
        <f>VLOOKUP(N196,Schlüssel!$A$5:$K$14,2)</f>
        <v>BK München 3</v>
      </c>
      <c r="O197" s="344"/>
      <c r="P197" s="343" t="str">
        <f>VLOOKUP(P196,Schlüssel!$A$5:$K$14,2)</f>
        <v>BK München 4</v>
      </c>
      <c r="Q197" s="344"/>
      <c r="R197" s="343" t="str">
        <f>VLOOKUP(R196,Schlüssel!$A$5:$K$14,2)</f>
        <v>Phönix 03 Lauf</v>
      </c>
      <c r="S197" s="344"/>
      <c r="T197" s="343" t="str">
        <f>VLOOKUP(T196,Schlüssel!$A$5:$K$14,2)</f>
        <v>RW Lichtenhof 69 Stein 2</v>
      </c>
      <c r="U197" s="344"/>
      <c r="V197" s="345"/>
      <c r="W197" s="345"/>
    </row>
    <row r="198" spans="1:29" ht="12" customHeight="1" x14ac:dyDescent="0.35">
      <c r="B198" s="90"/>
      <c r="C198" s="86"/>
      <c r="D198" s="341"/>
      <c r="E198" s="341"/>
      <c r="F198" s="341"/>
      <c r="G198" s="341"/>
      <c r="H198" s="341"/>
      <c r="I198" s="341"/>
      <c r="J198" s="341"/>
      <c r="K198" s="341"/>
      <c r="L198" s="341"/>
      <c r="M198" s="341"/>
      <c r="N198" s="341"/>
      <c r="O198" s="341"/>
      <c r="P198" s="341"/>
      <c r="Q198" s="341"/>
      <c r="R198" s="341"/>
      <c r="S198" s="341"/>
      <c r="T198" s="341"/>
      <c r="U198" s="342"/>
      <c r="V198" s="301"/>
      <c r="W198" s="301"/>
    </row>
    <row r="199" spans="1:29" ht="16.05" customHeight="1" x14ac:dyDescent="0.35">
      <c r="B199" s="91" t="s">
        <v>0</v>
      </c>
      <c r="C199" s="92"/>
      <c r="D199" s="339"/>
      <c r="E199" s="339"/>
      <c r="F199" s="339"/>
      <c r="G199" s="339"/>
      <c r="H199" s="339"/>
      <c r="I199" s="339"/>
      <c r="J199" s="339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40"/>
      <c r="W199" s="340"/>
    </row>
    <row r="200" spans="1:29" ht="16.05" customHeight="1" x14ac:dyDescent="0.35">
      <c r="B200" s="91" t="s">
        <v>2</v>
      </c>
      <c r="C200" s="92"/>
      <c r="D200" s="339"/>
      <c r="E200" s="339"/>
      <c r="F200" s="339"/>
      <c r="G200" s="339"/>
      <c r="H200" s="339"/>
      <c r="I200" s="339"/>
      <c r="J200" s="339"/>
      <c r="K200" s="33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40"/>
      <c r="W200" s="340"/>
    </row>
    <row r="201" spans="1:29" ht="16.05" customHeight="1" x14ac:dyDescent="0.35">
      <c r="B201" s="91" t="s">
        <v>3</v>
      </c>
      <c r="C201" s="92"/>
      <c r="D201" s="339"/>
      <c r="E201" s="339"/>
      <c r="F201" s="339"/>
      <c r="G201" s="339"/>
      <c r="H201" s="339"/>
      <c r="I201" s="339"/>
      <c r="J201" s="339"/>
      <c r="K201" s="339"/>
      <c r="L201" s="339"/>
      <c r="M201" s="339"/>
      <c r="N201" s="339"/>
      <c r="O201" s="339"/>
      <c r="P201" s="339"/>
      <c r="Q201" s="339"/>
      <c r="R201" s="339"/>
      <c r="S201" s="339"/>
      <c r="T201" s="339"/>
      <c r="U201" s="339"/>
      <c r="V201" s="340"/>
      <c r="W201" s="340"/>
    </row>
    <row r="202" spans="1:29" ht="16.05" customHeight="1" x14ac:dyDescent="0.35">
      <c r="B202" s="91" t="s">
        <v>11</v>
      </c>
      <c r="C202" s="92"/>
      <c r="D202" s="339"/>
      <c r="E202" s="339"/>
      <c r="F202" s="339"/>
      <c r="G202" s="339"/>
      <c r="H202" s="339"/>
      <c r="I202" s="339"/>
      <c r="J202" s="339"/>
      <c r="K202" s="339"/>
      <c r="L202" s="339"/>
      <c r="M202" s="339"/>
      <c r="N202" s="339"/>
      <c r="O202" s="339"/>
      <c r="P202" s="339"/>
      <c r="Q202" s="339"/>
      <c r="R202" s="339"/>
      <c r="S202" s="339"/>
      <c r="T202" s="339"/>
      <c r="U202" s="339"/>
      <c r="V202" s="340"/>
      <c r="W202" s="340"/>
    </row>
    <row r="203" spans="1:29" ht="16.05" customHeight="1" x14ac:dyDescent="0.35">
      <c r="B203" s="93" t="s">
        <v>1799</v>
      </c>
      <c r="C203" s="94"/>
      <c r="D203" s="338"/>
      <c r="E203" s="338"/>
      <c r="F203" s="338"/>
      <c r="G203" s="338"/>
      <c r="H203" s="338"/>
      <c r="I203" s="338"/>
      <c r="J203" s="338"/>
      <c r="K203" s="338"/>
      <c r="L203" s="338"/>
      <c r="M203" s="338"/>
      <c r="N203" s="338"/>
      <c r="O203" s="338"/>
      <c r="P203" s="338"/>
      <c r="Q203" s="338"/>
      <c r="R203" s="338"/>
      <c r="S203" s="338"/>
      <c r="T203" s="338"/>
      <c r="U203" s="338"/>
      <c r="V203" s="290"/>
      <c r="W203" s="290"/>
    </row>
    <row r="204" spans="1:29" ht="21" customHeight="1" x14ac:dyDescent="0.7">
      <c r="B204" s="44" t="s">
        <v>1813</v>
      </c>
      <c r="C204" s="45"/>
      <c r="D204" s="46" t="s">
        <v>1792</v>
      </c>
      <c r="E204" s="47"/>
      <c r="F204" s="359" t="str">
        <f>Schlüssel!$C$1</f>
        <v>Bayernliga Frauen</v>
      </c>
      <c r="G204" s="359"/>
      <c r="H204" s="359"/>
      <c r="I204" s="359"/>
      <c r="J204" s="359"/>
      <c r="K204" s="359"/>
      <c r="L204" s="359"/>
      <c r="M204" s="359"/>
      <c r="N204" s="359"/>
      <c r="O204" s="359"/>
      <c r="P204" s="45"/>
      <c r="Q204" s="45"/>
      <c r="R204" s="48"/>
      <c r="S204" s="49" t="s">
        <v>1794</v>
      </c>
      <c r="T204" s="50"/>
      <c r="U204" s="360" t="str">
        <f>Schlüssel!$BU$1</f>
        <v>15.02./16.02.</v>
      </c>
      <c r="V204" s="361"/>
      <c r="W204" s="362"/>
      <c r="AC204" s="51"/>
    </row>
    <row r="205" spans="1:29" ht="17.25" customHeight="1" thickBot="1" x14ac:dyDescent="0.65">
      <c r="A205" s="52"/>
      <c r="B205" s="96">
        <f>+B176+1</f>
        <v>8</v>
      </c>
      <c r="D205" s="46" t="s">
        <v>1793</v>
      </c>
      <c r="E205" s="54"/>
      <c r="F205" s="358" t="str">
        <f>Schlüssel!$BK$2</f>
        <v>Nürnberg West Bowling</v>
      </c>
      <c r="G205" s="358"/>
      <c r="H205" s="358"/>
      <c r="I205" s="358"/>
      <c r="J205" s="358"/>
      <c r="K205" s="358"/>
      <c r="L205" s="358"/>
      <c r="M205" s="358"/>
      <c r="N205" s="358"/>
      <c r="O205" s="358"/>
      <c r="P205" s="55"/>
      <c r="Q205" s="55"/>
      <c r="S205" s="49" t="s">
        <v>1791</v>
      </c>
      <c r="T205" s="56">
        <v>4</v>
      </c>
      <c r="U205" s="50"/>
      <c r="V205" s="50"/>
      <c r="AC205" s="97"/>
    </row>
    <row r="206" spans="1:29" ht="15.75" customHeight="1" thickBot="1" x14ac:dyDescent="0.4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5" thickBot="1" x14ac:dyDescent="0.45">
      <c r="A207" s="2"/>
      <c r="B207" s="44"/>
      <c r="C207" s="63"/>
      <c r="D207" s="64" t="s">
        <v>10</v>
      </c>
      <c r="E207" s="44">
        <f>VLOOKUP($B205,Schlüssel!$A$5:$DZ$14,73)</f>
        <v>14</v>
      </c>
      <c r="F207" s="65" t="s">
        <v>10</v>
      </c>
      <c r="G207" s="44">
        <f>VLOOKUP($B205,Schlüssel!$A$5:$DZ$14,74)</f>
        <v>18</v>
      </c>
      <c r="H207" s="65" t="s">
        <v>10</v>
      </c>
      <c r="I207" s="44">
        <f>VLOOKUP($B205,Schlüssel!$A$5:$DZ$14,75)</f>
        <v>19</v>
      </c>
      <c r="J207" s="65" t="s">
        <v>10</v>
      </c>
      <c r="K207" s="44">
        <f>VLOOKUP($B205,Schlüssel!$A$5:$DZ$14,76)</f>
        <v>12</v>
      </c>
      <c r="L207" s="65" t="s">
        <v>10</v>
      </c>
      <c r="M207" s="44">
        <f>VLOOKUP($B205,Schlüssel!$A$5:$DZ$14,77)</f>
        <v>15</v>
      </c>
      <c r="N207" s="65" t="s">
        <v>10</v>
      </c>
      <c r="O207" s="44">
        <f>VLOOKUP($B205,Schlüssel!$A$5:$DZ$14,78)</f>
        <v>17</v>
      </c>
      <c r="P207" s="65" t="s">
        <v>10</v>
      </c>
      <c r="Q207" s="44">
        <f>VLOOKUP($B205,Schlüssel!$A$5:$DZ$14,79)</f>
        <v>11</v>
      </c>
      <c r="R207" s="65" t="s">
        <v>10</v>
      </c>
      <c r="S207" s="44">
        <f>VLOOKUP($B205,Schlüssel!$A$5:$DZ$14,80)</f>
        <v>20</v>
      </c>
      <c r="T207" s="65" t="s">
        <v>10</v>
      </c>
      <c r="U207" s="66">
        <f>VLOOKUP($B205,Schlüssel!$A$5:$DZ$14,81)</f>
        <v>16</v>
      </c>
    </row>
    <row r="208" spans="1:29" ht="20.25" customHeight="1" x14ac:dyDescent="0.35">
      <c r="B208" s="67" t="s">
        <v>1</v>
      </c>
      <c r="C208" s="68"/>
      <c r="D208" s="354" t="s">
        <v>1800</v>
      </c>
      <c r="E208" s="355"/>
      <c r="F208" s="354" t="s">
        <v>1801</v>
      </c>
      <c r="G208" s="355"/>
      <c r="H208" s="354" t="s">
        <v>1802</v>
      </c>
      <c r="I208" s="355"/>
      <c r="J208" s="354" t="s">
        <v>1803</v>
      </c>
      <c r="K208" s="355"/>
      <c r="L208" s="354" t="s">
        <v>1804</v>
      </c>
      <c r="M208" s="355"/>
      <c r="N208" s="354" t="s">
        <v>1805</v>
      </c>
      <c r="O208" s="355"/>
      <c r="P208" s="354" t="s">
        <v>1806</v>
      </c>
      <c r="Q208" s="355"/>
      <c r="R208" s="354" t="s">
        <v>1807</v>
      </c>
      <c r="S208" s="355"/>
      <c r="T208" s="354" t="s">
        <v>1808</v>
      </c>
      <c r="U208" s="355"/>
      <c r="V208" s="356" t="s">
        <v>1799</v>
      </c>
      <c r="W208" s="357"/>
    </row>
    <row r="209" spans="1:23" ht="15" customHeight="1" thickBot="1" x14ac:dyDescent="0.4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2" customHeight="1" x14ac:dyDescent="0.35">
      <c r="A210" s="351" t="s">
        <v>0</v>
      </c>
      <c r="B210" s="73"/>
      <c r="C210" s="74"/>
      <c r="D210" s="75"/>
      <c r="E210" s="348"/>
      <c r="F210" s="75"/>
      <c r="G210" s="348"/>
      <c r="H210" s="75"/>
      <c r="I210" s="348"/>
      <c r="J210" s="75"/>
      <c r="K210" s="348"/>
      <c r="L210" s="75"/>
      <c r="M210" s="348"/>
      <c r="N210" s="75"/>
      <c r="O210" s="348"/>
      <c r="P210" s="75"/>
      <c r="Q210" s="348"/>
      <c r="R210" s="75"/>
      <c r="S210" s="348"/>
      <c r="T210" s="75"/>
      <c r="U210" s="348"/>
      <c r="V210" s="75"/>
      <c r="W210" s="348"/>
    </row>
    <row r="211" spans="1:23" ht="17.2" customHeight="1" x14ac:dyDescent="0.35">
      <c r="A211" s="352"/>
      <c r="B211" s="76"/>
      <c r="C211" s="77"/>
      <c r="D211" s="78"/>
      <c r="E211" s="349"/>
      <c r="F211" s="78"/>
      <c r="G211" s="349"/>
      <c r="H211" s="78"/>
      <c r="I211" s="349"/>
      <c r="J211" s="78"/>
      <c r="K211" s="349"/>
      <c r="L211" s="78"/>
      <c r="M211" s="349"/>
      <c r="N211" s="78"/>
      <c r="O211" s="349"/>
      <c r="P211" s="78"/>
      <c r="Q211" s="349"/>
      <c r="R211" s="78"/>
      <c r="S211" s="349"/>
      <c r="T211" s="78"/>
      <c r="U211" s="349"/>
      <c r="V211" s="78"/>
      <c r="W211" s="349"/>
    </row>
    <row r="212" spans="1:23" ht="17.2" customHeight="1" thickBot="1" x14ac:dyDescent="0.4">
      <c r="A212" s="353"/>
      <c r="B212" s="79"/>
      <c r="C212" s="80"/>
      <c r="D212" s="69"/>
      <c r="E212" s="350"/>
      <c r="F212" s="69"/>
      <c r="G212" s="350"/>
      <c r="H212" s="69"/>
      <c r="I212" s="350"/>
      <c r="J212" s="69"/>
      <c r="K212" s="350"/>
      <c r="L212" s="69"/>
      <c r="M212" s="350"/>
      <c r="N212" s="69"/>
      <c r="O212" s="350"/>
      <c r="P212" s="69"/>
      <c r="Q212" s="350"/>
      <c r="R212" s="69"/>
      <c r="S212" s="350"/>
      <c r="T212" s="69"/>
      <c r="U212" s="350"/>
      <c r="V212" s="69"/>
      <c r="W212" s="350"/>
    </row>
    <row r="213" spans="1:23" ht="17.2" customHeight="1" x14ac:dyDescent="0.35">
      <c r="A213" s="351" t="s">
        <v>2</v>
      </c>
      <c r="B213" s="73"/>
      <c r="C213" s="74"/>
      <c r="D213" s="75"/>
      <c r="E213" s="348"/>
      <c r="F213" s="75"/>
      <c r="G213" s="348"/>
      <c r="H213" s="75"/>
      <c r="I213" s="348"/>
      <c r="J213" s="75"/>
      <c r="K213" s="348"/>
      <c r="L213" s="75"/>
      <c r="M213" s="348"/>
      <c r="N213" s="75"/>
      <c r="O213" s="348"/>
      <c r="P213" s="75"/>
      <c r="Q213" s="348"/>
      <c r="R213" s="75"/>
      <c r="S213" s="348"/>
      <c r="T213" s="75"/>
      <c r="U213" s="348"/>
      <c r="V213" s="75"/>
      <c r="W213" s="348"/>
    </row>
    <row r="214" spans="1:23" ht="17.2" customHeight="1" x14ac:dyDescent="0.35">
      <c r="A214" s="352"/>
      <c r="B214" s="76"/>
      <c r="C214" s="77"/>
      <c r="D214" s="78"/>
      <c r="E214" s="349"/>
      <c r="F214" s="78"/>
      <c r="G214" s="349"/>
      <c r="H214" s="78"/>
      <c r="I214" s="349"/>
      <c r="J214" s="78"/>
      <c r="K214" s="349"/>
      <c r="L214" s="78"/>
      <c r="M214" s="349"/>
      <c r="N214" s="78"/>
      <c r="O214" s="349"/>
      <c r="P214" s="78"/>
      <c r="Q214" s="349"/>
      <c r="R214" s="78"/>
      <c r="S214" s="349"/>
      <c r="T214" s="78"/>
      <c r="U214" s="349"/>
      <c r="V214" s="78"/>
      <c r="W214" s="349"/>
    </row>
    <row r="215" spans="1:23" ht="17.2" customHeight="1" thickBot="1" x14ac:dyDescent="0.4">
      <c r="A215" s="353"/>
      <c r="B215" s="79"/>
      <c r="C215" s="80"/>
      <c r="D215" s="69"/>
      <c r="E215" s="350"/>
      <c r="F215" s="69"/>
      <c r="G215" s="350"/>
      <c r="H215" s="69"/>
      <c r="I215" s="350"/>
      <c r="J215" s="69"/>
      <c r="K215" s="350"/>
      <c r="L215" s="69"/>
      <c r="M215" s="350"/>
      <c r="N215" s="69"/>
      <c r="O215" s="350"/>
      <c r="P215" s="69"/>
      <c r="Q215" s="350"/>
      <c r="R215" s="69"/>
      <c r="S215" s="350"/>
      <c r="T215" s="69"/>
      <c r="U215" s="350"/>
      <c r="V215" s="69"/>
      <c r="W215" s="350"/>
    </row>
    <row r="216" spans="1:23" ht="17.2" customHeight="1" x14ac:dyDescent="0.35">
      <c r="A216" s="351" t="s">
        <v>3</v>
      </c>
      <c r="B216" s="73"/>
      <c r="C216" s="74"/>
      <c r="D216" s="75"/>
      <c r="E216" s="348"/>
      <c r="F216" s="75"/>
      <c r="G216" s="348"/>
      <c r="H216" s="75"/>
      <c r="I216" s="348"/>
      <c r="J216" s="75"/>
      <c r="K216" s="348"/>
      <c r="L216" s="75"/>
      <c r="M216" s="348"/>
      <c r="N216" s="75"/>
      <c r="O216" s="348"/>
      <c r="P216" s="75"/>
      <c r="Q216" s="348"/>
      <c r="R216" s="75"/>
      <c r="S216" s="348"/>
      <c r="T216" s="75"/>
      <c r="U216" s="348"/>
      <c r="V216" s="75"/>
      <c r="W216" s="348"/>
    </row>
    <row r="217" spans="1:23" ht="17.2" customHeight="1" x14ac:dyDescent="0.35">
      <c r="A217" s="352"/>
      <c r="B217" s="76"/>
      <c r="C217" s="77"/>
      <c r="D217" s="78"/>
      <c r="E217" s="349"/>
      <c r="F217" s="78"/>
      <c r="G217" s="349"/>
      <c r="H217" s="78"/>
      <c r="I217" s="349"/>
      <c r="J217" s="78"/>
      <c r="K217" s="349"/>
      <c r="L217" s="78"/>
      <c r="M217" s="349"/>
      <c r="N217" s="78"/>
      <c r="O217" s="349"/>
      <c r="P217" s="78"/>
      <c r="Q217" s="349"/>
      <c r="R217" s="78"/>
      <c r="S217" s="349"/>
      <c r="T217" s="78"/>
      <c r="U217" s="349"/>
      <c r="V217" s="78"/>
      <c r="W217" s="349"/>
    </row>
    <row r="218" spans="1:23" ht="17.2" customHeight="1" thickBot="1" x14ac:dyDescent="0.4">
      <c r="A218" s="353"/>
      <c r="B218" s="79"/>
      <c r="C218" s="80"/>
      <c r="D218" s="69"/>
      <c r="E218" s="350"/>
      <c r="F218" s="69"/>
      <c r="G218" s="350"/>
      <c r="H218" s="69"/>
      <c r="I218" s="350"/>
      <c r="J218" s="69"/>
      <c r="K218" s="350"/>
      <c r="L218" s="69"/>
      <c r="M218" s="350"/>
      <c r="N218" s="69"/>
      <c r="O218" s="350"/>
      <c r="P218" s="69"/>
      <c r="Q218" s="350"/>
      <c r="R218" s="69"/>
      <c r="S218" s="350"/>
      <c r="T218" s="69"/>
      <c r="U218" s="350"/>
      <c r="V218" s="69"/>
      <c r="W218" s="350"/>
    </row>
    <row r="219" spans="1:23" ht="17.2" customHeight="1" x14ac:dyDescent="0.35">
      <c r="A219" s="351" t="s">
        <v>11</v>
      </c>
      <c r="B219" s="73"/>
      <c r="C219" s="74"/>
      <c r="D219" s="75"/>
      <c r="E219" s="348"/>
      <c r="F219" s="75"/>
      <c r="G219" s="348"/>
      <c r="H219" s="75"/>
      <c r="I219" s="348"/>
      <c r="J219" s="75"/>
      <c r="K219" s="348"/>
      <c r="L219" s="75"/>
      <c r="M219" s="348"/>
      <c r="N219" s="75"/>
      <c r="O219" s="348"/>
      <c r="P219" s="75"/>
      <c r="Q219" s="348"/>
      <c r="R219" s="75"/>
      <c r="S219" s="348"/>
      <c r="T219" s="75"/>
      <c r="U219" s="348"/>
      <c r="V219" s="75"/>
      <c r="W219" s="348"/>
    </row>
    <row r="220" spans="1:23" ht="17.2" customHeight="1" x14ac:dyDescent="0.35">
      <c r="A220" s="352"/>
      <c r="B220" s="76"/>
      <c r="C220" s="77"/>
      <c r="D220" s="78"/>
      <c r="E220" s="349"/>
      <c r="F220" s="78"/>
      <c r="G220" s="349"/>
      <c r="H220" s="78"/>
      <c r="I220" s="349"/>
      <c r="J220" s="78"/>
      <c r="K220" s="349"/>
      <c r="L220" s="78"/>
      <c r="M220" s="349"/>
      <c r="N220" s="78"/>
      <c r="O220" s="349"/>
      <c r="P220" s="78"/>
      <c r="Q220" s="349"/>
      <c r="R220" s="78"/>
      <c r="S220" s="349"/>
      <c r="T220" s="78"/>
      <c r="U220" s="349"/>
      <c r="V220" s="78"/>
      <c r="W220" s="349"/>
    </row>
    <row r="221" spans="1:23" ht="17.2" customHeight="1" thickBot="1" x14ac:dyDescent="0.4">
      <c r="A221" s="353"/>
      <c r="B221" s="79"/>
      <c r="C221" s="80"/>
      <c r="D221" s="69"/>
      <c r="E221" s="350"/>
      <c r="F221" s="69"/>
      <c r="G221" s="350"/>
      <c r="H221" s="69"/>
      <c r="I221" s="350"/>
      <c r="J221" s="69"/>
      <c r="K221" s="350"/>
      <c r="L221" s="69"/>
      <c r="M221" s="350"/>
      <c r="N221" s="69"/>
      <c r="O221" s="350"/>
      <c r="P221" s="69"/>
      <c r="Q221" s="350"/>
      <c r="R221" s="69"/>
      <c r="S221" s="350"/>
      <c r="T221" s="69"/>
      <c r="U221" s="350"/>
      <c r="V221" s="69"/>
      <c r="W221" s="350"/>
    </row>
    <row r="222" spans="1:23" ht="27.75" customHeight="1" thickBot="1" x14ac:dyDescent="0.4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4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3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35">
      <c r="B225" s="88" t="s">
        <v>1797</v>
      </c>
      <c r="C225" s="89" t="s">
        <v>1798</v>
      </c>
      <c r="D225" s="346">
        <f>VLOOKUP(B205,Schlüssel!$A$5:$DZ$14,63)</f>
        <v>3</v>
      </c>
      <c r="E225" s="346"/>
      <c r="F225" s="346">
        <f>VLOOKUP(B205,Schlüssel!$A$5:$DZ$14,64)</f>
        <v>7</v>
      </c>
      <c r="G225" s="346"/>
      <c r="H225" s="346">
        <f>VLOOKUP(B205,Schlüssel!$A$5:$DZ$14,65)</f>
        <v>6</v>
      </c>
      <c r="I225" s="346"/>
      <c r="J225" s="346">
        <f>VLOOKUP(B205,Schlüssel!$A$5:$DZ$14,66)</f>
        <v>5</v>
      </c>
      <c r="K225" s="346"/>
      <c r="L225" s="346">
        <f>VLOOKUP(B205,Schlüssel!$A$5:$DZ$14,67)</f>
        <v>4</v>
      </c>
      <c r="M225" s="346"/>
      <c r="N225" s="346">
        <f>VLOOKUP(B205,Schlüssel!$A$5:$DZ$14,68)</f>
        <v>10</v>
      </c>
      <c r="O225" s="346"/>
      <c r="P225" s="346">
        <f>VLOOKUP(B205,Schlüssel!$A$5:$DZ$14,69)</f>
        <v>1</v>
      </c>
      <c r="Q225" s="346"/>
      <c r="R225" s="346">
        <f>VLOOKUP(B205,Schlüssel!$A$5:$DZ$14,70)</f>
        <v>9</v>
      </c>
      <c r="S225" s="346"/>
      <c r="T225" s="346">
        <f>VLOOKUP(B205,Schlüssel!$A$5:$DZ$14,71)</f>
        <v>2</v>
      </c>
      <c r="U225" s="346"/>
      <c r="V225" s="347"/>
      <c r="W225" s="347"/>
    </row>
    <row r="226" spans="1:29" ht="28.5" customHeight="1" x14ac:dyDescent="0.35">
      <c r="B226" s="90"/>
      <c r="C226" s="86"/>
      <c r="D226" s="343" t="str">
        <f>VLOOKUP(D225,Schlüssel!$A$5:$K$14,2)</f>
        <v>Highroller Rosenheim</v>
      </c>
      <c r="E226" s="344"/>
      <c r="F226" s="343" t="str">
        <f>VLOOKUP(F225,Schlüssel!$A$5:$K$14,2)</f>
        <v>Frankenpower Nürnberg</v>
      </c>
      <c r="G226" s="344"/>
      <c r="H226" s="343" t="str">
        <f>VLOOKUP(H225,Schlüssel!$A$5:$K$14,2)</f>
        <v>Phönix 03 Lauf</v>
      </c>
      <c r="I226" s="344"/>
      <c r="J226" s="343" t="str">
        <f>VLOOKUP(J225,Schlüssel!$A$5:$K$14,2)</f>
        <v xml:space="preserve">Weiß Blau Unterföhring </v>
      </c>
      <c r="K226" s="344"/>
      <c r="L226" s="343" t="str">
        <f>VLOOKUP(L225,Schlüssel!$A$5:$K$14,2)</f>
        <v>BK München 3</v>
      </c>
      <c r="M226" s="344"/>
      <c r="N226" s="343" t="str">
        <f>VLOOKUP(N225,Schlüssel!$A$5:$K$14,2)</f>
        <v>BK München 4</v>
      </c>
      <c r="O226" s="344"/>
      <c r="P226" s="343" t="str">
        <f>VLOOKUP(P225,Schlüssel!$A$5:$K$14,2)</f>
        <v>Praetoria Regensburg</v>
      </c>
      <c r="Q226" s="344"/>
      <c r="R226" s="343" t="str">
        <f>VLOOKUP(R225,Schlüssel!$A$5:$K$14,2)</f>
        <v>RW Lichtenhof 69 Stein 2</v>
      </c>
      <c r="S226" s="344"/>
      <c r="T226" s="343" t="str">
        <f>VLOOKUP(T225,Schlüssel!$A$5:$K$14,2)</f>
        <v>BK München 2</v>
      </c>
      <c r="U226" s="344"/>
      <c r="V226" s="345"/>
      <c r="W226" s="345"/>
    </row>
    <row r="227" spans="1:29" ht="12" customHeight="1" x14ac:dyDescent="0.35">
      <c r="B227" s="90"/>
      <c r="C227" s="86"/>
      <c r="D227" s="341"/>
      <c r="E227" s="341"/>
      <c r="F227" s="341"/>
      <c r="G227" s="341"/>
      <c r="H227" s="341"/>
      <c r="I227" s="341"/>
      <c r="J227" s="341"/>
      <c r="K227" s="341"/>
      <c r="L227" s="341"/>
      <c r="M227" s="341"/>
      <c r="N227" s="341"/>
      <c r="O227" s="341"/>
      <c r="P227" s="341"/>
      <c r="Q227" s="341"/>
      <c r="R227" s="341"/>
      <c r="S227" s="341"/>
      <c r="T227" s="341"/>
      <c r="U227" s="342"/>
      <c r="V227" s="301"/>
      <c r="W227" s="301"/>
    </row>
    <row r="228" spans="1:29" ht="16.05" customHeight="1" x14ac:dyDescent="0.35">
      <c r="B228" s="91" t="s">
        <v>0</v>
      </c>
      <c r="C228" s="92"/>
      <c r="D228" s="339"/>
      <c r="E228" s="339"/>
      <c r="F228" s="339"/>
      <c r="G228" s="339"/>
      <c r="H228" s="339"/>
      <c r="I228" s="339"/>
      <c r="J228" s="339"/>
      <c r="K228" s="339"/>
      <c r="L228" s="339"/>
      <c r="M228" s="339"/>
      <c r="N228" s="339"/>
      <c r="O228" s="339"/>
      <c r="P228" s="339"/>
      <c r="Q228" s="339"/>
      <c r="R228" s="339"/>
      <c r="S228" s="339"/>
      <c r="T228" s="339"/>
      <c r="U228" s="339"/>
      <c r="V228" s="340"/>
      <c r="W228" s="340"/>
    </row>
    <row r="229" spans="1:29" ht="16.05" customHeight="1" x14ac:dyDescent="0.35">
      <c r="B229" s="91" t="s">
        <v>2</v>
      </c>
      <c r="C229" s="92"/>
      <c r="D229" s="339"/>
      <c r="E229" s="339"/>
      <c r="F229" s="339"/>
      <c r="G229" s="339"/>
      <c r="H229" s="339"/>
      <c r="I229" s="339"/>
      <c r="J229" s="339"/>
      <c r="K229" s="339"/>
      <c r="L229" s="339"/>
      <c r="M229" s="339"/>
      <c r="N229" s="339"/>
      <c r="O229" s="339"/>
      <c r="P229" s="339"/>
      <c r="Q229" s="339"/>
      <c r="R229" s="339"/>
      <c r="S229" s="339"/>
      <c r="T229" s="339"/>
      <c r="U229" s="339"/>
      <c r="V229" s="340"/>
      <c r="W229" s="340"/>
    </row>
    <row r="230" spans="1:29" ht="16.05" customHeight="1" x14ac:dyDescent="0.35">
      <c r="B230" s="91" t="s">
        <v>3</v>
      </c>
      <c r="C230" s="92"/>
      <c r="D230" s="339"/>
      <c r="E230" s="339"/>
      <c r="F230" s="339"/>
      <c r="G230" s="339"/>
      <c r="H230" s="339"/>
      <c r="I230" s="339"/>
      <c r="J230" s="339"/>
      <c r="K230" s="339"/>
      <c r="L230" s="339"/>
      <c r="M230" s="339"/>
      <c r="N230" s="339"/>
      <c r="O230" s="339"/>
      <c r="P230" s="339"/>
      <c r="Q230" s="339"/>
      <c r="R230" s="339"/>
      <c r="S230" s="339"/>
      <c r="T230" s="339"/>
      <c r="U230" s="339"/>
      <c r="V230" s="340"/>
      <c r="W230" s="340"/>
    </row>
    <row r="231" spans="1:29" ht="16.05" customHeight="1" x14ac:dyDescent="0.35">
      <c r="B231" s="91" t="s">
        <v>11</v>
      </c>
      <c r="C231" s="92"/>
      <c r="D231" s="339"/>
      <c r="E231" s="339"/>
      <c r="F231" s="339"/>
      <c r="G231" s="339"/>
      <c r="H231" s="339"/>
      <c r="I231" s="339"/>
      <c r="J231" s="339"/>
      <c r="K231" s="339"/>
      <c r="L231" s="339"/>
      <c r="M231" s="339"/>
      <c r="N231" s="339"/>
      <c r="O231" s="339"/>
      <c r="P231" s="339"/>
      <c r="Q231" s="339"/>
      <c r="R231" s="339"/>
      <c r="S231" s="339"/>
      <c r="T231" s="339"/>
      <c r="U231" s="339"/>
      <c r="V231" s="340"/>
      <c r="W231" s="340"/>
    </row>
    <row r="232" spans="1:29" ht="16.05" customHeight="1" x14ac:dyDescent="0.35">
      <c r="B232" s="93" t="s">
        <v>1799</v>
      </c>
      <c r="C232" s="94"/>
      <c r="D232" s="338"/>
      <c r="E232" s="338"/>
      <c r="F232" s="338"/>
      <c r="G232" s="338"/>
      <c r="H232" s="338"/>
      <c r="I232" s="338"/>
      <c r="J232" s="338"/>
      <c r="K232" s="338"/>
      <c r="L232" s="338"/>
      <c r="M232" s="338"/>
      <c r="N232" s="338"/>
      <c r="O232" s="338"/>
      <c r="P232" s="338"/>
      <c r="Q232" s="338"/>
      <c r="R232" s="338"/>
      <c r="S232" s="338"/>
      <c r="T232" s="338"/>
      <c r="U232" s="338"/>
      <c r="V232" s="290"/>
      <c r="W232" s="290"/>
    </row>
    <row r="233" spans="1:29" ht="21" customHeight="1" x14ac:dyDescent="0.7">
      <c r="B233" s="44" t="s">
        <v>1813</v>
      </c>
      <c r="C233" s="45"/>
      <c r="D233" s="46" t="s">
        <v>1792</v>
      </c>
      <c r="E233" s="47"/>
      <c r="F233" s="359" t="str">
        <f>Schlüssel!$C$1</f>
        <v>Bayernliga Frauen</v>
      </c>
      <c r="G233" s="359"/>
      <c r="H233" s="359"/>
      <c r="I233" s="359"/>
      <c r="J233" s="359"/>
      <c r="K233" s="359"/>
      <c r="L233" s="359"/>
      <c r="M233" s="359"/>
      <c r="N233" s="359"/>
      <c r="O233" s="359"/>
      <c r="P233" s="45"/>
      <c r="Q233" s="45"/>
      <c r="R233" s="48"/>
      <c r="S233" s="49" t="s">
        <v>1794</v>
      </c>
      <c r="T233" s="50"/>
      <c r="U233" s="360" t="str">
        <f>Schlüssel!$BU$1</f>
        <v>15.02./16.02.</v>
      </c>
      <c r="V233" s="361"/>
      <c r="W233" s="362"/>
      <c r="AC233" s="51"/>
    </row>
    <row r="234" spans="1:29" ht="17.25" customHeight="1" thickBot="1" x14ac:dyDescent="0.65">
      <c r="A234" s="52"/>
      <c r="B234" s="96">
        <f>+B205+1</f>
        <v>9</v>
      </c>
      <c r="D234" s="46" t="s">
        <v>1793</v>
      </c>
      <c r="E234" s="54"/>
      <c r="F234" s="358" t="str">
        <f>Schlüssel!$BK$2</f>
        <v>Nürnberg West Bowling</v>
      </c>
      <c r="G234" s="358"/>
      <c r="H234" s="358"/>
      <c r="I234" s="358"/>
      <c r="J234" s="358"/>
      <c r="K234" s="358"/>
      <c r="L234" s="358"/>
      <c r="M234" s="358"/>
      <c r="N234" s="358"/>
      <c r="O234" s="358"/>
      <c r="P234" s="55"/>
      <c r="Q234" s="55"/>
      <c r="S234" s="49" t="s">
        <v>1791</v>
      </c>
      <c r="T234" s="56">
        <v>4</v>
      </c>
      <c r="U234" s="50"/>
      <c r="V234" s="50"/>
      <c r="AC234" s="97"/>
    </row>
    <row r="235" spans="1:29" ht="15.75" customHeight="1" thickBot="1" x14ac:dyDescent="0.4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5" thickBot="1" x14ac:dyDescent="0.45">
      <c r="A236" s="2"/>
      <c r="B236" s="44"/>
      <c r="C236" s="63"/>
      <c r="D236" s="64" t="s">
        <v>10</v>
      </c>
      <c r="E236" s="44">
        <f>VLOOKUP($B234,Schlüssel!$A$5:$DZ$14,73)</f>
        <v>15</v>
      </c>
      <c r="F236" s="65" t="s">
        <v>10</v>
      </c>
      <c r="G236" s="44">
        <f>VLOOKUP($B234,Schlüssel!$A$5:$DZ$14,74)</f>
        <v>12</v>
      </c>
      <c r="H236" s="65" t="s">
        <v>10</v>
      </c>
      <c r="I236" s="44">
        <f>VLOOKUP($B234,Schlüssel!$A$5:$DZ$14,75)</f>
        <v>13</v>
      </c>
      <c r="J236" s="65" t="s">
        <v>10</v>
      </c>
      <c r="K236" s="44">
        <f>VLOOKUP($B234,Schlüssel!$A$5:$DZ$14,76)</f>
        <v>18</v>
      </c>
      <c r="L236" s="65" t="s">
        <v>10</v>
      </c>
      <c r="M236" s="44">
        <f>VLOOKUP($B234,Schlüssel!$A$5:$DZ$14,77)</f>
        <v>20</v>
      </c>
      <c r="N236" s="65" t="s">
        <v>10</v>
      </c>
      <c r="O236" s="44">
        <f>VLOOKUP($B234,Schlüssel!$A$5:$DZ$14,78)</f>
        <v>16</v>
      </c>
      <c r="P236" s="65" t="s">
        <v>10</v>
      </c>
      <c r="Q236" s="44">
        <f>VLOOKUP($B234,Schlüssel!$A$5:$DZ$14,79)</f>
        <v>14</v>
      </c>
      <c r="R236" s="65" t="s">
        <v>10</v>
      </c>
      <c r="S236" s="44">
        <f>VLOOKUP($B234,Schlüssel!$A$5:$DZ$14,80)</f>
        <v>19</v>
      </c>
      <c r="T236" s="65" t="s">
        <v>10</v>
      </c>
      <c r="U236" s="66">
        <f>VLOOKUP($B234,Schlüssel!$A$5:$DZ$14,81)</f>
        <v>17</v>
      </c>
    </row>
    <row r="237" spans="1:29" ht="20.25" customHeight="1" x14ac:dyDescent="0.35">
      <c r="B237" s="67" t="s">
        <v>1</v>
      </c>
      <c r="C237" s="68"/>
      <c r="D237" s="354" t="s">
        <v>1800</v>
      </c>
      <c r="E237" s="355"/>
      <c r="F237" s="354" t="s">
        <v>1801</v>
      </c>
      <c r="G237" s="355"/>
      <c r="H237" s="354" t="s">
        <v>1802</v>
      </c>
      <c r="I237" s="355"/>
      <c r="J237" s="354" t="s">
        <v>1803</v>
      </c>
      <c r="K237" s="355"/>
      <c r="L237" s="354" t="s">
        <v>1804</v>
      </c>
      <c r="M237" s="355"/>
      <c r="N237" s="354" t="s">
        <v>1805</v>
      </c>
      <c r="O237" s="355"/>
      <c r="P237" s="354" t="s">
        <v>1806</v>
      </c>
      <c r="Q237" s="355"/>
      <c r="R237" s="354" t="s">
        <v>1807</v>
      </c>
      <c r="S237" s="355"/>
      <c r="T237" s="354" t="s">
        <v>1808</v>
      </c>
      <c r="U237" s="355"/>
      <c r="V237" s="356" t="s">
        <v>1799</v>
      </c>
      <c r="W237" s="357"/>
    </row>
    <row r="238" spans="1:29" ht="15" customHeight="1" thickBot="1" x14ac:dyDescent="0.4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2" customHeight="1" x14ac:dyDescent="0.35">
      <c r="A239" s="351" t="s">
        <v>0</v>
      </c>
      <c r="B239" s="73"/>
      <c r="C239" s="74"/>
      <c r="D239" s="75"/>
      <c r="E239" s="348"/>
      <c r="F239" s="75"/>
      <c r="G239" s="348"/>
      <c r="H239" s="75"/>
      <c r="I239" s="348"/>
      <c r="J239" s="75"/>
      <c r="K239" s="348"/>
      <c r="L239" s="75"/>
      <c r="M239" s="348"/>
      <c r="N239" s="75"/>
      <c r="O239" s="348"/>
      <c r="P239" s="75"/>
      <c r="Q239" s="348"/>
      <c r="R239" s="75"/>
      <c r="S239" s="348"/>
      <c r="T239" s="75"/>
      <c r="U239" s="348"/>
      <c r="V239" s="75"/>
      <c r="W239" s="348"/>
    </row>
    <row r="240" spans="1:29" ht="17.2" customHeight="1" x14ac:dyDescent="0.35">
      <c r="A240" s="352"/>
      <c r="B240" s="76"/>
      <c r="C240" s="77"/>
      <c r="D240" s="78"/>
      <c r="E240" s="349"/>
      <c r="F240" s="78"/>
      <c r="G240" s="349"/>
      <c r="H240" s="78"/>
      <c r="I240" s="349"/>
      <c r="J240" s="78"/>
      <c r="K240" s="349"/>
      <c r="L240" s="78"/>
      <c r="M240" s="349"/>
      <c r="N240" s="78"/>
      <c r="O240" s="349"/>
      <c r="P240" s="78"/>
      <c r="Q240" s="349"/>
      <c r="R240" s="78"/>
      <c r="S240" s="349"/>
      <c r="T240" s="78"/>
      <c r="U240" s="349"/>
      <c r="V240" s="78"/>
      <c r="W240" s="349"/>
    </row>
    <row r="241" spans="1:23" ht="17.2" customHeight="1" thickBot="1" x14ac:dyDescent="0.4">
      <c r="A241" s="353"/>
      <c r="B241" s="79"/>
      <c r="C241" s="80"/>
      <c r="D241" s="69"/>
      <c r="E241" s="350"/>
      <c r="F241" s="69"/>
      <c r="G241" s="350"/>
      <c r="H241" s="69"/>
      <c r="I241" s="350"/>
      <c r="J241" s="69"/>
      <c r="K241" s="350"/>
      <c r="L241" s="69"/>
      <c r="M241" s="350"/>
      <c r="N241" s="69"/>
      <c r="O241" s="350"/>
      <c r="P241" s="69"/>
      <c r="Q241" s="350"/>
      <c r="R241" s="69"/>
      <c r="S241" s="350"/>
      <c r="T241" s="69"/>
      <c r="U241" s="350"/>
      <c r="V241" s="69"/>
      <c r="W241" s="350"/>
    </row>
    <row r="242" spans="1:23" ht="17.2" customHeight="1" x14ac:dyDescent="0.35">
      <c r="A242" s="351" t="s">
        <v>2</v>
      </c>
      <c r="B242" s="73"/>
      <c r="C242" s="74"/>
      <c r="D242" s="75"/>
      <c r="E242" s="348"/>
      <c r="F242" s="75"/>
      <c r="G242" s="348"/>
      <c r="H242" s="75"/>
      <c r="I242" s="348"/>
      <c r="J242" s="75"/>
      <c r="K242" s="348"/>
      <c r="L242" s="75"/>
      <c r="M242" s="348"/>
      <c r="N242" s="75"/>
      <c r="O242" s="348"/>
      <c r="P242" s="75"/>
      <c r="Q242" s="348"/>
      <c r="R242" s="75"/>
      <c r="S242" s="348"/>
      <c r="T242" s="75"/>
      <c r="U242" s="348"/>
      <c r="V242" s="75"/>
      <c r="W242" s="348"/>
    </row>
    <row r="243" spans="1:23" ht="17.2" customHeight="1" x14ac:dyDescent="0.35">
      <c r="A243" s="352"/>
      <c r="B243" s="76"/>
      <c r="C243" s="77"/>
      <c r="D243" s="78"/>
      <c r="E243" s="349"/>
      <c r="F243" s="78"/>
      <c r="G243" s="349"/>
      <c r="H243" s="78"/>
      <c r="I243" s="349"/>
      <c r="J243" s="78"/>
      <c r="K243" s="349"/>
      <c r="L243" s="78"/>
      <c r="M243" s="349"/>
      <c r="N243" s="78"/>
      <c r="O243" s="349"/>
      <c r="P243" s="78"/>
      <c r="Q243" s="349"/>
      <c r="R243" s="78"/>
      <c r="S243" s="349"/>
      <c r="T243" s="78"/>
      <c r="U243" s="349"/>
      <c r="V243" s="78"/>
      <c r="W243" s="349"/>
    </row>
    <row r="244" spans="1:23" ht="17.2" customHeight="1" thickBot="1" x14ac:dyDescent="0.4">
      <c r="A244" s="353"/>
      <c r="B244" s="79"/>
      <c r="C244" s="80"/>
      <c r="D244" s="69"/>
      <c r="E244" s="350"/>
      <c r="F244" s="69"/>
      <c r="G244" s="350"/>
      <c r="H244" s="69"/>
      <c r="I244" s="350"/>
      <c r="J244" s="69"/>
      <c r="K244" s="350"/>
      <c r="L244" s="69"/>
      <c r="M244" s="350"/>
      <c r="N244" s="69"/>
      <c r="O244" s="350"/>
      <c r="P244" s="69"/>
      <c r="Q244" s="350"/>
      <c r="R244" s="69"/>
      <c r="S244" s="350"/>
      <c r="T244" s="69"/>
      <c r="U244" s="350"/>
      <c r="V244" s="69"/>
      <c r="W244" s="350"/>
    </row>
    <row r="245" spans="1:23" ht="17.2" customHeight="1" x14ac:dyDescent="0.35">
      <c r="A245" s="351" t="s">
        <v>3</v>
      </c>
      <c r="B245" s="73"/>
      <c r="C245" s="74"/>
      <c r="D245" s="75"/>
      <c r="E245" s="348"/>
      <c r="F245" s="75"/>
      <c r="G245" s="348"/>
      <c r="H245" s="75"/>
      <c r="I245" s="348"/>
      <c r="J245" s="75"/>
      <c r="K245" s="348"/>
      <c r="L245" s="75"/>
      <c r="M245" s="348"/>
      <c r="N245" s="75"/>
      <c r="O245" s="348"/>
      <c r="P245" s="75"/>
      <c r="Q245" s="348"/>
      <c r="R245" s="75"/>
      <c r="S245" s="348"/>
      <c r="T245" s="75"/>
      <c r="U245" s="348"/>
      <c r="V245" s="75"/>
      <c r="W245" s="348"/>
    </row>
    <row r="246" spans="1:23" ht="17.2" customHeight="1" x14ac:dyDescent="0.35">
      <c r="A246" s="352"/>
      <c r="B246" s="76"/>
      <c r="C246" s="77"/>
      <c r="D246" s="78"/>
      <c r="E246" s="349"/>
      <c r="F246" s="78"/>
      <c r="G246" s="349"/>
      <c r="H246" s="78"/>
      <c r="I246" s="349"/>
      <c r="J246" s="78"/>
      <c r="K246" s="349"/>
      <c r="L246" s="78"/>
      <c r="M246" s="349"/>
      <c r="N246" s="78"/>
      <c r="O246" s="349"/>
      <c r="P246" s="78"/>
      <c r="Q246" s="349"/>
      <c r="R246" s="78"/>
      <c r="S246" s="349"/>
      <c r="T246" s="78"/>
      <c r="U246" s="349"/>
      <c r="V246" s="78"/>
      <c r="W246" s="349"/>
    </row>
    <row r="247" spans="1:23" ht="17.2" customHeight="1" thickBot="1" x14ac:dyDescent="0.4">
      <c r="A247" s="353"/>
      <c r="B247" s="79"/>
      <c r="C247" s="80"/>
      <c r="D247" s="69"/>
      <c r="E247" s="350"/>
      <c r="F247" s="69"/>
      <c r="G247" s="350"/>
      <c r="H247" s="69"/>
      <c r="I247" s="350"/>
      <c r="J247" s="69"/>
      <c r="K247" s="350"/>
      <c r="L247" s="69"/>
      <c r="M247" s="350"/>
      <c r="N247" s="69"/>
      <c r="O247" s="350"/>
      <c r="P247" s="69"/>
      <c r="Q247" s="350"/>
      <c r="R247" s="69"/>
      <c r="S247" s="350"/>
      <c r="T247" s="69"/>
      <c r="U247" s="350"/>
      <c r="V247" s="69"/>
      <c r="W247" s="350"/>
    </row>
    <row r="248" spans="1:23" ht="17.2" customHeight="1" x14ac:dyDescent="0.35">
      <c r="A248" s="351" t="s">
        <v>11</v>
      </c>
      <c r="B248" s="73"/>
      <c r="C248" s="74"/>
      <c r="D248" s="75"/>
      <c r="E248" s="348"/>
      <c r="F248" s="75"/>
      <c r="G248" s="348"/>
      <c r="H248" s="75"/>
      <c r="I248" s="348"/>
      <c r="J248" s="75"/>
      <c r="K248" s="348"/>
      <c r="L248" s="75"/>
      <c r="M248" s="348"/>
      <c r="N248" s="75"/>
      <c r="O248" s="348"/>
      <c r="P248" s="75"/>
      <c r="Q248" s="348"/>
      <c r="R248" s="75"/>
      <c r="S248" s="348"/>
      <c r="T248" s="75"/>
      <c r="U248" s="348"/>
      <c r="V248" s="75"/>
      <c r="W248" s="348"/>
    </row>
    <row r="249" spans="1:23" ht="17.2" customHeight="1" x14ac:dyDescent="0.35">
      <c r="A249" s="352"/>
      <c r="B249" s="76"/>
      <c r="C249" s="77"/>
      <c r="D249" s="78"/>
      <c r="E249" s="349"/>
      <c r="F249" s="78"/>
      <c r="G249" s="349"/>
      <c r="H249" s="78"/>
      <c r="I249" s="349"/>
      <c r="J249" s="78"/>
      <c r="K249" s="349"/>
      <c r="L249" s="78"/>
      <c r="M249" s="349"/>
      <c r="N249" s="78"/>
      <c r="O249" s="349"/>
      <c r="P249" s="78"/>
      <c r="Q249" s="349"/>
      <c r="R249" s="78"/>
      <c r="S249" s="349"/>
      <c r="T249" s="78"/>
      <c r="U249" s="349"/>
      <c r="V249" s="78"/>
      <c r="W249" s="349"/>
    </row>
    <row r="250" spans="1:23" ht="17.2" customHeight="1" thickBot="1" x14ac:dyDescent="0.4">
      <c r="A250" s="353"/>
      <c r="B250" s="79"/>
      <c r="C250" s="80"/>
      <c r="D250" s="69"/>
      <c r="E250" s="350"/>
      <c r="F250" s="69"/>
      <c r="G250" s="350"/>
      <c r="H250" s="69"/>
      <c r="I250" s="350"/>
      <c r="J250" s="69"/>
      <c r="K250" s="350"/>
      <c r="L250" s="69"/>
      <c r="M250" s="350"/>
      <c r="N250" s="69"/>
      <c r="O250" s="350"/>
      <c r="P250" s="69"/>
      <c r="Q250" s="350"/>
      <c r="R250" s="69"/>
      <c r="S250" s="350"/>
      <c r="T250" s="69"/>
      <c r="U250" s="350"/>
      <c r="V250" s="69"/>
      <c r="W250" s="350"/>
    </row>
    <row r="251" spans="1:23" ht="27.75" customHeight="1" thickBot="1" x14ac:dyDescent="0.4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4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3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35">
      <c r="B254" s="88" t="s">
        <v>1797</v>
      </c>
      <c r="C254" s="89" t="s">
        <v>1798</v>
      </c>
      <c r="D254" s="346">
        <f>VLOOKUP(B234,Schlüssel!$A$5:$DZ$14,63)</f>
        <v>6</v>
      </c>
      <c r="E254" s="346"/>
      <c r="F254" s="346">
        <f>VLOOKUP(B234,Schlüssel!$A$5:$DZ$14,64)</f>
        <v>1</v>
      </c>
      <c r="G254" s="346"/>
      <c r="H254" s="346">
        <f>VLOOKUP(B234,Schlüssel!$A$5:$DZ$14,65)</f>
        <v>2</v>
      </c>
      <c r="I254" s="346"/>
      <c r="J254" s="346">
        <f>VLOOKUP(B234,Schlüssel!$A$5:$DZ$14,66)</f>
        <v>10</v>
      </c>
      <c r="K254" s="346"/>
      <c r="L254" s="346">
        <f>VLOOKUP(B234,Schlüssel!$A$5:$DZ$14,67)</f>
        <v>3</v>
      </c>
      <c r="M254" s="346"/>
      <c r="N254" s="346">
        <f>VLOOKUP(B234,Schlüssel!$A$5:$DZ$14,68)</f>
        <v>5</v>
      </c>
      <c r="O254" s="346"/>
      <c r="P254" s="346">
        <f>VLOOKUP(B234,Schlüssel!$A$5:$DZ$14,69)</f>
        <v>4</v>
      </c>
      <c r="Q254" s="346"/>
      <c r="R254" s="346">
        <f>VLOOKUP(B234,Schlüssel!$A$5:$DZ$14,70)</f>
        <v>8</v>
      </c>
      <c r="S254" s="346"/>
      <c r="T254" s="346">
        <f>VLOOKUP(B234,Schlüssel!$A$5:$DZ$14,71)</f>
        <v>7</v>
      </c>
      <c r="U254" s="346"/>
      <c r="V254" s="347"/>
      <c r="W254" s="347"/>
    </row>
    <row r="255" spans="1:23" ht="28.5" customHeight="1" x14ac:dyDescent="0.35">
      <c r="B255" s="90"/>
      <c r="C255" s="86"/>
      <c r="D255" s="343" t="str">
        <f>VLOOKUP(D254,Schlüssel!$A$5:$K$14,2)</f>
        <v>Phönix 03 Lauf</v>
      </c>
      <c r="E255" s="344"/>
      <c r="F255" s="343" t="str">
        <f>VLOOKUP(F254,Schlüssel!$A$5:$K$14,2)</f>
        <v>Praetoria Regensburg</v>
      </c>
      <c r="G255" s="344"/>
      <c r="H255" s="343" t="str">
        <f>VLOOKUP(H254,Schlüssel!$A$5:$K$14,2)</f>
        <v>BK München 2</v>
      </c>
      <c r="I255" s="344"/>
      <c r="J255" s="343" t="str">
        <f>VLOOKUP(J254,Schlüssel!$A$5:$K$14,2)</f>
        <v>BK München 4</v>
      </c>
      <c r="K255" s="344"/>
      <c r="L255" s="343" t="str">
        <f>VLOOKUP(L254,Schlüssel!$A$5:$K$14,2)</f>
        <v>Highroller Rosenheim</v>
      </c>
      <c r="M255" s="344"/>
      <c r="N255" s="343" t="str">
        <f>VLOOKUP(N254,Schlüssel!$A$5:$K$14,2)</f>
        <v xml:space="preserve">Weiß Blau Unterföhring </v>
      </c>
      <c r="O255" s="344"/>
      <c r="P255" s="343" t="str">
        <f>VLOOKUP(P254,Schlüssel!$A$5:$K$14,2)</f>
        <v>BK München 3</v>
      </c>
      <c r="Q255" s="344"/>
      <c r="R255" s="343" t="str">
        <f>VLOOKUP(R254,Schlüssel!$A$5:$K$14,2)</f>
        <v>EPA München 1</v>
      </c>
      <c r="S255" s="344"/>
      <c r="T255" s="343" t="str">
        <f>VLOOKUP(T254,Schlüssel!$A$5:$K$14,2)</f>
        <v>Frankenpower Nürnberg</v>
      </c>
      <c r="U255" s="344"/>
      <c r="V255" s="345"/>
      <c r="W255" s="345"/>
    </row>
    <row r="256" spans="1:23" ht="12" customHeight="1" x14ac:dyDescent="0.35">
      <c r="B256" s="90"/>
      <c r="C256" s="86"/>
      <c r="D256" s="341"/>
      <c r="E256" s="341"/>
      <c r="F256" s="341"/>
      <c r="G256" s="341"/>
      <c r="H256" s="341"/>
      <c r="I256" s="341"/>
      <c r="J256" s="341"/>
      <c r="K256" s="341"/>
      <c r="L256" s="341"/>
      <c r="M256" s="341"/>
      <c r="N256" s="341"/>
      <c r="O256" s="341"/>
      <c r="P256" s="341"/>
      <c r="Q256" s="341"/>
      <c r="R256" s="341"/>
      <c r="S256" s="341"/>
      <c r="T256" s="341"/>
      <c r="U256" s="342"/>
      <c r="V256" s="301"/>
      <c r="W256" s="301"/>
    </row>
    <row r="257" spans="1:29" ht="16.05" customHeight="1" x14ac:dyDescent="0.35">
      <c r="B257" s="91" t="s">
        <v>0</v>
      </c>
      <c r="C257" s="92"/>
      <c r="D257" s="339"/>
      <c r="E257" s="339"/>
      <c r="F257" s="339"/>
      <c r="G257" s="339"/>
      <c r="H257" s="339"/>
      <c r="I257" s="339"/>
      <c r="J257" s="339"/>
      <c r="K257" s="339"/>
      <c r="L257" s="339"/>
      <c r="M257" s="339"/>
      <c r="N257" s="339"/>
      <c r="O257" s="339"/>
      <c r="P257" s="339"/>
      <c r="Q257" s="339"/>
      <c r="R257" s="339"/>
      <c r="S257" s="339"/>
      <c r="T257" s="339"/>
      <c r="U257" s="339"/>
      <c r="V257" s="340"/>
      <c r="W257" s="340"/>
    </row>
    <row r="258" spans="1:29" ht="16.05" customHeight="1" x14ac:dyDescent="0.35">
      <c r="B258" s="91" t="s">
        <v>2</v>
      </c>
      <c r="C258" s="92"/>
      <c r="D258" s="339"/>
      <c r="E258" s="339"/>
      <c r="F258" s="339"/>
      <c r="G258" s="339"/>
      <c r="H258" s="339"/>
      <c r="I258" s="339"/>
      <c r="J258" s="339"/>
      <c r="K258" s="339"/>
      <c r="L258" s="339"/>
      <c r="M258" s="339"/>
      <c r="N258" s="339"/>
      <c r="O258" s="339"/>
      <c r="P258" s="339"/>
      <c r="Q258" s="339"/>
      <c r="R258" s="339"/>
      <c r="S258" s="339"/>
      <c r="T258" s="339"/>
      <c r="U258" s="339"/>
      <c r="V258" s="340"/>
      <c r="W258" s="340"/>
    </row>
    <row r="259" spans="1:29" ht="16.05" customHeight="1" x14ac:dyDescent="0.35">
      <c r="B259" s="91" t="s">
        <v>3</v>
      </c>
      <c r="C259" s="92"/>
      <c r="D259" s="339"/>
      <c r="E259" s="339"/>
      <c r="F259" s="339"/>
      <c r="G259" s="339"/>
      <c r="H259" s="339"/>
      <c r="I259" s="339"/>
      <c r="J259" s="339"/>
      <c r="K259" s="339"/>
      <c r="L259" s="339"/>
      <c r="M259" s="339"/>
      <c r="N259" s="339"/>
      <c r="O259" s="339"/>
      <c r="P259" s="339"/>
      <c r="Q259" s="339"/>
      <c r="R259" s="339"/>
      <c r="S259" s="339"/>
      <c r="T259" s="339"/>
      <c r="U259" s="339"/>
      <c r="V259" s="340"/>
      <c r="W259" s="340"/>
    </row>
    <row r="260" spans="1:29" ht="16.05" customHeight="1" x14ac:dyDescent="0.35">
      <c r="B260" s="91" t="s">
        <v>11</v>
      </c>
      <c r="C260" s="92"/>
      <c r="D260" s="339"/>
      <c r="E260" s="339"/>
      <c r="F260" s="339"/>
      <c r="G260" s="339"/>
      <c r="H260" s="339"/>
      <c r="I260" s="339"/>
      <c r="J260" s="339"/>
      <c r="K260" s="339"/>
      <c r="L260" s="339"/>
      <c r="M260" s="339"/>
      <c r="N260" s="339"/>
      <c r="O260" s="339"/>
      <c r="P260" s="339"/>
      <c r="Q260" s="339"/>
      <c r="R260" s="339"/>
      <c r="S260" s="339"/>
      <c r="T260" s="339"/>
      <c r="U260" s="339"/>
      <c r="V260" s="340"/>
      <c r="W260" s="340"/>
    </row>
    <row r="261" spans="1:29" ht="16.05" customHeight="1" x14ac:dyDescent="0.35">
      <c r="B261" s="93" t="s">
        <v>1799</v>
      </c>
      <c r="C261" s="94"/>
      <c r="D261" s="338"/>
      <c r="E261" s="338"/>
      <c r="F261" s="338"/>
      <c r="G261" s="338"/>
      <c r="H261" s="338"/>
      <c r="I261" s="338"/>
      <c r="J261" s="338"/>
      <c r="K261" s="338"/>
      <c r="L261" s="338"/>
      <c r="M261" s="338"/>
      <c r="N261" s="338"/>
      <c r="O261" s="338"/>
      <c r="P261" s="338"/>
      <c r="Q261" s="338"/>
      <c r="R261" s="338"/>
      <c r="S261" s="338"/>
      <c r="T261" s="338"/>
      <c r="U261" s="338"/>
      <c r="V261" s="290"/>
      <c r="W261" s="290"/>
    </row>
    <row r="262" spans="1:29" ht="21" customHeight="1" x14ac:dyDescent="0.7">
      <c r="B262" s="44" t="s">
        <v>1813</v>
      </c>
      <c r="C262" s="45"/>
      <c r="D262" s="46" t="s">
        <v>1792</v>
      </c>
      <c r="E262" s="47"/>
      <c r="F262" s="359" t="str">
        <f>Schlüssel!$C$1</f>
        <v>Bayernliga Frauen</v>
      </c>
      <c r="G262" s="359"/>
      <c r="H262" s="359"/>
      <c r="I262" s="359"/>
      <c r="J262" s="359"/>
      <c r="K262" s="359"/>
      <c r="L262" s="359"/>
      <c r="M262" s="359"/>
      <c r="N262" s="359"/>
      <c r="O262" s="359"/>
      <c r="P262" s="45"/>
      <c r="Q262" s="45"/>
      <c r="R262" s="48"/>
      <c r="S262" s="49" t="s">
        <v>1794</v>
      </c>
      <c r="T262" s="50"/>
      <c r="U262" s="360" t="str">
        <f>Schlüssel!$BU$1</f>
        <v>15.02./16.02.</v>
      </c>
      <c r="V262" s="361"/>
      <c r="W262" s="362"/>
      <c r="AC262" s="51"/>
    </row>
    <row r="263" spans="1:29" ht="17.25" customHeight="1" thickBot="1" x14ac:dyDescent="0.65">
      <c r="A263" s="52"/>
      <c r="B263" s="96">
        <f>+B234+1</f>
        <v>10</v>
      </c>
      <c r="D263" s="46" t="s">
        <v>1793</v>
      </c>
      <c r="E263" s="54"/>
      <c r="F263" s="358" t="str">
        <f>Schlüssel!$BK$2</f>
        <v>Nürnberg West Bowling</v>
      </c>
      <c r="G263" s="358"/>
      <c r="H263" s="358"/>
      <c r="I263" s="358"/>
      <c r="J263" s="358"/>
      <c r="K263" s="358"/>
      <c r="L263" s="358"/>
      <c r="M263" s="358"/>
      <c r="N263" s="358"/>
      <c r="O263" s="358"/>
      <c r="P263" s="55"/>
      <c r="Q263" s="55"/>
      <c r="S263" s="49" t="s">
        <v>1791</v>
      </c>
      <c r="T263" s="56">
        <v>4</v>
      </c>
      <c r="U263" s="50"/>
      <c r="V263" s="50"/>
      <c r="AC263" s="97"/>
    </row>
    <row r="264" spans="1:29" ht="15.75" customHeight="1" thickBot="1" x14ac:dyDescent="0.4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5" thickBot="1" x14ac:dyDescent="0.45">
      <c r="A265" s="2"/>
      <c r="B265" s="44"/>
      <c r="C265" s="63"/>
      <c r="D265" s="64" t="s">
        <v>10</v>
      </c>
      <c r="E265" s="44">
        <f>VLOOKUP($B263,Schlüssel!$A$5:$DZ$14,73)</f>
        <v>20</v>
      </c>
      <c r="F265" s="65" t="s">
        <v>10</v>
      </c>
      <c r="G265" s="44">
        <f>VLOOKUP($B263,Schlüssel!$A$5:$DZ$14,74)</f>
        <v>13</v>
      </c>
      <c r="H265" s="65" t="s">
        <v>10</v>
      </c>
      <c r="I265" s="44">
        <f>VLOOKUP($B263,Schlüssel!$A$5:$DZ$14,75)</f>
        <v>12</v>
      </c>
      <c r="J265" s="65" t="s">
        <v>10</v>
      </c>
      <c r="K265" s="44">
        <f>VLOOKUP($B263,Schlüssel!$A$5:$DZ$14,76)</f>
        <v>17</v>
      </c>
      <c r="L265" s="65" t="s">
        <v>10</v>
      </c>
      <c r="M265" s="44">
        <f>VLOOKUP($B263,Schlüssel!$A$5:$DZ$14,77)</f>
        <v>14</v>
      </c>
      <c r="N265" s="65" t="s">
        <v>10</v>
      </c>
      <c r="O265" s="44">
        <f>VLOOKUP($B263,Schlüssel!$A$5:$DZ$14,78)</f>
        <v>18</v>
      </c>
      <c r="P265" s="65" t="s">
        <v>10</v>
      </c>
      <c r="Q265" s="44">
        <f>VLOOKUP($B263,Schlüssel!$A$5:$DZ$14,79)</f>
        <v>16</v>
      </c>
      <c r="R265" s="65" t="s">
        <v>10</v>
      </c>
      <c r="S265" s="44">
        <f>VLOOKUP($B263,Schlüssel!$A$5:$DZ$14,80)</f>
        <v>11</v>
      </c>
      <c r="T265" s="65" t="s">
        <v>10</v>
      </c>
      <c r="U265" s="66">
        <f>VLOOKUP($B263,Schlüssel!$A$5:$DZ$14,81)</f>
        <v>19</v>
      </c>
    </row>
    <row r="266" spans="1:29" ht="20.25" customHeight="1" x14ac:dyDescent="0.35">
      <c r="B266" s="67" t="s">
        <v>1</v>
      </c>
      <c r="C266" s="68"/>
      <c r="D266" s="354" t="s">
        <v>1800</v>
      </c>
      <c r="E266" s="355"/>
      <c r="F266" s="354" t="s">
        <v>1801</v>
      </c>
      <c r="G266" s="355"/>
      <c r="H266" s="354" t="s">
        <v>1802</v>
      </c>
      <c r="I266" s="355"/>
      <c r="J266" s="354" t="s">
        <v>1803</v>
      </c>
      <c r="K266" s="355"/>
      <c r="L266" s="354" t="s">
        <v>1804</v>
      </c>
      <c r="M266" s="355"/>
      <c r="N266" s="354" t="s">
        <v>1805</v>
      </c>
      <c r="O266" s="355"/>
      <c r="P266" s="354" t="s">
        <v>1806</v>
      </c>
      <c r="Q266" s="355"/>
      <c r="R266" s="354" t="s">
        <v>1807</v>
      </c>
      <c r="S266" s="355"/>
      <c r="T266" s="354" t="s">
        <v>1808</v>
      </c>
      <c r="U266" s="355"/>
      <c r="V266" s="356" t="s">
        <v>1799</v>
      </c>
      <c r="W266" s="357"/>
    </row>
    <row r="267" spans="1:29" ht="15" customHeight="1" thickBot="1" x14ac:dyDescent="0.4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2" customHeight="1" x14ac:dyDescent="0.35">
      <c r="A268" s="351" t="s">
        <v>0</v>
      </c>
      <c r="B268" s="73"/>
      <c r="C268" s="74"/>
      <c r="D268" s="75"/>
      <c r="E268" s="348"/>
      <c r="F268" s="75"/>
      <c r="G268" s="348"/>
      <c r="H268" s="75"/>
      <c r="I268" s="348"/>
      <c r="J268" s="75"/>
      <c r="K268" s="348"/>
      <c r="L268" s="75"/>
      <c r="M268" s="348"/>
      <c r="N268" s="75"/>
      <c r="O268" s="348"/>
      <c r="P268" s="75"/>
      <c r="Q268" s="348"/>
      <c r="R268" s="75"/>
      <c r="S268" s="348"/>
      <c r="T268" s="75"/>
      <c r="U268" s="348"/>
      <c r="V268" s="75"/>
      <c r="W268" s="348"/>
    </row>
    <row r="269" spans="1:29" ht="17.2" customHeight="1" x14ac:dyDescent="0.35">
      <c r="A269" s="352"/>
      <c r="B269" s="76"/>
      <c r="C269" s="77"/>
      <c r="D269" s="78"/>
      <c r="E269" s="349"/>
      <c r="F269" s="78"/>
      <c r="G269" s="349"/>
      <c r="H269" s="78"/>
      <c r="I269" s="349"/>
      <c r="J269" s="78"/>
      <c r="K269" s="349"/>
      <c r="L269" s="78"/>
      <c r="M269" s="349"/>
      <c r="N269" s="78"/>
      <c r="O269" s="349"/>
      <c r="P269" s="78"/>
      <c r="Q269" s="349"/>
      <c r="R269" s="78"/>
      <c r="S269" s="349"/>
      <c r="T269" s="78"/>
      <c r="U269" s="349"/>
      <c r="V269" s="78"/>
      <c r="W269" s="349"/>
    </row>
    <row r="270" spans="1:29" ht="17.2" customHeight="1" thickBot="1" x14ac:dyDescent="0.4">
      <c r="A270" s="353"/>
      <c r="B270" s="79"/>
      <c r="C270" s="80"/>
      <c r="D270" s="69"/>
      <c r="E270" s="350"/>
      <c r="F270" s="69"/>
      <c r="G270" s="350"/>
      <c r="H270" s="69"/>
      <c r="I270" s="350"/>
      <c r="J270" s="69"/>
      <c r="K270" s="350"/>
      <c r="L270" s="69"/>
      <c r="M270" s="350"/>
      <c r="N270" s="69"/>
      <c r="O270" s="350"/>
      <c r="P270" s="69"/>
      <c r="Q270" s="350"/>
      <c r="R270" s="69"/>
      <c r="S270" s="350"/>
      <c r="T270" s="69"/>
      <c r="U270" s="350"/>
      <c r="V270" s="69"/>
      <c r="W270" s="350"/>
    </row>
    <row r="271" spans="1:29" ht="17.2" customHeight="1" x14ac:dyDescent="0.35">
      <c r="A271" s="351" t="s">
        <v>2</v>
      </c>
      <c r="B271" s="73"/>
      <c r="C271" s="74"/>
      <c r="D271" s="75"/>
      <c r="E271" s="348"/>
      <c r="F271" s="75"/>
      <c r="G271" s="348"/>
      <c r="H271" s="75"/>
      <c r="I271" s="348"/>
      <c r="J271" s="75"/>
      <c r="K271" s="348"/>
      <c r="L271" s="75"/>
      <c r="M271" s="348"/>
      <c r="N271" s="75"/>
      <c r="O271" s="348"/>
      <c r="P271" s="75"/>
      <c r="Q271" s="348"/>
      <c r="R271" s="75"/>
      <c r="S271" s="348"/>
      <c r="T271" s="75"/>
      <c r="U271" s="348"/>
      <c r="V271" s="75"/>
      <c r="W271" s="348"/>
    </row>
    <row r="272" spans="1:29" ht="17.2" customHeight="1" x14ac:dyDescent="0.35">
      <c r="A272" s="352"/>
      <c r="B272" s="76"/>
      <c r="C272" s="77"/>
      <c r="D272" s="78"/>
      <c r="E272" s="349"/>
      <c r="F272" s="78"/>
      <c r="G272" s="349"/>
      <c r="H272" s="78"/>
      <c r="I272" s="349"/>
      <c r="J272" s="78"/>
      <c r="K272" s="349"/>
      <c r="L272" s="78"/>
      <c r="M272" s="349"/>
      <c r="N272" s="78"/>
      <c r="O272" s="349"/>
      <c r="P272" s="78"/>
      <c r="Q272" s="349"/>
      <c r="R272" s="78"/>
      <c r="S272" s="349"/>
      <c r="T272" s="78"/>
      <c r="U272" s="349"/>
      <c r="V272" s="78"/>
      <c r="W272" s="349"/>
    </row>
    <row r="273" spans="1:23" ht="17.2" customHeight="1" thickBot="1" x14ac:dyDescent="0.4">
      <c r="A273" s="353"/>
      <c r="B273" s="79"/>
      <c r="C273" s="80"/>
      <c r="D273" s="69"/>
      <c r="E273" s="350"/>
      <c r="F273" s="69"/>
      <c r="G273" s="350"/>
      <c r="H273" s="69"/>
      <c r="I273" s="350"/>
      <c r="J273" s="69"/>
      <c r="K273" s="350"/>
      <c r="L273" s="69"/>
      <c r="M273" s="350"/>
      <c r="N273" s="69"/>
      <c r="O273" s="350"/>
      <c r="P273" s="69"/>
      <c r="Q273" s="350"/>
      <c r="R273" s="69"/>
      <c r="S273" s="350"/>
      <c r="T273" s="69"/>
      <c r="U273" s="350"/>
      <c r="V273" s="69"/>
      <c r="W273" s="350"/>
    </row>
    <row r="274" spans="1:23" ht="17.2" customHeight="1" x14ac:dyDescent="0.35">
      <c r="A274" s="351" t="s">
        <v>3</v>
      </c>
      <c r="B274" s="73"/>
      <c r="C274" s="74"/>
      <c r="D274" s="75"/>
      <c r="E274" s="348"/>
      <c r="F274" s="75"/>
      <c r="G274" s="348"/>
      <c r="H274" s="75"/>
      <c r="I274" s="348"/>
      <c r="J274" s="75"/>
      <c r="K274" s="348"/>
      <c r="L274" s="75"/>
      <c r="M274" s="348"/>
      <c r="N274" s="75"/>
      <c r="O274" s="348"/>
      <c r="P274" s="75"/>
      <c r="Q274" s="348"/>
      <c r="R274" s="75"/>
      <c r="S274" s="348"/>
      <c r="T274" s="75"/>
      <c r="U274" s="348"/>
      <c r="V274" s="75"/>
      <c r="W274" s="348"/>
    </row>
    <row r="275" spans="1:23" ht="17.2" customHeight="1" x14ac:dyDescent="0.35">
      <c r="A275" s="352"/>
      <c r="B275" s="76"/>
      <c r="C275" s="77"/>
      <c r="D275" s="78"/>
      <c r="E275" s="349"/>
      <c r="F275" s="78"/>
      <c r="G275" s="349"/>
      <c r="H275" s="78"/>
      <c r="I275" s="349"/>
      <c r="J275" s="78"/>
      <c r="K275" s="349"/>
      <c r="L275" s="78"/>
      <c r="M275" s="349"/>
      <c r="N275" s="78"/>
      <c r="O275" s="349"/>
      <c r="P275" s="78"/>
      <c r="Q275" s="349"/>
      <c r="R275" s="78"/>
      <c r="S275" s="349"/>
      <c r="T275" s="78"/>
      <c r="U275" s="349"/>
      <c r="V275" s="78"/>
      <c r="W275" s="349"/>
    </row>
    <row r="276" spans="1:23" ht="17.2" customHeight="1" thickBot="1" x14ac:dyDescent="0.4">
      <c r="A276" s="353"/>
      <c r="B276" s="79"/>
      <c r="C276" s="80"/>
      <c r="D276" s="69"/>
      <c r="E276" s="350"/>
      <c r="F276" s="69"/>
      <c r="G276" s="350"/>
      <c r="H276" s="69"/>
      <c r="I276" s="350"/>
      <c r="J276" s="69"/>
      <c r="K276" s="350"/>
      <c r="L276" s="69"/>
      <c r="M276" s="350"/>
      <c r="N276" s="69"/>
      <c r="O276" s="350"/>
      <c r="P276" s="69"/>
      <c r="Q276" s="350"/>
      <c r="R276" s="69"/>
      <c r="S276" s="350"/>
      <c r="T276" s="69"/>
      <c r="U276" s="350"/>
      <c r="V276" s="69"/>
      <c r="W276" s="350"/>
    </row>
    <row r="277" spans="1:23" ht="17.2" customHeight="1" x14ac:dyDescent="0.35">
      <c r="A277" s="351" t="s">
        <v>11</v>
      </c>
      <c r="B277" s="73"/>
      <c r="C277" s="74"/>
      <c r="D277" s="75"/>
      <c r="E277" s="348"/>
      <c r="F277" s="75"/>
      <c r="G277" s="348"/>
      <c r="H277" s="75"/>
      <c r="I277" s="348"/>
      <c r="J277" s="75"/>
      <c r="K277" s="348"/>
      <c r="L277" s="75"/>
      <c r="M277" s="348"/>
      <c r="N277" s="75"/>
      <c r="O277" s="348"/>
      <c r="P277" s="75"/>
      <c r="Q277" s="348"/>
      <c r="R277" s="75"/>
      <c r="S277" s="348"/>
      <c r="T277" s="75"/>
      <c r="U277" s="348"/>
      <c r="V277" s="75"/>
      <c r="W277" s="348"/>
    </row>
    <row r="278" spans="1:23" ht="17.2" customHeight="1" x14ac:dyDescent="0.35">
      <c r="A278" s="352"/>
      <c r="B278" s="76"/>
      <c r="C278" s="77"/>
      <c r="D278" s="78"/>
      <c r="E278" s="349"/>
      <c r="F278" s="78"/>
      <c r="G278" s="349"/>
      <c r="H278" s="78"/>
      <c r="I278" s="349"/>
      <c r="J278" s="78"/>
      <c r="K278" s="349"/>
      <c r="L278" s="78"/>
      <c r="M278" s="349"/>
      <c r="N278" s="78"/>
      <c r="O278" s="349"/>
      <c r="P278" s="78"/>
      <c r="Q278" s="349"/>
      <c r="R278" s="78"/>
      <c r="S278" s="349"/>
      <c r="T278" s="78"/>
      <c r="U278" s="349"/>
      <c r="V278" s="78"/>
      <c r="W278" s="349"/>
    </row>
    <row r="279" spans="1:23" ht="17.2" customHeight="1" thickBot="1" x14ac:dyDescent="0.4">
      <c r="A279" s="353"/>
      <c r="B279" s="79"/>
      <c r="C279" s="80"/>
      <c r="D279" s="69"/>
      <c r="E279" s="350"/>
      <c r="F279" s="69"/>
      <c r="G279" s="350"/>
      <c r="H279" s="69"/>
      <c r="I279" s="350"/>
      <c r="J279" s="69"/>
      <c r="K279" s="350"/>
      <c r="L279" s="69"/>
      <c r="M279" s="350"/>
      <c r="N279" s="69"/>
      <c r="O279" s="350"/>
      <c r="P279" s="69"/>
      <c r="Q279" s="350"/>
      <c r="R279" s="69"/>
      <c r="S279" s="350"/>
      <c r="T279" s="69"/>
      <c r="U279" s="350"/>
      <c r="V279" s="69"/>
      <c r="W279" s="350"/>
    </row>
    <row r="280" spans="1:23" ht="27.75" customHeight="1" thickBot="1" x14ac:dyDescent="0.4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4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3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35">
      <c r="B283" s="88" t="s">
        <v>1797</v>
      </c>
      <c r="C283" s="89" t="s">
        <v>1798</v>
      </c>
      <c r="D283" s="346">
        <f>VLOOKUP(B263,Schlüssel!$A$5:$DZ$14,63)</f>
        <v>1</v>
      </c>
      <c r="E283" s="346"/>
      <c r="F283" s="346">
        <f>VLOOKUP(B263,Schlüssel!$A$5:$DZ$14,64)</f>
        <v>6</v>
      </c>
      <c r="G283" s="346"/>
      <c r="H283" s="346">
        <f>VLOOKUP(B263,Schlüssel!$A$5:$DZ$14,65)</f>
        <v>4</v>
      </c>
      <c r="I283" s="346"/>
      <c r="J283" s="346">
        <f>VLOOKUP(B263,Schlüssel!$A$5:$DZ$14,66)</f>
        <v>9</v>
      </c>
      <c r="K283" s="346"/>
      <c r="L283" s="346">
        <f>VLOOKUP(B263,Schlüssel!$A$5:$DZ$14,67)</f>
        <v>5</v>
      </c>
      <c r="M283" s="346"/>
      <c r="N283" s="346">
        <f>VLOOKUP(B263,Schlüssel!$A$5:$DZ$14,68)</f>
        <v>8</v>
      </c>
      <c r="O283" s="346"/>
      <c r="P283" s="346">
        <f>VLOOKUP(B263,Schlüssel!$A$5:$DZ$14,69)</f>
        <v>7</v>
      </c>
      <c r="Q283" s="346"/>
      <c r="R283" s="346">
        <f>VLOOKUP(B263,Schlüssel!$A$5:$DZ$14,70)</f>
        <v>2</v>
      </c>
      <c r="S283" s="346"/>
      <c r="T283" s="346">
        <f>VLOOKUP(B263,Schlüssel!$A$5:$DZ$14,71)</f>
        <v>3</v>
      </c>
      <c r="U283" s="346"/>
      <c r="V283" s="347"/>
      <c r="W283" s="347"/>
    </row>
    <row r="284" spans="1:23" ht="28.5" customHeight="1" x14ac:dyDescent="0.35">
      <c r="B284" s="90"/>
      <c r="C284" s="86"/>
      <c r="D284" s="343" t="str">
        <f>VLOOKUP(D283,Schlüssel!$A$5:$K$14,2)</f>
        <v>Praetoria Regensburg</v>
      </c>
      <c r="E284" s="344"/>
      <c r="F284" s="343" t="str">
        <f>VLOOKUP(F283,Schlüssel!$A$5:$K$14,2)</f>
        <v>Phönix 03 Lauf</v>
      </c>
      <c r="G284" s="344"/>
      <c r="H284" s="343" t="str">
        <f>VLOOKUP(H283,Schlüssel!$A$5:$K$14,2)</f>
        <v>BK München 3</v>
      </c>
      <c r="I284" s="344"/>
      <c r="J284" s="343" t="str">
        <f>VLOOKUP(J283,Schlüssel!$A$5:$K$14,2)</f>
        <v>RW Lichtenhof 69 Stein 2</v>
      </c>
      <c r="K284" s="344"/>
      <c r="L284" s="343" t="str">
        <f>VLOOKUP(L283,Schlüssel!$A$5:$K$14,2)</f>
        <v xml:space="preserve">Weiß Blau Unterföhring </v>
      </c>
      <c r="M284" s="344"/>
      <c r="N284" s="343" t="str">
        <f>VLOOKUP(N283,Schlüssel!$A$5:$K$14,2)</f>
        <v>EPA München 1</v>
      </c>
      <c r="O284" s="344"/>
      <c r="P284" s="343" t="str">
        <f>VLOOKUP(P283,Schlüssel!$A$5:$K$14,2)</f>
        <v>Frankenpower Nürnberg</v>
      </c>
      <c r="Q284" s="344"/>
      <c r="R284" s="343" t="str">
        <f>VLOOKUP(R283,Schlüssel!$A$5:$K$14,2)</f>
        <v>BK München 2</v>
      </c>
      <c r="S284" s="344"/>
      <c r="T284" s="343" t="str">
        <f>VLOOKUP(T283,Schlüssel!$A$5:$K$14,2)</f>
        <v>Highroller Rosenheim</v>
      </c>
      <c r="U284" s="344"/>
      <c r="V284" s="345"/>
      <c r="W284" s="345"/>
    </row>
    <row r="285" spans="1:23" ht="12" customHeight="1" x14ac:dyDescent="0.35">
      <c r="B285" s="90"/>
      <c r="C285" s="86"/>
      <c r="D285" s="341"/>
      <c r="E285" s="341"/>
      <c r="F285" s="341"/>
      <c r="G285" s="341"/>
      <c r="H285" s="341"/>
      <c r="I285" s="341"/>
      <c r="J285" s="341"/>
      <c r="K285" s="341"/>
      <c r="L285" s="341"/>
      <c r="M285" s="341"/>
      <c r="N285" s="341"/>
      <c r="O285" s="341"/>
      <c r="P285" s="341"/>
      <c r="Q285" s="341"/>
      <c r="R285" s="341"/>
      <c r="S285" s="341"/>
      <c r="T285" s="341"/>
      <c r="U285" s="342"/>
      <c r="V285" s="301"/>
      <c r="W285" s="301"/>
    </row>
    <row r="286" spans="1:23" ht="16.05" customHeight="1" x14ac:dyDescent="0.35">
      <c r="B286" s="91" t="s">
        <v>0</v>
      </c>
      <c r="C286" s="92"/>
      <c r="D286" s="339"/>
      <c r="E286" s="339"/>
      <c r="F286" s="339"/>
      <c r="G286" s="339"/>
      <c r="H286" s="339"/>
      <c r="I286" s="339"/>
      <c r="J286" s="339"/>
      <c r="K286" s="339"/>
      <c r="L286" s="339"/>
      <c r="M286" s="339"/>
      <c r="N286" s="339"/>
      <c r="O286" s="339"/>
      <c r="P286" s="339"/>
      <c r="Q286" s="339"/>
      <c r="R286" s="339"/>
      <c r="S286" s="339"/>
      <c r="T286" s="339"/>
      <c r="U286" s="339"/>
      <c r="V286" s="340"/>
      <c r="W286" s="340"/>
    </row>
    <row r="287" spans="1:23" ht="16.05" customHeight="1" x14ac:dyDescent="0.35">
      <c r="B287" s="91" t="s">
        <v>2</v>
      </c>
      <c r="C287" s="92"/>
      <c r="D287" s="339"/>
      <c r="E287" s="339"/>
      <c r="F287" s="339"/>
      <c r="G287" s="339"/>
      <c r="H287" s="339"/>
      <c r="I287" s="339"/>
      <c r="J287" s="339"/>
      <c r="K287" s="339"/>
      <c r="L287" s="339"/>
      <c r="M287" s="339"/>
      <c r="N287" s="339"/>
      <c r="O287" s="339"/>
      <c r="P287" s="339"/>
      <c r="Q287" s="339"/>
      <c r="R287" s="339"/>
      <c r="S287" s="339"/>
      <c r="T287" s="339"/>
      <c r="U287" s="339"/>
      <c r="V287" s="340"/>
      <c r="W287" s="340"/>
    </row>
    <row r="288" spans="1:23" ht="16.05" customHeight="1" x14ac:dyDescent="0.35">
      <c r="B288" s="91" t="s">
        <v>3</v>
      </c>
      <c r="C288" s="92"/>
      <c r="D288" s="339"/>
      <c r="E288" s="339"/>
      <c r="F288" s="339"/>
      <c r="G288" s="339"/>
      <c r="H288" s="339"/>
      <c r="I288" s="339"/>
      <c r="J288" s="339"/>
      <c r="K288" s="33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40"/>
      <c r="W288" s="340"/>
    </row>
    <row r="289" spans="2:23" ht="16.05" customHeight="1" x14ac:dyDescent="0.35">
      <c r="B289" s="91" t="s">
        <v>11</v>
      </c>
      <c r="C289" s="92"/>
      <c r="D289" s="339"/>
      <c r="E289" s="339"/>
      <c r="F289" s="339"/>
      <c r="G289" s="339"/>
      <c r="H289" s="339"/>
      <c r="I289" s="339"/>
      <c r="J289" s="339"/>
      <c r="K289" s="339"/>
      <c r="L289" s="339"/>
      <c r="M289" s="339"/>
      <c r="N289" s="339"/>
      <c r="O289" s="339"/>
      <c r="P289" s="339"/>
      <c r="Q289" s="339"/>
      <c r="R289" s="339"/>
      <c r="S289" s="339"/>
      <c r="T289" s="339"/>
      <c r="U289" s="339"/>
      <c r="V289" s="340"/>
      <c r="W289" s="340"/>
    </row>
    <row r="290" spans="2:23" ht="16.05" customHeight="1" x14ac:dyDescent="0.35">
      <c r="B290" s="93" t="s">
        <v>1799</v>
      </c>
      <c r="C290" s="94"/>
      <c r="D290" s="338"/>
      <c r="E290" s="338"/>
      <c r="F290" s="338"/>
      <c r="G290" s="338"/>
      <c r="H290" s="338"/>
      <c r="I290" s="338"/>
      <c r="J290" s="338"/>
      <c r="K290" s="338"/>
      <c r="L290" s="338"/>
      <c r="M290" s="338"/>
      <c r="N290" s="338"/>
      <c r="O290" s="338"/>
      <c r="P290" s="338"/>
      <c r="Q290" s="338"/>
      <c r="R290" s="338"/>
      <c r="S290" s="338"/>
      <c r="T290" s="338"/>
      <c r="U290" s="338"/>
      <c r="V290" s="290"/>
      <c r="W290" s="290"/>
    </row>
  </sheetData>
  <sheetProtection password="D19C" sheet="1" formatCells="0" formatColumns="0" formatRows="0"/>
  <mergeCells count="1370"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0">
    <tabColor rgb="FF92D050"/>
    <pageSetUpPr fitToPage="1"/>
  </sheetPr>
  <dimension ref="A1:BZ300"/>
  <sheetViews>
    <sheetView tabSelected="1" view="pageBreakPreview" topLeftCell="Z7" zoomScale="90" zoomScaleNormal="100" zoomScaleSheetLayoutView="90" workbookViewId="0">
      <selection activeCell="AS288" sqref="AS288"/>
    </sheetView>
  </sheetViews>
  <sheetFormatPr baseColWidth="10" defaultColWidth="11.33203125" defaultRowHeight="12.75" x14ac:dyDescent="0.35"/>
  <cols>
    <col min="1" max="1" width="4.33203125" style="5" hidden="1" customWidth="1"/>
    <col min="2" max="2" width="18.06640625" hidden="1" customWidth="1"/>
    <col min="3" max="3" width="6.33203125" hidden="1" customWidth="1"/>
    <col min="4" max="21" width="5.73046875" hidden="1" customWidth="1"/>
    <col min="22" max="22" width="8.33203125" hidden="1" customWidth="1"/>
    <col min="23" max="23" width="6.73046875" hidden="1" customWidth="1"/>
    <col min="24" max="25" width="0" hidden="1" customWidth="1"/>
    <col min="26" max="26" width="4.33203125" customWidth="1"/>
    <col min="27" max="27" width="18.06640625" customWidth="1"/>
    <col min="28" max="28" width="6.33203125" customWidth="1"/>
    <col min="29" max="46" width="5.73046875" customWidth="1"/>
    <col min="47" max="47" width="8.33203125" customWidth="1"/>
    <col min="48" max="48" width="6.73046875" customWidth="1"/>
    <col min="49" max="50" width="11.33203125" customWidth="1"/>
    <col min="51" max="51" width="9.59765625" customWidth="1"/>
    <col min="52" max="52" width="11.33203125" customWidth="1"/>
    <col min="53" max="53" width="6.33203125" style="215" hidden="1" customWidth="1"/>
    <col min="54" max="54" width="5.33203125" style="215" hidden="1" customWidth="1"/>
    <col min="55" max="55" width="5.59765625" style="215" hidden="1" customWidth="1"/>
    <col min="56" max="56" width="6.265625" style="215" hidden="1" customWidth="1"/>
    <col min="57" max="57" width="5.33203125" style="215" hidden="1" customWidth="1"/>
    <col min="58" max="58" width="6" style="215" hidden="1" customWidth="1"/>
    <col min="59" max="59" width="8.33203125" style="215" hidden="1" customWidth="1"/>
    <col min="60" max="68" width="4.265625" style="215" hidden="1" customWidth="1"/>
    <col min="69" max="69" width="14.73046875" style="215" hidden="1" customWidth="1"/>
    <col min="70" max="70" width="5.265625" style="215" hidden="1" customWidth="1"/>
    <col min="71" max="71" width="9.33203125" style="215" hidden="1" customWidth="1"/>
    <col min="72" max="72" width="11" style="215" hidden="1" customWidth="1"/>
    <col min="73" max="73" width="17.265625" style="215" hidden="1" customWidth="1"/>
    <col min="74" max="75" width="5.265625" style="215" hidden="1" customWidth="1"/>
    <col min="76" max="76" width="7.73046875" style="215" hidden="1" customWidth="1"/>
    <col min="77" max="77" width="11.33203125" style="215" hidden="1" customWidth="1"/>
    <col min="78" max="78" width="5.265625" style="215" hidden="1" customWidth="1"/>
    <col min="79" max="99" width="11.33203125" customWidth="1"/>
  </cols>
  <sheetData>
    <row r="1" spans="1:78" ht="21" customHeight="1" x14ac:dyDescent="0.7">
      <c r="B1" s="44" t="str">
        <f>AA1</f>
        <v>Team-Nr.</v>
      </c>
      <c r="C1" s="45"/>
      <c r="D1" s="44" t="str">
        <f>AC1</f>
        <v>Liga:</v>
      </c>
      <c r="E1" s="47"/>
      <c r="F1" s="359" t="str">
        <f>AE1</f>
        <v>Bayernliga Frauen</v>
      </c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48"/>
      <c r="S1" s="49" t="s">
        <v>1794</v>
      </c>
      <c r="T1" s="50"/>
      <c r="U1" s="360" t="str">
        <f>AT1</f>
        <v>15.02./16.02.</v>
      </c>
      <c r="V1" s="361"/>
      <c r="W1" s="362"/>
      <c r="X1" s="363"/>
      <c r="Y1" s="364"/>
      <c r="Z1" s="364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0" t="str">
        <f>VLOOKUP(AS2,Spielorte!$A$1:$C$6,2)</f>
        <v>15.02./16.02.</v>
      </c>
      <c r="AU1" s="361"/>
      <c r="AV1" s="362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65">
      <c r="B2" s="53">
        <f>AA2</f>
        <v>1</v>
      </c>
      <c r="D2" s="46" t="s">
        <v>1793</v>
      </c>
      <c r="E2" s="54"/>
      <c r="F2" s="358" t="str">
        <f>AE2</f>
        <v>Nürnberg West Bowling</v>
      </c>
      <c r="G2" s="358"/>
      <c r="H2" s="358"/>
      <c r="I2" s="358"/>
      <c r="J2" s="358"/>
      <c r="K2" s="358"/>
      <c r="L2" s="358"/>
      <c r="M2" s="358"/>
      <c r="N2" s="358"/>
      <c r="O2" s="358"/>
      <c r="P2" s="55"/>
      <c r="Q2" s="55"/>
      <c r="S2" s="49" t="s">
        <v>1791</v>
      </c>
      <c r="T2" s="56">
        <f>AS2</f>
        <v>4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Nürnberg West Bowling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4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4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5" thickBot="1" x14ac:dyDescent="0.45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VLOOKUP(AA2,Schlüssel!$A$5:$DZ$14,73)</f>
        <v>19</v>
      </c>
      <c r="AE4" s="65" t="s">
        <v>10</v>
      </c>
      <c r="AF4" s="44">
        <f>VLOOKUP(AA2,Schlüssel!$A$5:$DZ$14,74)</f>
        <v>11</v>
      </c>
      <c r="AG4" s="65" t="s">
        <v>10</v>
      </c>
      <c r="AH4" s="44">
        <f>VLOOKUP(AA2,Schlüssel!$A$5:$DZ$14,75)</f>
        <v>15</v>
      </c>
      <c r="AI4" s="65" t="s">
        <v>10</v>
      </c>
      <c r="AJ4" s="44">
        <f>VLOOKUP(AA2,Schlüssel!$A$5:$DZ$14,76)</f>
        <v>20</v>
      </c>
      <c r="AK4" s="65" t="s">
        <v>10</v>
      </c>
      <c r="AL4" s="44">
        <f>VLOOKUP(AA2,Schlüssel!$A$5:$DZ$14,77)</f>
        <v>17</v>
      </c>
      <c r="AM4" s="65" t="s">
        <v>10</v>
      </c>
      <c r="AN4" s="44">
        <f>VLOOKUP(AA2,Schlüssel!$A$5:$DZ$14,78)</f>
        <v>14</v>
      </c>
      <c r="AO4" s="65" t="s">
        <v>10</v>
      </c>
      <c r="AP4" s="44">
        <f>VLOOKUP(AA2,Schlüssel!$A$5:$DZ$14,79)</f>
        <v>12</v>
      </c>
      <c r="AQ4" s="65" t="s">
        <v>10</v>
      </c>
      <c r="AR4" s="44">
        <f>VLOOKUP(AA2,Schlüssel!$A$5:$DZ$14,80)</f>
        <v>16</v>
      </c>
      <c r="AS4" s="65" t="s">
        <v>10</v>
      </c>
      <c r="AT4" s="44">
        <f>VLOOKUP(AA2,Schlüssel!$A$5:$DZ$14,81)</f>
        <v>13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35">
      <c r="B5" s="67" t="s">
        <v>1</v>
      </c>
      <c r="C5" s="68"/>
      <c r="D5" s="354" t="s">
        <v>1800</v>
      </c>
      <c r="E5" s="355"/>
      <c r="F5" s="354" t="s">
        <v>1801</v>
      </c>
      <c r="G5" s="355"/>
      <c r="H5" s="354" t="s">
        <v>1802</v>
      </c>
      <c r="I5" s="355"/>
      <c r="J5" s="354" t="s">
        <v>1803</v>
      </c>
      <c r="K5" s="355"/>
      <c r="L5" s="354" t="s">
        <v>1804</v>
      </c>
      <c r="M5" s="355"/>
      <c r="N5" s="354" t="s">
        <v>1805</v>
      </c>
      <c r="O5" s="355"/>
      <c r="P5" s="354" t="s">
        <v>1806</v>
      </c>
      <c r="Q5" s="355"/>
      <c r="R5" s="354" t="s">
        <v>1807</v>
      </c>
      <c r="S5" s="355"/>
      <c r="T5" s="354" t="s">
        <v>1808</v>
      </c>
      <c r="U5" s="355"/>
      <c r="V5" s="356" t="s">
        <v>1799</v>
      </c>
      <c r="W5" s="357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4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2" customHeight="1" x14ac:dyDescent="0.35">
      <c r="A7" s="367" t="s">
        <v>0</v>
      </c>
      <c r="B7" s="73" t="str">
        <f>IF(AA7=0,"",AA7)</f>
        <v>Kicker-Mihatsch, Elvira</v>
      </c>
      <c r="C7" s="74">
        <f>IF(AB7=0,"",AB7)</f>
        <v>25798</v>
      </c>
      <c r="D7" s="75">
        <f>IF(AC7=0,"",AC7)</f>
        <v>202</v>
      </c>
      <c r="E7" s="348">
        <f>IF(AD7="","",AD7)</f>
        <v>1</v>
      </c>
      <c r="F7" s="75">
        <f t="shared" ref="F7:F20" si="0">IF(AE7=0,"",AE7)</f>
        <v>192</v>
      </c>
      <c r="G7" s="348">
        <f>IF(AF7="","",AF7)</f>
        <v>1</v>
      </c>
      <c r="H7" s="75">
        <f t="shared" ref="H7:H20" si="1">IF(AG7=0,"",AG7)</f>
        <v>196</v>
      </c>
      <c r="I7" s="348">
        <f>IF(AH7="","",AH7)</f>
        <v>1</v>
      </c>
      <c r="J7" s="75">
        <f t="shared" ref="J7:J20" si="2">IF(AI7=0,"",AI7)</f>
        <v>173</v>
      </c>
      <c r="K7" s="348">
        <f>IF(AJ7="","",AJ7)</f>
        <v>1</v>
      </c>
      <c r="L7" s="75">
        <f t="shared" ref="L7:L20" si="3">IF(AK7=0,"",AK7)</f>
        <v>180</v>
      </c>
      <c r="M7" s="348">
        <f>IF(AL7="","",AL7)</f>
        <v>1</v>
      </c>
      <c r="N7" s="75">
        <f>IF(AM7=0,"",AM7)</f>
        <v>161</v>
      </c>
      <c r="O7" s="348">
        <f>IF(AN7="","",AN7)</f>
        <v>0</v>
      </c>
      <c r="P7" s="75">
        <f t="shared" ref="P7:P20" si="4">IF(AO7=0,"",AO7)</f>
        <v>190</v>
      </c>
      <c r="Q7" s="348">
        <f>IF(AP7="","",AP7)</f>
        <v>1</v>
      </c>
      <c r="R7" s="75">
        <f t="shared" ref="R7:R20" si="5">IF(AQ7=0,"",AQ7)</f>
        <v>177</v>
      </c>
      <c r="S7" s="348">
        <f>IF(AR7="","",AR7)</f>
        <v>1</v>
      </c>
      <c r="T7" s="75">
        <f t="shared" ref="T7:T20" si="6">IF(AS7=0,"",AS7)</f>
        <v>178</v>
      </c>
      <c r="U7" s="348">
        <f>IF(AT7="","",AT7)</f>
        <v>1</v>
      </c>
      <c r="V7" s="75">
        <f t="shared" ref="V7:V20" si="7">IF(AU7=0,"",AU7)</f>
        <v>1649</v>
      </c>
      <c r="W7" s="348">
        <f>IF(AV7="","",AV7)</f>
        <v>8</v>
      </c>
      <c r="Z7" s="351" t="s">
        <v>0</v>
      </c>
      <c r="AA7" s="108" t="str">
        <f>IF(AB7=0,"",VLOOKUP(AB7,Starter!$A$1:$D$199,2,FALSE))</f>
        <v>Kicker-Mihatsch, Elvira</v>
      </c>
      <c r="AB7" s="99">
        <v>25798</v>
      </c>
      <c r="AC7" s="185">
        <v>202</v>
      </c>
      <c r="AD7" s="109">
        <f>IF(SUM(AC7:AC9)+AC25=0,0,IF(SUM(AC7:AC9)=AC25,0.5,IF(SUM(AC7:AC9)&gt;AC25,1,0)))</f>
        <v>1</v>
      </c>
      <c r="AE7" s="185">
        <v>192</v>
      </c>
      <c r="AF7" s="109">
        <f>IF(SUM(AE7:AE9)+AE25=0,0,IF(SUM(AE7:AE9)=AE25,0.5,IF(SUM(AE7:AE9)&gt;AE25,1,0)))</f>
        <v>1</v>
      </c>
      <c r="AG7" s="185">
        <v>196</v>
      </c>
      <c r="AH7" s="109">
        <f>IF(SUM(AG7:AG9)+AG25=0,0,IF(SUM(AG7:AG9)=AG25,0.5,IF(SUM(AG7:AG9)&gt;AG25,1,0)))</f>
        <v>1</v>
      </c>
      <c r="AI7" s="185">
        <v>173</v>
      </c>
      <c r="AJ7" s="109">
        <f>IF(SUM(AI7:AI9)+AI25=0,0,IF(SUM(AI7:AI9)=AI25,0.5,IF(SUM(AI7:AI9)&gt;AI25,1,0)))</f>
        <v>1</v>
      </c>
      <c r="AK7" s="185">
        <v>180</v>
      </c>
      <c r="AL7" s="109">
        <f>IF(SUM(AK7:AK9)+AK25=0,0,IF(SUM(AK7:AK9)=AK25,0.5,IF(SUM(AK7:AK9)&gt;AK25,1,0)))</f>
        <v>1</v>
      </c>
      <c r="AM7" s="185">
        <v>161</v>
      </c>
      <c r="AN7" s="109">
        <f>IF(SUM(AM7:AM9)+AM25=0,0,IF(SUM(AM7:AM9)=AM25,0.5,IF(SUM(AM7:AM9)&gt;AM25,1,0)))</f>
        <v>0</v>
      </c>
      <c r="AO7" s="185">
        <v>190</v>
      </c>
      <c r="AP7" s="109">
        <f>IF(SUM(AO7:AO9)+AO25=0,0,IF(SUM(AO7:AO9)=AO25,0.5,IF(SUM(AO7:AO9)&gt;AO25,1,0)))</f>
        <v>1</v>
      </c>
      <c r="AQ7" s="185">
        <v>177</v>
      </c>
      <c r="AR7" s="109">
        <f>IF(SUM(AQ7:AQ9)+AQ25=0,0,IF(SUM(AQ7:AQ9)=AQ25,0.5,IF(SUM(AQ7:AQ9)&gt;AQ25,1,0)))</f>
        <v>1</v>
      </c>
      <c r="AS7" s="185">
        <v>178</v>
      </c>
      <c r="AT7" s="109">
        <f>IF(SUM(AS7:AS9)+AS25=0,0,IF(SUM(AS7:AS9)=AS25,0.5,IF(SUM(AS7:AS9)&gt;AS25,1,0)))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1649</v>
      </c>
      <c r="AV7" s="111">
        <f>SUM(AD7+AF7+AH7+AJ7+AL7+AN7+AP7+AR7+AT7)</f>
        <v>8</v>
      </c>
      <c r="AW7" s="101"/>
      <c r="AX7" s="102"/>
      <c r="AZ7" s="63"/>
      <c r="BA7" s="212"/>
      <c r="BB7" s="213"/>
      <c r="BC7" s="214"/>
      <c r="BD7" s="217">
        <f>+AB7</f>
        <v>25798</v>
      </c>
      <c r="BE7" s="213">
        <f>+AU7</f>
        <v>1649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202</v>
      </c>
      <c r="BI7" s="215">
        <f t="shared" ref="BI7:BI18" si="10">IF(AE7=0,"",AE7)</f>
        <v>192</v>
      </c>
      <c r="BJ7" s="215">
        <f t="shared" ref="BJ7:BJ18" si="11">IF(AG7=0,"",AG7)</f>
        <v>196</v>
      </c>
      <c r="BK7" s="215">
        <f t="shared" ref="BK7:BK18" si="12">IF(AI7=0,"",AI7)</f>
        <v>173</v>
      </c>
      <c r="BL7" s="215">
        <f t="shared" ref="BL7:BL18" si="13">IF(AK7=0,"",AK7)</f>
        <v>180</v>
      </c>
      <c r="BM7" s="215">
        <f t="shared" ref="BM7:BM18" si="14">IF(AM7=0,"",AM7)</f>
        <v>161</v>
      </c>
      <c r="BN7" s="215">
        <f t="shared" ref="BN7:BN18" si="15">IF(AO7=0,"",AO7)</f>
        <v>190</v>
      </c>
      <c r="BO7" s="215">
        <f t="shared" ref="BO7:BO18" si="16">IF(AQ7=0,"",AQ7)</f>
        <v>177</v>
      </c>
      <c r="BP7" s="215">
        <f t="shared" ref="BP7:BP18" si="17">IF(AS7=0,"",AS7)</f>
        <v>178</v>
      </c>
      <c r="BQ7" s="216"/>
      <c r="BR7" s="214"/>
      <c r="BS7" s="215">
        <f>MAX(BH7:BP7)</f>
        <v>202</v>
      </c>
      <c r="BT7" s="215">
        <f>IF(BS7&lt;MAX(BS:BS),0,BS7+ROW()/1000000000)</f>
        <v>0</v>
      </c>
      <c r="BU7" s="215" t="str">
        <f>+AA3</f>
        <v>Praetoria Regensburg</v>
      </c>
      <c r="BV7" s="214">
        <f>RANK(BT7,BT:BT)</f>
        <v>2</v>
      </c>
      <c r="BW7" s="215">
        <f>SUMIF(BH7:BP7,"&gt;0")</f>
        <v>1649</v>
      </c>
      <c r="BX7" s="215">
        <f>IF(COUNTIF(BH7:BP7,"&gt;0")&lt;Spielorte!$A$23,0,BE7/Spielorte!$A$23)</f>
        <v>183.22222222222223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2" customHeight="1" x14ac:dyDescent="0.35">
      <c r="A8" s="368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9"/>
      <c r="F8" s="78" t="str">
        <f t="shared" si="0"/>
        <v/>
      </c>
      <c r="G8" s="349"/>
      <c r="H8" s="78" t="str">
        <f t="shared" si="1"/>
        <v/>
      </c>
      <c r="I8" s="349"/>
      <c r="J8" s="78" t="str">
        <f t="shared" si="2"/>
        <v/>
      </c>
      <c r="K8" s="349"/>
      <c r="L8" s="78" t="str">
        <f t="shared" si="3"/>
        <v/>
      </c>
      <c r="M8" s="349"/>
      <c r="N8" s="78" t="str">
        <f t="shared" ref="N8:N20" si="20">IF(AM8=0,"",AM8)</f>
        <v/>
      </c>
      <c r="O8" s="349"/>
      <c r="P8" s="78" t="str">
        <f t="shared" si="4"/>
        <v/>
      </c>
      <c r="Q8" s="349"/>
      <c r="R8" s="78" t="str">
        <f t="shared" si="5"/>
        <v/>
      </c>
      <c r="S8" s="349"/>
      <c r="T8" s="78" t="str">
        <f t="shared" si="6"/>
        <v/>
      </c>
      <c r="U8" s="349"/>
      <c r="V8" s="78" t="str">
        <f t="shared" si="7"/>
        <v/>
      </c>
      <c r="W8" s="349"/>
      <c r="Z8" s="352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Praetoria Regensburg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2" customHeight="1" thickBot="1" x14ac:dyDescent="0.4">
      <c r="A9" s="369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0"/>
      <c r="F9" s="69" t="str">
        <f t="shared" si="0"/>
        <v/>
      </c>
      <c r="G9" s="350"/>
      <c r="H9" s="69" t="str">
        <f t="shared" si="1"/>
        <v/>
      </c>
      <c r="I9" s="350"/>
      <c r="J9" s="69" t="str">
        <f t="shared" si="2"/>
        <v/>
      </c>
      <c r="K9" s="350"/>
      <c r="L9" s="69" t="str">
        <f t="shared" si="3"/>
        <v/>
      </c>
      <c r="M9" s="350"/>
      <c r="N9" s="69" t="str">
        <f t="shared" si="20"/>
        <v/>
      </c>
      <c r="O9" s="350"/>
      <c r="P9" s="69" t="str">
        <f t="shared" si="4"/>
        <v/>
      </c>
      <c r="Q9" s="350"/>
      <c r="R9" s="69" t="str">
        <f t="shared" si="5"/>
        <v/>
      </c>
      <c r="S9" s="350"/>
      <c r="T9" s="69" t="str">
        <f t="shared" si="6"/>
        <v/>
      </c>
      <c r="U9" s="350"/>
      <c r="V9" s="69" t="str">
        <f t="shared" si="7"/>
        <v/>
      </c>
      <c r="W9" s="350"/>
      <c r="Z9" s="353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Praetoria Regensburg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2" customHeight="1" x14ac:dyDescent="0.35">
      <c r="A10" s="367" t="s">
        <v>2</v>
      </c>
      <c r="B10" s="73" t="str">
        <f t="shared" si="19"/>
        <v>Zahner, Barbara</v>
      </c>
      <c r="C10" s="74">
        <f t="shared" si="19"/>
        <v>7889</v>
      </c>
      <c r="D10" s="75">
        <f t="shared" si="19"/>
        <v>203</v>
      </c>
      <c r="E10" s="348">
        <f>IF(AD10="","",AD10)</f>
        <v>1</v>
      </c>
      <c r="F10" s="75">
        <f t="shared" si="0"/>
        <v>148</v>
      </c>
      <c r="G10" s="348">
        <f>IF(AF10="","",AF10)</f>
        <v>0</v>
      </c>
      <c r="H10" s="75">
        <f t="shared" si="1"/>
        <v>165</v>
      </c>
      <c r="I10" s="348">
        <f>IF(AH10="","",AH10)</f>
        <v>1</v>
      </c>
      <c r="J10" s="75">
        <f t="shared" si="2"/>
        <v>160</v>
      </c>
      <c r="K10" s="348">
        <f>IF(AJ10="","",AJ10)</f>
        <v>1</v>
      </c>
      <c r="L10" s="75" t="str">
        <f t="shared" si="3"/>
        <v/>
      </c>
      <c r="M10" s="348">
        <f>IF(AL10="","",AL10)</f>
        <v>1</v>
      </c>
      <c r="N10" s="75" t="str">
        <f t="shared" si="20"/>
        <v/>
      </c>
      <c r="O10" s="348">
        <f>IF(AN10="","",AN10)</f>
        <v>1</v>
      </c>
      <c r="P10" s="75" t="str">
        <f t="shared" si="4"/>
        <v/>
      </c>
      <c r="Q10" s="348">
        <f>IF(AP10="","",AP10)</f>
        <v>0</v>
      </c>
      <c r="R10" s="75" t="str">
        <f t="shared" si="5"/>
        <v/>
      </c>
      <c r="S10" s="348">
        <f>IF(AR10="","",AR10)</f>
        <v>0</v>
      </c>
      <c r="T10" s="75" t="str">
        <f t="shared" si="6"/>
        <v/>
      </c>
      <c r="U10" s="348">
        <f>IF(AT10="","",AT10)</f>
        <v>1</v>
      </c>
      <c r="V10" s="75">
        <f t="shared" si="7"/>
        <v>676</v>
      </c>
      <c r="W10" s="348">
        <f>IF(AV10="","",AV10)</f>
        <v>6</v>
      </c>
      <c r="Z10" s="351" t="s">
        <v>2</v>
      </c>
      <c r="AA10" s="108" t="str">
        <f>IF(AB10=0,"",VLOOKUP(AB10,Starter!$A$1:$D$199,2,FALSE))</f>
        <v>Zahner, Barbara</v>
      </c>
      <c r="AB10" s="99">
        <v>7889</v>
      </c>
      <c r="AC10" s="188">
        <v>203</v>
      </c>
      <c r="AD10" s="109">
        <f>IF(SUM(AC10:AC12)+AC26=0,0,IF(SUM(AC10:AC12)=AC26,0.5,IF(SUM(AC10:AC12)&gt;AC26,1,0)))</f>
        <v>1</v>
      </c>
      <c r="AE10" s="188">
        <v>148</v>
      </c>
      <c r="AF10" s="109">
        <f>IF(SUM(AE10:AE12)+AE26=0,0,IF(SUM(AE10:AE12)=AE26,0.5,IF(SUM(AE10:AE12)&gt;AE26,1,0)))</f>
        <v>0</v>
      </c>
      <c r="AG10" s="188">
        <v>165</v>
      </c>
      <c r="AH10" s="109">
        <f>IF(SUM(AG10:AG12)+AG26=0,0,IF(SUM(AG10:AG12)=AG26,0.5,IF(SUM(AG10:AG12)&gt;AG26,1,0)))</f>
        <v>1</v>
      </c>
      <c r="AI10" s="188">
        <v>160</v>
      </c>
      <c r="AJ10" s="109">
        <f>IF(SUM(AI10:AI12)+AI26=0,0,IF(SUM(AI10:AI12)=AI26,0.5,IF(SUM(AI10:AI12)&gt;AI26,1,0)))</f>
        <v>1</v>
      </c>
      <c r="AK10" s="188"/>
      <c r="AL10" s="109">
        <f>IF(SUM(AK10:AK12)+AK26=0,0,IF(SUM(AK10:AK12)=AK26,0.5,IF(SUM(AK10:AK12)&gt;AK26,1,0)))</f>
        <v>1</v>
      </c>
      <c r="AM10" s="188"/>
      <c r="AN10" s="109">
        <f>IF(SUM(AM10:AM12)+AM26=0,0,IF(SUM(AM10:AM12)=AM26,0.5,IF(SUM(AM10:AM12)&gt;AM26,1,0)))</f>
        <v>1</v>
      </c>
      <c r="AO10" s="188"/>
      <c r="AP10" s="109">
        <f>IF(SUM(AO10:AO12)+AO26=0,0,IF(SUM(AO10:AO12)=AO26,0.5,IF(SUM(AO10:AO12)&gt;AO26,1,0)))</f>
        <v>0</v>
      </c>
      <c r="AQ10" s="188"/>
      <c r="AR10" s="109">
        <f>IF(SUM(AQ10:AQ12)+AQ26=0,0,IF(SUM(AQ10:AQ12)=AQ26,0.5,IF(SUM(AQ10:AQ12)&gt;AQ26,1,0)))</f>
        <v>0</v>
      </c>
      <c r="AS10" s="188"/>
      <c r="AT10" s="109">
        <f>IF(SUM(AS10:AS12)+AS26=0,0,IF(SUM(AS10:AS12)=AS26,0.5,IF(SUM(AS10:AS12)&gt;AS26,1,0)))</f>
        <v>1</v>
      </c>
      <c r="AU10" s="110">
        <f t="shared" si="8"/>
        <v>676</v>
      </c>
      <c r="AV10" s="111">
        <f>SUM(AD10+AF10+AH10+AJ10+AL10+AN10+AP10+AR10+AT10)</f>
        <v>6</v>
      </c>
      <c r="AW10" s="101"/>
      <c r="AX10" s="102"/>
      <c r="AZ10" s="63"/>
      <c r="BA10" s="212"/>
      <c r="BB10" s="213"/>
      <c r="BC10" s="214"/>
      <c r="BD10" s="217">
        <f t="shared" si="21"/>
        <v>7889</v>
      </c>
      <c r="BE10" s="213">
        <f t="shared" si="22"/>
        <v>676</v>
      </c>
      <c r="BF10" s="215">
        <f t="shared" si="23"/>
        <v>4</v>
      </c>
      <c r="BG10" s="215">
        <f t="shared" si="24"/>
        <v>4</v>
      </c>
      <c r="BH10" s="215">
        <f t="shared" si="9"/>
        <v>203</v>
      </c>
      <c r="BI10" s="215">
        <f t="shared" si="10"/>
        <v>148</v>
      </c>
      <c r="BJ10" s="215">
        <f t="shared" si="11"/>
        <v>165</v>
      </c>
      <c r="BK10" s="215">
        <f t="shared" si="12"/>
        <v>160</v>
      </c>
      <c r="BL10" s="215" t="str">
        <f t="shared" si="13"/>
        <v/>
      </c>
      <c r="BM10" s="215" t="str">
        <f t="shared" si="14"/>
        <v/>
      </c>
      <c r="BN10" s="215" t="str">
        <f t="shared" si="15"/>
        <v/>
      </c>
      <c r="BO10" s="215" t="str">
        <f t="shared" si="16"/>
        <v/>
      </c>
      <c r="BP10" s="215" t="str">
        <f t="shared" si="17"/>
        <v/>
      </c>
      <c r="BQ10" s="216"/>
      <c r="BR10" s="214"/>
      <c r="BS10" s="215">
        <f t="shared" si="25"/>
        <v>203</v>
      </c>
      <c r="BT10" s="215">
        <f t="shared" si="26"/>
        <v>0</v>
      </c>
      <c r="BU10" s="215" t="str">
        <f t="shared" si="27"/>
        <v>Praetoria Regensburg</v>
      </c>
      <c r="BV10" s="214">
        <f t="shared" si="28"/>
        <v>2</v>
      </c>
      <c r="BW10" s="215">
        <f t="shared" si="29"/>
        <v>676</v>
      </c>
      <c r="BX10" s="215">
        <f>IF(COUNTIF(BH10:BP10,"&gt;0")&lt;Spielorte!$A$23,0,BE10/Spielorte!$A$23)</f>
        <v>0</v>
      </c>
      <c r="BY10" s="215">
        <f t="shared" si="30"/>
        <v>0</v>
      </c>
      <c r="BZ10" s="214">
        <f t="shared" si="18"/>
        <v>0</v>
      </c>
    </row>
    <row r="11" spans="1:78" ht="17.2" customHeight="1" x14ac:dyDescent="0.35">
      <c r="A11" s="368"/>
      <c r="B11" s="76" t="str">
        <f t="shared" si="19"/>
        <v>Spieler, Regina</v>
      </c>
      <c r="C11" s="77">
        <f t="shared" si="19"/>
        <v>7903</v>
      </c>
      <c r="D11" s="78" t="str">
        <f t="shared" si="19"/>
        <v/>
      </c>
      <c r="E11" s="349"/>
      <c r="F11" s="78" t="str">
        <f t="shared" si="0"/>
        <v/>
      </c>
      <c r="G11" s="349"/>
      <c r="H11" s="78" t="str">
        <f t="shared" si="1"/>
        <v/>
      </c>
      <c r="I11" s="349"/>
      <c r="J11" s="78" t="str">
        <f t="shared" si="2"/>
        <v/>
      </c>
      <c r="K11" s="349"/>
      <c r="L11" s="78">
        <f t="shared" si="3"/>
        <v>181</v>
      </c>
      <c r="M11" s="349"/>
      <c r="N11" s="78">
        <f t="shared" si="20"/>
        <v>189</v>
      </c>
      <c r="O11" s="349"/>
      <c r="P11" s="78">
        <f t="shared" si="4"/>
        <v>187</v>
      </c>
      <c r="Q11" s="349"/>
      <c r="R11" s="78">
        <f t="shared" si="5"/>
        <v>190</v>
      </c>
      <c r="S11" s="349"/>
      <c r="T11" s="78">
        <f t="shared" si="6"/>
        <v>165</v>
      </c>
      <c r="U11" s="349"/>
      <c r="V11" s="78">
        <f t="shared" si="7"/>
        <v>912</v>
      </c>
      <c r="W11" s="349"/>
      <c r="Z11" s="352"/>
      <c r="AA11" s="108" t="str">
        <f>IF(AB11=0,"",VLOOKUP(AB11,Starter!$A$1:$D$199,2,FALSE))</f>
        <v>Spieler, Regina</v>
      </c>
      <c r="AB11" s="98">
        <v>7903</v>
      </c>
      <c r="AC11" s="186"/>
      <c r="AD11" s="112"/>
      <c r="AE11" s="186"/>
      <c r="AF11" s="112"/>
      <c r="AG11" s="186"/>
      <c r="AH11" s="112"/>
      <c r="AI11" s="186"/>
      <c r="AJ11" s="112"/>
      <c r="AK11" s="186">
        <v>181</v>
      </c>
      <c r="AL11" s="112"/>
      <c r="AM11" s="186">
        <v>189</v>
      </c>
      <c r="AN11" s="112"/>
      <c r="AO11" s="190">
        <v>187</v>
      </c>
      <c r="AP11" s="112"/>
      <c r="AQ11" s="190">
        <v>190</v>
      </c>
      <c r="AR11" s="112"/>
      <c r="AS11" s="190">
        <v>165</v>
      </c>
      <c r="AT11" s="112"/>
      <c r="AU11" s="113">
        <f t="shared" si="8"/>
        <v>912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7903</v>
      </c>
      <c r="BE11" s="213">
        <f t="shared" si="22"/>
        <v>912</v>
      </c>
      <c r="BF11" s="215">
        <f t="shared" si="23"/>
        <v>5</v>
      </c>
      <c r="BG11" s="215">
        <f t="shared" si="24"/>
        <v>5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>
        <f t="shared" si="13"/>
        <v>181</v>
      </c>
      <c r="BM11" s="215">
        <f t="shared" si="14"/>
        <v>189</v>
      </c>
      <c r="BN11" s="215">
        <f t="shared" si="15"/>
        <v>187</v>
      </c>
      <c r="BO11" s="215">
        <f t="shared" si="16"/>
        <v>190</v>
      </c>
      <c r="BP11" s="215">
        <f t="shared" si="17"/>
        <v>165</v>
      </c>
      <c r="BQ11" s="216"/>
      <c r="BR11" s="214"/>
      <c r="BS11" s="215">
        <f t="shared" si="25"/>
        <v>190</v>
      </c>
      <c r="BT11" s="215">
        <f t="shared" si="26"/>
        <v>0</v>
      </c>
      <c r="BU11" s="215" t="str">
        <f t="shared" si="27"/>
        <v>Praetoria Regensburg</v>
      </c>
      <c r="BV11" s="214">
        <f t="shared" si="28"/>
        <v>2</v>
      </c>
      <c r="BW11" s="215">
        <f t="shared" si="29"/>
        <v>912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2" customHeight="1" thickBot="1" x14ac:dyDescent="0.4">
      <c r="A12" s="369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0"/>
      <c r="F12" s="69" t="str">
        <f t="shared" si="0"/>
        <v/>
      </c>
      <c r="G12" s="350"/>
      <c r="H12" s="69" t="str">
        <f t="shared" si="1"/>
        <v/>
      </c>
      <c r="I12" s="350"/>
      <c r="J12" s="69" t="str">
        <f t="shared" si="2"/>
        <v/>
      </c>
      <c r="K12" s="350"/>
      <c r="L12" s="69" t="str">
        <f t="shared" si="3"/>
        <v/>
      </c>
      <c r="M12" s="350"/>
      <c r="N12" s="69" t="str">
        <f t="shared" si="20"/>
        <v/>
      </c>
      <c r="O12" s="350"/>
      <c r="P12" s="69" t="str">
        <f t="shared" si="4"/>
        <v/>
      </c>
      <c r="Q12" s="350"/>
      <c r="R12" s="69" t="str">
        <f t="shared" si="5"/>
        <v/>
      </c>
      <c r="S12" s="350"/>
      <c r="T12" s="69" t="str">
        <f t="shared" si="6"/>
        <v/>
      </c>
      <c r="U12" s="350"/>
      <c r="V12" s="69" t="str">
        <f t="shared" si="7"/>
        <v/>
      </c>
      <c r="W12" s="350"/>
      <c r="Z12" s="353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Praetoria Regensburg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2" customHeight="1" x14ac:dyDescent="0.35">
      <c r="A13" s="367" t="s">
        <v>3</v>
      </c>
      <c r="B13" s="73" t="str">
        <f t="shared" si="19"/>
        <v>Bösl, Anna</v>
      </c>
      <c r="C13" s="74">
        <f t="shared" si="19"/>
        <v>38258</v>
      </c>
      <c r="D13" s="75">
        <f t="shared" si="19"/>
        <v>176</v>
      </c>
      <c r="E13" s="348">
        <f>IF(AD13="","",AD13)</f>
        <v>0</v>
      </c>
      <c r="F13" s="75">
        <f t="shared" si="0"/>
        <v>215</v>
      </c>
      <c r="G13" s="348">
        <f>IF(AF13="","",AF13)</f>
        <v>1</v>
      </c>
      <c r="H13" s="75">
        <f t="shared" si="1"/>
        <v>205</v>
      </c>
      <c r="I13" s="348">
        <f>IF(AH13="","",AH13)</f>
        <v>1</v>
      </c>
      <c r="J13" s="75">
        <f t="shared" si="2"/>
        <v>199</v>
      </c>
      <c r="K13" s="348">
        <f>IF(AJ13="","",AJ13)</f>
        <v>1</v>
      </c>
      <c r="L13" s="75">
        <f t="shared" si="3"/>
        <v>166</v>
      </c>
      <c r="M13" s="348">
        <f>IF(AL13="","",AL13)</f>
        <v>0</v>
      </c>
      <c r="N13" s="75">
        <f t="shared" si="20"/>
        <v>185</v>
      </c>
      <c r="O13" s="348">
        <f>IF(AN13="","",AN13)</f>
        <v>1</v>
      </c>
      <c r="P13" s="75">
        <f t="shared" si="4"/>
        <v>136</v>
      </c>
      <c r="Q13" s="348">
        <f>IF(AP13="","",AP13)</f>
        <v>0</v>
      </c>
      <c r="R13" s="75">
        <f t="shared" si="5"/>
        <v>192</v>
      </c>
      <c r="S13" s="348">
        <f>IF(AR13="","",AR13)</f>
        <v>0</v>
      </c>
      <c r="T13" s="75">
        <f t="shared" si="6"/>
        <v>163</v>
      </c>
      <c r="U13" s="348">
        <f>IF(AT13="","",AT13)</f>
        <v>1</v>
      </c>
      <c r="V13" s="75">
        <f t="shared" si="7"/>
        <v>1637</v>
      </c>
      <c r="W13" s="348">
        <f>IF(AV13="","",AV13)</f>
        <v>5</v>
      </c>
      <c r="Z13" s="351" t="s">
        <v>3</v>
      </c>
      <c r="AA13" s="108" t="str">
        <f>IF(AB13=0,"",VLOOKUP(AB13,Starter!$A$1:$D$199,2,FALSE))</f>
        <v>Bösl, Anna</v>
      </c>
      <c r="AB13" s="99">
        <v>38258</v>
      </c>
      <c r="AC13" s="188">
        <v>176</v>
      </c>
      <c r="AD13" s="109">
        <f>IF(SUM(AC13:AC15)+AC27=0,0,IF(SUM(AC13:AC15)=AC27,0.5,IF(SUM(AC13:AC15)&gt;AC27,1,0)))</f>
        <v>0</v>
      </c>
      <c r="AE13" s="188">
        <v>215</v>
      </c>
      <c r="AF13" s="109">
        <f>IF(SUM(AE13:AE15)+AE27=0,0,IF(SUM(AE13:AE15)=AE27,0.5,IF(SUM(AE13:AE15)&gt;AE27,1,0)))</f>
        <v>1</v>
      </c>
      <c r="AG13" s="188">
        <v>205</v>
      </c>
      <c r="AH13" s="109">
        <f>IF(SUM(AG13:AG15)+AG27=0,0,IF(SUM(AG13:AG15)=AG27,0.5,IF(SUM(AG13:AG15)&gt;AG27,1,0)))</f>
        <v>1</v>
      </c>
      <c r="AI13" s="188">
        <v>199</v>
      </c>
      <c r="AJ13" s="109">
        <f>IF(SUM(AI13:AI15)+AI27=0,0,IF(SUM(AI13:AI15)=AI27,0.5,IF(SUM(AI13:AI15)&gt;AI27,1,0)))</f>
        <v>1</v>
      </c>
      <c r="AK13" s="188">
        <v>166</v>
      </c>
      <c r="AL13" s="109">
        <f>IF(SUM(AK13:AK15)+AK27=0,0,IF(SUM(AK13:AK15)=AK27,0.5,IF(SUM(AK13:AK15)&gt;AK27,1,0)))</f>
        <v>0</v>
      </c>
      <c r="AM13" s="188">
        <v>185</v>
      </c>
      <c r="AN13" s="109">
        <f>IF(SUM(AM13:AM15)+AM27=0,0,IF(SUM(AM13:AM15)=AM27,0.5,IF(SUM(AM13:AM15)&gt;AM27,1,0)))</f>
        <v>1</v>
      </c>
      <c r="AO13" s="188">
        <v>136</v>
      </c>
      <c r="AP13" s="109">
        <f>IF(SUM(AO13:AO15)+AO27=0,0,IF(SUM(AO13:AO15)=AO27,0.5,IF(SUM(AO13:AO15)&gt;AO27,1,0)))</f>
        <v>0</v>
      </c>
      <c r="AQ13" s="188">
        <v>192</v>
      </c>
      <c r="AR13" s="109">
        <f>IF(SUM(AQ13:AQ15)+AQ27=0,0,IF(SUM(AQ13:AQ15)=AQ27,0.5,IF(SUM(AQ13:AQ15)&gt;AQ27,1,0)))</f>
        <v>0</v>
      </c>
      <c r="AS13" s="188">
        <v>163</v>
      </c>
      <c r="AT13" s="109">
        <f>IF(SUM(AS13:AS15)+AS27=0,0,IF(SUM(AS13:AS15)=AS27,0.5,IF(SUM(AS13:AS15)&gt;AS27,1,0)))</f>
        <v>1</v>
      </c>
      <c r="AU13" s="110">
        <f t="shared" si="8"/>
        <v>1637</v>
      </c>
      <c r="AV13" s="111">
        <f>SUM(AD13+AF13+AH13+AJ13+AL13+AN13+AP13+AR13+AT13)</f>
        <v>5</v>
      </c>
      <c r="AW13" s="101"/>
      <c r="AX13" s="102"/>
      <c r="AZ13" s="63"/>
      <c r="BA13" s="212"/>
      <c r="BB13" s="213"/>
      <c r="BC13" s="214"/>
      <c r="BD13" s="217">
        <f t="shared" si="21"/>
        <v>38258</v>
      </c>
      <c r="BE13" s="213">
        <f t="shared" si="22"/>
        <v>1637</v>
      </c>
      <c r="BF13" s="215">
        <f t="shared" si="23"/>
        <v>9</v>
      </c>
      <c r="BG13" s="215">
        <f t="shared" si="24"/>
        <v>9</v>
      </c>
      <c r="BH13" s="215">
        <f t="shared" si="9"/>
        <v>176</v>
      </c>
      <c r="BI13" s="215">
        <f t="shared" si="10"/>
        <v>215</v>
      </c>
      <c r="BJ13" s="215">
        <f t="shared" si="11"/>
        <v>205</v>
      </c>
      <c r="BK13" s="215">
        <f t="shared" si="12"/>
        <v>199</v>
      </c>
      <c r="BL13" s="215">
        <f t="shared" si="13"/>
        <v>166</v>
      </c>
      <c r="BM13" s="215">
        <f t="shared" si="14"/>
        <v>185</v>
      </c>
      <c r="BN13" s="215">
        <f t="shared" si="15"/>
        <v>136</v>
      </c>
      <c r="BO13" s="215">
        <f t="shared" si="16"/>
        <v>192</v>
      </c>
      <c r="BP13" s="215">
        <f t="shared" si="17"/>
        <v>163</v>
      </c>
      <c r="BQ13" s="216"/>
      <c r="BR13" s="214"/>
      <c r="BS13" s="215">
        <f t="shared" si="25"/>
        <v>215</v>
      </c>
      <c r="BT13" s="215">
        <f t="shared" si="26"/>
        <v>0</v>
      </c>
      <c r="BU13" s="215" t="str">
        <f t="shared" si="27"/>
        <v>Praetoria Regensburg</v>
      </c>
      <c r="BV13" s="214">
        <f t="shared" si="28"/>
        <v>2</v>
      </c>
      <c r="BW13" s="215">
        <f t="shared" si="29"/>
        <v>1637</v>
      </c>
      <c r="BX13" s="215">
        <f>IF(COUNTIF(BH13:BP13,"&gt;0")&lt;Spielorte!$A$23,0,BE13/Spielorte!$A$23)</f>
        <v>181.88888888888889</v>
      </c>
      <c r="BY13" s="215">
        <f t="shared" si="30"/>
        <v>0</v>
      </c>
      <c r="BZ13" s="214">
        <f t="shared" si="18"/>
        <v>0</v>
      </c>
    </row>
    <row r="14" spans="1:78" ht="17.2" customHeight="1" x14ac:dyDescent="0.35">
      <c r="A14" s="368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9"/>
      <c r="F14" s="78" t="str">
        <f t="shared" si="0"/>
        <v/>
      </c>
      <c r="G14" s="349"/>
      <c r="H14" s="78" t="str">
        <f t="shared" si="1"/>
        <v/>
      </c>
      <c r="I14" s="349"/>
      <c r="J14" s="78" t="str">
        <f t="shared" si="2"/>
        <v/>
      </c>
      <c r="K14" s="349"/>
      <c r="L14" s="78" t="str">
        <f t="shared" si="3"/>
        <v/>
      </c>
      <c r="M14" s="349"/>
      <c r="N14" s="78" t="str">
        <f t="shared" si="20"/>
        <v/>
      </c>
      <c r="O14" s="349"/>
      <c r="P14" s="78" t="str">
        <f t="shared" si="4"/>
        <v/>
      </c>
      <c r="Q14" s="349"/>
      <c r="R14" s="78" t="str">
        <f t="shared" si="5"/>
        <v/>
      </c>
      <c r="S14" s="349"/>
      <c r="T14" s="78" t="str">
        <f t="shared" si="6"/>
        <v/>
      </c>
      <c r="U14" s="349"/>
      <c r="V14" s="78" t="str">
        <f t="shared" si="7"/>
        <v/>
      </c>
      <c r="W14" s="349"/>
      <c r="Z14" s="352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Praetoria Regensburg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2" customHeight="1" thickBot="1" x14ac:dyDescent="0.4">
      <c r="A15" s="369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0"/>
      <c r="F15" s="69" t="str">
        <f t="shared" si="0"/>
        <v/>
      </c>
      <c r="G15" s="350"/>
      <c r="H15" s="69" t="str">
        <f t="shared" si="1"/>
        <v/>
      </c>
      <c r="I15" s="350"/>
      <c r="J15" s="69" t="str">
        <f t="shared" si="2"/>
        <v/>
      </c>
      <c r="K15" s="350"/>
      <c r="L15" s="69" t="str">
        <f t="shared" si="3"/>
        <v/>
      </c>
      <c r="M15" s="350"/>
      <c r="N15" s="69" t="str">
        <f t="shared" si="20"/>
        <v/>
      </c>
      <c r="O15" s="350"/>
      <c r="P15" s="69" t="str">
        <f t="shared" si="4"/>
        <v/>
      </c>
      <c r="Q15" s="350"/>
      <c r="R15" s="69" t="str">
        <f t="shared" si="5"/>
        <v/>
      </c>
      <c r="S15" s="350"/>
      <c r="T15" s="69" t="str">
        <f t="shared" si="6"/>
        <v/>
      </c>
      <c r="U15" s="350"/>
      <c r="V15" s="69" t="str">
        <f t="shared" si="7"/>
        <v/>
      </c>
      <c r="W15" s="350"/>
      <c r="Z15" s="353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Praetoria Regensburg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2" customHeight="1" x14ac:dyDescent="0.35">
      <c r="A16" s="367" t="s">
        <v>11</v>
      </c>
      <c r="B16" s="73" t="str">
        <f>IF(AA16=0,"",AA16)</f>
        <v>Schlundt, Sabrina</v>
      </c>
      <c r="C16" s="74">
        <f t="shared" si="19"/>
        <v>25751</v>
      </c>
      <c r="D16" s="75">
        <f t="shared" si="19"/>
        <v>175</v>
      </c>
      <c r="E16" s="348">
        <f>IF(AD16="","",AD16)</f>
        <v>1</v>
      </c>
      <c r="F16" s="75">
        <f t="shared" si="0"/>
        <v>187</v>
      </c>
      <c r="G16" s="348">
        <f>IF(AF16="","",AF16)</f>
        <v>1</v>
      </c>
      <c r="H16" s="75">
        <f t="shared" si="1"/>
        <v>215</v>
      </c>
      <c r="I16" s="348">
        <f>IF(AH16="","",AH16)</f>
        <v>0</v>
      </c>
      <c r="J16" s="75">
        <f t="shared" si="2"/>
        <v>204</v>
      </c>
      <c r="K16" s="348">
        <f>IF(AJ16="","",AJ16)</f>
        <v>1</v>
      </c>
      <c r="L16" s="75">
        <f t="shared" si="3"/>
        <v>191</v>
      </c>
      <c r="M16" s="348">
        <f>IF(AL16="","",AL16)</f>
        <v>1</v>
      </c>
      <c r="N16" s="75">
        <f t="shared" si="20"/>
        <v>195</v>
      </c>
      <c r="O16" s="348">
        <f>IF(AN16="","",AN16)</f>
        <v>1</v>
      </c>
      <c r="P16" s="75">
        <f t="shared" si="4"/>
        <v>202</v>
      </c>
      <c r="Q16" s="348">
        <f>IF(AP16="","",AP16)</f>
        <v>1</v>
      </c>
      <c r="R16" s="75">
        <f t="shared" si="5"/>
        <v>224</v>
      </c>
      <c r="S16" s="348">
        <f>IF(AR16="","",AR16)</f>
        <v>1</v>
      </c>
      <c r="T16" s="75">
        <f t="shared" si="6"/>
        <v>182</v>
      </c>
      <c r="U16" s="348">
        <f>IF(AT16="","",AT16)</f>
        <v>1</v>
      </c>
      <c r="V16" s="75">
        <f t="shared" si="7"/>
        <v>1775</v>
      </c>
      <c r="W16" s="348">
        <f>IF(AV16="","",AV16)</f>
        <v>8</v>
      </c>
      <c r="Z16" s="351" t="s">
        <v>11</v>
      </c>
      <c r="AA16" s="108" t="str">
        <f>IF(AB16=0,"",VLOOKUP(AB16,Starter!$A$1:$D$199,2,FALSE))</f>
        <v>Schlundt, Sabrina</v>
      </c>
      <c r="AB16" s="99">
        <v>25751</v>
      </c>
      <c r="AC16" s="188">
        <v>175</v>
      </c>
      <c r="AD16" s="109">
        <f>IF(SUM(AC16:AC18)+AC28=0,0,IF(SUM(AC16:AC18)=AC28,0.5,IF(SUM(AC16:AC18)&gt;AC28,1,0)))</f>
        <v>1</v>
      </c>
      <c r="AE16" s="188">
        <v>187</v>
      </c>
      <c r="AF16" s="109">
        <f>IF(SUM(AE16:AE18)+AE28=0,0,IF(SUM(AE16:AE18)=AE28,0.5,IF(SUM(AE16:AE18)&gt;AE28,1,0)))</f>
        <v>1</v>
      </c>
      <c r="AG16" s="188">
        <v>215</v>
      </c>
      <c r="AH16" s="109">
        <f>IF(SUM(AG16:AG18)+AG28=0,0,IF(SUM(AG16:AG18)=AG28,0.5,IF(SUM(AG16:AG18)&gt;AG28,1,0)))</f>
        <v>0</v>
      </c>
      <c r="AI16" s="188">
        <v>204</v>
      </c>
      <c r="AJ16" s="109">
        <f>IF(SUM(AI16:AI18)+AI28=0,0,IF(SUM(AI16:AI18)=AI28,0.5,IF(SUM(AI16:AI18)&gt;AI28,1,0)))</f>
        <v>1</v>
      </c>
      <c r="AK16" s="188">
        <v>191</v>
      </c>
      <c r="AL16" s="109">
        <f>IF(SUM(AK16:AK18)+AK28=0,0,IF(SUM(AK16:AK18)=AK28,0.5,IF(SUM(AK16:AK18)&gt;AK28,1,0)))</f>
        <v>1</v>
      </c>
      <c r="AM16" s="188">
        <v>195</v>
      </c>
      <c r="AN16" s="109">
        <f>IF(SUM(AM16:AM18)+AM28=0,0,IF(SUM(AM16:AM18)=AM28,0.5,IF(SUM(AM16:AM18)&gt;AM28,1,0)))</f>
        <v>1</v>
      </c>
      <c r="AO16" s="188">
        <v>202</v>
      </c>
      <c r="AP16" s="109">
        <f>IF(SUM(AO16:AO18)+AO28=0,0,IF(SUM(AO16:AO18)=AO28,0.5,IF(SUM(AO16:AO18)&gt;AO28,1,0)))</f>
        <v>1</v>
      </c>
      <c r="AQ16" s="188">
        <v>224</v>
      </c>
      <c r="AR16" s="109">
        <f>IF(SUM(AQ16:AQ18)+AQ28=0,0,IF(SUM(AQ16:AQ18)=AQ28,0.5,IF(SUM(AQ16:AQ18)&gt;AQ28,1,0)))</f>
        <v>1</v>
      </c>
      <c r="AS16" s="188">
        <v>182</v>
      </c>
      <c r="AT16" s="109">
        <f>IF(SUM(AS16:AS18)+AS28=0,0,IF(SUM(AS16:AS18)=AS28,0.5,IF(SUM(AS16:AS18)&gt;AS28,1,0)))</f>
        <v>1</v>
      </c>
      <c r="AU16" s="110">
        <f t="shared" si="8"/>
        <v>1775</v>
      </c>
      <c r="AV16" s="111">
        <f>SUM(AD16+AF16+AH16+AJ16+AL16+AN16+AP16+AR16+AT16)</f>
        <v>8</v>
      </c>
      <c r="AW16" s="101"/>
      <c r="AX16" s="102"/>
      <c r="AZ16" s="63"/>
      <c r="BA16" s="212"/>
      <c r="BB16" s="213"/>
      <c r="BC16" s="214"/>
      <c r="BD16" s="217">
        <f t="shared" si="21"/>
        <v>25751</v>
      </c>
      <c r="BE16" s="213">
        <f t="shared" si="22"/>
        <v>1775</v>
      </c>
      <c r="BF16" s="215">
        <f t="shared" si="23"/>
        <v>9</v>
      </c>
      <c r="BG16" s="215">
        <f t="shared" si="24"/>
        <v>9</v>
      </c>
      <c r="BH16" s="215">
        <f t="shared" si="9"/>
        <v>175</v>
      </c>
      <c r="BI16" s="215">
        <f t="shared" si="10"/>
        <v>187</v>
      </c>
      <c r="BJ16" s="215">
        <f t="shared" si="11"/>
        <v>215</v>
      </c>
      <c r="BK16" s="215">
        <f t="shared" si="12"/>
        <v>204</v>
      </c>
      <c r="BL16" s="215">
        <f t="shared" si="13"/>
        <v>191</v>
      </c>
      <c r="BM16" s="215">
        <f t="shared" si="14"/>
        <v>195</v>
      </c>
      <c r="BN16" s="215">
        <f t="shared" si="15"/>
        <v>202</v>
      </c>
      <c r="BO16" s="215">
        <f t="shared" si="16"/>
        <v>224</v>
      </c>
      <c r="BP16" s="215">
        <f t="shared" si="17"/>
        <v>182</v>
      </c>
      <c r="BQ16" s="216"/>
      <c r="BR16" s="214"/>
      <c r="BS16" s="215">
        <f t="shared" si="25"/>
        <v>224</v>
      </c>
      <c r="BT16" s="215">
        <f t="shared" si="26"/>
        <v>0</v>
      </c>
      <c r="BU16" s="215" t="str">
        <f t="shared" si="27"/>
        <v>Praetoria Regensburg</v>
      </c>
      <c r="BV16" s="214">
        <f t="shared" si="28"/>
        <v>2</v>
      </c>
      <c r="BW16" s="215">
        <f t="shared" si="29"/>
        <v>1775</v>
      </c>
      <c r="BX16" s="215">
        <f>IF(COUNTIF(BH16:BP16,"&gt;0")&lt;Spielorte!$A$23,0,BE16/Spielorte!$A$23)</f>
        <v>197.22222222222223</v>
      </c>
      <c r="BY16" s="215">
        <f t="shared" si="30"/>
        <v>197.22222223822223</v>
      </c>
      <c r="BZ16" s="214">
        <f t="shared" si="18"/>
        <v>1</v>
      </c>
    </row>
    <row r="17" spans="1:78" ht="17.2" customHeight="1" x14ac:dyDescent="0.35">
      <c r="A17" s="368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9"/>
      <c r="F17" s="78" t="str">
        <f t="shared" si="0"/>
        <v/>
      </c>
      <c r="G17" s="349"/>
      <c r="H17" s="78" t="str">
        <f t="shared" si="1"/>
        <v/>
      </c>
      <c r="I17" s="349"/>
      <c r="J17" s="78" t="str">
        <f t="shared" si="2"/>
        <v/>
      </c>
      <c r="K17" s="349"/>
      <c r="L17" s="78" t="str">
        <f t="shared" si="3"/>
        <v/>
      </c>
      <c r="M17" s="349"/>
      <c r="N17" s="78" t="str">
        <f t="shared" si="20"/>
        <v/>
      </c>
      <c r="O17" s="349"/>
      <c r="P17" s="78" t="str">
        <f t="shared" si="4"/>
        <v/>
      </c>
      <c r="Q17" s="349"/>
      <c r="R17" s="78" t="str">
        <f t="shared" si="5"/>
        <v/>
      </c>
      <c r="S17" s="349"/>
      <c r="T17" s="78" t="str">
        <f t="shared" si="6"/>
        <v/>
      </c>
      <c r="U17" s="349"/>
      <c r="V17" s="78" t="str">
        <f t="shared" si="7"/>
        <v/>
      </c>
      <c r="W17" s="349"/>
      <c r="Z17" s="352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Praetoria Regensburg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2" customHeight="1" thickBot="1" x14ac:dyDescent="0.4">
      <c r="A18" s="369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0"/>
      <c r="F18" s="69" t="str">
        <f t="shared" si="0"/>
        <v/>
      </c>
      <c r="G18" s="350"/>
      <c r="H18" s="69" t="str">
        <f t="shared" si="1"/>
        <v/>
      </c>
      <c r="I18" s="350"/>
      <c r="J18" s="69" t="str">
        <f t="shared" si="2"/>
        <v/>
      </c>
      <c r="K18" s="350"/>
      <c r="L18" s="69" t="str">
        <f t="shared" si="3"/>
        <v/>
      </c>
      <c r="M18" s="350"/>
      <c r="N18" s="69" t="str">
        <f t="shared" si="20"/>
        <v/>
      </c>
      <c r="O18" s="350"/>
      <c r="P18" s="69" t="str">
        <f t="shared" si="4"/>
        <v/>
      </c>
      <c r="Q18" s="350"/>
      <c r="R18" s="69" t="str">
        <f t="shared" si="5"/>
        <v/>
      </c>
      <c r="S18" s="350"/>
      <c r="T18" s="69" t="str">
        <f t="shared" si="6"/>
        <v/>
      </c>
      <c r="U18" s="350"/>
      <c r="V18" s="69" t="str">
        <f t="shared" si="7"/>
        <v/>
      </c>
      <c r="W18" s="350"/>
      <c r="Z18" s="353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Praetoria Regensburg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4">
      <c r="B19" s="81" t="str">
        <f>IF(AA19=0,"",AA19)</f>
        <v>Gesamt</v>
      </c>
      <c r="C19" s="82" t="str">
        <f t="shared" si="19"/>
        <v/>
      </c>
      <c r="D19" s="83">
        <f t="shared" si="19"/>
        <v>756</v>
      </c>
      <c r="E19" s="84">
        <f>IF(AD19="","",AD19)</f>
        <v>2</v>
      </c>
      <c r="F19" s="83">
        <f t="shared" si="0"/>
        <v>742</v>
      </c>
      <c r="G19" s="84">
        <f>IF(AF19="","",AF19)</f>
        <v>2</v>
      </c>
      <c r="H19" s="83">
        <f t="shared" si="1"/>
        <v>781</v>
      </c>
      <c r="I19" s="84">
        <f>IF(AH19="","",AH19)</f>
        <v>2</v>
      </c>
      <c r="J19" s="83">
        <f t="shared" si="2"/>
        <v>736</v>
      </c>
      <c r="K19" s="84">
        <f>IF(AJ19="","",AJ19)</f>
        <v>2</v>
      </c>
      <c r="L19" s="83">
        <f t="shared" si="3"/>
        <v>718</v>
      </c>
      <c r="M19" s="84">
        <f>IF(AL19="","",AL19)</f>
        <v>0</v>
      </c>
      <c r="N19" s="83">
        <f t="shared" si="20"/>
        <v>730</v>
      </c>
      <c r="O19" s="84">
        <f>IF(AN19="","",AN19)</f>
        <v>2</v>
      </c>
      <c r="P19" s="83">
        <f t="shared" si="4"/>
        <v>715</v>
      </c>
      <c r="Q19" s="84">
        <f>IF(AP19="","",AP19)</f>
        <v>0</v>
      </c>
      <c r="R19" s="83">
        <f t="shared" si="5"/>
        <v>783</v>
      </c>
      <c r="S19" s="84">
        <f>IF(AR19="","",AR19)</f>
        <v>0</v>
      </c>
      <c r="T19" s="83">
        <f t="shared" si="6"/>
        <v>688</v>
      </c>
      <c r="U19" s="84">
        <f>IF(AT19="","",AT19)</f>
        <v>2</v>
      </c>
      <c r="V19" s="83">
        <f t="shared" si="7"/>
        <v>6649</v>
      </c>
      <c r="W19" s="84">
        <f>IF(AV19="","",AV19)</f>
        <v>12</v>
      </c>
      <c r="AA19" s="81" t="s">
        <v>1799</v>
      </c>
      <c r="AB19" s="120"/>
      <c r="AC19" s="211">
        <f>ABS(SUM(AC7:AC9))+ABS(SUM(AC10:AC12))+ABS(SUM(AC13:AC15))+ABS(SUM(AC16:AC18))</f>
        <v>756</v>
      </c>
      <c r="AD19" s="121">
        <f>IF(AC19+AC29=0,0,IF(AC19=AC29,1,IF(AC19&gt;AC29,2,0)))</f>
        <v>2</v>
      </c>
      <c r="AE19" s="211">
        <f>ABS(SUM(AE7:AE9))+ABS(SUM(AE10:AE12))+ABS(SUM(AE13:AE15))+ABS(SUM(AE16:AE18))</f>
        <v>742</v>
      </c>
      <c r="AF19" s="121">
        <f>IF(AE19+AE29=0,0,IF(AE19=AE29,1,IF(AE19&gt;AE29,2,0)))</f>
        <v>2</v>
      </c>
      <c r="AG19" s="211">
        <f>ABS(SUM(AG7:AG9))+ABS(SUM(AG10:AG12))+ABS(SUM(AG13:AG15))+ABS(SUM(AG16:AG18))</f>
        <v>781</v>
      </c>
      <c r="AH19" s="121">
        <f>IF(AG19+AG29=0,0,IF(AG19=AG29,1,IF(AG19&gt;AG29,2,0)))</f>
        <v>2</v>
      </c>
      <c r="AI19" s="211">
        <f>ABS(SUM(AI7:AI9))+ABS(SUM(AI10:AI12))+ABS(SUM(AI13:AI15))+ABS(SUM(AI16:AI18))</f>
        <v>736</v>
      </c>
      <c r="AJ19" s="121">
        <f>IF(AI19+AI29=0,0,IF(AI19=AI29,1,IF(AI19&gt;AI29,2,0)))</f>
        <v>2</v>
      </c>
      <c r="AK19" s="211">
        <f>ABS(SUM(AK7:AK9))+ABS(SUM(AK10:AK12))+ABS(SUM(AK13:AK15))+ABS(SUM(AK16:AK18))</f>
        <v>718</v>
      </c>
      <c r="AL19" s="121">
        <f>IF(AK19+AK29=0,0,IF(AK19=AK29,1,IF(AK19&gt;AK29,2,0)))</f>
        <v>0</v>
      </c>
      <c r="AM19" s="211">
        <f>ABS(SUM(AM7:AM9))+ABS(SUM(AM10:AM12))+ABS(SUM(AM13:AM15))+ABS(SUM(AM16:AM18))</f>
        <v>730</v>
      </c>
      <c r="AN19" s="121">
        <f>IF(AM19+AM29=0,0,IF(AM19=AM29,1,IF(AM19&gt;AM29,2,0)))</f>
        <v>2</v>
      </c>
      <c r="AO19" s="211">
        <f>ABS(SUM(AO7:AO9))+ABS(SUM(AO10:AO12))+ABS(SUM(AO13:AO15))+ABS(SUM(AO16:AO18))</f>
        <v>715</v>
      </c>
      <c r="AP19" s="121">
        <f>IF(AO19+AO29=0,0,IF(AO19=AO29,1,IF(AO19&gt;AO29,2,0)))</f>
        <v>0</v>
      </c>
      <c r="AQ19" s="211">
        <f>ABS(SUM(AQ7:AQ9))+ABS(SUM(AQ10:AQ12))+ABS(SUM(AQ13:AQ15))+ABS(SUM(AQ16:AQ18))</f>
        <v>783</v>
      </c>
      <c r="AR19" s="121">
        <f>IF(AQ19+AQ29=0,0,IF(AQ19=AQ29,1,IF(AQ19&gt;AQ29,2,0)))</f>
        <v>0</v>
      </c>
      <c r="AS19" s="211">
        <f>ABS(SUM(AS7:AS9))+ABS(SUM(AS10:AS12))+ABS(SUM(AS13:AS15))+ABS(SUM(AS16:AS18))</f>
        <v>688</v>
      </c>
      <c r="AT19" s="121">
        <f>IF(AS19+AS29=0,0,IF(AS19=AS29,1,IF(AS19&gt;AS29,2,0)))</f>
        <v>2</v>
      </c>
      <c r="AU19" s="122">
        <f>SUM(AC19+AE19+AG19+AI19+AK19+AM19+AO19+AQ19+AS19)</f>
        <v>6649</v>
      </c>
      <c r="AV19" s="123">
        <f>SUM(AD19+AF19+AH19+AJ19+AL19+AN19+AP19+AR19+AT19)</f>
        <v>12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4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5</v>
      </c>
      <c r="F20" s="86" t="str">
        <f t="shared" si="0"/>
        <v/>
      </c>
      <c r="G20" s="87">
        <f>IF(AF20="","",AF20)</f>
        <v>5</v>
      </c>
      <c r="H20" s="86" t="str">
        <f t="shared" si="1"/>
        <v/>
      </c>
      <c r="I20" s="87">
        <f>IF(AH20="","",AH20)</f>
        <v>5</v>
      </c>
      <c r="J20" s="86" t="str">
        <f t="shared" si="2"/>
        <v/>
      </c>
      <c r="K20" s="87">
        <f>IF(AJ20="","",AJ20)</f>
        <v>6</v>
      </c>
      <c r="L20" s="86" t="str">
        <f t="shared" si="3"/>
        <v/>
      </c>
      <c r="M20" s="87">
        <f>IF(AL20="","",AL20)</f>
        <v>3</v>
      </c>
      <c r="N20" s="86" t="str">
        <f t="shared" si="20"/>
        <v/>
      </c>
      <c r="O20" s="87">
        <f>IF(AN20="","",AN20)</f>
        <v>5</v>
      </c>
      <c r="P20" s="86" t="str">
        <f t="shared" si="4"/>
        <v/>
      </c>
      <c r="Q20" s="87">
        <f>IF(AP20="","",AP20)</f>
        <v>2</v>
      </c>
      <c r="R20" s="86" t="str">
        <f t="shared" si="5"/>
        <v/>
      </c>
      <c r="S20" s="87">
        <f>IF(AR20="","",AR20)</f>
        <v>2</v>
      </c>
      <c r="T20" s="86" t="str">
        <f t="shared" si="6"/>
        <v/>
      </c>
      <c r="U20" s="87">
        <f>IF(AT20="","",AT20)</f>
        <v>6</v>
      </c>
      <c r="V20" s="86" t="str">
        <f t="shared" si="7"/>
        <v/>
      </c>
      <c r="W20" s="87">
        <f>IF(AV20="","",AV20)</f>
        <v>39</v>
      </c>
      <c r="AA20" s="85" t="s">
        <v>1814</v>
      </c>
      <c r="AB20" s="86"/>
      <c r="AC20" s="86"/>
      <c r="AD20" s="124">
        <f>SUM(AD7:AD19)</f>
        <v>5</v>
      </c>
      <c r="AE20" s="86"/>
      <c r="AF20" s="124">
        <f>SUM(AF7:AF19)</f>
        <v>5</v>
      </c>
      <c r="AG20" s="86"/>
      <c r="AH20" s="124">
        <f>SUM(AH7:AH19)</f>
        <v>5</v>
      </c>
      <c r="AI20" s="86"/>
      <c r="AJ20" s="124">
        <f>SUM(AJ7:AJ19)</f>
        <v>6</v>
      </c>
      <c r="AK20" s="86"/>
      <c r="AL20" s="124">
        <f>SUM(AL7:AL19)</f>
        <v>3</v>
      </c>
      <c r="AM20" s="86"/>
      <c r="AN20" s="124">
        <f>SUM(AN7:AN19)</f>
        <v>5</v>
      </c>
      <c r="AO20" s="86"/>
      <c r="AP20" s="124">
        <f>SUM(AP7:AP19)</f>
        <v>2</v>
      </c>
      <c r="AQ20" s="86"/>
      <c r="AR20" s="124">
        <f>SUM(AR7:AR19)</f>
        <v>2</v>
      </c>
      <c r="AS20" s="86"/>
      <c r="AT20" s="124">
        <f>SUM(AT7:AT19)</f>
        <v>6</v>
      </c>
      <c r="AU20" s="86"/>
      <c r="AV20" s="125">
        <f>SUM(AV7:AV19)</f>
        <v>39</v>
      </c>
      <c r="AW20" s="101"/>
      <c r="AX20" s="102"/>
      <c r="BA20" s="212">
        <f>+AV20</f>
        <v>39</v>
      </c>
      <c r="BB20" s="213">
        <f>+AU19</f>
        <v>6649</v>
      </c>
      <c r="BC20" s="214">
        <f>+AA2</f>
        <v>1</v>
      </c>
      <c r="BF20" s="215">
        <f>SUM(BF1:BF19)</f>
        <v>36</v>
      </c>
      <c r="BQ20" s="212">
        <f>+BB20/1000000+BA20</f>
        <v>39.006649000000003</v>
      </c>
      <c r="BR20" s="214">
        <f>RANK(BQ20,BQ:BQ)</f>
        <v>1</v>
      </c>
      <c r="BV20" s="214"/>
      <c r="BZ20" s="214"/>
    </row>
    <row r="21" spans="1:78" ht="11.25" customHeight="1" x14ac:dyDescent="0.3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35">
      <c r="B22" s="88" t="str">
        <f t="shared" ref="B22:Q22" si="31">IF(AA22=0,"",AA22)</f>
        <v>Gegner-Nr.:</v>
      </c>
      <c r="C22" s="89" t="str">
        <f t="shared" si="31"/>
        <v>&gt;&gt;&gt;&gt;</v>
      </c>
      <c r="D22" s="346">
        <f t="shared" si="31"/>
        <v>10</v>
      </c>
      <c r="E22" s="346" t="str">
        <f t="shared" si="31"/>
        <v/>
      </c>
      <c r="F22" s="346">
        <f t="shared" si="31"/>
        <v>9</v>
      </c>
      <c r="G22" s="346" t="str">
        <f t="shared" si="31"/>
        <v/>
      </c>
      <c r="H22" s="346">
        <f t="shared" si="31"/>
        <v>7</v>
      </c>
      <c r="I22" s="346" t="str">
        <f t="shared" si="31"/>
        <v/>
      </c>
      <c r="J22" s="346">
        <f t="shared" si="31"/>
        <v>4</v>
      </c>
      <c r="K22" s="346" t="str">
        <f t="shared" si="31"/>
        <v/>
      </c>
      <c r="L22" s="346">
        <f t="shared" si="31"/>
        <v>6</v>
      </c>
      <c r="M22" s="346" t="str">
        <f t="shared" si="31"/>
        <v/>
      </c>
      <c r="N22" s="346">
        <f t="shared" si="31"/>
        <v>2</v>
      </c>
      <c r="O22" s="346" t="str">
        <f t="shared" si="31"/>
        <v/>
      </c>
      <c r="P22" s="346">
        <f t="shared" si="31"/>
        <v>8</v>
      </c>
      <c r="Q22" s="346" t="str">
        <f t="shared" si="31"/>
        <v/>
      </c>
      <c r="R22" s="346">
        <f t="shared" ref="L22:U24" si="32">IF(AQ22=0,"",AQ22)</f>
        <v>3</v>
      </c>
      <c r="S22" s="346" t="str">
        <f t="shared" si="32"/>
        <v/>
      </c>
      <c r="T22" s="346">
        <f t="shared" si="32"/>
        <v>5</v>
      </c>
      <c r="U22" s="346" t="str">
        <f t="shared" si="32"/>
        <v/>
      </c>
      <c r="V22" s="347"/>
      <c r="W22" s="347"/>
      <c r="AA22" s="88" t="s">
        <v>1797</v>
      </c>
      <c r="AB22" s="89" t="s">
        <v>1798</v>
      </c>
      <c r="AC22" s="370">
        <f>VLOOKUP($AA2,Schlüssel!$A$5:$DG$14,63)</f>
        <v>10</v>
      </c>
      <c r="AD22" s="371"/>
      <c r="AE22" s="370">
        <f>VLOOKUP($AA2,Schlüssel!$A$5:$EK$14,64)</f>
        <v>9</v>
      </c>
      <c r="AF22" s="371"/>
      <c r="AG22" s="370">
        <f>VLOOKUP($AA2,Schlüssel!$A$5:$EK$14,65)</f>
        <v>7</v>
      </c>
      <c r="AH22" s="371"/>
      <c r="AI22" s="370">
        <f>VLOOKUP($AA2,Schlüssel!$A$5:$EK$14,66)</f>
        <v>4</v>
      </c>
      <c r="AJ22" s="371"/>
      <c r="AK22" s="370">
        <f>VLOOKUP($AA2,Schlüssel!$A$5:$EK$14,67)</f>
        <v>6</v>
      </c>
      <c r="AL22" s="371"/>
      <c r="AM22" s="370">
        <f>VLOOKUP($AA2,Schlüssel!$A$5:$EK$14,68)</f>
        <v>2</v>
      </c>
      <c r="AN22" s="371"/>
      <c r="AO22" s="370">
        <f>VLOOKUP($AA2,Schlüssel!$A$5:$EK$14,69)</f>
        <v>8</v>
      </c>
      <c r="AP22" s="371"/>
      <c r="AQ22" s="370">
        <f>VLOOKUP($AA2,Schlüssel!$A$5:$EK$14,70)</f>
        <v>3</v>
      </c>
      <c r="AR22" s="371"/>
      <c r="AS22" s="370">
        <f>VLOOKUP($AA2,Schlüssel!$A$5:$EK$14,71)</f>
        <v>5</v>
      </c>
      <c r="AT22" s="371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35">
      <c r="B23" s="90" t="str">
        <f t="shared" ref="B23:K24" si="33">IF(AA23=0,"",AA23)</f>
        <v/>
      </c>
      <c r="C23" s="86" t="str">
        <f t="shared" si="33"/>
        <v/>
      </c>
      <c r="D23" s="343" t="str">
        <f t="shared" si="33"/>
        <v>BK München 4</v>
      </c>
      <c r="E23" s="344" t="str">
        <f t="shared" si="33"/>
        <v/>
      </c>
      <c r="F23" s="343" t="str">
        <f t="shared" si="33"/>
        <v>RW Lichtenhof 69 Stein 2</v>
      </c>
      <c r="G23" s="344" t="str">
        <f t="shared" si="33"/>
        <v/>
      </c>
      <c r="H23" s="343" t="str">
        <f t="shared" si="33"/>
        <v>Frankenpower Nürnberg</v>
      </c>
      <c r="I23" s="344" t="str">
        <f t="shared" si="33"/>
        <v/>
      </c>
      <c r="J23" s="343" t="str">
        <f t="shared" si="33"/>
        <v>BK München 3</v>
      </c>
      <c r="K23" s="344" t="str">
        <f t="shared" si="33"/>
        <v/>
      </c>
      <c r="L23" s="343" t="str">
        <f t="shared" si="32"/>
        <v>Phönix 03 Lauf</v>
      </c>
      <c r="M23" s="344" t="str">
        <f t="shared" si="32"/>
        <v/>
      </c>
      <c r="N23" s="343" t="str">
        <f t="shared" si="32"/>
        <v>BK München 2</v>
      </c>
      <c r="O23" s="344" t="str">
        <f t="shared" si="32"/>
        <v/>
      </c>
      <c r="P23" s="343" t="str">
        <f t="shared" si="32"/>
        <v>EPA München 1</v>
      </c>
      <c r="Q23" s="344" t="str">
        <f t="shared" si="32"/>
        <v/>
      </c>
      <c r="R23" s="343" t="str">
        <f t="shared" si="32"/>
        <v>Highroller Rosenheim</v>
      </c>
      <c r="S23" s="344" t="str">
        <f t="shared" si="32"/>
        <v/>
      </c>
      <c r="T23" s="343" t="str">
        <f t="shared" si="32"/>
        <v xml:space="preserve">Weiß Blau Unterföhring </v>
      </c>
      <c r="U23" s="344" t="str">
        <f t="shared" si="32"/>
        <v/>
      </c>
      <c r="V23" s="345"/>
      <c r="W23" s="345"/>
      <c r="AA23" s="90"/>
      <c r="AB23" s="86"/>
      <c r="AC23" s="343" t="str">
        <f>VLOOKUP(AC22,Schlüssel!$A$5:$K$14,2)</f>
        <v>BK München 4</v>
      </c>
      <c r="AD23" s="344"/>
      <c r="AE23" s="343" t="str">
        <f>VLOOKUP(AE22,Schlüssel!$A$5:$K$14,2)</f>
        <v>RW Lichtenhof 69 Stein 2</v>
      </c>
      <c r="AF23" s="344"/>
      <c r="AG23" s="343" t="str">
        <f>VLOOKUP(AG22,Schlüssel!$A$5:$K$14,2)</f>
        <v>Frankenpower Nürnberg</v>
      </c>
      <c r="AH23" s="344"/>
      <c r="AI23" s="343" t="str">
        <f>VLOOKUP(AI22,Schlüssel!$A$5:$K$14,2)</f>
        <v>BK München 3</v>
      </c>
      <c r="AJ23" s="344"/>
      <c r="AK23" s="343" t="str">
        <f>VLOOKUP(AK22,Schlüssel!$A$5:$K$14,2)</f>
        <v>Phönix 03 Lauf</v>
      </c>
      <c r="AL23" s="344"/>
      <c r="AM23" s="343" t="str">
        <f>VLOOKUP(AM22,Schlüssel!$A$5:$K$14,2)</f>
        <v>BK München 2</v>
      </c>
      <c r="AN23" s="344"/>
      <c r="AO23" s="343" t="str">
        <f>VLOOKUP(AO22,Schlüssel!$A$5:$K$14,2)</f>
        <v>EPA München 1</v>
      </c>
      <c r="AP23" s="344"/>
      <c r="AQ23" s="343" t="str">
        <f>VLOOKUP(AQ22,Schlüssel!$A$5:$K$14,2)</f>
        <v>Highroller Rosenheim</v>
      </c>
      <c r="AR23" s="344"/>
      <c r="AS23" s="343" t="str">
        <f>VLOOKUP(AS22,Schlüssel!$A$5:$K$14,2)</f>
        <v xml:space="preserve">Weiß Blau Unterföhring </v>
      </c>
      <c r="AT23" s="344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35">
      <c r="B24" s="90" t="str">
        <f t="shared" si="33"/>
        <v/>
      </c>
      <c r="C24" s="86" t="str">
        <f t="shared" si="33"/>
        <v/>
      </c>
      <c r="D24" s="341" t="str">
        <f t="shared" si="33"/>
        <v/>
      </c>
      <c r="E24" s="341" t="str">
        <f t="shared" si="33"/>
        <v/>
      </c>
      <c r="F24" s="341" t="str">
        <f t="shared" si="33"/>
        <v/>
      </c>
      <c r="G24" s="341" t="str">
        <f t="shared" si="33"/>
        <v/>
      </c>
      <c r="H24" s="341" t="str">
        <f t="shared" si="33"/>
        <v/>
      </c>
      <c r="I24" s="341" t="str">
        <f t="shared" si="33"/>
        <v/>
      </c>
      <c r="J24" s="341" t="str">
        <f t="shared" si="33"/>
        <v/>
      </c>
      <c r="K24" s="341" t="str">
        <f t="shared" si="33"/>
        <v/>
      </c>
      <c r="L24" s="341" t="str">
        <f t="shared" si="32"/>
        <v/>
      </c>
      <c r="M24" s="341" t="str">
        <f t="shared" si="32"/>
        <v/>
      </c>
      <c r="N24" s="341" t="str">
        <f t="shared" si="32"/>
        <v/>
      </c>
      <c r="O24" s="341" t="str">
        <f t="shared" si="32"/>
        <v/>
      </c>
      <c r="P24" s="341" t="str">
        <f t="shared" si="32"/>
        <v/>
      </c>
      <c r="Q24" s="341" t="str">
        <f t="shared" si="32"/>
        <v/>
      </c>
      <c r="R24" s="341" t="str">
        <f t="shared" si="32"/>
        <v/>
      </c>
      <c r="S24" s="341" t="str">
        <f t="shared" si="32"/>
        <v/>
      </c>
      <c r="T24" s="341" t="str">
        <f t="shared" si="32"/>
        <v/>
      </c>
      <c r="U24" s="342" t="str">
        <f t="shared" si="32"/>
        <v/>
      </c>
      <c r="V24" s="301"/>
      <c r="W24" s="301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6.05" customHeight="1" x14ac:dyDescent="0.35">
      <c r="B25" s="365" t="str">
        <f t="shared" ref="B25:C29" si="34">IF(AA25=0,"",AA25)</f>
        <v>Spieler 1</v>
      </c>
      <c r="C25" s="366" t="str">
        <f t="shared" si="34"/>
        <v/>
      </c>
      <c r="D25" s="339">
        <f>IF(AC25=301,"",AC25)</f>
        <v>161</v>
      </c>
      <c r="E25" s="339" t="str">
        <f>IF(AD25=0,"",AD25)</f>
        <v/>
      </c>
      <c r="F25" s="339">
        <f>IF(AE25=301,"",AE25)</f>
        <v>177</v>
      </c>
      <c r="G25" s="339" t="str">
        <f>IF(AF25=0,"",AF25)</f>
        <v/>
      </c>
      <c r="H25" s="339">
        <f>IF(AG25=301,"",AG25)</f>
        <v>167</v>
      </c>
      <c r="I25" s="339" t="str">
        <f>IF(AH25=0,"",AH25)</f>
        <v/>
      </c>
      <c r="J25" s="339">
        <f>IF(AI25=301,"",AI25)</f>
        <v>0</v>
      </c>
      <c r="K25" s="339" t="str">
        <f>IF(AJ25=0,"",AJ25)</f>
        <v/>
      </c>
      <c r="L25" s="339">
        <f>IF(AK25=301,"",AK25)</f>
        <v>170</v>
      </c>
      <c r="M25" s="339" t="str">
        <f>IF(AL25=0,"",AL25)</f>
        <v/>
      </c>
      <c r="N25" s="339">
        <f>IF(AM25=301,"",AM25)</f>
        <v>198</v>
      </c>
      <c r="O25" s="339" t="str">
        <f>IF(AN25=0,"",AN25)</f>
        <v/>
      </c>
      <c r="P25" s="339">
        <f>IF(AO25=301,"",AO25)</f>
        <v>161</v>
      </c>
      <c r="Q25" s="339" t="str">
        <f>IF(AP25=0,"",AP25)</f>
        <v/>
      </c>
      <c r="R25" s="339">
        <f>IF(AQ25=301,"",AQ25)</f>
        <v>173</v>
      </c>
      <c r="S25" s="339" t="str">
        <f>IF(AR25=0,"",AR25)</f>
        <v/>
      </c>
      <c r="T25" s="339">
        <f>IF(AS25=301,"",AS25)</f>
        <v>168</v>
      </c>
      <c r="U25" s="339" t="str">
        <f>IF(AT25=0,"",AT25)</f>
        <v/>
      </c>
      <c r="V25" s="340"/>
      <c r="W25" s="340"/>
      <c r="AA25" s="91" t="s">
        <v>0</v>
      </c>
      <c r="AB25" s="92"/>
      <c r="AC25" s="372">
        <f>ABS(INDEX(AC:AC,MATCH(AC22,$AA:$AA,0)+5)+INDEX(AC:AC,MATCH(AC22,$AA:$AA,0)+6)+INDEX(AC:AC,MATCH(AC22,$AA:$AA,0)+7))</f>
        <v>161</v>
      </c>
      <c r="AD25" s="373"/>
      <c r="AE25" s="372">
        <f>ABS(INDEX(AE:AE,MATCH(AE22,$AA:$AA,0)+5)+INDEX(AE:AE,MATCH(AE22,$AA:$AA,0)+6)+INDEX(AE:AE,MATCH(AE22,$AA:$AA,0)+7))</f>
        <v>177</v>
      </c>
      <c r="AF25" s="373"/>
      <c r="AG25" s="372">
        <f>ABS(INDEX(AG:AG,MATCH(AG22,$AA:$AA,0)+5)+INDEX(AG:AG,MATCH(AG22,$AA:$AA,0)+6)+INDEX(AG:AG,MATCH(AG22,$AA:$AA,0)+7))</f>
        <v>167</v>
      </c>
      <c r="AH25" s="373"/>
      <c r="AI25" s="372">
        <f>ABS(INDEX(AI:AI,MATCH(AI22,$AA:$AA,0)+5)+INDEX(AI:AI,MATCH(AI22,$AA:$AA,0)+6)+INDEX(AI:AI,MATCH(AI22,$AA:$AA,0)+7))</f>
        <v>0</v>
      </c>
      <c r="AJ25" s="373"/>
      <c r="AK25" s="372">
        <f>ABS(INDEX(AK:AK,MATCH(AK22,$AA:$AA,0)+5)+INDEX(AK:AK,MATCH(AK22,$AA:$AA,0)+6)+INDEX(AK:AK,MATCH(AK22,$AA:$AA,0)+7))</f>
        <v>170</v>
      </c>
      <c r="AL25" s="373"/>
      <c r="AM25" s="372">
        <f>ABS(INDEX(AM:AM,MATCH(AM22,$AA:$AA,0)+5)+INDEX(AM:AM,MATCH(AM22,$AA:$AA,0)+6)+INDEX(AM:AM,MATCH(AM22,$AA:$AA,0)+7))</f>
        <v>198</v>
      </c>
      <c r="AN25" s="373"/>
      <c r="AO25" s="372">
        <f>ABS(INDEX(AO:AO,MATCH(AO22,$AA:$AA,0)+5)+INDEX(AO:AO,MATCH(AO22,$AA:$AA,0)+6)+INDEX(AO:AO,MATCH(AO22,$AA:$AA,0)+7))</f>
        <v>161</v>
      </c>
      <c r="AP25" s="373"/>
      <c r="AQ25" s="372">
        <f>ABS(INDEX(AQ:AQ,MATCH(AQ22,$AA:$AA,0)+5)+INDEX(AQ:AQ,MATCH(AQ22,$AA:$AA,0)+6)+INDEX(AQ:AQ,MATCH(AQ22,$AA:$AA,0)+7))</f>
        <v>173</v>
      </c>
      <c r="AR25" s="373"/>
      <c r="AS25" s="372">
        <f>ABS(INDEX(AS:AS,MATCH(AS22,$AA:$AA,0)+5)+INDEX(AS:AS,MATCH(AS22,$AA:$AA,0)+6)+INDEX(AS:AS,MATCH(AS22,$AA:$AA,0)+7))</f>
        <v>168</v>
      </c>
      <c r="AT25" s="373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6.05" customHeight="1" x14ac:dyDescent="0.35">
      <c r="B26" s="365" t="str">
        <f t="shared" si="34"/>
        <v>Spieler 2</v>
      </c>
      <c r="C26" s="366" t="str">
        <f t="shared" si="34"/>
        <v/>
      </c>
      <c r="D26" s="339">
        <f>IF(AC26=301,"",AC26)</f>
        <v>160</v>
      </c>
      <c r="E26" s="339" t="str">
        <f>IF(AD26=0,"",AD26)</f>
        <v/>
      </c>
      <c r="F26" s="339">
        <f>IF(AE26=301,"",AE26)</f>
        <v>158</v>
      </c>
      <c r="G26" s="339" t="str">
        <f>IF(AF26=0,"",AF26)</f>
        <v/>
      </c>
      <c r="H26" s="339">
        <f>IF(AG26=301,"",AG26)</f>
        <v>155</v>
      </c>
      <c r="I26" s="339" t="str">
        <f>IF(AH26=0,"",AH26)</f>
        <v/>
      </c>
      <c r="J26" s="339">
        <f>IF(AI26=301,"",AI26)</f>
        <v>0</v>
      </c>
      <c r="K26" s="339" t="str">
        <f>IF(AJ26=0,"",AJ26)</f>
        <v/>
      </c>
      <c r="L26" s="339">
        <f>IF(AK26=301,"",AK26)</f>
        <v>152</v>
      </c>
      <c r="M26" s="339" t="str">
        <f>IF(AL26=0,"",AL26)</f>
        <v/>
      </c>
      <c r="N26" s="339">
        <f>IF(AM26=301,"",AM26)</f>
        <v>133</v>
      </c>
      <c r="O26" s="339" t="str">
        <f>IF(AN26=0,"",AN26)</f>
        <v/>
      </c>
      <c r="P26" s="339">
        <f>IF(AO26=301,"",AO26)</f>
        <v>237</v>
      </c>
      <c r="Q26" s="339" t="str">
        <f>IF(AP26=0,"",AP26)</f>
        <v/>
      </c>
      <c r="R26" s="339">
        <f>IF(AQ26=301,"",AQ26)</f>
        <v>192</v>
      </c>
      <c r="S26" s="339" t="str">
        <f>IF(AR26=0,"",AR26)</f>
        <v/>
      </c>
      <c r="T26" s="339">
        <f>IF(AS26=301,"",AS26)</f>
        <v>141</v>
      </c>
      <c r="U26" s="339" t="str">
        <f>IF(AT26=0,"",AT26)</f>
        <v/>
      </c>
      <c r="V26" s="340"/>
      <c r="W26" s="340"/>
      <c r="AA26" s="91" t="s">
        <v>2</v>
      </c>
      <c r="AB26" s="92"/>
      <c r="AC26" s="374">
        <f>ABS(INDEX(AC:AC,MATCH(AC22,$AA:$AA,0)+8)+INDEX(AC:AC,MATCH(AC22,$AA:$AA,0)+9)+INDEX(AC:AC,MATCH(AC22,$AA:$AA,0)+10))</f>
        <v>160</v>
      </c>
      <c r="AD26" s="375"/>
      <c r="AE26" s="374">
        <f>ABS(INDEX(AE:AE,MATCH(AE22,$AA:$AA,0)+8)+INDEX(AE:AE,MATCH(AE22,$AA:$AA,0)+9)+INDEX(AE:AE,MATCH(AE22,$AA:$AA,0)+10))</f>
        <v>158</v>
      </c>
      <c r="AF26" s="375"/>
      <c r="AG26" s="374">
        <f>ABS(INDEX(AG:AG,MATCH(AG22,$AA:$AA,0)+8)+INDEX(AG:AG,MATCH(AG22,$AA:$AA,0)+9)+INDEX(AG:AG,MATCH(AG22,$AA:$AA,0)+10))</f>
        <v>155</v>
      </c>
      <c r="AH26" s="375"/>
      <c r="AI26" s="374">
        <f>ABS(INDEX(AI:AI,MATCH(AI22,$AA:$AA,0)+8)+INDEX(AI:AI,MATCH(AI22,$AA:$AA,0)+9)+INDEX(AI:AI,MATCH(AI22,$AA:$AA,0)+10))</f>
        <v>0</v>
      </c>
      <c r="AJ26" s="375"/>
      <c r="AK26" s="374">
        <f>ABS(INDEX(AK:AK,MATCH(AK22,$AA:$AA,0)+8)+INDEX(AK:AK,MATCH(AK22,$AA:$AA,0)+9)+INDEX(AK:AK,MATCH(AK22,$AA:$AA,0)+10))</f>
        <v>152</v>
      </c>
      <c r="AL26" s="375"/>
      <c r="AM26" s="374">
        <f>ABS(INDEX(AM:AM,MATCH(AM22,$AA:$AA,0)+8)+INDEX(AM:AM,MATCH(AM22,$AA:$AA,0)+9)+INDEX(AM:AM,MATCH(AM22,$AA:$AA,0)+10))</f>
        <v>133</v>
      </c>
      <c r="AN26" s="375"/>
      <c r="AO26" s="374">
        <f>ABS(INDEX(AO:AO,MATCH(AO22,$AA:$AA,0)+8)+INDEX(AO:AO,MATCH(AO22,$AA:$AA,0)+9)+INDEX(AO:AO,MATCH(AO22,$AA:$AA,0)+10))</f>
        <v>237</v>
      </c>
      <c r="AP26" s="375"/>
      <c r="AQ26" s="374">
        <f>ABS(INDEX(AQ:AQ,MATCH(AQ22,$AA:$AA,0)+8)+INDEX(AQ:AQ,MATCH(AQ22,$AA:$AA,0)+9)+INDEX(AQ:AQ,MATCH(AQ22,$AA:$AA,0)+10))</f>
        <v>192</v>
      </c>
      <c r="AR26" s="375"/>
      <c r="AS26" s="374">
        <f>ABS(INDEX(AS:AS,MATCH(AS22,$AA:$AA,0)+8)+INDEX(AS:AS,MATCH(AS22,$AA:$AA,0)+9)+INDEX(AS:AS,MATCH(AS22,$AA:$AA,0)+10))</f>
        <v>141</v>
      </c>
      <c r="AT26" s="37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6.05" customHeight="1" x14ac:dyDescent="0.35">
      <c r="B27" s="365" t="str">
        <f t="shared" si="34"/>
        <v>Spieler 3</v>
      </c>
      <c r="C27" s="366" t="str">
        <f t="shared" si="34"/>
        <v/>
      </c>
      <c r="D27" s="339">
        <f>IF(AC27=301,"",AC27)</f>
        <v>213</v>
      </c>
      <c r="E27" s="339" t="str">
        <f>IF(AD27=0,"",AD27)</f>
        <v/>
      </c>
      <c r="F27" s="339">
        <f>IF(AE27=301,"",AE27)</f>
        <v>173</v>
      </c>
      <c r="G27" s="339" t="str">
        <f>IF(AF27=0,"",AF27)</f>
        <v/>
      </c>
      <c r="H27" s="339">
        <f>IF(AG27=301,"",AG27)</f>
        <v>203</v>
      </c>
      <c r="I27" s="339" t="str">
        <f>IF(AH27=0,"",AH27)</f>
        <v/>
      </c>
      <c r="J27" s="339">
        <f>IF(AI27=301,"",AI27)</f>
        <v>0</v>
      </c>
      <c r="K27" s="339" t="str">
        <f>IF(AJ27=0,"",AJ27)</f>
        <v/>
      </c>
      <c r="L27" s="339">
        <f>IF(AK27=301,"",AK27)</f>
        <v>233</v>
      </c>
      <c r="M27" s="339" t="str">
        <f>IF(AL27=0,"",AL27)</f>
        <v/>
      </c>
      <c r="N27" s="339">
        <f>IF(AM27=301,"",AM27)</f>
        <v>141</v>
      </c>
      <c r="O27" s="339" t="str">
        <f>IF(AN27=0,"",AN27)</f>
        <v/>
      </c>
      <c r="P27" s="339">
        <f>IF(AO27=301,"",AO27)</f>
        <v>196</v>
      </c>
      <c r="Q27" s="339" t="str">
        <f>IF(AP27=0,"",AP27)</f>
        <v/>
      </c>
      <c r="R27" s="339">
        <f>IF(AQ27=301,"",AQ27)</f>
        <v>200</v>
      </c>
      <c r="S27" s="339" t="str">
        <f>IF(AR27=0,"",AR27)</f>
        <v/>
      </c>
      <c r="T27" s="339">
        <f>IF(AS27=301,"",AS27)</f>
        <v>158</v>
      </c>
      <c r="U27" s="339" t="str">
        <f>IF(AT27=0,"",AT27)</f>
        <v/>
      </c>
      <c r="V27" s="340"/>
      <c r="W27" s="340"/>
      <c r="AA27" s="91" t="s">
        <v>3</v>
      </c>
      <c r="AB27" s="92"/>
      <c r="AC27" s="374">
        <f>ABS(INDEX(AC:AC,MATCH(AC22,$AA:$AA,0)+11)+INDEX(AC:AC,MATCH(AC22,$AA:$AA,0)+12)+INDEX(AC:AC,MATCH(AC22,$AA:$AA,0)+13))</f>
        <v>213</v>
      </c>
      <c r="AD27" s="375"/>
      <c r="AE27" s="374">
        <f>ABS(INDEX(AE:AE,MATCH(AE22,$AA:$AA,0)+11)+INDEX(AE:AE,MATCH(AE22,$AA:$AA,0)+12)+INDEX(AE:AE,MATCH(AE22,$AA:$AA,0)+13))</f>
        <v>173</v>
      </c>
      <c r="AF27" s="375"/>
      <c r="AG27" s="374">
        <f>ABS(INDEX(AG:AG,MATCH(AG22,$AA:$AA,0)+11)+INDEX(AG:AG,MATCH(AG22,$AA:$AA,0)+12)+INDEX(AG:AG,MATCH(AG22,$AA:$AA,0)+13))</f>
        <v>203</v>
      </c>
      <c r="AH27" s="375"/>
      <c r="AI27" s="374">
        <f>ABS(INDEX(AI:AI,MATCH(AI22,$AA:$AA,0)+11)+INDEX(AI:AI,MATCH(AI22,$AA:$AA,0)+12)+INDEX(AI:AI,MATCH(AI22,$AA:$AA,0)+13))</f>
        <v>0</v>
      </c>
      <c r="AJ27" s="375"/>
      <c r="AK27" s="374">
        <f>ABS(INDEX(AK:AK,MATCH(AK22,$AA:$AA,0)+11)+INDEX(AK:AK,MATCH(AK22,$AA:$AA,0)+12)+INDEX(AK:AK,MATCH(AK22,$AA:$AA,0)+13))</f>
        <v>233</v>
      </c>
      <c r="AL27" s="375"/>
      <c r="AM27" s="374">
        <f>ABS(INDEX(AM:AM,MATCH(AM22,$AA:$AA,0)+11)+INDEX(AM:AM,MATCH(AM22,$AA:$AA,0)+12)+INDEX(AM:AM,MATCH(AM22,$AA:$AA,0)+13))</f>
        <v>141</v>
      </c>
      <c r="AN27" s="375"/>
      <c r="AO27" s="374">
        <f>ABS(INDEX(AO:AO,MATCH(AO22,$AA:$AA,0)+11)+INDEX(AO:AO,MATCH(AO22,$AA:$AA,0)+12)+INDEX(AO:AO,MATCH(AO22,$AA:$AA,0)+13))</f>
        <v>196</v>
      </c>
      <c r="AP27" s="375"/>
      <c r="AQ27" s="374">
        <f>ABS(INDEX(AQ:AQ,MATCH(AQ22,$AA:$AA,0)+11)+INDEX(AQ:AQ,MATCH(AQ22,$AA:$AA,0)+12)+INDEX(AQ:AQ,MATCH(AQ22,$AA:$AA,0)+13))</f>
        <v>200</v>
      </c>
      <c r="AR27" s="375"/>
      <c r="AS27" s="374">
        <f>ABS(INDEX(AS:AS,MATCH(AS22,$AA:$AA,0)+11)+INDEX(AS:AS,MATCH(AS22,$AA:$AA,0)+12)+INDEX(AS:AS,MATCH(AS22,$AA:$AA,0)+13))</f>
        <v>158</v>
      </c>
      <c r="AT27" s="37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6.05" customHeight="1" x14ac:dyDescent="0.35">
      <c r="B28" s="365" t="str">
        <f t="shared" si="34"/>
        <v>Spieler 4</v>
      </c>
      <c r="C28" s="366" t="str">
        <f t="shared" si="34"/>
        <v/>
      </c>
      <c r="D28" s="339">
        <f>IF(AC28=301,"",AC28)</f>
        <v>157</v>
      </c>
      <c r="E28" s="339" t="str">
        <f>IF(AD28=0,"",AD28)</f>
        <v/>
      </c>
      <c r="F28" s="339">
        <f>IF(AE28=301,"",AE28)</f>
        <v>171</v>
      </c>
      <c r="G28" s="339" t="str">
        <f>IF(AF28=0,"",AF28)</f>
        <v/>
      </c>
      <c r="H28" s="339">
        <f>IF(AG28=301,"",AG28)</f>
        <v>223</v>
      </c>
      <c r="I28" s="339" t="str">
        <f>IF(AH28=0,"",AH28)</f>
        <v/>
      </c>
      <c r="J28" s="339">
        <f>IF(AI28=301,"",AI28)</f>
        <v>0</v>
      </c>
      <c r="K28" s="339" t="str">
        <f>IF(AJ28=0,"",AJ28)</f>
        <v/>
      </c>
      <c r="L28" s="339">
        <f>IF(AK28=301,"",AK28)</f>
        <v>186</v>
      </c>
      <c r="M28" s="339" t="str">
        <f>IF(AL28=0,"",AL28)</f>
        <v/>
      </c>
      <c r="N28" s="339">
        <f>IF(AM28=301,"",AM28)</f>
        <v>179</v>
      </c>
      <c r="O28" s="339" t="str">
        <f>IF(AN28=0,"",AN28)</f>
        <v/>
      </c>
      <c r="P28" s="339">
        <f>IF(AO28=301,"",AO28)</f>
        <v>187</v>
      </c>
      <c r="Q28" s="339" t="str">
        <f>IF(AP28=0,"",AP28)</f>
        <v/>
      </c>
      <c r="R28" s="339">
        <f>IF(AQ28=301,"",AQ28)</f>
        <v>222</v>
      </c>
      <c r="S28" s="339" t="str">
        <f>IF(AR28=0,"",AR28)</f>
        <v/>
      </c>
      <c r="T28" s="339">
        <f>IF(AS28=301,"",AS28)</f>
        <v>163</v>
      </c>
      <c r="U28" s="339" t="str">
        <f>IF(AT28=0,"",AT28)</f>
        <v/>
      </c>
      <c r="V28" s="340"/>
      <c r="W28" s="340"/>
      <c r="AA28" s="91" t="s">
        <v>11</v>
      </c>
      <c r="AB28" s="92"/>
      <c r="AC28" s="374">
        <f>ABS(INDEX(AC:AC,MATCH(AC22,$AA:$AA,0)+14)+INDEX(AC:AC,MATCH(AC22,$AA:$AA,0)+15)+INDEX(AC:AC,MATCH(AC22,$AA:$AA,0)+16))</f>
        <v>157</v>
      </c>
      <c r="AD28" s="375"/>
      <c r="AE28" s="374">
        <f>ABS(INDEX(AE:AE,MATCH(AE22,$AA:$AA,0)+14)+INDEX(AE:AE,MATCH(AE22,$AA:$AA,0)+15)+INDEX(AE:AE,MATCH(AE22,$AA:$AA,0)+16))</f>
        <v>171</v>
      </c>
      <c r="AF28" s="375"/>
      <c r="AG28" s="374">
        <f>ABS(INDEX(AG:AG,MATCH(AG22,$AA:$AA,0)+14)+INDEX(AG:AG,MATCH(AG22,$AA:$AA,0)+15)+INDEX(AG:AG,MATCH(AG22,$AA:$AA,0)+16))</f>
        <v>223</v>
      </c>
      <c r="AH28" s="375"/>
      <c r="AI28" s="374">
        <f>ABS(INDEX(AI:AI,MATCH(AI22,$AA:$AA,0)+14)+INDEX(AI:AI,MATCH(AI22,$AA:$AA,0)+15)+INDEX(AI:AI,MATCH(AI22,$AA:$AA,0)+16))</f>
        <v>0</v>
      </c>
      <c r="AJ28" s="375"/>
      <c r="AK28" s="374">
        <f>ABS(INDEX(AK:AK,MATCH(AK22,$AA:$AA,0)+14)+INDEX(AK:AK,MATCH(AK22,$AA:$AA,0)+15)+INDEX(AK:AK,MATCH(AK22,$AA:$AA,0)+16))</f>
        <v>186</v>
      </c>
      <c r="AL28" s="375"/>
      <c r="AM28" s="374">
        <f>ABS(INDEX(AM:AM,MATCH(AM22,$AA:$AA,0)+14)+INDEX(AM:AM,MATCH(AM22,$AA:$AA,0)+15)+INDEX(AM:AM,MATCH(AM22,$AA:$AA,0)+16))</f>
        <v>179</v>
      </c>
      <c r="AN28" s="375"/>
      <c r="AO28" s="374">
        <f>ABS(INDEX(AO:AO,MATCH(AO22,$AA:$AA,0)+14)+INDEX(AO:AO,MATCH(AO22,$AA:$AA,0)+15)+INDEX(AO:AO,MATCH(AO22,$AA:$AA,0)+16))</f>
        <v>187</v>
      </c>
      <c r="AP28" s="375"/>
      <c r="AQ28" s="374">
        <f>ABS(INDEX(AQ:AQ,MATCH(AQ22,$AA:$AA,0)+14)+INDEX(AQ:AQ,MATCH(AQ22,$AA:$AA,0)+15)+INDEX(AQ:AQ,MATCH(AQ22,$AA:$AA,0)+16))</f>
        <v>222</v>
      </c>
      <c r="AR28" s="375"/>
      <c r="AS28" s="374">
        <f>ABS(INDEX(AS:AS,MATCH(AS22,$AA:$AA,0)+14)+INDEX(AS:AS,MATCH(AS22,$AA:$AA,0)+15)+INDEX(AS:AS,MATCH(AS22,$AA:$AA,0)+16))</f>
        <v>163</v>
      </c>
      <c r="AT28" s="37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6.05" customHeight="1" x14ac:dyDescent="0.35">
      <c r="B29" s="354" t="str">
        <f t="shared" si="34"/>
        <v>Gesamt</v>
      </c>
      <c r="C29" s="355" t="str">
        <f t="shared" si="34"/>
        <v/>
      </c>
      <c r="D29" s="338">
        <f>IF(AC29=1505,"",AC29)</f>
        <v>691</v>
      </c>
      <c r="E29" s="338" t="str">
        <f>IF(AD29=0,"",AD29)</f>
        <v/>
      </c>
      <c r="F29" s="338">
        <f>IF(AE29=1505,"",AE29)</f>
        <v>679</v>
      </c>
      <c r="G29" s="338" t="str">
        <f>IF(AF29=0,"",AF29)</f>
        <v/>
      </c>
      <c r="H29" s="338">
        <f>IF(AG29=1505,"",AG29)</f>
        <v>748</v>
      </c>
      <c r="I29" s="338" t="str">
        <f>IF(AH29=0,"",AH29)</f>
        <v/>
      </c>
      <c r="J29" s="338">
        <f>IF(AI29=1505,"",AI29)</f>
        <v>0</v>
      </c>
      <c r="K29" s="338" t="str">
        <f>IF(AJ29=0,"",AJ29)</f>
        <v/>
      </c>
      <c r="L29" s="338">
        <f>IF(AK29=1505,"",AK29)</f>
        <v>741</v>
      </c>
      <c r="M29" s="338" t="str">
        <f>IF(AL29=0,"",AL29)</f>
        <v/>
      </c>
      <c r="N29" s="338">
        <f>IF(AM29=1505,"",AM29)</f>
        <v>651</v>
      </c>
      <c r="O29" s="338" t="str">
        <f>IF(AN29=0,"",AN29)</f>
        <v/>
      </c>
      <c r="P29" s="338">
        <f>IF(AO29=1505,"",AO29)</f>
        <v>781</v>
      </c>
      <c r="Q29" s="338" t="str">
        <f>IF(AP29=0,"",AP29)</f>
        <v/>
      </c>
      <c r="R29" s="338">
        <f>IF(AQ29=1505,"",AQ29)</f>
        <v>787</v>
      </c>
      <c r="S29" s="338" t="str">
        <f>IF(AR29=0,"",AR29)</f>
        <v/>
      </c>
      <c r="T29" s="338">
        <f>IF(AS29=1505,"",AS29)</f>
        <v>630</v>
      </c>
      <c r="U29" s="338" t="str">
        <f>IF(AT29=0,"",AT29)</f>
        <v/>
      </c>
      <c r="V29" s="290"/>
      <c r="W29" s="290"/>
      <c r="AA29" s="93" t="s">
        <v>1799</v>
      </c>
      <c r="AB29" s="94"/>
      <c r="AC29" s="354">
        <f>SUM(AC25:AC28)</f>
        <v>691</v>
      </c>
      <c r="AD29" s="355"/>
      <c r="AE29" s="354">
        <f>SUM(AE25:AE28)</f>
        <v>679</v>
      </c>
      <c r="AF29" s="355"/>
      <c r="AG29" s="354">
        <f>SUM(AG25:AG28)</f>
        <v>748</v>
      </c>
      <c r="AH29" s="355"/>
      <c r="AI29" s="354">
        <f>SUM(AI25:AI28)</f>
        <v>0</v>
      </c>
      <c r="AJ29" s="355"/>
      <c r="AK29" s="354">
        <f>SUM(AK25:AK28)</f>
        <v>741</v>
      </c>
      <c r="AL29" s="355"/>
      <c r="AM29" s="354">
        <f>SUM(AM25:AM28)</f>
        <v>651</v>
      </c>
      <c r="AN29" s="355"/>
      <c r="AO29" s="354">
        <f>SUM(AO25:AO28)</f>
        <v>781</v>
      </c>
      <c r="AP29" s="355"/>
      <c r="AQ29" s="354">
        <f>SUM(AQ25:AQ28)</f>
        <v>787</v>
      </c>
      <c r="AR29" s="355"/>
      <c r="AS29" s="354">
        <f>SUM(AS25:AS28)</f>
        <v>630</v>
      </c>
      <c r="AT29" s="35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3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7">
      <c r="B31" s="44" t="str">
        <f>AA31</f>
        <v>Team-Nr.</v>
      </c>
      <c r="C31" s="45"/>
      <c r="D31" s="44" t="str">
        <f>AC31</f>
        <v>Liga:</v>
      </c>
      <c r="E31" s="47"/>
      <c r="F31" s="359" t="str">
        <f>AE31</f>
        <v>Bayernliga Frauen</v>
      </c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48"/>
      <c r="S31" s="49" t="s">
        <v>1794</v>
      </c>
      <c r="T31" s="50"/>
      <c r="U31" s="360" t="str">
        <f>AT31</f>
        <v>15.02./16.02.</v>
      </c>
      <c r="V31" s="361"/>
      <c r="W31" s="362"/>
      <c r="X31" s="363"/>
      <c r="Y31" s="364"/>
      <c r="Z31" s="364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0" t="str">
        <f>VLOOKUP(AS32,Spielorte!$A$1:$C$6,2)</f>
        <v>15.02./16.02.</v>
      </c>
      <c r="AU31" s="361"/>
      <c r="AV31" s="362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65">
      <c r="B32" s="53">
        <f>AA32</f>
        <v>2</v>
      </c>
      <c r="D32" s="46" t="s">
        <v>1793</v>
      </c>
      <c r="E32" s="54"/>
      <c r="F32" s="358" t="str">
        <f>AE32</f>
        <v>Nürnberg West Bowling</v>
      </c>
      <c r="G32" s="358"/>
      <c r="H32" s="358"/>
      <c r="I32" s="358"/>
      <c r="J32" s="358"/>
      <c r="K32" s="358"/>
      <c r="L32" s="358"/>
      <c r="M32" s="358"/>
      <c r="N32" s="358"/>
      <c r="O32" s="358"/>
      <c r="P32" s="55"/>
      <c r="Q32" s="55"/>
      <c r="S32" s="49" t="s">
        <v>1791</v>
      </c>
      <c r="T32" s="56">
        <f>AS32</f>
        <v>4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Nürnberg West Bowling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4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4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5" thickBot="1" x14ac:dyDescent="0.45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VLOOKUP(AA32,Schlüssel!$A$5:$DZ$14,73)</f>
        <v>18</v>
      </c>
      <c r="AE34" s="65" t="s">
        <v>10</v>
      </c>
      <c r="AF34" s="44">
        <f>VLOOKUP(AA32,Schlüssel!$A$5:$DZ$14,74)</f>
        <v>20</v>
      </c>
      <c r="AG34" s="65" t="s">
        <v>10</v>
      </c>
      <c r="AH34" s="44">
        <f>VLOOKUP(AA32,Schlüssel!$A$5:$DZ$14,75)</f>
        <v>14</v>
      </c>
      <c r="AI34" s="65" t="s">
        <v>10</v>
      </c>
      <c r="AJ34" s="44">
        <f>VLOOKUP(AA32,Schlüssel!$A$5:$DZ$14,76)</f>
        <v>16</v>
      </c>
      <c r="AK34" s="65" t="s">
        <v>10</v>
      </c>
      <c r="AL34" s="44">
        <f>VLOOKUP(AA32,Schlüssel!$A$5:$DZ$14,77)</f>
        <v>11</v>
      </c>
      <c r="AM34" s="65" t="s">
        <v>10</v>
      </c>
      <c r="AN34" s="44">
        <f>VLOOKUP(AA32,Schlüssel!$A$5:$DZ$14,78)</f>
        <v>13</v>
      </c>
      <c r="AO34" s="65" t="s">
        <v>10</v>
      </c>
      <c r="AP34" s="44">
        <f>VLOOKUP(AA32,Schlüssel!$A$5:$DZ$14,79)</f>
        <v>17</v>
      </c>
      <c r="AQ34" s="65" t="s">
        <v>10</v>
      </c>
      <c r="AR34" s="44">
        <f>VLOOKUP(AA32,Schlüssel!$A$5:$DZ$14,80)</f>
        <v>12</v>
      </c>
      <c r="AS34" s="65" t="s">
        <v>10</v>
      </c>
      <c r="AT34" s="44">
        <f>VLOOKUP(AA32,Schlüssel!$A$5:$DZ$14,81)</f>
        <v>15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35">
      <c r="B35" s="67" t="s">
        <v>1</v>
      </c>
      <c r="C35" s="68"/>
      <c r="D35" s="354" t="s">
        <v>1800</v>
      </c>
      <c r="E35" s="355"/>
      <c r="F35" s="354" t="s">
        <v>1801</v>
      </c>
      <c r="G35" s="355"/>
      <c r="H35" s="354" t="s">
        <v>1802</v>
      </c>
      <c r="I35" s="355"/>
      <c r="J35" s="354" t="s">
        <v>1803</v>
      </c>
      <c r="K35" s="355"/>
      <c r="L35" s="354" t="s">
        <v>1804</v>
      </c>
      <c r="M35" s="355"/>
      <c r="N35" s="354" t="s">
        <v>1805</v>
      </c>
      <c r="O35" s="355"/>
      <c r="P35" s="354" t="s">
        <v>1806</v>
      </c>
      <c r="Q35" s="355"/>
      <c r="R35" s="354" t="s">
        <v>1807</v>
      </c>
      <c r="S35" s="355"/>
      <c r="T35" s="354" t="s">
        <v>1808</v>
      </c>
      <c r="U35" s="355"/>
      <c r="V35" s="356" t="s">
        <v>1799</v>
      </c>
      <c r="W35" s="357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4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2" customHeight="1" x14ac:dyDescent="0.35">
      <c r="A37" s="367" t="s">
        <v>0</v>
      </c>
      <c r="B37" s="73" t="str">
        <f>IF(AA37=0,"",AA37)</f>
        <v>Schott, Monika</v>
      </c>
      <c r="C37" s="74">
        <f>IF(AB37=0,"",AB37)</f>
        <v>16594</v>
      </c>
      <c r="D37" s="75">
        <f>IF(AC37=0,"",AC37)</f>
        <v>222</v>
      </c>
      <c r="E37" s="348">
        <f>IF(AD37="","",AD37)</f>
        <v>1</v>
      </c>
      <c r="F37" s="75">
        <f t="shared" ref="F37:F50" si="35">IF(AE37=0,"",AE37)</f>
        <v>156</v>
      </c>
      <c r="G37" s="348">
        <f>IF(AF37="","",AF37)</f>
        <v>0</v>
      </c>
      <c r="H37" s="75">
        <f t="shared" ref="H37:H50" si="36">IF(AG37=0,"",AG37)</f>
        <v>199</v>
      </c>
      <c r="I37" s="348">
        <f>IF(AH37="","",AH37)</f>
        <v>1</v>
      </c>
      <c r="J37" s="75">
        <f t="shared" ref="J37:J50" si="37">IF(AI37=0,"",AI37)</f>
        <v>199</v>
      </c>
      <c r="K37" s="348">
        <f>IF(AJ37="","",AJ37)</f>
        <v>1</v>
      </c>
      <c r="L37" s="75">
        <f t="shared" ref="L37:L50" si="38">IF(AK37=0,"",AK37)</f>
        <v>148</v>
      </c>
      <c r="M37" s="348">
        <f>IF(AL37="","",AL37)</f>
        <v>0</v>
      </c>
      <c r="N37" s="75">
        <f>IF(AM37=0,"",AM37)</f>
        <v>198</v>
      </c>
      <c r="O37" s="348">
        <f>IF(AN37="","",AN37)</f>
        <v>1</v>
      </c>
      <c r="P37" s="75">
        <f t="shared" ref="P37:P50" si="39">IF(AO37=0,"",AO37)</f>
        <v>189</v>
      </c>
      <c r="Q37" s="348">
        <f>IF(AP37="","",AP37)</f>
        <v>1</v>
      </c>
      <c r="R37" s="75">
        <f t="shared" ref="R37:R50" si="40">IF(AQ37=0,"",AQ37)</f>
        <v>197</v>
      </c>
      <c r="S37" s="348">
        <f>IF(AR37="","",AR37)</f>
        <v>0</v>
      </c>
      <c r="T37" s="75">
        <f t="shared" ref="T37:T50" si="41">IF(AS37=0,"",AS37)</f>
        <v>169</v>
      </c>
      <c r="U37" s="348">
        <f>IF(AT37="","",AT37)</f>
        <v>1</v>
      </c>
      <c r="V37" s="75">
        <f t="shared" ref="V37:V50" si="42">IF(AU37=0,"",AU37)</f>
        <v>1677</v>
      </c>
      <c r="W37" s="348">
        <f>IF(AV37="","",AV37)</f>
        <v>6</v>
      </c>
      <c r="Z37" s="351" t="s">
        <v>0</v>
      </c>
      <c r="AA37" s="108" t="str">
        <f>IF(AB37=0,"",VLOOKUP(AB37,Starter!$A$1:$D$199,2,FALSE))</f>
        <v>Schott, Monika</v>
      </c>
      <c r="AB37" s="99">
        <v>16594</v>
      </c>
      <c r="AC37" s="185">
        <v>222</v>
      </c>
      <c r="AD37" s="109">
        <f>IF(SUM(AC37:AC39)+AC55=0,0,IF(SUM(AC37:AC39)=AC55,0.5,IF(SUM(AC37:AC39)&gt;AC55,1,0)))</f>
        <v>1</v>
      </c>
      <c r="AE37" s="185">
        <v>156</v>
      </c>
      <c r="AF37" s="109">
        <f>IF(SUM(AE37:AE39)+AE55=0,0,IF(SUM(AE37:AE39)=AE55,0.5,IF(SUM(AE37:AE39)&gt;AE55,1,0)))</f>
        <v>0</v>
      </c>
      <c r="AG37" s="185">
        <v>199</v>
      </c>
      <c r="AH37" s="109">
        <f>IF(SUM(AG37:AG39)+AG55=0,0,IF(SUM(AG37:AG39)=AG55,0.5,IF(SUM(AG37:AG39)&gt;AG55,1,0)))</f>
        <v>1</v>
      </c>
      <c r="AI37" s="185">
        <v>199</v>
      </c>
      <c r="AJ37" s="109">
        <f>IF(SUM(AI37:AI39)+AI55=0,0,IF(SUM(AI37:AI39)=AI55,0.5,IF(SUM(AI37:AI39)&gt;AI55,1,0)))</f>
        <v>1</v>
      </c>
      <c r="AK37" s="185">
        <v>148</v>
      </c>
      <c r="AL37" s="109">
        <f>IF(SUM(AK37:AK39)+AK55=0,0,IF(SUM(AK37:AK39)=AK55,0.5,IF(SUM(AK37:AK39)&gt;AK55,1,0)))</f>
        <v>0</v>
      </c>
      <c r="AM37" s="185">
        <v>198</v>
      </c>
      <c r="AN37" s="109">
        <f>IF(SUM(AM37:AM39)+AM55=0,0,IF(SUM(AM37:AM39)=AM55,0.5,IF(SUM(AM37:AM39)&gt;AM55,1,0)))</f>
        <v>1</v>
      </c>
      <c r="AO37" s="185">
        <v>189</v>
      </c>
      <c r="AP37" s="109">
        <f>IF(SUM(AO37:AO39)+AO55=0,0,IF(SUM(AO37:AO39)=AO55,0.5,IF(SUM(AO37:AO39)&gt;AO55,1,0)))</f>
        <v>1</v>
      </c>
      <c r="AQ37" s="185">
        <v>197</v>
      </c>
      <c r="AR37" s="109">
        <f>IF(SUM(AQ37:AQ39)+AQ55=0,0,IF(SUM(AQ37:AQ39)=AQ55,0.5,IF(SUM(AQ37:AQ39)&gt;AQ55,1,0)))</f>
        <v>0</v>
      </c>
      <c r="AS37" s="185">
        <v>169</v>
      </c>
      <c r="AT37" s="109">
        <f>IF(SUM(AS37:AS39)+AS55=0,0,IF(SUM(AS37:AS39)=AS55,0.5,IF(SUM(AS37:AS39)&gt;AS55,1,0)))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1677</v>
      </c>
      <c r="AV37" s="111">
        <f>SUM(AD37+AF37+AH37+AJ37+AL37+AN37+AP37+AR37+AT37)</f>
        <v>6</v>
      </c>
      <c r="AW37" s="101"/>
      <c r="AX37" s="102"/>
      <c r="AZ37" s="63"/>
      <c r="BA37" s="212"/>
      <c r="BB37" s="213"/>
      <c r="BC37" s="214"/>
      <c r="BD37" s="217">
        <f>+AB37</f>
        <v>16594</v>
      </c>
      <c r="BE37" s="213">
        <f>+AU37</f>
        <v>1677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222</v>
      </c>
      <c r="BI37" s="215">
        <f t="shared" ref="BI37:BI48" si="45">IF(AE37=0,"",AE37)</f>
        <v>156</v>
      </c>
      <c r="BJ37" s="215">
        <f t="shared" ref="BJ37:BJ48" si="46">IF(AG37=0,"",AG37)</f>
        <v>199</v>
      </c>
      <c r="BK37" s="215">
        <f t="shared" ref="BK37:BK48" si="47">IF(AI37=0,"",AI37)</f>
        <v>199</v>
      </c>
      <c r="BL37" s="215">
        <f t="shared" ref="BL37:BL48" si="48">IF(AK37=0,"",AK37)</f>
        <v>148</v>
      </c>
      <c r="BM37" s="215">
        <f t="shared" ref="BM37:BM48" si="49">IF(AM37=0,"",AM37)</f>
        <v>198</v>
      </c>
      <c r="BN37" s="215">
        <f t="shared" ref="BN37:BN48" si="50">IF(AO37=0,"",AO37)</f>
        <v>189</v>
      </c>
      <c r="BO37" s="215">
        <f t="shared" ref="BO37:BO48" si="51">IF(AQ37=0,"",AQ37)</f>
        <v>197</v>
      </c>
      <c r="BP37" s="215">
        <f t="shared" ref="BP37:BP48" si="52">IF(AS37=0,"",AS37)</f>
        <v>169</v>
      </c>
      <c r="BQ37" s="216"/>
      <c r="BR37" s="214"/>
      <c r="BS37" s="215">
        <f>MAX(BH37:BP37)</f>
        <v>222</v>
      </c>
      <c r="BT37" s="215">
        <f>IF(BS37&lt;MAX(BS:BS),0,BS37+ROW()/1000000000)</f>
        <v>0</v>
      </c>
      <c r="BU37" s="215" t="str">
        <f>+AA33</f>
        <v>BK München 2</v>
      </c>
      <c r="BV37" s="214">
        <f>RANK(BT37,BT:BT)</f>
        <v>2</v>
      </c>
      <c r="BW37" s="215">
        <f>SUMIF(BH37:BP37,"&gt;0")</f>
        <v>1677</v>
      </c>
      <c r="BX37" s="215">
        <f>IF(COUNTIF(BH37:BP37,"&gt;0")&lt;Spielorte!$A$23,0,BE37/Spielorte!$A$23)</f>
        <v>186.33333333333334</v>
      </c>
      <c r="BY37" s="215">
        <f>IF(BX37&lt;MAX(BX:BX),0,BX37+ROW()/1000000000)</f>
        <v>0</v>
      </c>
      <c r="BZ37" s="214">
        <f t="shared" ref="BZ37:BZ48" si="53">IF(BY37=0,0,RANK(BY37,BY:BY))</f>
        <v>0</v>
      </c>
    </row>
    <row r="38" spans="1:78" ht="17.2" customHeight="1" x14ac:dyDescent="0.35">
      <c r="A38" s="368"/>
      <c r="B38" s="76" t="str">
        <f t="shared" ref="B38:D50" si="54">IF(AA38=0,"",AA38)</f>
        <v/>
      </c>
      <c r="C38" s="77" t="str">
        <f t="shared" si="54"/>
        <v/>
      </c>
      <c r="D38" s="78" t="str">
        <f t="shared" si="54"/>
        <v/>
      </c>
      <c r="E38" s="349"/>
      <c r="F38" s="78" t="str">
        <f t="shared" si="35"/>
        <v/>
      </c>
      <c r="G38" s="349"/>
      <c r="H38" s="78" t="str">
        <f t="shared" si="36"/>
        <v/>
      </c>
      <c r="I38" s="349"/>
      <c r="J38" s="78" t="str">
        <f t="shared" si="37"/>
        <v/>
      </c>
      <c r="K38" s="349"/>
      <c r="L38" s="78" t="str">
        <f t="shared" si="38"/>
        <v/>
      </c>
      <c r="M38" s="349"/>
      <c r="N38" s="78" t="str">
        <f t="shared" ref="N38:N50" si="55">IF(AM38=0,"",AM38)</f>
        <v/>
      </c>
      <c r="O38" s="349"/>
      <c r="P38" s="78" t="str">
        <f t="shared" si="39"/>
        <v/>
      </c>
      <c r="Q38" s="349"/>
      <c r="R38" s="78" t="str">
        <f t="shared" si="40"/>
        <v/>
      </c>
      <c r="S38" s="349"/>
      <c r="T38" s="78" t="str">
        <f t="shared" si="41"/>
        <v/>
      </c>
      <c r="U38" s="349"/>
      <c r="V38" s="78" t="str">
        <f t="shared" si="42"/>
        <v/>
      </c>
      <c r="W38" s="349"/>
      <c r="Z38" s="352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6">+AB38</f>
        <v>0</v>
      </c>
      <c r="BE38" s="213">
        <f t="shared" ref="BE38:BE48" si="57">+AU38</f>
        <v>0</v>
      </c>
      <c r="BF38" s="215">
        <f t="shared" ref="BF38:BF48" si="58">COUNT(BH38:BP38)</f>
        <v>0</v>
      </c>
      <c r="BG38" s="215">
        <f t="shared" ref="BG38:BG48" si="59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0">MAX(BH38:BP38)</f>
        <v>0</v>
      </c>
      <c r="BT38" s="215">
        <f t="shared" ref="BT38:BT48" si="61">IF(BS38&lt;MAX(BS:BS),0,BS38+ROW()/1000000000)</f>
        <v>0</v>
      </c>
      <c r="BU38" s="215" t="str">
        <f t="shared" ref="BU38:BU48" si="62">+BU37</f>
        <v>BK München 2</v>
      </c>
      <c r="BV38" s="214">
        <f t="shared" ref="BV38:BV48" si="63">RANK(BT38,BT:BT)</f>
        <v>2</v>
      </c>
      <c r="BW38" s="215">
        <f t="shared" ref="BW38:BW48" si="64">SUMIF(BH38:BP38,"&gt;0")</f>
        <v>0</v>
      </c>
      <c r="BX38" s="215">
        <f>IF(COUNTIF(BH38:BP38,"&gt;0")&lt;Spielorte!$A$23,0,BE38/Spielorte!$A$23)</f>
        <v>0</v>
      </c>
      <c r="BY38" s="215">
        <f t="shared" ref="BY38:BY48" si="65">IF(BX38&lt;MAX(BX:BX),0,BX38+ROW()/1000000000)</f>
        <v>0</v>
      </c>
      <c r="BZ38" s="214">
        <f t="shared" si="53"/>
        <v>0</v>
      </c>
    </row>
    <row r="39" spans="1:78" ht="17.2" customHeight="1" thickBot="1" x14ac:dyDescent="0.4">
      <c r="A39" s="369"/>
      <c r="B39" s="79" t="str">
        <f t="shared" si="54"/>
        <v/>
      </c>
      <c r="C39" s="80" t="str">
        <f t="shared" si="54"/>
        <v/>
      </c>
      <c r="D39" s="69" t="str">
        <f t="shared" si="54"/>
        <v/>
      </c>
      <c r="E39" s="350"/>
      <c r="F39" s="69" t="str">
        <f t="shared" si="35"/>
        <v/>
      </c>
      <c r="G39" s="350"/>
      <c r="H39" s="69" t="str">
        <f t="shared" si="36"/>
        <v/>
      </c>
      <c r="I39" s="350"/>
      <c r="J39" s="69" t="str">
        <f t="shared" si="37"/>
        <v/>
      </c>
      <c r="K39" s="350"/>
      <c r="L39" s="69" t="str">
        <f t="shared" si="38"/>
        <v/>
      </c>
      <c r="M39" s="350"/>
      <c r="N39" s="69" t="str">
        <f t="shared" si="55"/>
        <v/>
      </c>
      <c r="O39" s="350"/>
      <c r="P39" s="69" t="str">
        <f t="shared" si="39"/>
        <v/>
      </c>
      <c r="Q39" s="350"/>
      <c r="R39" s="69" t="str">
        <f t="shared" si="40"/>
        <v/>
      </c>
      <c r="S39" s="350"/>
      <c r="T39" s="69" t="str">
        <f t="shared" si="41"/>
        <v/>
      </c>
      <c r="U39" s="350"/>
      <c r="V39" s="69" t="str">
        <f t="shared" si="42"/>
        <v/>
      </c>
      <c r="W39" s="350"/>
      <c r="Z39" s="353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6"/>
        <v>0</v>
      </c>
      <c r="BE39" s="213">
        <f t="shared" si="57"/>
        <v>0</v>
      </c>
      <c r="BF39" s="215">
        <f t="shared" si="58"/>
        <v>0</v>
      </c>
      <c r="BG39" s="215">
        <f t="shared" si="59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0"/>
        <v>0</v>
      </c>
      <c r="BT39" s="215">
        <f t="shared" si="61"/>
        <v>0</v>
      </c>
      <c r="BU39" s="215" t="str">
        <f t="shared" si="62"/>
        <v>BK München 2</v>
      </c>
      <c r="BV39" s="214">
        <f t="shared" si="63"/>
        <v>2</v>
      </c>
      <c r="BW39" s="215">
        <f t="shared" si="64"/>
        <v>0</v>
      </c>
      <c r="BX39" s="215">
        <f>IF(COUNTIF(BH39:BP39,"&gt;0")&lt;Spielorte!$A$23,0,BE39/Spielorte!$A$23)</f>
        <v>0</v>
      </c>
      <c r="BY39" s="215">
        <f t="shared" si="65"/>
        <v>0</v>
      </c>
      <c r="BZ39" s="214">
        <f t="shared" si="53"/>
        <v>0</v>
      </c>
    </row>
    <row r="40" spans="1:78" ht="17.2" customHeight="1" x14ac:dyDescent="0.35">
      <c r="A40" s="367" t="s">
        <v>2</v>
      </c>
      <c r="B40" s="73" t="str">
        <f t="shared" si="54"/>
        <v>Seeger, Melanie</v>
      </c>
      <c r="C40" s="74">
        <f t="shared" si="54"/>
        <v>38350</v>
      </c>
      <c r="D40" s="75">
        <f t="shared" si="54"/>
        <v>191</v>
      </c>
      <c r="E40" s="348">
        <f>IF(AD40="","",AD40)</f>
        <v>1</v>
      </c>
      <c r="F40" s="75">
        <f t="shared" si="35"/>
        <v>202</v>
      </c>
      <c r="G40" s="348">
        <f>IF(AF40="","",AF40)</f>
        <v>1</v>
      </c>
      <c r="H40" s="75">
        <f t="shared" si="36"/>
        <v>163</v>
      </c>
      <c r="I40" s="348">
        <f>IF(AH40="","",AH40)</f>
        <v>0</v>
      </c>
      <c r="J40" s="75">
        <f t="shared" si="37"/>
        <v>182</v>
      </c>
      <c r="K40" s="348">
        <f>IF(AJ40="","",AJ40)</f>
        <v>0</v>
      </c>
      <c r="L40" s="75">
        <f t="shared" si="38"/>
        <v>140</v>
      </c>
      <c r="M40" s="348">
        <f>IF(AL40="","",AL40)</f>
        <v>0</v>
      </c>
      <c r="N40" s="75">
        <f t="shared" si="55"/>
        <v>133</v>
      </c>
      <c r="O40" s="348">
        <f>IF(AN40="","",AN40)</f>
        <v>0</v>
      </c>
      <c r="P40" s="75">
        <f t="shared" si="39"/>
        <v>165</v>
      </c>
      <c r="Q40" s="348">
        <f>IF(AP40="","",AP40)</f>
        <v>0</v>
      </c>
      <c r="R40" s="75">
        <f t="shared" si="40"/>
        <v>190</v>
      </c>
      <c r="S40" s="348">
        <f>IF(AR40="","",AR40)</f>
        <v>0</v>
      </c>
      <c r="T40" s="75">
        <f t="shared" si="41"/>
        <v>199</v>
      </c>
      <c r="U40" s="348">
        <f>IF(AT40="","",AT40)</f>
        <v>0</v>
      </c>
      <c r="V40" s="75">
        <f t="shared" si="42"/>
        <v>1565</v>
      </c>
      <c r="W40" s="348">
        <f>IF(AV40="","",AV40)</f>
        <v>2</v>
      </c>
      <c r="Z40" s="351" t="s">
        <v>2</v>
      </c>
      <c r="AA40" s="108" t="str">
        <f>IF(AB40=0,"",VLOOKUP(AB40,Starter!$A$1:$D$199,2,FALSE))</f>
        <v>Seeger, Melanie</v>
      </c>
      <c r="AB40" s="99">
        <v>38350</v>
      </c>
      <c r="AC40" s="188">
        <v>191</v>
      </c>
      <c r="AD40" s="109">
        <f>IF(SUM(AC40:AC42)+AC56=0,0,IF(SUM(AC40:AC42)=AC56,0.5,IF(SUM(AC40:AC42)&gt;AC56,1,0)))</f>
        <v>1</v>
      </c>
      <c r="AE40" s="188">
        <v>202</v>
      </c>
      <c r="AF40" s="109">
        <f>IF(SUM(AE40:AE42)+AE56=0,0,IF(SUM(AE40:AE42)=AE56,0.5,IF(SUM(AE40:AE42)&gt;AE56,1,0)))</f>
        <v>1</v>
      </c>
      <c r="AG40" s="188">
        <v>163</v>
      </c>
      <c r="AH40" s="109">
        <f>IF(SUM(AG40:AG42)+AG56=0,0,IF(SUM(AG40:AG42)=AG56,0.5,IF(SUM(AG40:AG42)&gt;AG56,1,0)))</f>
        <v>0</v>
      </c>
      <c r="AI40" s="188">
        <v>182</v>
      </c>
      <c r="AJ40" s="109">
        <f>IF(SUM(AI40:AI42)+AI56=0,0,IF(SUM(AI40:AI42)=AI56,0.5,IF(SUM(AI40:AI42)&gt;AI56,1,0)))</f>
        <v>0</v>
      </c>
      <c r="AK40" s="188">
        <v>140</v>
      </c>
      <c r="AL40" s="109">
        <f>IF(SUM(AK40:AK42)+AK56=0,0,IF(SUM(AK40:AK42)=AK56,0.5,IF(SUM(AK40:AK42)&gt;AK56,1,0)))</f>
        <v>0</v>
      </c>
      <c r="AM40" s="188">
        <v>133</v>
      </c>
      <c r="AN40" s="109">
        <f>IF(SUM(AM40:AM42)+AM56=0,0,IF(SUM(AM40:AM42)=AM56,0.5,IF(SUM(AM40:AM42)&gt;AM56,1,0)))</f>
        <v>0</v>
      </c>
      <c r="AO40" s="188">
        <v>165</v>
      </c>
      <c r="AP40" s="109">
        <f>IF(SUM(AO40:AO42)+AO56=0,0,IF(SUM(AO40:AO42)=AO56,0.5,IF(SUM(AO40:AO42)&gt;AO56,1,0)))</f>
        <v>0</v>
      </c>
      <c r="AQ40" s="188">
        <v>190</v>
      </c>
      <c r="AR40" s="109">
        <f>IF(SUM(AQ40:AQ42)+AQ56=0,0,IF(SUM(AQ40:AQ42)=AQ56,0.5,IF(SUM(AQ40:AQ42)&gt;AQ56,1,0)))</f>
        <v>0</v>
      </c>
      <c r="AS40" s="188">
        <v>199</v>
      </c>
      <c r="AT40" s="109">
        <f>IF(SUM(AS40:AS42)+AS56=0,0,IF(SUM(AS40:AS42)=AS56,0.5,IF(SUM(AS40:AS42)&gt;AS56,1,0)))</f>
        <v>0</v>
      </c>
      <c r="AU40" s="110">
        <f t="shared" si="43"/>
        <v>1565</v>
      </c>
      <c r="AV40" s="111">
        <f>SUM(AD40+AF40+AH40+AJ40+AL40+AN40+AP40+AR40+AT40)</f>
        <v>2</v>
      </c>
      <c r="AW40" s="101"/>
      <c r="AX40" s="102"/>
      <c r="AZ40" s="63"/>
      <c r="BA40" s="212"/>
      <c r="BB40" s="213"/>
      <c r="BC40" s="214"/>
      <c r="BD40" s="217">
        <f t="shared" si="56"/>
        <v>38350</v>
      </c>
      <c r="BE40" s="213">
        <f t="shared" si="57"/>
        <v>1565</v>
      </c>
      <c r="BF40" s="215">
        <f t="shared" si="58"/>
        <v>9</v>
      </c>
      <c r="BG40" s="215">
        <f t="shared" si="59"/>
        <v>9</v>
      </c>
      <c r="BH40" s="215">
        <f t="shared" si="44"/>
        <v>191</v>
      </c>
      <c r="BI40" s="215">
        <f t="shared" si="45"/>
        <v>202</v>
      </c>
      <c r="BJ40" s="215">
        <f t="shared" si="46"/>
        <v>163</v>
      </c>
      <c r="BK40" s="215">
        <f t="shared" si="47"/>
        <v>182</v>
      </c>
      <c r="BL40" s="215">
        <f t="shared" si="48"/>
        <v>140</v>
      </c>
      <c r="BM40" s="215">
        <f t="shared" si="49"/>
        <v>133</v>
      </c>
      <c r="BN40" s="215">
        <f t="shared" si="50"/>
        <v>165</v>
      </c>
      <c r="BO40" s="215">
        <f t="shared" si="51"/>
        <v>190</v>
      </c>
      <c r="BP40" s="215">
        <f t="shared" si="52"/>
        <v>199</v>
      </c>
      <c r="BQ40" s="216"/>
      <c r="BR40" s="214"/>
      <c r="BS40" s="215">
        <f t="shared" si="60"/>
        <v>202</v>
      </c>
      <c r="BT40" s="215">
        <f t="shared" si="61"/>
        <v>0</v>
      </c>
      <c r="BU40" s="215" t="str">
        <f t="shared" si="62"/>
        <v>BK München 2</v>
      </c>
      <c r="BV40" s="214">
        <f t="shared" si="63"/>
        <v>2</v>
      </c>
      <c r="BW40" s="215">
        <f t="shared" si="64"/>
        <v>1565</v>
      </c>
      <c r="BX40" s="215">
        <f>IF(COUNTIF(BH40:BP40,"&gt;0")&lt;Spielorte!$A$23,0,BE40/Spielorte!$A$23)</f>
        <v>173.88888888888889</v>
      </c>
      <c r="BY40" s="215">
        <f t="shared" si="65"/>
        <v>0</v>
      </c>
      <c r="BZ40" s="214">
        <f t="shared" si="53"/>
        <v>0</v>
      </c>
    </row>
    <row r="41" spans="1:78" ht="17.2" customHeight="1" x14ac:dyDescent="0.35">
      <c r="A41" s="368"/>
      <c r="B41" s="76" t="str">
        <f t="shared" si="54"/>
        <v/>
      </c>
      <c r="C41" s="77" t="str">
        <f t="shared" si="54"/>
        <v/>
      </c>
      <c r="D41" s="78" t="str">
        <f t="shared" si="54"/>
        <v/>
      </c>
      <c r="E41" s="349"/>
      <c r="F41" s="78" t="str">
        <f t="shared" si="35"/>
        <v/>
      </c>
      <c r="G41" s="349"/>
      <c r="H41" s="78" t="str">
        <f t="shared" si="36"/>
        <v/>
      </c>
      <c r="I41" s="349"/>
      <c r="J41" s="78" t="str">
        <f t="shared" si="37"/>
        <v/>
      </c>
      <c r="K41" s="349"/>
      <c r="L41" s="78" t="str">
        <f t="shared" si="38"/>
        <v/>
      </c>
      <c r="M41" s="349"/>
      <c r="N41" s="78" t="str">
        <f t="shared" si="55"/>
        <v/>
      </c>
      <c r="O41" s="349"/>
      <c r="P41" s="78" t="str">
        <f t="shared" si="39"/>
        <v/>
      </c>
      <c r="Q41" s="349"/>
      <c r="R41" s="78" t="str">
        <f t="shared" si="40"/>
        <v/>
      </c>
      <c r="S41" s="349"/>
      <c r="T41" s="78" t="str">
        <f t="shared" si="41"/>
        <v/>
      </c>
      <c r="U41" s="349"/>
      <c r="V41" s="78" t="str">
        <f t="shared" si="42"/>
        <v/>
      </c>
      <c r="W41" s="349"/>
      <c r="Z41" s="352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3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6"/>
        <v>0</v>
      </c>
      <c r="BE41" s="213">
        <f t="shared" si="57"/>
        <v>0</v>
      </c>
      <c r="BF41" s="215">
        <f t="shared" si="58"/>
        <v>0</v>
      </c>
      <c r="BG41" s="215">
        <f t="shared" si="59"/>
        <v>0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 t="str">
        <f t="shared" si="48"/>
        <v/>
      </c>
      <c r="BM41" s="215" t="str">
        <f t="shared" si="49"/>
        <v/>
      </c>
      <c r="BN41" s="215" t="str">
        <f t="shared" si="50"/>
        <v/>
      </c>
      <c r="BO41" s="215" t="str">
        <f t="shared" si="51"/>
        <v/>
      </c>
      <c r="BP41" s="215" t="str">
        <f t="shared" si="52"/>
        <v/>
      </c>
      <c r="BQ41" s="216"/>
      <c r="BR41" s="214"/>
      <c r="BS41" s="215">
        <f t="shared" si="60"/>
        <v>0</v>
      </c>
      <c r="BT41" s="215">
        <f t="shared" si="61"/>
        <v>0</v>
      </c>
      <c r="BU41" s="215" t="str">
        <f t="shared" si="62"/>
        <v>BK München 2</v>
      </c>
      <c r="BV41" s="214">
        <f t="shared" si="63"/>
        <v>2</v>
      </c>
      <c r="BW41" s="215">
        <f t="shared" si="64"/>
        <v>0</v>
      </c>
      <c r="BX41" s="215">
        <f>IF(COUNTIF(BH41:BP41,"&gt;0")&lt;Spielorte!$A$23,0,BE41/Spielorte!$A$23)</f>
        <v>0</v>
      </c>
      <c r="BY41" s="215">
        <f t="shared" si="65"/>
        <v>0</v>
      </c>
      <c r="BZ41" s="214">
        <f t="shared" si="53"/>
        <v>0</v>
      </c>
    </row>
    <row r="42" spans="1:78" ht="17.2" customHeight="1" thickBot="1" x14ac:dyDescent="0.4">
      <c r="A42" s="369"/>
      <c r="B42" s="79" t="str">
        <f t="shared" si="54"/>
        <v/>
      </c>
      <c r="C42" s="80" t="str">
        <f t="shared" si="54"/>
        <v/>
      </c>
      <c r="D42" s="69" t="str">
        <f t="shared" si="54"/>
        <v/>
      </c>
      <c r="E42" s="350"/>
      <c r="F42" s="69" t="str">
        <f t="shared" si="35"/>
        <v/>
      </c>
      <c r="G42" s="350"/>
      <c r="H42" s="69" t="str">
        <f t="shared" si="36"/>
        <v/>
      </c>
      <c r="I42" s="350"/>
      <c r="J42" s="69" t="str">
        <f t="shared" si="37"/>
        <v/>
      </c>
      <c r="K42" s="350"/>
      <c r="L42" s="69" t="str">
        <f t="shared" si="38"/>
        <v/>
      </c>
      <c r="M42" s="350"/>
      <c r="N42" s="69" t="str">
        <f t="shared" si="55"/>
        <v/>
      </c>
      <c r="O42" s="350"/>
      <c r="P42" s="69" t="str">
        <f t="shared" si="39"/>
        <v/>
      </c>
      <c r="Q42" s="350"/>
      <c r="R42" s="69" t="str">
        <f t="shared" si="40"/>
        <v/>
      </c>
      <c r="S42" s="350"/>
      <c r="T42" s="69" t="str">
        <f t="shared" si="41"/>
        <v/>
      </c>
      <c r="U42" s="350"/>
      <c r="V42" s="69" t="str">
        <f t="shared" si="42"/>
        <v/>
      </c>
      <c r="W42" s="350"/>
      <c r="Z42" s="353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6"/>
        <v>0</v>
      </c>
      <c r="BE42" s="213">
        <f t="shared" si="57"/>
        <v>0</v>
      </c>
      <c r="BF42" s="215">
        <f t="shared" si="58"/>
        <v>0</v>
      </c>
      <c r="BG42" s="215">
        <f t="shared" si="59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0"/>
        <v>0</v>
      </c>
      <c r="BT42" s="215">
        <f t="shared" si="61"/>
        <v>0</v>
      </c>
      <c r="BU42" s="215" t="str">
        <f t="shared" si="62"/>
        <v>BK München 2</v>
      </c>
      <c r="BV42" s="214">
        <f t="shared" si="63"/>
        <v>2</v>
      </c>
      <c r="BW42" s="215">
        <f t="shared" si="64"/>
        <v>0</v>
      </c>
      <c r="BX42" s="215">
        <f>IF(COUNTIF(BH42:BP42,"&gt;0")&lt;Spielorte!$A$23,0,BE42/Spielorte!$A$23)</f>
        <v>0</v>
      </c>
      <c r="BY42" s="215">
        <f t="shared" si="65"/>
        <v>0</v>
      </c>
      <c r="BZ42" s="214">
        <f t="shared" si="53"/>
        <v>0</v>
      </c>
    </row>
    <row r="43" spans="1:78" ht="17.2" customHeight="1" x14ac:dyDescent="0.35">
      <c r="A43" s="367" t="s">
        <v>3</v>
      </c>
      <c r="B43" s="73" t="str">
        <f t="shared" si="54"/>
        <v>Waigel, Petra</v>
      </c>
      <c r="C43" s="74">
        <f t="shared" si="54"/>
        <v>7061</v>
      </c>
      <c r="D43" s="75">
        <f t="shared" si="54"/>
        <v>177</v>
      </c>
      <c r="E43" s="348">
        <f>IF(AD43="","",AD43)</f>
        <v>1</v>
      </c>
      <c r="F43" s="75">
        <f t="shared" si="35"/>
        <v>186</v>
      </c>
      <c r="G43" s="348">
        <f>IF(AF43="","",AF43)</f>
        <v>1</v>
      </c>
      <c r="H43" s="75">
        <f t="shared" si="36"/>
        <v>183</v>
      </c>
      <c r="I43" s="348">
        <f>IF(AH43="","",AH43)</f>
        <v>1</v>
      </c>
      <c r="J43" s="75">
        <f t="shared" si="37"/>
        <v>150</v>
      </c>
      <c r="K43" s="348">
        <f>IF(AJ43="","",AJ43)</f>
        <v>0</v>
      </c>
      <c r="L43" s="75">
        <f t="shared" si="38"/>
        <v>177</v>
      </c>
      <c r="M43" s="348">
        <f>IF(AL43="","",AL43)</f>
        <v>0</v>
      </c>
      <c r="N43" s="75">
        <f t="shared" si="55"/>
        <v>141</v>
      </c>
      <c r="O43" s="348">
        <f>IF(AN43="","",AN43)</f>
        <v>0</v>
      </c>
      <c r="P43" s="75">
        <f t="shared" si="39"/>
        <v>137</v>
      </c>
      <c r="Q43" s="348">
        <f>IF(AP43="","",AP43)</f>
        <v>0</v>
      </c>
      <c r="R43" s="75">
        <f t="shared" si="40"/>
        <v>143</v>
      </c>
      <c r="S43" s="348">
        <f>IF(AR43="","",AR43)</f>
        <v>0</v>
      </c>
      <c r="T43" s="75">
        <f t="shared" si="41"/>
        <v>160</v>
      </c>
      <c r="U43" s="348">
        <f>IF(AT43="","",AT43)</f>
        <v>0</v>
      </c>
      <c r="V43" s="75">
        <f t="shared" si="42"/>
        <v>1454</v>
      </c>
      <c r="W43" s="348">
        <f>IF(AV43="","",AV43)</f>
        <v>3</v>
      </c>
      <c r="Z43" s="351" t="s">
        <v>3</v>
      </c>
      <c r="AA43" s="108" t="str">
        <f>IF(AB43=0,"",VLOOKUP(AB43,Starter!$A$1:$D$199,2,FALSE))</f>
        <v>Waigel, Petra</v>
      </c>
      <c r="AB43" s="99">
        <v>7061</v>
      </c>
      <c r="AC43" s="188">
        <v>177</v>
      </c>
      <c r="AD43" s="109">
        <f>IF(SUM(AC43:AC45)+AC57=0,0,IF(SUM(AC43:AC45)=AC57,0.5,IF(SUM(AC43:AC45)&gt;AC57,1,0)))</f>
        <v>1</v>
      </c>
      <c r="AE43" s="188">
        <v>186</v>
      </c>
      <c r="AF43" s="109">
        <f>IF(SUM(AE43:AE45)+AE57=0,0,IF(SUM(AE43:AE45)=AE57,0.5,IF(SUM(AE43:AE45)&gt;AE57,1,0)))</f>
        <v>1</v>
      </c>
      <c r="AG43" s="188">
        <v>183</v>
      </c>
      <c r="AH43" s="109">
        <f>IF(SUM(AG43:AG45)+AG57=0,0,IF(SUM(AG43:AG45)=AG57,0.5,IF(SUM(AG43:AG45)&gt;AG57,1,0)))</f>
        <v>1</v>
      </c>
      <c r="AI43" s="188">
        <v>150</v>
      </c>
      <c r="AJ43" s="109">
        <f>IF(SUM(AI43:AI45)+AI57=0,0,IF(SUM(AI43:AI45)=AI57,0.5,IF(SUM(AI43:AI45)&gt;AI57,1,0)))</f>
        <v>0</v>
      </c>
      <c r="AK43" s="188">
        <v>177</v>
      </c>
      <c r="AL43" s="109">
        <f>IF(SUM(AK43:AK45)+AK57=0,0,IF(SUM(AK43:AK45)=AK57,0.5,IF(SUM(AK43:AK45)&gt;AK57,1,0)))</f>
        <v>0</v>
      </c>
      <c r="AM43" s="188">
        <v>141</v>
      </c>
      <c r="AN43" s="109">
        <f>IF(SUM(AM43:AM45)+AM57=0,0,IF(SUM(AM43:AM45)=AM57,0.5,IF(SUM(AM43:AM45)&gt;AM57,1,0)))</f>
        <v>0</v>
      </c>
      <c r="AO43" s="188">
        <v>137</v>
      </c>
      <c r="AP43" s="109">
        <f>IF(SUM(AO43:AO45)+AO57=0,0,IF(SUM(AO43:AO45)=AO57,0.5,IF(SUM(AO43:AO45)&gt;AO57,1,0)))</f>
        <v>0</v>
      </c>
      <c r="AQ43" s="188">
        <v>143</v>
      </c>
      <c r="AR43" s="109">
        <f>IF(SUM(AQ43:AQ45)+AQ57=0,0,IF(SUM(AQ43:AQ45)=AQ57,0.5,IF(SUM(AQ43:AQ45)&gt;AQ57,1,0)))</f>
        <v>0</v>
      </c>
      <c r="AS43" s="188">
        <v>160</v>
      </c>
      <c r="AT43" s="109">
        <f>IF(SUM(AS43:AS45)+AS57=0,0,IF(SUM(AS43:AS45)=AS57,0.5,IF(SUM(AS43:AS45)&gt;AS57,1,0)))</f>
        <v>0</v>
      </c>
      <c r="AU43" s="110">
        <f t="shared" si="43"/>
        <v>1454</v>
      </c>
      <c r="AV43" s="111">
        <f>SUM(AD43+AF43+AH43+AJ43+AL43+AN43+AP43+AR43+AT43)</f>
        <v>3</v>
      </c>
      <c r="AW43" s="101"/>
      <c r="AX43" s="102"/>
      <c r="AZ43" s="63"/>
      <c r="BA43" s="212"/>
      <c r="BB43" s="213"/>
      <c r="BC43" s="214"/>
      <c r="BD43" s="217">
        <f t="shared" si="56"/>
        <v>7061</v>
      </c>
      <c r="BE43" s="213">
        <f t="shared" si="57"/>
        <v>1454</v>
      </c>
      <c r="BF43" s="215">
        <f t="shared" si="58"/>
        <v>9</v>
      </c>
      <c r="BG43" s="215">
        <f t="shared" si="59"/>
        <v>9</v>
      </c>
      <c r="BH43" s="215">
        <f t="shared" si="44"/>
        <v>177</v>
      </c>
      <c r="BI43" s="215">
        <f t="shared" si="45"/>
        <v>186</v>
      </c>
      <c r="BJ43" s="215">
        <f t="shared" si="46"/>
        <v>183</v>
      </c>
      <c r="BK43" s="215">
        <f t="shared" si="47"/>
        <v>150</v>
      </c>
      <c r="BL43" s="215">
        <f t="shared" si="48"/>
        <v>177</v>
      </c>
      <c r="BM43" s="215">
        <f t="shared" si="49"/>
        <v>141</v>
      </c>
      <c r="BN43" s="215">
        <f t="shared" si="50"/>
        <v>137</v>
      </c>
      <c r="BO43" s="215">
        <f t="shared" si="51"/>
        <v>143</v>
      </c>
      <c r="BP43" s="215">
        <f t="shared" si="52"/>
        <v>160</v>
      </c>
      <c r="BQ43" s="216"/>
      <c r="BR43" s="214"/>
      <c r="BS43" s="215">
        <f t="shared" si="60"/>
        <v>186</v>
      </c>
      <c r="BT43" s="215">
        <f t="shared" si="61"/>
        <v>0</v>
      </c>
      <c r="BU43" s="215" t="str">
        <f t="shared" si="62"/>
        <v>BK München 2</v>
      </c>
      <c r="BV43" s="214">
        <f t="shared" si="63"/>
        <v>2</v>
      </c>
      <c r="BW43" s="215">
        <f t="shared" si="64"/>
        <v>1454</v>
      </c>
      <c r="BX43" s="215">
        <f>IF(COUNTIF(BH43:BP43,"&gt;0")&lt;Spielorte!$A$23,0,BE43/Spielorte!$A$23)</f>
        <v>161.55555555555554</v>
      </c>
      <c r="BY43" s="215">
        <f t="shared" si="65"/>
        <v>0</v>
      </c>
      <c r="BZ43" s="214">
        <f t="shared" si="53"/>
        <v>0</v>
      </c>
    </row>
    <row r="44" spans="1:78" ht="17.2" customHeight="1" x14ac:dyDescent="0.35">
      <c r="A44" s="368"/>
      <c r="B44" s="76" t="str">
        <f t="shared" si="54"/>
        <v/>
      </c>
      <c r="C44" s="77" t="str">
        <f t="shared" si="54"/>
        <v/>
      </c>
      <c r="D44" s="78" t="str">
        <f t="shared" si="54"/>
        <v/>
      </c>
      <c r="E44" s="349"/>
      <c r="F44" s="78" t="str">
        <f t="shared" si="35"/>
        <v/>
      </c>
      <c r="G44" s="349"/>
      <c r="H44" s="78" t="str">
        <f t="shared" si="36"/>
        <v/>
      </c>
      <c r="I44" s="349"/>
      <c r="J44" s="78" t="str">
        <f t="shared" si="37"/>
        <v/>
      </c>
      <c r="K44" s="349"/>
      <c r="L44" s="78" t="str">
        <f t="shared" si="38"/>
        <v/>
      </c>
      <c r="M44" s="349"/>
      <c r="N44" s="78" t="str">
        <f t="shared" si="55"/>
        <v/>
      </c>
      <c r="O44" s="349"/>
      <c r="P44" s="78" t="str">
        <f t="shared" si="39"/>
        <v/>
      </c>
      <c r="Q44" s="349"/>
      <c r="R44" s="78" t="str">
        <f t="shared" si="40"/>
        <v/>
      </c>
      <c r="S44" s="349"/>
      <c r="T44" s="78" t="str">
        <f t="shared" si="41"/>
        <v/>
      </c>
      <c r="U44" s="349"/>
      <c r="V44" s="78" t="str">
        <f t="shared" si="42"/>
        <v/>
      </c>
      <c r="W44" s="349"/>
      <c r="Z44" s="352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6"/>
        <v>0</v>
      </c>
      <c r="BE44" s="213">
        <f t="shared" si="57"/>
        <v>0</v>
      </c>
      <c r="BF44" s="215">
        <f t="shared" si="58"/>
        <v>0</v>
      </c>
      <c r="BG44" s="215">
        <f t="shared" si="59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0"/>
        <v>0</v>
      </c>
      <c r="BT44" s="215">
        <f t="shared" si="61"/>
        <v>0</v>
      </c>
      <c r="BU44" s="215" t="str">
        <f t="shared" si="62"/>
        <v>BK München 2</v>
      </c>
      <c r="BV44" s="214">
        <f t="shared" si="63"/>
        <v>2</v>
      </c>
      <c r="BW44" s="215">
        <f t="shared" si="64"/>
        <v>0</v>
      </c>
      <c r="BX44" s="215">
        <f>IF(COUNTIF(BH44:BP44,"&gt;0")&lt;Spielorte!$A$23,0,BE44/Spielorte!$A$23)</f>
        <v>0</v>
      </c>
      <c r="BY44" s="215">
        <f t="shared" si="65"/>
        <v>0</v>
      </c>
      <c r="BZ44" s="214">
        <f t="shared" si="53"/>
        <v>0</v>
      </c>
    </row>
    <row r="45" spans="1:78" ht="17.2" customHeight="1" thickBot="1" x14ac:dyDescent="0.4">
      <c r="A45" s="369"/>
      <c r="B45" s="79" t="str">
        <f t="shared" si="54"/>
        <v/>
      </c>
      <c r="C45" s="80" t="str">
        <f t="shared" si="54"/>
        <v/>
      </c>
      <c r="D45" s="69" t="str">
        <f t="shared" si="54"/>
        <v/>
      </c>
      <c r="E45" s="350"/>
      <c r="F45" s="69" t="str">
        <f t="shared" si="35"/>
        <v/>
      </c>
      <c r="G45" s="350"/>
      <c r="H45" s="69" t="str">
        <f t="shared" si="36"/>
        <v/>
      </c>
      <c r="I45" s="350"/>
      <c r="J45" s="69" t="str">
        <f t="shared" si="37"/>
        <v/>
      </c>
      <c r="K45" s="350"/>
      <c r="L45" s="69" t="str">
        <f t="shared" si="38"/>
        <v/>
      </c>
      <c r="M45" s="350"/>
      <c r="N45" s="69" t="str">
        <f t="shared" si="55"/>
        <v/>
      </c>
      <c r="O45" s="350"/>
      <c r="P45" s="69" t="str">
        <f t="shared" si="39"/>
        <v/>
      </c>
      <c r="Q45" s="350"/>
      <c r="R45" s="69" t="str">
        <f t="shared" si="40"/>
        <v/>
      </c>
      <c r="S45" s="350"/>
      <c r="T45" s="69" t="str">
        <f t="shared" si="41"/>
        <v/>
      </c>
      <c r="U45" s="350"/>
      <c r="V45" s="69" t="str">
        <f t="shared" si="42"/>
        <v/>
      </c>
      <c r="W45" s="350"/>
      <c r="Z45" s="353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6"/>
        <v>0</v>
      </c>
      <c r="BE45" s="213">
        <f t="shared" si="57"/>
        <v>0</v>
      </c>
      <c r="BF45" s="215">
        <f t="shared" si="58"/>
        <v>0</v>
      </c>
      <c r="BG45" s="215">
        <f t="shared" si="59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0"/>
        <v>0</v>
      </c>
      <c r="BT45" s="215">
        <f t="shared" si="61"/>
        <v>0</v>
      </c>
      <c r="BU45" s="215" t="str">
        <f t="shared" si="62"/>
        <v>BK München 2</v>
      </c>
      <c r="BV45" s="214">
        <f t="shared" si="63"/>
        <v>2</v>
      </c>
      <c r="BW45" s="215">
        <f t="shared" si="64"/>
        <v>0</v>
      </c>
      <c r="BX45" s="215">
        <f>IF(COUNTIF(BH45:BP45,"&gt;0")&lt;Spielorte!$A$23,0,BE45/Spielorte!$A$23)</f>
        <v>0</v>
      </c>
      <c r="BY45" s="215">
        <f t="shared" si="65"/>
        <v>0</v>
      </c>
      <c r="BZ45" s="214">
        <f t="shared" si="53"/>
        <v>0</v>
      </c>
    </row>
    <row r="46" spans="1:78" ht="17.2" customHeight="1" x14ac:dyDescent="0.35">
      <c r="A46" s="367" t="s">
        <v>11</v>
      </c>
      <c r="B46" s="73" t="str">
        <f>IF(AA46=0,"",AA46)</f>
        <v>Schott, Nicole</v>
      </c>
      <c r="C46" s="74">
        <f t="shared" si="54"/>
        <v>16595</v>
      </c>
      <c r="D46" s="75">
        <f t="shared" si="54"/>
        <v>195</v>
      </c>
      <c r="E46" s="348">
        <f>IF(AD46="","",AD46)</f>
        <v>1</v>
      </c>
      <c r="F46" s="75">
        <f t="shared" si="35"/>
        <v>179</v>
      </c>
      <c r="G46" s="348">
        <f>IF(AF46="","",AF46)</f>
        <v>1</v>
      </c>
      <c r="H46" s="75">
        <f t="shared" si="36"/>
        <v>162</v>
      </c>
      <c r="I46" s="348">
        <f>IF(AH46="","",AH46)</f>
        <v>1</v>
      </c>
      <c r="J46" s="75">
        <f t="shared" si="37"/>
        <v>181</v>
      </c>
      <c r="K46" s="348">
        <f>IF(AJ46="","",AJ46)</f>
        <v>1</v>
      </c>
      <c r="L46" s="75">
        <f t="shared" si="38"/>
        <v>204</v>
      </c>
      <c r="M46" s="348">
        <f>IF(AL46="","",AL46)</f>
        <v>1</v>
      </c>
      <c r="N46" s="75">
        <f t="shared" si="55"/>
        <v>179</v>
      </c>
      <c r="O46" s="348">
        <f>IF(AN46="","",AN46)</f>
        <v>0</v>
      </c>
      <c r="P46" s="75">
        <f t="shared" si="39"/>
        <v>145</v>
      </c>
      <c r="Q46" s="348">
        <f>IF(AP46="","",AP46)</f>
        <v>0</v>
      </c>
      <c r="R46" s="75">
        <f t="shared" si="40"/>
        <v>155</v>
      </c>
      <c r="S46" s="348">
        <f>IF(AR46="","",AR46)</f>
        <v>0</v>
      </c>
      <c r="T46" s="75">
        <f t="shared" si="41"/>
        <v>151</v>
      </c>
      <c r="U46" s="348">
        <f>IF(AT46="","",AT46)</f>
        <v>0</v>
      </c>
      <c r="V46" s="75">
        <f t="shared" si="42"/>
        <v>1551</v>
      </c>
      <c r="W46" s="348">
        <f>IF(AV46="","",AV46)</f>
        <v>5</v>
      </c>
      <c r="Z46" s="351" t="s">
        <v>11</v>
      </c>
      <c r="AA46" s="108" t="str">
        <f>IF(AB46=0,"",VLOOKUP(AB46,Starter!$A$1:$D$199,2,FALSE))</f>
        <v>Schott, Nicole</v>
      </c>
      <c r="AB46" s="99">
        <v>16595</v>
      </c>
      <c r="AC46" s="188">
        <v>195</v>
      </c>
      <c r="AD46" s="109">
        <f>IF(SUM(AC46:AC48)+AC58=0,0,IF(SUM(AC46:AC48)=AC58,0.5,IF(SUM(AC46:AC48)&gt;AC58,1,0)))</f>
        <v>1</v>
      </c>
      <c r="AE46" s="188">
        <v>179</v>
      </c>
      <c r="AF46" s="109">
        <f>IF(SUM(AE46:AE48)+AE58=0,0,IF(SUM(AE46:AE48)=AE58,0.5,IF(SUM(AE46:AE48)&gt;AE58,1,0)))</f>
        <v>1</v>
      </c>
      <c r="AG46" s="188">
        <v>162</v>
      </c>
      <c r="AH46" s="109">
        <f>IF(SUM(AG46:AG48)+AG58=0,0,IF(SUM(AG46:AG48)=AG58,0.5,IF(SUM(AG46:AG48)&gt;AG58,1,0)))</f>
        <v>1</v>
      </c>
      <c r="AI46" s="188">
        <v>181</v>
      </c>
      <c r="AJ46" s="109">
        <f>IF(SUM(AI46:AI48)+AI58=0,0,IF(SUM(AI46:AI48)=AI58,0.5,IF(SUM(AI46:AI48)&gt;AI58,1,0)))</f>
        <v>1</v>
      </c>
      <c r="AK46" s="188">
        <v>204</v>
      </c>
      <c r="AL46" s="109">
        <f>IF(SUM(AK46:AK48)+AK58=0,0,IF(SUM(AK46:AK48)=AK58,0.5,IF(SUM(AK46:AK48)&gt;AK58,1,0)))</f>
        <v>1</v>
      </c>
      <c r="AM46" s="188">
        <v>179</v>
      </c>
      <c r="AN46" s="109">
        <f>IF(SUM(AM46:AM48)+AM58=0,0,IF(SUM(AM46:AM48)=AM58,0.5,IF(SUM(AM46:AM48)&gt;AM58,1,0)))</f>
        <v>0</v>
      </c>
      <c r="AO46" s="188">
        <v>145</v>
      </c>
      <c r="AP46" s="109">
        <f>IF(SUM(AO46:AO48)+AO58=0,0,IF(SUM(AO46:AO48)=AO58,0.5,IF(SUM(AO46:AO48)&gt;AO58,1,0)))</f>
        <v>0</v>
      </c>
      <c r="AQ46" s="188">
        <v>155</v>
      </c>
      <c r="AR46" s="109">
        <f>IF(SUM(AQ46:AQ48)+AQ58=0,0,IF(SUM(AQ46:AQ48)=AQ58,0.5,IF(SUM(AQ46:AQ48)&gt;AQ58,1,0)))</f>
        <v>0</v>
      </c>
      <c r="AS46" s="188">
        <v>151</v>
      </c>
      <c r="AT46" s="109">
        <f>IF(SUM(AS46:AS48)+AS58=0,0,IF(SUM(AS46:AS48)=AS58,0.5,IF(SUM(AS46:AS48)&gt;AS58,1,0)))</f>
        <v>0</v>
      </c>
      <c r="AU46" s="110">
        <f t="shared" si="43"/>
        <v>1551</v>
      </c>
      <c r="AV46" s="111">
        <f>SUM(AD46+AF46+AH46+AJ46+AL46+AN46+AP46+AR46+AT46)</f>
        <v>5</v>
      </c>
      <c r="AW46" s="101"/>
      <c r="AX46" s="102"/>
      <c r="AZ46" s="63"/>
      <c r="BA46" s="212"/>
      <c r="BB46" s="213"/>
      <c r="BC46" s="214"/>
      <c r="BD46" s="217">
        <f t="shared" si="56"/>
        <v>16595</v>
      </c>
      <c r="BE46" s="213">
        <f t="shared" si="57"/>
        <v>1551</v>
      </c>
      <c r="BF46" s="215">
        <f t="shared" si="58"/>
        <v>9</v>
      </c>
      <c r="BG46" s="215">
        <f t="shared" si="59"/>
        <v>9</v>
      </c>
      <c r="BH46" s="215">
        <f t="shared" si="44"/>
        <v>195</v>
      </c>
      <c r="BI46" s="215">
        <f t="shared" si="45"/>
        <v>179</v>
      </c>
      <c r="BJ46" s="215">
        <f t="shared" si="46"/>
        <v>162</v>
      </c>
      <c r="BK46" s="215">
        <f t="shared" si="47"/>
        <v>181</v>
      </c>
      <c r="BL46" s="215">
        <f t="shared" si="48"/>
        <v>204</v>
      </c>
      <c r="BM46" s="215">
        <f t="shared" si="49"/>
        <v>179</v>
      </c>
      <c r="BN46" s="215">
        <f t="shared" si="50"/>
        <v>145</v>
      </c>
      <c r="BO46" s="215">
        <f t="shared" si="51"/>
        <v>155</v>
      </c>
      <c r="BP46" s="215">
        <f t="shared" si="52"/>
        <v>151</v>
      </c>
      <c r="BQ46" s="216"/>
      <c r="BR46" s="214"/>
      <c r="BS46" s="215">
        <f t="shared" si="60"/>
        <v>204</v>
      </c>
      <c r="BT46" s="215">
        <f t="shared" si="61"/>
        <v>0</v>
      </c>
      <c r="BU46" s="215" t="str">
        <f t="shared" si="62"/>
        <v>BK München 2</v>
      </c>
      <c r="BV46" s="214">
        <f t="shared" si="63"/>
        <v>2</v>
      </c>
      <c r="BW46" s="215">
        <f t="shared" si="64"/>
        <v>1551</v>
      </c>
      <c r="BX46" s="215">
        <f>IF(COUNTIF(BH46:BP46,"&gt;0")&lt;Spielorte!$A$23,0,BE46/Spielorte!$A$23)</f>
        <v>172.33333333333334</v>
      </c>
      <c r="BY46" s="215">
        <f t="shared" si="65"/>
        <v>0</v>
      </c>
      <c r="BZ46" s="214">
        <f t="shared" si="53"/>
        <v>0</v>
      </c>
    </row>
    <row r="47" spans="1:78" ht="17.2" customHeight="1" x14ac:dyDescent="0.35">
      <c r="A47" s="368"/>
      <c r="B47" s="76" t="str">
        <f>IF(AA47=0,"",AA47)</f>
        <v/>
      </c>
      <c r="C47" s="77" t="str">
        <f t="shared" si="54"/>
        <v/>
      </c>
      <c r="D47" s="78" t="str">
        <f t="shared" si="54"/>
        <v/>
      </c>
      <c r="E47" s="349"/>
      <c r="F47" s="78" t="str">
        <f t="shared" si="35"/>
        <v/>
      </c>
      <c r="G47" s="349"/>
      <c r="H47" s="78" t="str">
        <f t="shared" si="36"/>
        <v/>
      </c>
      <c r="I47" s="349"/>
      <c r="J47" s="78" t="str">
        <f t="shared" si="37"/>
        <v/>
      </c>
      <c r="K47" s="349"/>
      <c r="L47" s="78" t="str">
        <f t="shared" si="38"/>
        <v/>
      </c>
      <c r="M47" s="349"/>
      <c r="N47" s="78" t="str">
        <f t="shared" si="55"/>
        <v/>
      </c>
      <c r="O47" s="349"/>
      <c r="P47" s="78" t="str">
        <f t="shared" si="39"/>
        <v/>
      </c>
      <c r="Q47" s="349"/>
      <c r="R47" s="78" t="str">
        <f t="shared" si="40"/>
        <v/>
      </c>
      <c r="S47" s="349"/>
      <c r="T47" s="78" t="str">
        <f t="shared" si="41"/>
        <v/>
      </c>
      <c r="U47" s="349"/>
      <c r="V47" s="78" t="str">
        <f t="shared" si="42"/>
        <v/>
      </c>
      <c r="W47" s="349"/>
      <c r="Z47" s="352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3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6"/>
        <v>0</v>
      </c>
      <c r="BE47" s="213">
        <f t="shared" si="57"/>
        <v>0</v>
      </c>
      <c r="BF47" s="215">
        <f t="shared" si="58"/>
        <v>0</v>
      </c>
      <c r="BG47" s="215">
        <f t="shared" si="59"/>
        <v>0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 t="str">
        <f t="shared" si="48"/>
        <v/>
      </c>
      <c r="BM47" s="215" t="str">
        <f t="shared" si="49"/>
        <v/>
      </c>
      <c r="BN47" s="215" t="str">
        <f t="shared" si="50"/>
        <v/>
      </c>
      <c r="BO47" s="215" t="str">
        <f t="shared" si="51"/>
        <v/>
      </c>
      <c r="BP47" s="215" t="str">
        <f t="shared" si="52"/>
        <v/>
      </c>
      <c r="BQ47" s="216"/>
      <c r="BR47" s="214"/>
      <c r="BS47" s="215">
        <f t="shared" si="60"/>
        <v>0</v>
      </c>
      <c r="BT47" s="215">
        <f t="shared" si="61"/>
        <v>0</v>
      </c>
      <c r="BU47" s="215" t="str">
        <f t="shared" si="62"/>
        <v>BK München 2</v>
      </c>
      <c r="BV47" s="214">
        <f t="shared" si="63"/>
        <v>2</v>
      </c>
      <c r="BW47" s="215">
        <f t="shared" si="64"/>
        <v>0</v>
      </c>
      <c r="BX47" s="215">
        <f>IF(COUNTIF(BH47:BP47,"&gt;0")&lt;Spielorte!$A$23,0,BE47/Spielorte!$A$23)</f>
        <v>0</v>
      </c>
      <c r="BY47" s="215">
        <f t="shared" si="65"/>
        <v>0</v>
      </c>
      <c r="BZ47" s="214">
        <f t="shared" si="53"/>
        <v>0</v>
      </c>
    </row>
    <row r="48" spans="1:78" ht="17.2" customHeight="1" thickBot="1" x14ac:dyDescent="0.4">
      <c r="A48" s="369"/>
      <c r="B48" s="79" t="str">
        <f>IF(AA48=0,"",AA48)</f>
        <v/>
      </c>
      <c r="C48" s="80" t="str">
        <f t="shared" si="54"/>
        <v/>
      </c>
      <c r="D48" s="69" t="str">
        <f t="shared" si="54"/>
        <v/>
      </c>
      <c r="E48" s="350"/>
      <c r="F48" s="69" t="str">
        <f t="shared" si="35"/>
        <v/>
      </c>
      <c r="G48" s="350"/>
      <c r="H48" s="69" t="str">
        <f t="shared" si="36"/>
        <v/>
      </c>
      <c r="I48" s="350"/>
      <c r="J48" s="69" t="str">
        <f t="shared" si="37"/>
        <v/>
      </c>
      <c r="K48" s="350"/>
      <c r="L48" s="69" t="str">
        <f t="shared" si="38"/>
        <v/>
      </c>
      <c r="M48" s="350"/>
      <c r="N48" s="69" t="str">
        <f t="shared" si="55"/>
        <v/>
      </c>
      <c r="O48" s="350"/>
      <c r="P48" s="69" t="str">
        <f t="shared" si="39"/>
        <v/>
      </c>
      <c r="Q48" s="350"/>
      <c r="R48" s="69" t="str">
        <f t="shared" si="40"/>
        <v/>
      </c>
      <c r="S48" s="350"/>
      <c r="T48" s="69" t="str">
        <f t="shared" si="41"/>
        <v/>
      </c>
      <c r="U48" s="350"/>
      <c r="V48" s="69" t="str">
        <f t="shared" si="42"/>
        <v/>
      </c>
      <c r="W48" s="350"/>
      <c r="Z48" s="353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6"/>
        <v>0</v>
      </c>
      <c r="BE48" s="213">
        <f t="shared" si="57"/>
        <v>0</v>
      </c>
      <c r="BF48" s="215">
        <f t="shared" si="58"/>
        <v>0</v>
      </c>
      <c r="BG48" s="215">
        <f t="shared" si="59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0"/>
        <v>0</v>
      </c>
      <c r="BT48" s="215">
        <f t="shared" si="61"/>
        <v>0</v>
      </c>
      <c r="BU48" s="215" t="str">
        <f t="shared" si="62"/>
        <v>BK München 2</v>
      </c>
      <c r="BV48" s="214">
        <f t="shared" si="63"/>
        <v>2</v>
      </c>
      <c r="BW48" s="215">
        <f t="shared" si="64"/>
        <v>0</v>
      </c>
      <c r="BX48" s="215">
        <f>IF(COUNTIF(BH48:BP48,"&gt;0")&lt;Spielorte!$A$23,0,BE48/Spielorte!$A$23)</f>
        <v>0</v>
      </c>
      <c r="BY48" s="215">
        <f t="shared" si="65"/>
        <v>0</v>
      </c>
      <c r="BZ48" s="214">
        <f t="shared" si="53"/>
        <v>0</v>
      </c>
    </row>
    <row r="49" spans="1:78" ht="27.75" customHeight="1" thickBot="1" x14ac:dyDescent="0.4">
      <c r="B49" s="81" t="str">
        <f>IF(AA49=0,"",AA49)</f>
        <v>Gesamt</v>
      </c>
      <c r="C49" s="82" t="str">
        <f t="shared" si="54"/>
        <v/>
      </c>
      <c r="D49" s="83">
        <f t="shared" si="54"/>
        <v>785</v>
      </c>
      <c r="E49" s="84">
        <f>IF(AD49="","",AD49)</f>
        <v>2</v>
      </c>
      <c r="F49" s="83">
        <f t="shared" si="35"/>
        <v>723</v>
      </c>
      <c r="G49" s="84">
        <f>IF(AF49="","",AF49)</f>
        <v>2</v>
      </c>
      <c r="H49" s="83">
        <f t="shared" si="36"/>
        <v>707</v>
      </c>
      <c r="I49" s="84">
        <f>IF(AH49="","",AH49)</f>
        <v>2</v>
      </c>
      <c r="J49" s="83">
        <f t="shared" si="37"/>
        <v>712</v>
      </c>
      <c r="K49" s="84">
        <f>IF(AJ49="","",AJ49)</f>
        <v>2</v>
      </c>
      <c r="L49" s="83">
        <f t="shared" si="38"/>
        <v>669</v>
      </c>
      <c r="M49" s="84">
        <f>IF(AL49="","",AL49)</f>
        <v>0</v>
      </c>
      <c r="N49" s="83">
        <f t="shared" si="55"/>
        <v>651</v>
      </c>
      <c r="O49" s="84">
        <f>IF(AN49="","",AN49)</f>
        <v>0</v>
      </c>
      <c r="P49" s="83">
        <f t="shared" si="39"/>
        <v>636</v>
      </c>
      <c r="Q49" s="84">
        <f>IF(AP49="","",AP49)</f>
        <v>0</v>
      </c>
      <c r="R49" s="83">
        <f t="shared" si="40"/>
        <v>685</v>
      </c>
      <c r="S49" s="84">
        <f>IF(AR49="","",AR49)</f>
        <v>0</v>
      </c>
      <c r="T49" s="83">
        <f t="shared" si="41"/>
        <v>679</v>
      </c>
      <c r="U49" s="84">
        <f>IF(AT49="","",AT49)</f>
        <v>0</v>
      </c>
      <c r="V49" s="83">
        <f t="shared" si="42"/>
        <v>6247</v>
      </c>
      <c r="W49" s="84">
        <f>IF(AV49="","",AV49)</f>
        <v>8</v>
      </c>
      <c r="AA49" s="81" t="s">
        <v>1799</v>
      </c>
      <c r="AB49" s="120"/>
      <c r="AC49" s="211">
        <f>ABS(SUM(AC37:AC39))+ABS(SUM(AC40:AC42))+ABS(SUM(AC43:AC45))+ABS(SUM(AC46:AC48))</f>
        <v>785</v>
      </c>
      <c r="AD49" s="121">
        <f>IF(AC49+AC59=0,0,IF(AC49=AC59,1,IF(AC49&gt;AC59,2,0)))</f>
        <v>2</v>
      </c>
      <c r="AE49" s="211">
        <f>ABS(SUM(AE37:AE39))+ABS(SUM(AE40:AE42))+ABS(SUM(AE43:AE45))+ABS(SUM(AE46:AE48))</f>
        <v>723</v>
      </c>
      <c r="AF49" s="121">
        <f>IF(AE49+AE59=0,0,IF(AE49=AE59,1,IF(AE49&gt;AE59,2,0)))</f>
        <v>2</v>
      </c>
      <c r="AG49" s="211">
        <f>ABS(SUM(AG37:AG39))+ABS(SUM(AG40:AG42))+ABS(SUM(AG43:AG45))+ABS(SUM(AG46:AG48))</f>
        <v>707</v>
      </c>
      <c r="AH49" s="121">
        <f>IF(AG49+AG59=0,0,IF(AG49=AG59,1,IF(AG49&gt;AG59,2,0)))</f>
        <v>2</v>
      </c>
      <c r="AI49" s="211">
        <f>ABS(SUM(AI37:AI39))+ABS(SUM(AI40:AI42))+ABS(SUM(AI43:AI45))+ABS(SUM(AI46:AI48))</f>
        <v>712</v>
      </c>
      <c r="AJ49" s="121">
        <f>IF(AI49+AI59=0,0,IF(AI49=AI59,1,IF(AI49&gt;AI59,2,0)))</f>
        <v>2</v>
      </c>
      <c r="AK49" s="211">
        <f>ABS(SUM(AK37:AK39))+ABS(SUM(AK40:AK42))+ABS(SUM(AK43:AK45))+ABS(SUM(AK46:AK48))</f>
        <v>669</v>
      </c>
      <c r="AL49" s="121">
        <f>IF(AK49+AK59=0,0,IF(AK49=AK59,1,IF(AK49&gt;AK59,2,0)))</f>
        <v>0</v>
      </c>
      <c r="AM49" s="211">
        <f>ABS(SUM(AM37:AM39))+ABS(SUM(AM40:AM42))+ABS(SUM(AM43:AM45))+ABS(SUM(AM46:AM48))</f>
        <v>651</v>
      </c>
      <c r="AN49" s="121">
        <f>IF(AM49+AM59=0,0,IF(AM49=AM59,1,IF(AM49&gt;AM59,2,0)))</f>
        <v>0</v>
      </c>
      <c r="AO49" s="211">
        <f>ABS(SUM(AO37:AO39))+ABS(SUM(AO40:AO42))+ABS(SUM(AO43:AO45))+ABS(SUM(AO46:AO48))</f>
        <v>636</v>
      </c>
      <c r="AP49" s="121">
        <f>IF(AO49+AO59=0,0,IF(AO49=AO59,1,IF(AO49&gt;AO59,2,0)))</f>
        <v>0</v>
      </c>
      <c r="AQ49" s="211">
        <f>ABS(SUM(AQ37:AQ39))+ABS(SUM(AQ40:AQ42))+ABS(SUM(AQ43:AQ45))+ABS(SUM(AQ46:AQ48))</f>
        <v>685</v>
      </c>
      <c r="AR49" s="121">
        <f>IF(AQ49+AQ59=0,0,IF(AQ49=AQ59,1,IF(AQ49&gt;AQ59,2,0)))</f>
        <v>0</v>
      </c>
      <c r="AS49" s="211">
        <f>ABS(SUM(AS37:AS39))+ABS(SUM(AS40:AS42))+ABS(SUM(AS43:AS45))+ABS(SUM(AS46:AS48))</f>
        <v>679</v>
      </c>
      <c r="AT49" s="121">
        <f>IF(AS49+AS59=0,0,IF(AS49=AS59,1,IF(AS49&gt;AS59,2,0)))</f>
        <v>0</v>
      </c>
      <c r="AU49" s="122">
        <f>SUM(AC49+AE49+AG49+AI49+AK49+AM49+AO49+AQ49+AS49)</f>
        <v>6247</v>
      </c>
      <c r="AV49" s="123">
        <f>SUM(AD49+AF49+AH49+AJ49+AL49+AN49+AP49+AR49+AT49)</f>
        <v>8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4">
      <c r="B50" s="85" t="str">
        <f>IF(AA50=0,"",AA50)</f>
        <v>Gesamt - Punkte</v>
      </c>
      <c r="C50" s="86" t="str">
        <f t="shared" si="54"/>
        <v/>
      </c>
      <c r="D50" s="86" t="str">
        <f t="shared" si="54"/>
        <v/>
      </c>
      <c r="E50" s="87">
        <f>IF(AD50="","",AD50)</f>
        <v>6</v>
      </c>
      <c r="F50" s="86" t="str">
        <f t="shared" si="35"/>
        <v/>
      </c>
      <c r="G50" s="87">
        <f>IF(AF50="","",AF50)</f>
        <v>5</v>
      </c>
      <c r="H50" s="86" t="str">
        <f t="shared" si="36"/>
        <v/>
      </c>
      <c r="I50" s="87">
        <f>IF(AH50="","",AH50)</f>
        <v>5</v>
      </c>
      <c r="J50" s="86" t="str">
        <f t="shared" si="37"/>
        <v/>
      </c>
      <c r="K50" s="87">
        <f>IF(AJ50="","",AJ50)</f>
        <v>4</v>
      </c>
      <c r="L50" s="86" t="str">
        <f t="shared" si="38"/>
        <v/>
      </c>
      <c r="M50" s="87">
        <f>IF(AL50="","",AL50)</f>
        <v>1</v>
      </c>
      <c r="N50" s="86" t="str">
        <f t="shared" si="55"/>
        <v/>
      </c>
      <c r="O50" s="87">
        <f>IF(AN50="","",AN50)</f>
        <v>1</v>
      </c>
      <c r="P50" s="86" t="str">
        <f t="shared" si="39"/>
        <v/>
      </c>
      <c r="Q50" s="87">
        <f>IF(AP50="","",AP50)</f>
        <v>1</v>
      </c>
      <c r="R50" s="86" t="str">
        <f t="shared" si="40"/>
        <v/>
      </c>
      <c r="S50" s="87">
        <f>IF(AR50="","",AR50)</f>
        <v>0</v>
      </c>
      <c r="T50" s="86" t="str">
        <f t="shared" si="41"/>
        <v/>
      </c>
      <c r="U50" s="87">
        <f>IF(AT50="","",AT50)</f>
        <v>1</v>
      </c>
      <c r="V50" s="86" t="str">
        <f t="shared" si="42"/>
        <v/>
      </c>
      <c r="W50" s="87">
        <f>IF(AV50="","",AV50)</f>
        <v>24</v>
      </c>
      <c r="AA50" s="85" t="s">
        <v>1814</v>
      </c>
      <c r="AB50" s="86"/>
      <c r="AC50" s="86"/>
      <c r="AD50" s="124">
        <f>SUM(AD37:AD49)</f>
        <v>6</v>
      </c>
      <c r="AE50" s="86"/>
      <c r="AF50" s="124">
        <f>SUM(AF37:AF49)</f>
        <v>5</v>
      </c>
      <c r="AG50" s="86"/>
      <c r="AH50" s="124">
        <f>SUM(AH37:AH49)</f>
        <v>5</v>
      </c>
      <c r="AI50" s="86"/>
      <c r="AJ50" s="124">
        <f>SUM(AJ37:AJ49)</f>
        <v>4</v>
      </c>
      <c r="AK50" s="86"/>
      <c r="AL50" s="124">
        <f>SUM(AL37:AL49)</f>
        <v>1</v>
      </c>
      <c r="AM50" s="86"/>
      <c r="AN50" s="124">
        <f>SUM(AN37:AN49)</f>
        <v>1</v>
      </c>
      <c r="AO50" s="86"/>
      <c r="AP50" s="124">
        <f>SUM(AP37:AP49)</f>
        <v>1</v>
      </c>
      <c r="AQ50" s="86"/>
      <c r="AR50" s="124">
        <f>SUM(AR37:AR49)</f>
        <v>0</v>
      </c>
      <c r="AS50" s="86"/>
      <c r="AT50" s="124">
        <f>SUM(AT37:AT49)</f>
        <v>1</v>
      </c>
      <c r="AU50" s="86"/>
      <c r="AV50" s="125">
        <f>SUM(AV37:AV49)</f>
        <v>24</v>
      </c>
      <c r="AW50" s="101"/>
      <c r="AX50" s="102"/>
      <c r="BA50" s="212">
        <f>+AV50</f>
        <v>24</v>
      </c>
      <c r="BB50" s="213">
        <f>+AU49</f>
        <v>6247</v>
      </c>
      <c r="BC50" s="214">
        <f>+AA32</f>
        <v>2</v>
      </c>
      <c r="BF50" s="215">
        <f>SUM(BF31:BF49)</f>
        <v>36</v>
      </c>
      <c r="BQ50" s="212">
        <f>+BB50/1000000+BA50</f>
        <v>24.006246999999998</v>
      </c>
      <c r="BR50" s="214">
        <f>RANK(BQ50,BQ:BQ)</f>
        <v>6</v>
      </c>
      <c r="BV50" s="214"/>
      <c r="BZ50" s="214"/>
    </row>
    <row r="51" spans="1:78" ht="11.25" customHeight="1" x14ac:dyDescent="0.3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35">
      <c r="B52" s="88" t="str">
        <f t="shared" ref="B52:K54" si="66">IF(AA52=0,"",AA52)</f>
        <v>Gegner-Nr.:</v>
      </c>
      <c r="C52" s="89" t="str">
        <f t="shared" si="66"/>
        <v>&gt;&gt;&gt;&gt;</v>
      </c>
      <c r="D52" s="346">
        <f t="shared" si="66"/>
        <v>4</v>
      </c>
      <c r="E52" s="346" t="str">
        <f t="shared" si="66"/>
        <v/>
      </c>
      <c r="F52" s="346">
        <f t="shared" si="66"/>
        <v>5</v>
      </c>
      <c r="G52" s="346" t="str">
        <f t="shared" si="66"/>
        <v/>
      </c>
      <c r="H52" s="346">
        <f t="shared" si="66"/>
        <v>9</v>
      </c>
      <c r="I52" s="346" t="str">
        <f t="shared" si="66"/>
        <v/>
      </c>
      <c r="J52" s="346">
        <f t="shared" si="66"/>
        <v>6</v>
      </c>
      <c r="K52" s="346" t="str">
        <f t="shared" si="66"/>
        <v/>
      </c>
      <c r="L52" s="346">
        <f t="shared" ref="L52:U54" si="67">IF(AK52=0,"",AK52)</f>
        <v>7</v>
      </c>
      <c r="M52" s="346" t="str">
        <f t="shared" si="67"/>
        <v/>
      </c>
      <c r="N52" s="346">
        <f t="shared" si="67"/>
        <v>1</v>
      </c>
      <c r="O52" s="346" t="str">
        <f t="shared" si="67"/>
        <v/>
      </c>
      <c r="P52" s="346">
        <f t="shared" si="67"/>
        <v>3</v>
      </c>
      <c r="Q52" s="346" t="str">
        <f t="shared" si="67"/>
        <v/>
      </c>
      <c r="R52" s="346">
        <f t="shared" si="67"/>
        <v>10</v>
      </c>
      <c r="S52" s="346" t="str">
        <f t="shared" si="67"/>
        <v/>
      </c>
      <c r="T52" s="346">
        <f t="shared" si="67"/>
        <v>8</v>
      </c>
      <c r="U52" s="346" t="str">
        <f t="shared" si="67"/>
        <v/>
      </c>
      <c r="V52" s="347"/>
      <c r="W52" s="347"/>
      <c r="AA52" s="88" t="s">
        <v>1797</v>
      </c>
      <c r="AB52" s="89" t="s">
        <v>1798</v>
      </c>
      <c r="AC52" s="370">
        <f>VLOOKUP($AA32,Schlüssel!$A$5:$DG$14,63)</f>
        <v>4</v>
      </c>
      <c r="AD52" s="371"/>
      <c r="AE52" s="370">
        <f>VLOOKUP($AA32,Schlüssel!$A$5:$EK$14,64)</f>
        <v>5</v>
      </c>
      <c r="AF52" s="371"/>
      <c r="AG52" s="370">
        <f>VLOOKUP($AA32,Schlüssel!$A$5:$EK$14,65)</f>
        <v>9</v>
      </c>
      <c r="AH52" s="371"/>
      <c r="AI52" s="370">
        <f>VLOOKUP($AA32,Schlüssel!$A$5:$EK$14,66)</f>
        <v>6</v>
      </c>
      <c r="AJ52" s="371"/>
      <c r="AK52" s="370">
        <f>VLOOKUP($AA32,Schlüssel!$A$5:$EK$14,67)</f>
        <v>7</v>
      </c>
      <c r="AL52" s="371"/>
      <c r="AM52" s="370">
        <f>VLOOKUP($AA32,Schlüssel!$A$5:$EK$14,68)</f>
        <v>1</v>
      </c>
      <c r="AN52" s="371"/>
      <c r="AO52" s="370">
        <f>VLOOKUP($AA32,Schlüssel!$A$5:$EK$14,69)</f>
        <v>3</v>
      </c>
      <c r="AP52" s="371"/>
      <c r="AQ52" s="370">
        <f>VLOOKUP($AA32,Schlüssel!$A$5:$EK$14,70)</f>
        <v>10</v>
      </c>
      <c r="AR52" s="371"/>
      <c r="AS52" s="370">
        <f>VLOOKUP($AA32,Schlüssel!$A$5:$EK$14,71)</f>
        <v>8</v>
      </c>
      <c r="AT52" s="371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35">
      <c r="B53" s="90" t="str">
        <f t="shared" si="66"/>
        <v/>
      </c>
      <c r="C53" s="86" t="str">
        <f t="shared" si="66"/>
        <v/>
      </c>
      <c r="D53" s="343" t="str">
        <f t="shared" si="66"/>
        <v>BK München 3</v>
      </c>
      <c r="E53" s="344" t="str">
        <f t="shared" si="66"/>
        <v/>
      </c>
      <c r="F53" s="343" t="str">
        <f t="shared" si="66"/>
        <v xml:space="preserve">Weiß Blau Unterföhring </v>
      </c>
      <c r="G53" s="344" t="str">
        <f t="shared" si="66"/>
        <v/>
      </c>
      <c r="H53" s="343" t="str">
        <f t="shared" si="66"/>
        <v>RW Lichtenhof 69 Stein 2</v>
      </c>
      <c r="I53" s="344" t="str">
        <f t="shared" si="66"/>
        <v/>
      </c>
      <c r="J53" s="343" t="str">
        <f t="shared" si="66"/>
        <v>Phönix 03 Lauf</v>
      </c>
      <c r="K53" s="344" t="str">
        <f t="shared" si="66"/>
        <v/>
      </c>
      <c r="L53" s="343" t="str">
        <f t="shared" si="67"/>
        <v>Frankenpower Nürnberg</v>
      </c>
      <c r="M53" s="344" t="str">
        <f t="shared" si="67"/>
        <v/>
      </c>
      <c r="N53" s="343" t="str">
        <f t="shared" si="67"/>
        <v>Praetoria Regensburg</v>
      </c>
      <c r="O53" s="344" t="str">
        <f t="shared" si="67"/>
        <v/>
      </c>
      <c r="P53" s="343" t="str">
        <f t="shared" si="67"/>
        <v>Highroller Rosenheim</v>
      </c>
      <c r="Q53" s="344" t="str">
        <f t="shared" si="67"/>
        <v/>
      </c>
      <c r="R53" s="343" t="str">
        <f t="shared" si="67"/>
        <v>BK München 4</v>
      </c>
      <c r="S53" s="344" t="str">
        <f t="shared" si="67"/>
        <v/>
      </c>
      <c r="T53" s="343" t="str">
        <f t="shared" si="67"/>
        <v>EPA München 1</v>
      </c>
      <c r="U53" s="344" t="str">
        <f t="shared" si="67"/>
        <v/>
      </c>
      <c r="V53" s="345"/>
      <c r="W53" s="345"/>
      <c r="AA53" s="90"/>
      <c r="AB53" s="86"/>
      <c r="AC53" s="343" t="str">
        <f>VLOOKUP(AC52,Schlüssel!$A$5:$K$14,2)</f>
        <v>BK München 3</v>
      </c>
      <c r="AD53" s="344"/>
      <c r="AE53" s="343" t="str">
        <f>VLOOKUP(AE52,Schlüssel!$A$5:$K$14,2)</f>
        <v xml:space="preserve">Weiß Blau Unterföhring </v>
      </c>
      <c r="AF53" s="344"/>
      <c r="AG53" s="343" t="str">
        <f>VLOOKUP(AG52,Schlüssel!$A$5:$K$14,2)</f>
        <v>RW Lichtenhof 69 Stein 2</v>
      </c>
      <c r="AH53" s="344"/>
      <c r="AI53" s="343" t="str">
        <f>VLOOKUP(AI52,Schlüssel!$A$5:$K$14,2)</f>
        <v>Phönix 03 Lauf</v>
      </c>
      <c r="AJ53" s="344"/>
      <c r="AK53" s="343" t="str">
        <f>VLOOKUP(AK52,Schlüssel!$A$5:$K$14,2)</f>
        <v>Frankenpower Nürnberg</v>
      </c>
      <c r="AL53" s="344"/>
      <c r="AM53" s="343" t="str">
        <f>VLOOKUP(AM52,Schlüssel!$A$5:$K$14,2)</f>
        <v>Praetoria Regensburg</v>
      </c>
      <c r="AN53" s="344"/>
      <c r="AO53" s="343" t="str">
        <f>VLOOKUP(AO52,Schlüssel!$A$5:$K$14,2)</f>
        <v>Highroller Rosenheim</v>
      </c>
      <c r="AP53" s="344"/>
      <c r="AQ53" s="343" t="str">
        <f>VLOOKUP(AQ52,Schlüssel!$A$5:$K$14,2)</f>
        <v>BK München 4</v>
      </c>
      <c r="AR53" s="344"/>
      <c r="AS53" s="343" t="str">
        <f>VLOOKUP(AS52,Schlüssel!$A$5:$K$14,2)</f>
        <v>EPA München 1</v>
      </c>
      <c r="AT53" s="344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35">
      <c r="B54" s="90" t="str">
        <f t="shared" si="66"/>
        <v/>
      </c>
      <c r="C54" s="86" t="str">
        <f t="shared" si="66"/>
        <v/>
      </c>
      <c r="D54" s="341" t="str">
        <f t="shared" si="66"/>
        <v/>
      </c>
      <c r="E54" s="341" t="str">
        <f t="shared" si="66"/>
        <v/>
      </c>
      <c r="F54" s="341" t="str">
        <f t="shared" si="66"/>
        <v/>
      </c>
      <c r="G54" s="341" t="str">
        <f t="shared" si="66"/>
        <v/>
      </c>
      <c r="H54" s="341" t="str">
        <f t="shared" si="66"/>
        <v/>
      </c>
      <c r="I54" s="341" t="str">
        <f t="shared" si="66"/>
        <v/>
      </c>
      <c r="J54" s="341" t="str">
        <f t="shared" si="66"/>
        <v/>
      </c>
      <c r="K54" s="341" t="str">
        <f t="shared" si="66"/>
        <v/>
      </c>
      <c r="L54" s="341" t="str">
        <f t="shared" si="67"/>
        <v/>
      </c>
      <c r="M54" s="341" t="str">
        <f t="shared" si="67"/>
        <v/>
      </c>
      <c r="N54" s="341" t="str">
        <f t="shared" si="67"/>
        <v/>
      </c>
      <c r="O54" s="341" t="str">
        <f t="shared" si="67"/>
        <v/>
      </c>
      <c r="P54" s="341" t="str">
        <f t="shared" si="67"/>
        <v/>
      </c>
      <c r="Q54" s="341" t="str">
        <f t="shared" si="67"/>
        <v/>
      </c>
      <c r="R54" s="341" t="str">
        <f t="shared" si="67"/>
        <v/>
      </c>
      <c r="S54" s="341" t="str">
        <f t="shared" si="67"/>
        <v/>
      </c>
      <c r="T54" s="341" t="str">
        <f t="shared" si="67"/>
        <v/>
      </c>
      <c r="U54" s="342" t="str">
        <f t="shared" si="67"/>
        <v/>
      </c>
      <c r="V54" s="301"/>
      <c r="W54" s="301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6.05" customHeight="1" x14ac:dyDescent="0.35">
      <c r="B55" s="365" t="str">
        <f t="shared" ref="B55:C59" si="68">IF(AA55=0,"",AA55)</f>
        <v>Spieler 1</v>
      </c>
      <c r="C55" s="366" t="str">
        <f t="shared" si="68"/>
        <v/>
      </c>
      <c r="D55" s="339">
        <f>IF(AC55=301,"",AC55)</f>
        <v>0</v>
      </c>
      <c r="E55" s="339" t="str">
        <f>IF(AD55=0,"",AD55)</f>
        <v/>
      </c>
      <c r="F55" s="339">
        <f>IF(AE55=301,"",AE55)</f>
        <v>194</v>
      </c>
      <c r="G55" s="339" t="str">
        <f>IF(AF55=0,"",AF55)</f>
        <v/>
      </c>
      <c r="H55" s="339">
        <f>IF(AG55=301,"",AG55)</f>
        <v>149</v>
      </c>
      <c r="I55" s="339" t="str">
        <f>IF(AH55=0,"",AH55)</f>
        <v/>
      </c>
      <c r="J55" s="339">
        <f>IF(AI55=301,"",AI55)</f>
        <v>182</v>
      </c>
      <c r="K55" s="339" t="str">
        <f>IF(AJ55=0,"",AJ55)</f>
        <v/>
      </c>
      <c r="L55" s="339">
        <f>IF(AK55=301,"",AK55)</f>
        <v>219</v>
      </c>
      <c r="M55" s="339" t="str">
        <f>IF(AL55=0,"",AL55)</f>
        <v/>
      </c>
      <c r="N55" s="339">
        <f>IF(AM55=301,"",AM55)</f>
        <v>161</v>
      </c>
      <c r="O55" s="339" t="str">
        <f>IF(AN55=0,"",AN55)</f>
        <v/>
      </c>
      <c r="P55" s="339">
        <f>IF(AO55=301,"",AO55)</f>
        <v>157</v>
      </c>
      <c r="Q55" s="339" t="str">
        <f>IF(AP55=0,"",AP55)</f>
        <v/>
      </c>
      <c r="R55" s="339">
        <f>IF(AQ55=301,"",AQ55)</f>
        <v>216</v>
      </c>
      <c r="S55" s="339" t="str">
        <f>IF(AR55=0,"",AR55)</f>
        <v/>
      </c>
      <c r="T55" s="339">
        <f>IF(AS55=301,"",AS55)</f>
        <v>158</v>
      </c>
      <c r="U55" s="339" t="str">
        <f>IF(AT55=0,"",AT55)</f>
        <v/>
      </c>
      <c r="V55" s="340"/>
      <c r="W55" s="340"/>
      <c r="AA55" s="91" t="s">
        <v>0</v>
      </c>
      <c r="AB55" s="92"/>
      <c r="AC55" s="372">
        <f>ABS(INDEX(AC:AC,MATCH(AC52,$AA:$AA,0)+5)+INDEX(AC:AC,MATCH(AC52,$AA:$AA,0)+6)+INDEX(AC:AC,MATCH(AC52,$AA:$AA,0)+7))</f>
        <v>0</v>
      </c>
      <c r="AD55" s="373"/>
      <c r="AE55" s="372">
        <f>ABS(INDEX(AE:AE,MATCH(AE52,$AA:$AA,0)+5)+INDEX(AE:AE,MATCH(AE52,$AA:$AA,0)+6)+INDEX(AE:AE,MATCH(AE52,$AA:$AA,0)+7))</f>
        <v>194</v>
      </c>
      <c r="AF55" s="373"/>
      <c r="AG55" s="372">
        <f>ABS(INDEX(AG:AG,MATCH(AG52,$AA:$AA,0)+5)+INDEX(AG:AG,MATCH(AG52,$AA:$AA,0)+6)+INDEX(AG:AG,MATCH(AG52,$AA:$AA,0)+7))</f>
        <v>149</v>
      </c>
      <c r="AH55" s="373"/>
      <c r="AI55" s="372">
        <f>ABS(INDEX(AI:AI,MATCH(AI52,$AA:$AA,0)+5)+INDEX(AI:AI,MATCH(AI52,$AA:$AA,0)+6)+INDEX(AI:AI,MATCH(AI52,$AA:$AA,0)+7))</f>
        <v>182</v>
      </c>
      <c r="AJ55" s="373"/>
      <c r="AK55" s="372">
        <f>ABS(INDEX(AK:AK,MATCH(AK52,$AA:$AA,0)+5)+INDEX(AK:AK,MATCH(AK52,$AA:$AA,0)+6)+INDEX(AK:AK,MATCH(AK52,$AA:$AA,0)+7))</f>
        <v>219</v>
      </c>
      <c r="AL55" s="373"/>
      <c r="AM55" s="372">
        <f>ABS(INDEX(AM:AM,MATCH(AM52,$AA:$AA,0)+5)+INDEX(AM:AM,MATCH(AM52,$AA:$AA,0)+6)+INDEX(AM:AM,MATCH(AM52,$AA:$AA,0)+7))</f>
        <v>161</v>
      </c>
      <c r="AN55" s="373"/>
      <c r="AO55" s="372">
        <f>ABS(INDEX(AO:AO,MATCH(AO52,$AA:$AA,0)+5)+INDEX(AO:AO,MATCH(AO52,$AA:$AA,0)+6)+INDEX(AO:AO,MATCH(AO52,$AA:$AA,0)+7))</f>
        <v>157</v>
      </c>
      <c r="AP55" s="373"/>
      <c r="AQ55" s="372">
        <f>ABS(INDEX(AQ:AQ,MATCH(AQ52,$AA:$AA,0)+5)+INDEX(AQ:AQ,MATCH(AQ52,$AA:$AA,0)+6)+INDEX(AQ:AQ,MATCH(AQ52,$AA:$AA,0)+7))</f>
        <v>216</v>
      </c>
      <c r="AR55" s="373"/>
      <c r="AS55" s="372">
        <f>ABS(INDEX(AS:AS,MATCH(AS52,$AA:$AA,0)+5)+INDEX(AS:AS,MATCH(AS52,$AA:$AA,0)+6)+INDEX(AS:AS,MATCH(AS52,$AA:$AA,0)+7))</f>
        <v>158</v>
      </c>
      <c r="AT55" s="373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6.05" customHeight="1" x14ac:dyDescent="0.35">
      <c r="B56" s="365" t="str">
        <f t="shared" si="68"/>
        <v>Spieler 2</v>
      </c>
      <c r="C56" s="366" t="str">
        <f t="shared" si="68"/>
        <v/>
      </c>
      <c r="D56" s="339">
        <f>IF(AC56=301,"",AC56)</f>
        <v>0</v>
      </c>
      <c r="E56" s="339" t="str">
        <f>IF(AD56=0,"",AD56)</f>
        <v/>
      </c>
      <c r="F56" s="339">
        <f>IF(AE56=301,"",AE56)</f>
        <v>168</v>
      </c>
      <c r="G56" s="339" t="str">
        <f>IF(AF56=0,"",AF56)</f>
        <v/>
      </c>
      <c r="H56" s="339">
        <f>IF(AG56=301,"",AG56)</f>
        <v>179</v>
      </c>
      <c r="I56" s="339" t="str">
        <f>IF(AH56=0,"",AH56)</f>
        <v/>
      </c>
      <c r="J56" s="339">
        <f>IF(AI56=301,"",AI56)</f>
        <v>200</v>
      </c>
      <c r="K56" s="339" t="str">
        <f>IF(AJ56=0,"",AJ56)</f>
        <v/>
      </c>
      <c r="L56" s="339">
        <f>IF(AK56=301,"",AK56)</f>
        <v>143</v>
      </c>
      <c r="M56" s="339" t="str">
        <f>IF(AL56=0,"",AL56)</f>
        <v/>
      </c>
      <c r="N56" s="339">
        <f>IF(AM56=301,"",AM56)</f>
        <v>189</v>
      </c>
      <c r="O56" s="339" t="str">
        <f>IF(AN56=0,"",AN56)</f>
        <v/>
      </c>
      <c r="P56" s="339">
        <f>IF(AO56=301,"",AO56)</f>
        <v>235</v>
      </c>
      <c r="Q56" s="339" t="str">
        <f>IF(AP56=0,"",AP56)</f>
        <v/>
      </c>
      <c r="R56" s="339">
        <f>IF(AQ56=301,"",AQ56)</f>
        <v>199</v>
      </c>
      <c r="S56" s="339" t="str">
        <f>IF(AR56=0,"",AR56)</f>
        <v/>
      </c>
      <c r="T56" s="339">
        <f>IF(AS56=301,"",AS56)</f>
        <v>223</v>
      </c>
      <c r="U56" s="339" t="str">
        <f>IF(AT56=0,"",AT56)</f>
        <v/>
      </c>
      <c r="V56" s="340"/>
      <c r="W56" s="340"/>
      <c r="AA56" s="91" t="s">
        <v>2</v>
      </c>
      <c r="AB56" s="92"/>
      <c r="AC56" s="374">
        <f>ABS(INDEX(AC:AC,MATCH(AC52,$AA:$AA,0)+8)+INDEX(AC:AC,MATCH(AC52,$AA:$AA,0)+9)+INDEX(AC:AC,MATCH(AC52,$AA:$AA,0)+10))</f>
        <v>0</v>
      </c>
      <c r="AD56" s="375"/>
      <c r="AE56" s="374">
        <f>ABS(INDEX(AE:AE,MATCH(AE52,$AA:$AA,0)+8)+INDEX(AE:AE,MATCH(AE52,$AA:$AA,0)+9)+INDEX(AE:AE,MATCH(AE52,$AA:$AA,0)+10))</f>
        <v>168</v>
      </c>
      <c r="AF56" s="375"/>
      <c r="AG56" s="374">
        <f>ABS(INDEX(AG:AG,MATCH(AG52,$AA:$AA,0)+8)+INDEX(AG:AG,MATCH(AG52,$AA:$AA,0)+9)+INDEX(AG:AG,MATCH(AG52,$AA:$AA,0)+10))</f>
        <v>179</v>
      </c>
      <c r="AH56" s="375"/>
      <c r="AI56" s="374">
        <f>ABS(INDEX(AI:AI,MATCH(AI52,$AA:$AA,0)+8)+INDEX(AI:AI,MATCH(AI52,$AA:$AA,0)+9)+INDEX(AI:AI,MATCH(AI52,$AA:$AA,0)+10))</f>
        <v>200</v>
      </c>
      <c r="AJ56" s="375"/>
      <c r="AK56" s="374">
        <f>ABS(INDEX(AK:AK,MATCH(AK52,$AA:$AA,0)+8)+INDEX(AK:AK,MATCH(AK52,$AA:$AA,0)+9)+INDEX(AK:AK,MATCH(AK52,$AA:$AA,0)+10))</f>
        <v>143</v>
      </c>
      <c r="AL56" s="375"/>
      <c r="AM56" s="374">
        <f>ABS(INDEX(AM:AM,MATCH(AM52,$AA:$AA,0)+8)+INDEX(AM:AM,MATCH(AM52,$AA:$AA,0)+9)+INDEX(AM:AM,MATCH(AM52,$AA:$AA,0)+10))</f>
        <v>189</v>
      </c>
      <c r="AN56" s="375"/>
      <c r="AO56" s="374">
        <f>ABS(INDEX(AO:AO,MATCH(AO52,$AA:$AA,0)+8)+INDEX(AO:AO,MATCH(AO52,$AA:$AA,0)+9)+INDEX(AO:AO,MATCH(AO52,$AA:$AA,0)+10))</f>
        <v>235</v>
      </c>
      <c r="AP56" s="375"/>
      <c r="AQ56" s="374">
        <f>ABS(INDEX(AQ:AQ,MATCH(AQ52,$AA:$AA,0)+8)+INDEX(AQ:AQ,MATCH(AQ52,$AA:$AA,0)+9)+INDEX(AQ:AQ,MATCH(AQ52,$AA:$AA,0)+10))</f>
        <v>199</v>
      </c>
      <c r="AR56" s="375"/>
      <c r="AS56" s="374">
        <f>ABS(INDEX(AS:AS,MATCH(AS52,$AA:$AA,0)+8)+INDEX(AS:AS,MATCH(AS52,$AA:$AA,0)+9)+INDEX(AS:AS,MATCH(AS52,$AA:$AA,0)+10))</f>
        <v>223</v>
      </c>
      <c r="AT56" s="37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6.05" customHeight="1" x14ac:dyDescent="0.35">
      <c r="B57" s="365" t="str">
        <f t="shared" si="68"/>
        <v>Spieler 3</v>
      </c>
      <c r="C57" s="366" t="str">
        <f t="shared" si="68"/>
        <v/>
      </c>
      <c r="D57" s="339">
        <f>IF(AC57=301,"",AC57)</f>
        <v>0</v>
      </c>
      <c r="E57" s="339" t="str">
        <f>IF(AD57=0,"",AD57)</f>
        <v/>
      </c>
      <c r="F57" s="339">
        <f>IF(AE57=301,"",AE57)</f>
        <v>178</v>
      </c>
      <c r="G57" s="339" t="str">
        <f>IF(AF57=0,"",AF57)</f>
        <v/>
      </c>
      <c r="H57" s="339">
        <f>IF(AG57=301,"",AG57)</f>
        <v>159</v>
      </c>
      <c r="I57" s="339" t="str">
        <f>IF(AH57=0,"",AH57)</f>
        <v/>
      </c>
      <c r="J57" s="339">
        <f>IF(AI57=301,"",AI57)</f>
        <v>156</v>
      </c>
      <c r="K57" s="339" t="str">
        <f>IF(AJ57=0,"",AJ57)</f>
        <v/>
      </c>
      <c r="L57" s="339">
        <f>IF(AK57=301,"",AK57)</f>
        <v>178</v>
      </c>
      <c r="M57" s="339" t="str">
        <f>IF(AL57=0,"",AL57)</f>
        <v/>
      </c>
      <c r="N57" s="339">
        <f>IF(AM57=301,"",AM57)</f>
        <v>185</v>
      </c>
      <c r="O57" s="339" t="str">
        <f>IF(AN57=0,"",AN57)</f>
        <v/>
      </c>
      <c r="P57" s="339">
        <f>IF(AO57=301,"",AO57)</f>
        <v>143</v>
      </c>
      <c r="Q57" s="339" t="str">
        <f>IF(AP57=0,"",AP57)</f>
        <v/>
      </c>
      <c r="R57" s="339">
        <f>IF(AQ57=301,"",AQ57)</f>
        <v>160</v>
      </c>
      <c r="S57" s="339" t="str">
        <f>IF(AR57=0,"",AR57)</f>
        <v/>
      </c>
      <c r="T57" s="339">
        <f>IF(AS57=301,"",AS57)</f>
        <v>182</v>
      </c>
      <c r="U57" s="339" t="str">
        <f>IF(AT57=0,"",AT57)</f>
        <v/>
      </c>
      <c r="V57" s="340"/>
      <c r="W57" s="340"/>
      <c r="AA57" s="91" t="s">
        <v>3</v>
      </c>
      <c r="AB57" s="92"/>
      <c r="AC57" s="374">
        <f>ABS(INDEX(AC:AC,MATCH(AC52,$AA:$AA,0)+11)+INDEX(AC:AC,MATCH(AC52,$AA:$AA,0)+12)+INDEX(AC:AC,MATCH(AC52,$AA:$AA,0)+13))</f>
        <v>0</v>
      </c>
      <c r="AD57" s="375"/>
      <c r="AE57" s="374">
        <f>ABS(INDEX(AE:AE,MATCH(AE52,$AA:$AA,0)+11)+INDEX(AE:AE,MATCH(AE52,$AA:$AA,0)+12)+INDEX(AE:AE,MATCH(AE52,$AA:$AA,0)+13))</f>
        <v>178</v>
      </c>
      <c r="AF57" s="375"/>
      <c r="AG57" s="374">
        <f>ABS(INDEX(AG:AG,MATCH(AG52,$AA:$AA,0)+11)+INDEX(AG:AG,MATCH(AG52,$AA:$AA,0)+12)+INDEX(AG:AG,MATCH(AG52,$AA:$AA,0)+13))</f>
        <v>159</v>
      </c>
      <c r="AH57" s="375"/>
      <c r="AI57" s="374">
        <f>ABS(INDEX(AI:AI,MATCH(AI52,$AA:$AA,0)+11)+INDEX(AI:AI,MATCH(AI52,$AA:$AA,0)+12)+INDEX(AI:AI,MATCH(AI52,$AA:$AA,0)+13))</f>
        <v>156</v>
      </c>
      <c r="AJ57" s="375"/>
      <c r="AK57" s="374">
        <f>ABS(INDEX(AK:AK,MATCH(AK52,$AA:$AA,0)+11)+INDEX(AK:AK,MATCH(AK52,$AA:$AA,0)+12)+INDEX(AK:AK,MATCH(AK52,$AA:$AA,0)+13))</f>
        <v>178</v>
      </c>
      <c r="AL57" s="375"/>
      <c r="AM57" s="374">
        <f>ABS(INDEX(AM:AM,MATCH(AM52,$AA:$AA,0)+11)+INDEX(AM:AM,MATCH(AM52,$AA:$AA,0)+12)+INDEX(AM:AM,MATCH(AM52,$AA:$AA,0)+13))</f>
        <v>185</v>
      </c>
      <c r="AN57" s="375"/>
      <c r="AO57" s="374">
        <f>ABS(INDEX(AO:AO,MATCH(AO52,$AA:$AA,0)+11)+INDEX(AO:AO,MATCH(AO52,$AA:$AA,0)+12)+INDEX(AO:AO,MATCH(AO52,$AA:$AA,0)+13))</f>
        <v>143</v>
      </c>
      <c r="AP57" s="375"/>
      <c r="AQ57" s="374">
        <f>ABS(INDEX(AQ:AQ,MATCH(AQ52,$AA:$AA,0)+11)+INDEX(AQ:AQ,MATCH(AQ52,$AA:$AA,0)+12)+INDEX(AQ:AQ,MATCH(AQ52,$AA:$AA,0)+13))</f>
        <v>160</v>
      </c>
      <c r="AR57" s="375"/>
      <c r="AS57" s="374">
        <f>ABS(INDEX(AS:AS,MATCH(AS52,$AA:$AA,0)+11)+INDEX(AS:AS,MATCH(AS52,$AA:$AA,0)+12)+INDEX(AS:AS,MATCH(AS52,$AA:$AA,0)+13))</f>
        <v>182</v>
      </c>
      <c r="AT57" s="37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6.05" customHeight="1" x14ac:dyDescent="0.35">
      <c r="B58" s="365" t="str">
        <f t="shared" si="68"/>
        <v>Spieler 4</v>
      </c>
      <c r="C58" s="366" t="str">
        <f t="shared" si="68"/>
        <v/>
      </c>
      <c r="D58" s="339">
        <f>IF(AC58=301,"",AC58)</f>
        <v>0</v>
      </c>
      <c r="E58" s="339" t="str">
        <f>IF(AD58=0,"",AD58)</f>
        <v/>
      </c>
      <c r="F58" s="339">
        <f>IF(AE58=301,"",AE58)</f>
        <v>153</v>
      </c>
      <c r="G58" s="339" t="str">
        <f>IF(AF58=0,"",AF58)</f>
        <v/>
      </c>
      <c r="H58" s="339">
        <f>IF(AG58=301,"",AG58)</f>
        <v>155</v>
      </c>
      <c r="I58" s="339" t="str">
        <f>IF(AH58=0,"",AH58)</f>
        <v/>
      </c>
      <c r="J58" s="339">
        <f>IF(AI58=301,"",AI58)</f>
        <v>158</v>
      </c>
      <c r="K58" s="339" t="str">
        <f>IF(AJ58=0,"",AJ58)</f>
        <v/>
      </c>
      <c r="L58" s="339">
        <f>IF(AK58=301,"",AK58)</f>
        <v>179</v>
      </c>
      <c r="M58" s="339" t="str">
        <f>IF(AL58=0,"",AL58)</f>
        <v/>
      </c>
      <c r="N58" s="339">
        <f>IF(AM58=301,"",AM58)</f>
        <v>195</v>
      </c>
      <c r="O58" s="339" t="str">
        <f>IF(AN58=0,"",AN58)</f>
        <v/>
      </c>
      <c r="P58" s="339">
        <f>IF(AO58=301,"",AO58)</f>
        <v>176</v>
      </c>
      <c r="Q58" s="339" t="str">
        <f>IF(AP58=0,"",AP58)</f>
        <v/>
      </c>
      <c r="R58" s="339">
        <f>IF(AQ58=301,"",AQ58)</f>
        <v>203</v>
      </c>
      <c r="S58" s="339" t="str">
        <f>IF(AR58=0,"",AR58)</f>
        <v/>
      </c>
      <c r="T58" s="339">
        <f>IF(AS58=301,"",AS58)</f>
        <v>179</v>
      </c>
      <c r="U58" s="339" t="str">
        <f>IF(AT58=0,"",AT58)</f>
        <v/>
      </c>
      <c r="V58" s="340"/>
      <c r="W58" s="340"/>
      <c r="AA58" s="91" t="s">
        <v>11</v>
      </c>
      <c r="AB58" s="92"/>
      <c r="AC58" s="374">
        <f>ABS(INDEX(AC:AC,MATCH(AC52,$AA:$AA,0)+14)+INDEX(AC:AC,MATCH(AC52,$AA:$AA,0)+15)+INDEX(AC:AC,MATCH(AC52,$AA:$AA,0)+16))</f>
        <v>0</v>
      </c>
      <c r="AD58" s="375"/>
      <c r="AE58" s="374">
        <f>ABS(INDEX(AE:AE,MATCH(AE52,$AA:$AA,0)+14)+INDEX(AE:AE,MATCH(AE52,$AA:$AA,0)+15)+INDEX(AE:AE,MATCH(AE52,$AA:$AA,0)+16))</f>
        <v>153</v>
      </c>
      <c r="AF58" s="375"/>
      <c r="AG58" s="374">
        <f>ABS(INDEX(AG:AG,MATCH(AG52,$AA:$AA,0)+14)+INDEX(AG:AG,MATCH(AG52,$AA:$AA,0)+15)+INDEX(AG:AG,MATCH(AG52,$AA:$AA,0)+16))</f>
        <v>155</v>
      </c>
      <c r="AH58" s="375"/>
      <c r="AI58" s="374">
        <f>ABS(INDEX(AI:AI,MATCH(AI52,$AA:$AA,0)+14)+INDEX(AI:AI,MATCH(AI52,$AA:$AA,0)+15)+INDEX(AI:AI,MATCH(AI52,$AA:$AA,0)+16))</f>
        <v>158</v>
      </c>
      <c r="AJ58" s="375"/>
      <c r="AK58" s="374">
        <f>ABS(INDEX(AK:AK,MATCH(AK52,$AA:$AA,0)+14)+INDEX(AK:AK,MATCH(AK52,$AA:$AA,0)+15)+INDEX(AK:AK,MATCH(AK52,$AA:$AA,0)+16))</f>
        <v>179</v>
      </c>
      <c r="AL58" s="375"/>
      <c r="AM58" s="374">
        <f>ABS(INDEX(AM:AM,MATCH(AM52,$AA:$AA,0)+14)+INDEX(AM:AM,MATCH(AM52,$AA:$AA,0)+15)+INDEX(AM:AM,MATCH(AM52,$AA:$AA,0)+16))</f>
        <v>195</v>
      </c>
      <c r="AN58" s="375"/>
      <c r="AO58" s="374">
        <f>ABS(INDEX(AO:AO,MATCH(AO52,$AA:$AA,0)+14)+INDEX(AO:AO,MATCH(AO52,$AA:$AA,0)+15)+INDEX(AO:AO,MATCH(AO52,$AA:$AA,0)+16))</f>
        <v>176</v>
      </c>
      <c r="AP58" s="375"/>
      <c r="AQ58" s="374">
        <f>ABS(INDEX(AQ:AQ,MATCH(AQ52,$AA:$AA,0)+14)+INDEX(AQ:AQ,MATCH(AQ52,$AA:$AA,0)+15)+INDEX(AQ:AQ,MATCH(AQ52,$AA:$AA,0)+16))</f>
        <v>203</v>
      </c>
      <c r="AR58" s="375"/>
      <c r="AS58" s="374">
        <f>ABS(INDEX(AS:AS,MATCH(AS52,$AA:$AA,0)+14)+INDEX(AS:AS,MATCH(AS52,$AA:$AA,0)+15)+INDEX(AS:AS,MATCH(AS52,$AA:$AA,0)+16))</f>
        <v>179</v>
      </c>
      <c r="AT58" s="37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6.05" customHeight="1" x14ac:dyDescent="0.35">
      <c r="B59" s="354" t="str">
        <f t="shared" si="68"/>
        <v>Gesamt</v>
      </c>
      <c r="C59" s="355" t="str">
        <f t="shared" si="68"/>
        <v/>
      </c>
      <c r="D59" s="338">
        <f>IF(AC59=1505,"",AC59)</f>
        <v>0</v>
      </c>
      <c r="E59" s="338" t="str">
        <f>IF(AD59=0,"",AD59)</f>
        <v/>
      </c>
      <c r="F59" s="338">
        <f>IF(AE59=1505,"",AE59)</f>
        <v>693</v>
      </c>
      <c r="G59" s="338" t="str">
        <f>IF(AF59=0,"",AF59)</f>
        <v/>
      </c>
      <c r="H59" s="338">
        <f>IF(AG59=1505,"",AG59)</f>
        <v>642</v>
      </c>
      <c r="I59" s="338" t="str">
        <f>IF(AH59=0,"",AH59)</f>
        <v/>
      </c>
      <c r="J59" s="338">
        <f>IF(AI59=1505,"",AI59)</f>
        <v>696</v>
      </c>
      <c r="K59" s="338" t="str">
        <f>IF(AJ59=0,"",AJ59)</f>
        <v/>
      </c>
      <c r="L59" s="338">
        <f>IF(AK59=1505,"",AK59)</f>
        <v>719</v>
      </c>
      <c r="M59" s="338" t="str">
        <f>IF(AL59=0,"",AL59)</f>
        <v/>
      </c>
      <c r="N59" s="338">
        <f>IF(AM59=1505,"",AM59)</f>
        <v>730</v>
      </c>
      <c r="O59" s="338" t="str">
        <f>IF(AN59=0,"",AN59)</f>
        <v/>
      </c>
      <c r="P59" s="338">
        <f>IF(AO59=1505,"",AO59)</f>
        <v>711</v>
      </c>
      <c r="Q59" s="338" t="str">
        <f>IF(AP59=0,"",AP59)</f>
        <v/>
      </c>
      <c r="R59" s="338">
        <f>IF(AQ59=1505,"",AQ59)</f>
        <v>778</v>
      </c>
      <c r="S59" s="338" t="str">
        <f>IF(AR59=0,"",AR59)</f>
        <v/>
      </c>
      <c r="T59" s="338">
        <f>IF(AS59=1505,"",AS59)</f>
        <v>742</v>
      </c>
      <c r="U59" s="338" t="str">
        <f>IF(AT59=0,"",AT59)</f>
        <v/>
      </c>
      <c r="V59" s="290"/>
      <c r="W59" s="290"/>
      <c r="AA59" s="93" t="s">
        <v>1799</v>
      </c>
      <c r="AB59" s="94"/>
      <c r="AC59" s="354">
        <f>SUM(AC55:AC58)</f>
        <v>0</v>
      </c>
      <c r="AD59" s="355"/>
      <c r="AE59" s="354">
        <f>SUM(AE55:AE58)</f>
        <v>693</v>
      </c>
      <c r="AF59" s="355"/>
      <c r="AG59" s="354">
        <f>SUM(AG55:AG58)</f>
        <v>642</v>
      </c>
      <c r="AH59" s="355"/>
      <c r="AI59" s="354">
        <f>SUM(AI55:AI58)</f>
        <v>696</v>
      </c>
      <c r="AJ59" s="355"/>
      <c r="AK59" s="354">
        <f>SUM(AK55:AK58)</f>
        <v>719</v>
      </c>
      <c r="AL59" s="355"/>
      <c r="AM59" s="354">
        <f>SUM(AM55:AM58)</f>
        <v>730</v>
      </c>
      <c r="AN59" s="355"/>
      <c r="AO59" s="354">
        <f>SUM(AO55:AO58)</f>
        <v>711</v>
      </c>
      <c r="AP59" s="355"/>
      <c r="AQ59" s="354">
        <f>SUM(AQ55:AQ58)</f>
        <v>778</v>
      </c>
      <c r="AR59" s="355"/>
      <c r="AS59" s="354">
        <f>SUM(AS55:AS58)</f>
        <v>742</v>
      </c>
      <c r="AT59" s="35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3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7">
      <c r="B61" s="44" t="str">
        <f>AA61</f>
        <v>Team-Nr.</v>
      </c>
      <c r="C61" s="45"/>
      <c r="D61" s="44" t="str">
        <f>AC61</f>
        <v>Liga:</v>
      </c>
      <c r="E61" s="47"/>
      <c r="F61" s="359" t="str">
        <f>AE61</f>
        <v>Bayernliga Frauen</v>
      </c>
      <c r="G61" s="359"/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48"/>
      <c r="S61" s="49" t="s">
        <v>1794</v>
      </c>
      <c r="T61" s="50"/>
      <c r="U61" s="360" t="str">
        <f>AT61</f>
        <v>15.02./16.02.</v>
      </c>
      <c r="V61" s="361"/>
      <c r="W61" s="362"/>
      <c r="X61" s="363"/>
      <c r="Y61" s="364"/>
      <c r="Z61" s="364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0" t="str">
        <f>VLOOKUP(AS62,Spielorte!$A$1:$C$6,2)</f>
        <v>15.02./16.02.</v>
      </c>
      <c r="AU61" s="361"/>
      <c r="AV61" s="362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65">
      <c r="B62" s="53">
        <f>AA62</f>
        <v>3</v>
      </c>
      <c r="D62" s="46" t="s">
        <v>1793</v>
      </c>
      <c r="E62" s="54"/>
      <c r="F62" s="358" t="str">
        <f>AE62</f>
        <v>Nürnberg West Bowling</v>
      </c>
      <c r="G62" s="358"/>
      <c r="H62" s="358"/>
      <c r="I62" s="358"/>
      <c r="J62" s="358"/>
      <c r="K62" s="358"/>
      <c r="L62" s="358"/>
      <c r="M62" s="358"/>
      <c r="N62" s="358"/>
      <c r="O62" s="358"/>
      <c r="P62" s="55"/>
      <c r="Q62" s="55"/>
      <c r="S62" s="49" t="s">
        <v>1791</v>
      </c>
      <c r="T62" s="56">
        <f>AS62</f>
        <v>4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Nürnberg West Bowling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4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4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5" thickBot="1" x14ac:dyDescent="0.45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VLOOKUP(AA62,Schlüssel!$A$5:$DZ$14,73)</f>
        <v>13</v>
      </c>
      <c r="AE64" s="65" t="s">
        <v>10</v>
      </c>
      <c r="AF64" s="44">
        <f>VLOOKUP(AA62,Schlüssel!$A$5:$DZ$14,74)</f>
        <v>16</v>
      </c>
      <c r="AG64" s="65" t="s">
        <v>10</v>
      </c>
      <c r="AH64" s="44">
        <f>VLOOKUP(AA62,Schlüssel!$A$5:$DZ$14,75)</f>
        <v>17</v>
      </c>
      <c r="AI64" s="65" t="s">
        <v>10</v>
      </c>
      <c r="AJ64" s="44">
        <f>VLOOKUP(AA62,Schlüssel!$A$5:$DZ$14,76)</f>
        <v>14</v>
      </c>
      <c r="AK64" s="65" t="s">
        <v>10</v>
      </c>
      <c r="AL64" s="44">
        <f>VLOOKUP(AA62,Schlüssel!$A$5:$DZ$14,77)</f>
        <v>19</v>
      </c>
      <c r="AM64" s="65" t="s">
        <v>10</v>
      </c>
      <c r="AN64" s="44">
        <f>VLOOKUP(AA62,Schlüssel!$A$5:$DZ$14,78)</f>
        <v>11</v>
      </c>
      <c r="AO64" s="65" t="s">
        <v>10</v>
      </c>
      <c r="AP64" s="44">
        <f>VLOOKUP(AA62,Schlüssel!$A$5:$DZ$14,79)</f>
        <v>18</v>
      </c>
      <c r="AQ64" s="65" t="s">
        <v>10</v>
      </c>
      <c r="AR64" s="44">
        <f>VLOOKUP(AA62,Schlüssel!$A$5:$DZ$14,80)</f>
        <v>15</v>
      </c>
      <c r="AS64" s="65" t="s">
        <v>10</v>
      </c>
      <c r="AT64" s="44">
        <f>VLOOKUP(AA62,Schlüssel!$A$5:$DZ$14,81)</f>
        <v>20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35">
      <c r="B65" s="67" t="s">
        <v>1</v>
      </c>
      <c r="C65" s="68"/>
      <c r="D65" s="354" t="s">
        <v>1800</v>
      </c>
      <c r="E65" s="355"/>
      <c r="F65" s="354" t="s">
        <v>1801</v>
      </c>
      <c r="G65" s="355"/>
      <c r="H65" s="354" t="s">
        <v>1802</v>
      </c>
      <c r="I65" s="355"/>
      <c r="J65" s="354" t="s">
        <v>1803</v>
      </c>
      <c r="K65" s="355"/>
      <c r="L65" s="354" t="s">
        <v>1804</v>
      </c>
      <c r="M65" s="355"/>
      <c r="N65" s="354" t="s">
        <v>1805</v>
      </c>
      <c r="O65" s="355"/>
      <c r="P65" s="354" t="s">
        <v>1806</v>
      </c>
      <c r="Q65" s="355"/>
      <c r="R65" s="354" t="s">
        <v>1807</v>
      </c>
      <c r="S65" s="355"/>
      <c r="T65" s="354" t="s">
        <v>1808</v>
      </c>
      <c r="U65" s="355"/>
      <c r="V65" s="356" t="s">
        <v>1799</v>
      </c>
      <c r="W65" s="357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4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2" customHeight="1" x14ac:dyDescent="0.35">
      <c r="A67" s="367" t="s">
        <v>0</v>
      </c>
      <c r="B67" s="73" t="str">
        <f>IF(AA67=0,"",AA67)</f>
        <v>Auer, Cornelia</v>
      </c>
      <c r="C67" s="74">
        <f>IF(AB67=0,"",AB67)</f>
        <v>25298</v>
      </c>
      <c r="D67" s="75">
        <f>IF(AC67=0,"",AC67)</f>
        <v>208</v>
      </c>
      <c r="E67" s="348">
        <f>IF(AD67="","",AD67)</f>
        <v>1</v>
      </c>
      <c r="F67" s="75">
        <f t="shared" ref="F67:F80" si="69">IF(AE67=0,"",AE67)</f>
        <v>156</v>
      </c>
      <c r="G67" s="348">
        <f>IF(AF67="","",AF67)</f>
        <v>1</v>
      </c>
      <c r="H67" s="75">
        <f t="shared" ref="H67:H80" si="70">IF(AG67=0,"",AG67)</f>
        <v>165</v>
      </c>
      <c r="I67" s="348">
        <f>IF(AH67="","",AH67)</f>
        <v>0</v>
      </c>
      <c r="J67" s="75">
        <f t="shared" ref="J67:J80" si="71">IF(AI67=0,"",AI67)</f>
        <v>149</v>
      </c>
      <c r="K67" s="348">
        <f>IF(AJ67="","",AJ67)</f>
        <v>0</v>
      </c>
      <c r="L67" s="75">
        <f t="shared" ref="L67:L80" si="72">IF(AK67=0,"",AK67)</f>
        <v>145</v>
      </c>
      <c r="M67" s="348">
        <f>IF(AL67="","",AL67)</f>
        <v>1</v>
      </c>
      <c r="N67" s="75" t="str">
        <f>IF(AM67=0,"",AM67)</f>
        <v/>
      </c>
      <c r="O67" s="348">
        <f>IF(AN67="","",AN67)</f>
        <v>1</v>
      </c>
      <c r="P67" s="75" t="str">
        <f t="shared" ref="P67:P80" si="73">IF(AO67=0,"",AO67)</f>
        <v/>
      </c>
      <c r="Q67" s="348">
        <f>IF(AP67="","",AP67)</f>
        <v>0</v>
      </c>
      <c r="R67" s="75" t="str">
        <f t="shared" ref="R67:R80" si="74">IF(AQ67=0,"",AQ67)</f>
        <v/>
      </c>
      <c r="S67" s="348">
        <f>IF(AR67="","",AR67)</f>
        <v>0</v>
      </c>
      <c r="T67" s="75" t="str">
        <f t="shared" ref="T67:T80" si="75">IF(AS67=0,"",AS67)</f>
        <v/>
      </c>
      <c r="U67" s="348">
        <f>IF(AT67="","",AT67)</f>
        <v>1</v>
      </c>
      <c r="V67" s="75">
        <f t="shared" ref="V67:V80" si="76">IF(AU67=0,"",AU67)</f>
        <v>823</v>
      </c>
      <c r="W67" s="348">
        <f>IF(AV67="","",AV67)</f>
        <v>5</v>
      </c>
      <c r="Z67" s="351" t="s">
        <v>0</v>
      </c>
      <c r="AA67" s="108" t="str">
        <f>IF(AB67=0,"",VLOOKUP(AB67,Starter!$A$1:$D$199,2,FALSE))</f>
        <v>Auer, Cornelia</v>
      </c>
      <c r="AB67" s="99">
        <v>25298</v>
      </c>
      <c r="AC67" s="185">
        <v>208</v>
      </c>
      <c r="AD67" s="109">
        <f>IF(SUM(AC67:AC69)+AC85=0,0,IF(SUM(AC67:AC69)=AC85,0.5,IF(SUM(AC67:AC69)&gt;AC85,1,0)))</f>
        <v>1</v>
      </c>
      <c r="AE67" s="185">
        <v>156</v>
      </c>
      <c r="AF67" s="109">
        <f>IF(SUM(AE67:AE69)+AE85=0,0,IF(SUM(AE67:AE69)=AE85,0.5,IF(SUM(AE67:AE69)&gt;AE85,1,0)))</f>
        <v>1</v>
      </c>
      <c r="AG67" s="185">
        <v>165</v>
      </c>
      <c r="AH67" s="109">
        <f>IF(SUM(AG67:AG69)+AG85=0,0,IF(SUM(AG67:AG69)=AG85,0.5,IF(SUM(AG67:AG69)&gt;AG85,1,0)))</f>
        <v>0</v>
      </c>
      <c r="AI67" s="185">
        <v>149</v>
      </c>
      <c r="AJ67" s="109">
        <f>IF(SUM(AI67:AI69)+AI85=0,0,IF(SUM(AI67:AI69)=AI85,0.5,IF(SUM(AI67:AI69)&gt;AI85,1,0)))</f>
        <v>0</v>
      </c>
      <c r="AK67" s="185">
        <v>145</v>
      </c>
      <c r="AL67" s="109">
        <f>IF(SUM(AK67:AK69)+AK85=0,0,IF(SUM(AK67:AK69)=AK85,0.5,IF(SUM(AK67:AK69)&gt;AK85,1,0)))</f>
        <v>1</v>
      </c>
      <c r="AM67" s="185"/>
      <c r="AN67" s="109">
        <f>IF(SUM(AM67:AM69)+AM85=0,0,IF(SUM(AM67:AM69)=AM85,0.5,IF(SUM(AM67:AM69)&gt;AM85,1,0)))</f>
        <v>1</v>
      </c>
      <c r="AO67" s="185"/>
      <c r="AP67" s="109">
        <f>IF(SUM(AO67:AO69)+AO85=0,0,IF(SUM(AO67:AO69)=AO85,0.5,IF(SUM(AO67:AO69)&gt;AO85,1,0)))</f>
        <v>0</v>
      </c>
      <c r="AQ67" s="185"/>
      <c r="AR67" s="109">
        <f>IF(SUM(AQ67:AQ69)+AQ85=0,0,IF(SUM(AQ67:AQ69)=AQ85,0.5,IF(SUM(AQ67:AQ69)&gt;AQ85,1,0)))</f>
        <v>0</v>
      </c>
      <c r="AS67" s="185"/>
      <c r="AT67" s="109">
        <f>IF(SUM(AS67:AS69)+AS85=0,0,IF(SUM(AS67:AS69)=AS85,0.5,IF(SUM(AS67:AS69)&gt;AS85,1,0)))</f>
        <v>1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823</v>
      </c>
      <c r="AV67" s="111">
        <f>SUM(AD67+AF67+AH67+AJ67+AL67+AN67+AP67+AR67+AT67)</f>
        <v>5</v>
      </c>
      <c r="AW67" s="101"/>
      <c r="AX67" s="102"/>
      <c r="AZ67" s="63"/>
      <c r="BA67" s="212"/>
      <c r="BB67" s="213"/>
      <c r="BC67" s="214"/>
      <c r="BD67" s="217">
        <f>+AB67</f>
        <v>25298</v>
      </c>
      <c r="BE67" s="213">
        <f>+AU67</f>
        <v>823</v>
      </c>
      <c r="BF67" s="215">
        <f>COUNT(BH67:BP67)</f>
        <v>5</v>
      </c>
      <c r="BG67" s="215">
        <f>COUNTIF(BH67:BP67,"&gt;0")</f>
        <v>5</v>
      </c>
      <c r="BH67" s="215">
        <f t="shared" ref="BH67:BH78" si="78">IF(AC67=0,"",AC67)</f>
        <v>208</v>
      </c>
      <c r="BI67" s="215">
        <f t="shared" ref="BI67:BI78" si="79">IF(AE67=0,"",AE67)</f>
        <v>156</v>
      </c>
      <c r="BJ67" s="215">
        <f t="shared" ref="BJ67:BJ78" si="80">IF(AG67=0,"",AG67)</f>
        <v>165</v>
      </c>
      <c r="BK67" s="215">
        <f t="shared" ref="BK67:BK78" si="81">IF(AI67=0,"",AI67)</f>
        <v>149</v>
      </c>
      <c r="BL67" s="215">
        <f t="shared" ref="BL67:BL78" si="82">IF(AK67=0,"",AK67)</f>
        <v>145</v>
      </c>
      <c r="BM67" s="215" t="str">
        <f t="shared" ref="BM67:BM78" si="83">IF(AM67=0,"",AM67)</f>
        <v/>
      </c>
      <c r="BN67" s="215" t="str">
        <f t="shared" ref="BN67:BN78" si="84">IF(AO67=0,"",AO67)</f>
        <v/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208</v>
      </c>
      <c r="BT67" s="215">
        <f>IF(BS67&lt;MAX(BS:BS),0,BS67+ROW()/1000000000)</f>
        <v>0</v>
      </c>
      <c r="BU67" s="215" t="str">
        <f>+AA63</f>
        <v>Highroller Rosenheim</v>
      </c>
      <c r="BV67" s="214">
        <f>RANK(BT67,BT:BT)</f>
        <v>2</v>
      </c>
      <c r="BW67" s="215">
        <f>SUMIF(BH67:BP67,"&gt;0")</f>
        <v>823</v>
      </c>
      <c r="BX67" s="215">
        <f>IF(COUNTIF(BH67:BP67,"&gt;0")&lt;Spielorte!$A$23,0,BE67/Spielorte!$A$23)</f>
        <v>0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2" customHeight="1" x14ac:dyDescent="0.35">
      <c r="A68" s="368"/>
      <c r="B68" s="76" t="str">
        <f t="shared" ref="B68:D80" si="88">IF(AA68=0,"",AA68)</f>
        <v>Lindner, Theresa</v>
      </c>
      <c r="C68" s="77">
        <f t="shared" si="88"/>
        <v>38458</v>
      </c>
      <c r="D68" s="78" t="str">
        <f t="shared" si="88"/>
        <v/>
      </c>
      <c r="E68" s="349"/>
      <c r="F68" s="78" t="str">
        <f t="shared" si="69"/>
        <v/>
      </c>
      <c r="G68" s="349"/>
      <c r="H68" s="78" t="str">
        <f t="shared" si="70"/>
        <v/>
      </c>
      <c r="I68" s="349"/>
      <c r="J68" s="78" t="str">
        <f t="shared" si="71"/>
        <v/>
      </c>
      <c r="K68" s="349"/>
      <c r="L68" s="78" t="str">
        <f t="shared" si="72"/>
        <v/>
      </c>
      <c r="M68" s="349"/>
      <c r="N68" s="78">
        <f t="shared" ref="N68:N80" si="89">IF(AM68=0,"",AM68)</f>
        <v>175</v>
      </c>
      <c r="O68" s="349"/>
      <c r="P68" s="78">
        <f t="shared" si="73"/>
        <v>157</v>
      </c>
      <c r="Q68" s="349"/>
      <c r="R68" s="78">
        <f t="shared" si="74"/>
        <v>173</v>
      </c>
      <c r="S68" s="349"/>
      <c r="T68" s="78">
        <f t="shared" si="75"/>
        <v>166</v>
      </c>
      <c r="U68" s="349"/>
      <c r="V68" s="78">
        <f t="shared" si="76"/>
        <v>671</v>
      </c>
      <c r="W68" s="349"/>
      <c r="Z68" s="352"/>
      <c r="AA68" s="108" t="str">
        <f>IF(AB68=0,"",VLOOKUP(AB68,Starter!$A$1:$D$199,2,FALSE))</f>
        <v>Lindner, Theresa</v>
      </c>
      <c r="AB68" s="98">
        <v>38458</v>
      </c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>
        <v>175</v>
      </c>
      <c r="AN68" s="112"/>
      <c r="AO68" s="186">
        <v>157</v>
      </c>
      <c r="AP68" s="112"/>
      <c r="AQ68" s="186">
        <v>173</v>
      </c>
      <c r="AR68" s="112"/>
      <c r="AS68" s="186">
        <v>166</v>
      </c>
      <c r="AT68" s="112"/>
      <c r="AU68" s="113">
        <f t="shared" si="77"/>
        <v>671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38458</v>
      </c>
      <c r="BE68" s="213">
        <f t="shared" ref="BE68:BE78" si="91">+AU68</f>
        <v>671</v>
      </c>
      <c r="BF68" s="215">
        <f t="shared" ref="BF68:BF78" si="92">COUNT(BH68:BP68)</f>
        <v>4</v>
      </c>
      <c r="BG68" s="215">
        <f t="shared" ref="BG68:BG78" si="93">COUNTIF(BH68:BP68,"&gt;0")</f>
        <v>4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>
        <f t="shared" si="83"/>
        <v>175</v>
      </c>
      <c r="BN68" s="215">
        <f t="shared" si="84"/>
        <v>157</v>
      </c>
      <c r="BO68" s="215">
        <f t="shared" si="85"/>
        <v>173</v>
      </c>
      <c r="BP68" s="215">
        <f t="shared" si="86"/>
        <v>166</v>
      </c>
      <c r="BQ68" s="216"/>
      <c r="BR68" s="214"/>
      <c r="BS68" s="215">
        <f t="shared" ref="BS68:BS78" si="94">MAX(BH68:BP68)</f>
        <v>175</v>
      </c>
      <c r="BT68" s="215">
        <f t="shared" ref="BT68:BT78" si="95">IF(BS68&lt;MAX(BS:BS),0,BS68+ROW()/1000000000)</f>
        <v>0</v>
      </c>
      <c r="BU68" s="215" t="str">
        <f t="shared" ref="BU68:BU78" si="96">+BU67</f>
        <v>Highroller Rosenheim</v>
      </c>
      <c r="BV68" s="214">
        <f t="shared" ref="BV68:BV78" si="97">RANK(BT68,BT:BT)</f>
        <v>2</v>
      </c>
      <c r="BW68" s="215">
        <f t="shared" ref="BW68:BW78" si="98">SUMIF(BH68:BP68,"&gt;0")</f>
        <v>671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2" customHeight="1" thickBot="1" x14ac:dyDescent="0.4">
      <c r="A69" s="369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0"/>
      <c r="F69" s="69" t="str">
        <f t="shared" si="69"/>
        <v/>
      </c>
      <c r="G69" s="350"/>
      <c r="H69" s="69" t="str">
        <f t="shared" si="70"/>
        <v/>
      </c>
      <c r="I69" s="350"/>
      <c r="J69" s="69" t="str">
        <f t="shared" si="71"/>
        <v/>
      </c>
      <c r="K69" s="350"/>
      <c r="L69" s="69" t="str">
        <f t="shared" si="72"/>
        <v/>
      </c>
      <c r="M69" s="350"/>
      <c r="N69" s="69" t="str">
        <f t="shared" si="89"/>
        <v/>
      </c>
      <c r="O69" s="350"/>
      <c r="P69" s="69" t="str">
        <f t="shared" si="73"/>
        <v/>
      </c>
      <c r="Q69" s="350"/>
      <c r="R69" s="69" t="str">
        <f t="shared" si="74"/>
        <v/>
      </c>
      <c r="S69" s="350"/>
      <c r="T69" s="69" t="str">
        <f t="shared" si="75"/>
        <v/>
      </c>
      <c r="U69" s="350"/>
      <c r="V69" s="69" t="str">
        <f t="shared" si="76"/>
        <v/>
      </c>
      <c r="W69" s="350"/>
      <c r="Z69" s="353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Highroller Rosenheim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2" customHeight="1" x14ac:dyDescent="0.35">
      <c r="A70" s="367" t="s">
        <v>2</v>
      </c>
      <c r="B70" s="73" t="str">
        <f t="shared" si="88"/>
        <v>Groll, Hanni</v>
      </c>
      <c r="C70" s="74">
        <f t="shared" si="88"/>
        <v>25630</v>
      </c>
      <c r="D70" s="75">
        <f t="shared" si="88"/>
        <v>145</v>
      </c>
      <c r="E70" s="348">
        <f>IF(AD70="","",AD70)</f>
        <v>0</v>
      </c>
      <c r="F70" s="75">
        <f t="shared" si="69"/>
        <v>199</v>
      </c>
      <c r="G70" s="348">
        <f>IF(AF70="","",AF70)</f>
        <v>1</v>
      </c>
      <c r="H70" s="75">
        <f t="shared" si="70"/>
        <v>160</v>
      </c>
      <c r="I70" s="348">
        <f>IF(AH70="","",AH70)</f>
        <v>1</v>
      </c>
      <c r="J70" s="75">
        <f t="shared" si="71"/>
        <v>189</v>
      </c>
      <c r="K70" s="348">
        <f>IF(AJ70="","",AJ70)</f>
        <v>1</v>
      </c>
      <c r="L70" s="75">
        <f t="shared" si="72"/>
        <v>161</v>
      </c>
      <c r="M70" s="348">
        <f>IF(AL70="","",AL70)</f>
        <v>1</v>
      </c>
      <c r="N70" s="75">
        <f t="shared" si="89"/>
        <v>202</v>
      </c>
      <c r="O70" s="348">
        <f>IF(AN70="","",AN70)</f>
        <v>1</v>
      </c>
      <c r="P70" s="75">
        <f t="shared" si="73"/>
        <v>235</v>
      </c>
      <c r="Q70" s="348">
        <f>IF(AP70="","",AP70)</f>
        <v>1</v>
      </c>
      <c r="R70" s="75">
        <f t="shared" si="74"/>
        <v>192</v>
      </c>
      <c r="S70" s="348">
        <f>IF(AR70="","",AR70)</f>
        <v>1</v>
      </c>
      <c r="T70" s="75">
        <f t="shared" si="75"/>
        <v>172</v>
      </c>
      <c r="U70" s="348">
        <f>IF(AT70="","",AT70)</f>
        <v>0</v>
      </c>
      <c r="V70" s="75">
        <f t="shared" si="76"/>
        <v>1655</v>
      </c>
      <c r="W70" s="348">
        <f>IF(AV70="","",AV70)</f>
        <v>7</v>
      </c>
      <c r="Z70" s="351" t="s">
        <v>2</v>
      </c>
      <c r="AA70" s="108" t="str">
        <f>IF(AB70=0,"",VLOOKUP(AB70,Starter!$A$1:$D$199,2,FALSE))</f>
        <v>Groll, Hanni</v>
      </c>
      <c r="AB70" s="99">
        <v>25630</v>
      </c>
      <c r="AC70" s="188">
        <v>145</v>
      </c>
      <c r="AD70" s="109">
        <f>IF(SUM(AC70:AC72)+AC86=0,0,IF(SUM(AC70:AC72)=AC86,0.5,IF(SUM(AC70:AC72)&gt;AC86,1,0)))</f>
        <v>0</v>
      </c>
      <c r="AE70" s="188">
        <v>199</v>
      </c>
      <c r="AF70" s="109">
        <f>IF(SUM(AE70:AE72)+AE86=0,0,IF(SUM(AE70:AE72)=AE86,0.5,IF(SUM(AE70:AE72)&gt;AE86,1,0)))</f>
        <v>1</v>
      </c>
      <c r="AG70" s="188">
        <v>160</v>
      </c>
      <c r="AH70" s="109">
        <f>IF(SUM(AG70:AG72)+AG86=0,0,IF(SUM(AG70:AG72)=AG86,0.5,IF(SUM(AG70:AG72)&gt;AG86,1,0)))</f>
        <v>1</v>
      </c>
      <c r="AI70" s="188">
        <v>189</v>
      </c>
      <c r="AJ70" s="109">
        <f>IF(SUM(AI70:AI72)+AI86=0,0,IF(SUM(AI70:AI72)=AI86,0.5,IF(SUM(AI70:AI72)&gt;AI86,1,0)))</f>
        <v>1</v>
      </c>
      <c r="AK70" s="188">
        <v>161</v>
      </c>
      <c r="AL70" s="109">
        <f>IF(SUM(AK70:AK72)+AK86=0,0,IF(SUM(AK70:AK72)=AK86,0.5,IF(SUM(AK70:AK72)&gt;AK86,1,0)))</f>
        <v>1</v>
      </c>
      <c r="AM70" s="188">
        <v>202</v>
      </c>
      <c r="AN70" s="109">
        <f>IF(SUM(AM70:AM72)+AM86=0,0,IF(SUM(AM70:AM72)=AM86,0.5,IF(SUM(AM70:AM72)&gt;AM86,1,0)))</f>
        <v>1</v>
      </c>
      <c r="AO70" s="188">
        <v>235</v>
      </c>
      <c r="AP70" s="109">
        <f>IF(SUM(AO70:AO72)+AO86=0,0,IF(SUM(AO70:AO72)=AO86,0.5,IF(SUM(AO70:AO72)&gt;AO86,1,0)))</f>
        <v>1</v>
      </c>
      <c r="AQ70" s="188">
        <v>192</v>
      </c>
      <c r="AR70" s="109">
        <f>IF(SUM(AQ70:AQ72)+AQ86=0,0,IF(SUM(AQ70:AQ72)=AQ86,0.5,IF(SUM(AQ70:AQ72)&gt;AQ86,1,0)))</f>
        <v>1</v>
      </c>
      <c r="AS70" s="188">
        <v>172</v>
      </c>
      <c r="AT70" s="109">
        <f>IF(SUM(AS70:AS72)+AS86=0,0,IF(SUM(AS70:AS72)=AS86,0.5,IF(SUM(AS70:AS72)&gt;AS86,1,0)))</f>
        <v>0</v>
      </c>
      <c r="AU70" s="110">
        <f t="shared" si="77"/>
        <v>1655</v>
      </c>
      <c r="AV70" s="111">
        <f>SUM(AD70+AF70+AH70+AJ70+AL70+AN70+AP70+AR70+AT70)</f>
        <v>7</v>
      </c>
      <c r="AW70" s="101"/>
      <c r="AX70" s="102"/>
      <c r="AZ70" s="63"/>
      <c r="BA70" s="212"/>
      <c r="BB70" s="213"/>
      <c r="BC70" s="214"/>
      <c r="BD70" s="217">
        <f t="shared" si="90"/>
        <v>25630</v>
      </c>
      <c r="BE70" s="213">
        <f t="shared" si="91"/>
        <v>1655</v>
      </c>
      <c r="BF70" s="215">
        <f t="shared" si="92"/>
        <v>9</v>
      </c>
      <c r="BG70" s="215">
        <f t="shared" si="93"/>
        <v>9</v>
      </c>
      <c r="BH70" s="215">
        <f t="shared" si="78"/>
        <v>145</v>
      </c>
      <c r="BI70" s="215">
        <f t="shared" si="79"/>
        <v>199</v>
      </c>
      <c r="BJ70" s="215">
        <f t="shared" si="80"/>
        <v>160</v>
      </c>
      <c r="BK70" s="215">
        <f t="shared" si="81"/>
        <v>189</v>
      </c>
      <c r="BL70" s="215">
        <f t="shared" si="82"/>
        <v>161</v>
      </c>
      <c r="BM70" s="215">
        <f t="shared" si="83"/>
        <v>202</v>
      </c>
      <c r="BN70" s="215">
        <f t="shared" si="84"/>
        <v>235</v>
      </c>
      <c r="BO70" s="215">
        <f t="shared" si="85"/>
        <v>192</v>
      </c>
      <c r="BP70" s="215">
        <f t="shared" si="86"/>
        <v>172</v>
      </c>
      <c r="BQ70" s="216"/>
      <c r="BR70" s="214"/>
      <c r="BS70" s="215">
        <f t="shared" si="94"/>
        <v>235</v>
      </c>
      <c r="BT70" s="215">
        <f t="shared" si="95"/>
        <v>0</v>
      </c>
      <c r="BU70" s="215" t="str">
        <f t="shared" si="96"/>
        <v>Highroller Rosenheim</v>
      </c>
      <c r="BV70" s="214">
        <f t="shared" si="97"/>
        <v>2</v>
      </c>
      <c r="BW70" s="215">
        <f t="shared" si="98"/>
        <v>1655</v>
      </c>
      <c r="BX70" s="215">
        <f>IF(COUNTIF(BH70:BP70,"&gt;0")&lt;Spielorte!$A$23,0,BE70/Spielorte!$A$23)</f>
        <v>183.88888888888889</v>
      </c>
      <c r="BY70" s="215">
        <f t="shared" si="99"/>
        <v>0</v>
      </c>
      <c r="BZ70" s="214">
        <f t="shared" si="87"/>
        <v>0</v>
      </c>
    </row>
    <row r="71" spans="1:78" ht="17.2" customHeight="1" x14ac:dyDescent="0.35">
      <c r="A71" s="368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9"/>
      <c r="F71" s="78" t="str">
        <f t="shared" si="69"/>
        <v/>
      </c>
      <c r="G71" s="349"/>
      <c r="H71" s="78" t="str">
        <f t="shared" si="70"/>
        <v/>
      </c>
      <c r="I71" s="349"/>
      <c r="J71" s="78" t="str">
        <f t="shared" si="71"/>
        <v/>
      </c>
      <c r="K71" s="349"/>
      <c r="L71" s="78" t="str">
        <f t="shared" si="72"/>
        <v/>
      </c>
      <c r="M71" s="349"/>
      <c r="N71" s="78" t="str">
        <f t="shared" si="89"/>
        <v/>
      </c>
      <c r="O71" s="349"/>
      <c r="P71" s="78" t="str">
        <f t="shared" si="73"/>
        <v/>
      </c>
      <c r="Q71" s="349"/>
      <c r="R71" s="78" t="str">
        <f t="shared" si="74"/>
        <v/>
      </c>
      <c r="S71" s="349"/>
      <c r="T71" s="78" t="str">
        <f t="shared" si="75"/>
        <v/>
      </c>
      <c r="U71" s="349"/>
      <c r="V71" s="78" t="str">
        <f t="shared" si="76"/>
        <v/>
      </c>
      <c r="W71" s="349"/>
      <c r="Z71" s="352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0</v>
      </c>
      <c r="BU71" s="215" t="str">
        <f t="shared" si="96"/>
        <v>Highroller Rosenheim</v>
      </c>
      <c r="BV71" s="214">
        <f t="shared" si="97"/>
        <v>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2" customHeight="1" thickBot="1" x14ac:dyDescent="0.4">
      <c r="A72" s="369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0"/>
      <c r="F72" s="69" t="str">
        <f t="shared" si="69"/>
        <v/>
      </c>
      <c r="G72" s="350"/>
      <c r="H72" s="69" t="str">
        <f t="shared" si="70"/>
        <v/>
      </c>
      <c r="I72" s="350"/>
      <c r="J72" s="69" t="str">
        <f t="shared" si="71"/>
        <v/>
      </c>
      <c r="K72" s="350"/>
      <c r="L72" s="69" t="str">
        <f t="shared" si="72"/>
        <v/>
      </c>
      <c r="M72" s="350"/>
      <c r="N72" s="69" t="str">
        <f t="shared" si="89"/>
        <v/>
      </c>
      <c r="O72" s="350"/>
      <c r="P72" s="69" t="str">
        <f t="shared" si="73"/>
        <v/>
      </c>
      <c r="Q72" s="350"/>
      <c r="R72" s="69" t="str">
        <f t="shared" si="74"/>
        <v/>
      </c>
      <c r="S72" s="350"/>
      <c r="T72" s="69" t="str">
        <f t="shared" si="75"/>
        <v/>
      </c>
      <c r="U72" s="350"/>
      <c r="V72" s="69" t="str">
        <f t="shared" si="76"/>
        <v/>
      </c>
      <c r="W72" s="350"/>
      <c r="Z72" s="353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Highroller Rosenheim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2" customHeight="1" x14ac:dyDescent="0.35">
      <c r="A73" s="367" t="s">
        <v>3</v>
      </c>
      <c r="B73" s="73" t="str">
        <f t="shared" si="88"/>
        <v>Lindner, Theresa</v>
      </c>
      <c r="C73" s="74">
        <f t="shared" si="88"/>
        <v>38458</v>
      </c>
      <c r="D73" s="75">
        <f t="shared" si="88"/>
        <v>182</v>
      </c>
      <c r="E73" s="348">
        <f>IF(AD73="","",AD73)</f>
        <v>0</v>
      </c>
      <c r="F73" s="75" t="str">
        <f t="shared" si="69"/>
        <v/>
      </c>
      <c r="G73" s="348">
        <f>IF(AF73="","",AF73)</f>
        <v>1</v>
      </c>
      <c r="H73" s="75" t="str">
        <f t="shared" si="70"/>
        <v/>
      </c>
      <c r="I73" s="348">
        <f>IF(AH73="","",AH73)</f>
        <v>1</v>
      </c>
      <c r="J73" s="75" t="str">
        <f t="shared" si="71"/>
        <v/>
      </c>
      <c r="K73" s="348">
        <f>IF(AJ73="","",AJ73)</f>
        <v>1</v>
      </c>
      <c r="L73" s="75" t="str">
        <f t="shared" si="72"/>
        <v/>
      </c>
      <c r="M73" s="348">
        <f>IF(AL73="","",AL73)</f>
        <v>1</v>
      </c>
      <c r="N73" s="75" t="str">
        <f t="shared" si="89"/>
        <v/>
      </c>
      <c r="O73" s="348">
        <f>IF(AN73="","",AN73)</f>
        <v>0</v>
      </c>
      <c r="P73" s="75" t="str">
        <f t="shared" si="73"/>
        <v/>
      </c>
      <c r="Q73" s="348">
        <f>IF(AP73="","",AP73)</f>
        <v>1</v>
      </c>
      <c r="R73" s="75" t="str">
        <f t="shared" si="74"/>
        <v/>
      </c>
      <c r="S73" s="348">
        <f>IF(AR73="","",AR73)</f>
        <v>1</v>
      </c>
      <c r="T73" s="75" t="str">
        <f t="shared" si="75"/>
        <v/>
      </c>
      <c r="U73" s="348">
        <f>IF(AT73="","",AT73)</f>
        <v>0</v>
      </c>
      <c r="V73" s="75">
        <f t="shared" si="76"/>
        <v>182</v>
      </c>
      <c r="W73" s="348">
        <f>IF(AV73="","",AV73)</f>
        <v>6</v>
      </c>
      <c r="Z73" s="351" t="s">
        <v>3</v>
      </c>
      <c r="AA73" s="108" t="str">
        <f>IF(AB73=0,"",VLOOKUP(AB73,Starter!$A$1:$D$199,2,FALSE))</f>
        <v>Lindner, Theresa</v>
      </c>
      <c r="AB73" s="99">
        <v>38458</v>
      </c>
      <c r="AC73" s="188">
        <v>182</v>
      </c>
      <c r="AD73" s="109">
        <f>IF(SUM(AC73:AC75)+AC87=0,0,IF(SUM(AC73:AC75)=AC87,0.5,IF(SUM(AC73:AC75)&gt;AC87,1,0)))</f>
        <v>0</v>
      </c>
      <c r="AE73" s="188"/>
      <c r="AF73" s="109">
        <f>IF(SUM(AE73:AE75)+AE87=0,0,IF(SUM(AE73:AE75)=AE87,0.5,IF(SUM(AE73:AE75)&gt;AE87,1,0)))</f>
        <v>1</v>
      </c>
      <c r="AG73" s="188"/>
      <c r="AH73" s="109">
        <f>IF(SUM(AG73:AG75)+AG87=0,0,IF(SUM(AG73:AG75)=AG87,0.5,IF(SUM(AG73:AG75)&gt;AG87,1,0)))</f>
        <v>1</v>
      </c>
      <c r="AI73" s="188"/>
      <c r="AJ73" s="109">
        <f>IF(SUM(AI73:AI75)+AI87=0,0,IF(SUM(AI73:AI75)=AI87,0.5,IF(SUM(AI73:AI75)&gt;AI87,1,0)))</f>
        <v>1</v>
      </c>
      <c r="AK73" s="188"/>
      <c r="AL73" s="109">
        <f>IF(SUM(AK73:AK75)+AK87=0,0,IF(SUM(AK73:AK75)=AK87,0.5,IF(SUM(AK73:AK75)&gt;AK87,1,0)))</f>
        <v>1</v>
      </c>
      <c r="AM73" s="188"/>
      <c r="AN73" s="109">
        <f>IF(SUM(AM73:AM75)+AM87=0,0,IF(SUM(AM73:AM75)=AM87,0.5,IF(SUM(AM73:AM75)&gt;AM87,1,0)))</f>
        <v>0</v>
      </c>
      <c r="AO73" s="188"/>
      <c r="AP73" s="109">
        <f>IF(SUM(AO73:AO75)+AO87=0,0,IF(SUM(AO73:AO75)=AO87,0.5,IF(SUM(AO73:AO75)&gt;AO87,1,0)))</f>
        <v>1</v>
      </c>
      <c r="AQ73" s="188"/>
      <c r="AR73" s="109">
        <f>IF(SUM(AQ73:AQ75)+AQ87=0,0,IF(SUM(AQ73:AQ75)=AQ87,0.5,IF(SUM(AQ73:AQ75)&gt;AQ87,1,0)))</f>
        <v>1</v>
      </c>
      <c r="AS73" s="188"/>
      <c r="AT73" s="109">
        <f>IF(SUM(AS73:AS75)+AS87=0,0,IF(SUM(AS73:AS75)=AS87,0.5,IF(SUM(AS73:AS75)&gt;AS87,1,0)))</f>
        <v>0</v>
      </c>
      <c r="AU73" s="110">
        <f t="shared" si="77"/>
        <v>182</v>
      </c>
      <c r="AV73" s="111">
        <f>SUM(AD73+AF73+AH73+AJ73+AL73+AN73+AP73+AR73+AT73)</f>
        <v>6</v>
      </c>
      <c r="AW73" s="101"/>
      <c r="AX73" s="102"/>
      <c r="AZ73" s="63"/>
      <c r="BA73" s="212"/>
      <c r="BB73" s="213"/>
      <c r="BC73" s="214"/>
      <c r="BD73" s="217">
        <f t="shared" si="90"/>
        <v>38458</v>
      </c>
      <c r="BE73" s="213">
        <f t="shared" si="91"/>
        <v>182</v>
      </c>
      <c r="BF73" s="215">
        <f t="shared" si="92"/>
        <v>1</v>
      </c>
      <c r="BG73" s="215">
        <f t="shared" si="93"/>
        <v>1</v>
      </c>
      <c r="BH73" s="215">
        <f t="shared" si="78"/>
        <v>182</v>
      </c>
      <c r="BI73" s="215" t="str">
        <f t="shared" si="79"/>
        <v/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182</v>
      </c>
      <c r="BT73" s="215">
        <f t="shared" si="95"/>
        <v>0</v>
      </c>
      <c r="BU73" s="215" t="str">
        <f t="shared" si="96"/>
        <v>Highroller Rosenheim</v>
      </c>
      <c r="BV73" s="214">
        <f t="shared" si="97"/>
        <v>2</v>
      </c>
      <c r="BW73" s="215">
        <f t="shared" si="98"/>
        <v>182</v>
      </c>
      <c r="BX73" s="215">
        <f>IF(COUNTIF(BH73:BP73,"&gt;0")&lt;Spielorte!$A$23,0,BE73/Spielorte!$A$23)</f>
        <v>0</v>
      </c>
      <c r="BY73" s="215">
        <f t="shared" si="99"/>
        <v>0</v>
      </c>
      <c r="BZ73" s="214">
        <f t="shared" si="87"/>
        <v>0</v>
      </c>
    </row>
    <row r="74" spans="1:78" ht="17.2" customHeight="1" x14ac:dyDescent="0.35">
      <c r="A74" s="368"/>
      <c r="B74" s="76" t="str">
        <f t="shared" si="88"/>
        <v>Rauscher, Julia</v>
      </c>
      <c r="C74" s="77">
        <f t="shared" si="88"/>
        <v>38758</v>
      </c>
      <c r="D74" s="78" t="str">
        <f t="shared" si="88"/>
        <v/>
      </c>
      <c r="E74" s="349"/>
      <c r="F74" s="78">
        <f t="shared" si="69"/>
        <v>181</v>
      </c>
      <c r="G74" s="349"/>
      <c r="H74" s="78">
        <f t="shared" si="70"/>
        <v>192</v>
      </c>
      <c r="I74" s="349"/>
      <c r="J74" s="78">
        <f t="shared" si="71"/>
        <v>186</v>
      </c>
      <c r="K74" s="349"/>
      <c r="L74" s="78">
        <f t="shared" si="72"/>
        <v>161</v>
      </c>
      <c r="M74" s="349"/>
      <c r="N74" s="78">
        <f t="shared" si="89"/>
        <v>141</v>
      </c>
      <c r="O74" s="349"/>
      <c r="P74" s="78">
        <f t="shared" si="73"/>
        <v>143</v>
      </c>
      <c r="Q74" s="349"/>
      <c r="R74" s="78">
        <f t="shared" si="74"/>
        <v>200</v>
      </c>
      <c r="S74" s="349"/>
      <c r="T74" s="78">
        <f t="shared" si="75"/>
        <v>167</v>
      </c>
      <c r="U74" s="349"/>
      <c r="V74" s="78">
        <f t="shared" si="76"/>
        <v>1371</v>
      </c>
      <c r="W74" s="349"/>
      <c r="Z74" s="352"/>
      <c r="AA74" s="108" t="str">
        <f>IF(AB74=0,"",VLOOKUP(AB74,Starter!$A$1:$D$199,2,FALSE))</f>
        <v>Rauscher, Julia</v>
      </c>
      <c r="AB74" s="98">
        <v>38758</v>
      </c>
      <c r="AC74" s="186"/>
      <c r="AD74" s="112"/>
      <c r="AE74" s="186">
        <v>181</v>
      </c>
      <c r="AF74" s="112"/>
      <c r="AG74" s="186">
        <v>192</v>
      </c>
      <c r="AH74" s="112"/>
      <c r="AI74" s="186">
        <v>186</v>
      </c>
      <c r="AJ74" s="112"/>
      <c r="AK74" s="186">
        <v>161</v>
      </c>
      <c r="AL74" s="112"/>
      <c r="AM74" s="186">
        <v>141</v>
      </c>
      <c r="AN74" s="112"/>
      <c r="AO74" s="186">
        <v>143</v>
      </c>
      <c r="AP74" s="112"/>
      <c r="AQ74" s="186">
        <v>200</v>
      </c>
      <c r="AR74" s="112"/>
      <c r="AS74" s="186">
        <v>167</v>
      </c>
      <c r="AT74" s="112"/>
      <c r="AU74" s="113">
        <f t="shared" si="77"/>
        <v>1371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38758</v>
      </c>
      <c r="BE74" s="213">
        <f t="shared" si="91"/>
        <v>1371</v>
      </c>
      <c r="BF74" s="215">
        <f t="shared" si="92"/>
        <v>8</v>
      </c>
      <c r="BG74" s="215">
        <f t="shared" si="93"/>
        <v>8</v>
      </c>
      <c r="BH74" s="215" t="str">
        <f t="shared" si="78"/>
        <v/>
      </c>
      <c r="BI74" s="215">
        <f t="shared" si="79"/>
        <v>181</v>
      </c>
      <c r="BJ74" s="215">
        <f t="shared" si="80"/>
        <v>192</v>
      </c>
      <c r="BK74" s="215">
        <f t="shared" si="81"/>
        <v>186</v>
      </c>
      <c r="BL74" s="215">
        <f t="shared" si="82"/>
        <v>161</v>
      </c>
      <c r="BM74" s="215">
        <f t="shared" si="83"/>
        <v>141</v>
      </c>
      <c r="BN74" s="215">
        <f t="shared" si="84"/>
        <v>143</v>
      </c>
      <c r="BO74" s="215">
        <f t="shared" si="85"/>
        <v>200</v>
      </c>
      <c r="BP74" s="215">
        <f t="shared" si="86"/>
        <v>167</v>
      </c>
      <c r="BQ74" s="216"/>
      <c r="BR74" s="214"/>
      <c r="BS74" s="215">
        <f t="shared" si="94"/>
        <v>200</v>
      </c>
      <c r="BT74" s="215">
        <f t="shared" si="95"/>
        <v>0</v>
      </c>
      <c r="BU74" s="215" t="str">
        <f t="shared" si="96"/>
        <v>Highroller Rosenheim</v>
      </c>
      <c r="BV74" s="214">
        <f t="shared" si="97"/>
        <v>2</v>
      </c>
      <c r="BW74" s="215">
        <f t="shared" si="98"/>
        <v>1371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2" customHeight="1" thickBot="1" x14ac:dyDescent="0.4">
      <c r="A75" s="369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0"/>
      <c r="F75" s="69" t="str">
        <f t="shared" si="69"/>
        <v/>
      </c>
      <c r="G75" s="350"/>
      <c r="H75" s="69" t="str">
        <f t="shared" si="70"/>
        <v/>
      </c>
      <c r="I75" s="350"/>
      <c r="J75" s="69" t="str">
        <f t="shared" si="71"/>
        <v/>
      </c>
      <c r="K75" s="350"/>
      <c r="L75" s="69" t="str">
        <f t="shared" si="72"/>
        <v/>
      </c>
      <c r="M75" s="350"/>
      <c r="N75" s="69" t="str">
        <f t="shared" si="89"/>
        <v/>
      </c>
      <c r="O75" s="350"/>
      <c r="P75" s="69" t="str">
        <f t="shared" si="73"/>
        <v/>
      </c>
      <c r="Q75" s="350"/>
      <c r="R75" s="69" t="str">
        <f t="shared" si="74"/>
        <v/>
      </c>
      <c r="S75" s="350"/>
      <c r="T75" s="69" t="str">
        <f t="shared" si="75"/>
        <v/>
      </c>
      <c r="U75" s="350"/>
      <c r="V75" s="69" t="str">
        <f t="shared" si="76"/>
        <v/>
      </c>
      <c r="W75" s="350"/>
      <c r="Z75" s="353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Highroller Rosenheim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2" customHeight="1" x14ac:dyDescent="0.35">
      <c r="A76" s="367" t="s">
        <v>11</v>
      </c>
      <c r="B76" s="73" t="str">
        <f>IF(AA76=0,"",AA76)</f>
        <v>Schanze, Bianka</v>
      </c>
      <c r="C76" s="74">
        <f t="shared" si="88"/>
        <v>38757</v>
      </c>
      <c r="D76" s="75">
        <f t="shared" si="88"/>
        <v>162</v>
      </c>
      <c r="E76" s="348">
        <f>IF(AD76="","",AD76)</f>
        <v>0</v>
      </c>
      <c r="F76" s="75">
        <f t="shared" si="69"/>
        <v>178</v>
      </c>
      <c r="G76" s="348">
        <f>IF(AF76="","",AF76)</f>
        <v>1</v>
      </c>
      <c r="H76" s="75">
        <f t="shared" si="70"/>
        <v>211</v>
      </c>
      <c r="I76" s="348">
        <f>IF(AH76="","",AH76)</f>
        <v>1</v>
      </c>
      <c r="J76" s="75">
        <f t="shared" si="71"/>
        <v>183</v>
      </c>
      <c r="K76" s="348">
        <f>IF(AJ76="","",AJ76)</f>
        <v>1</v>
      </c>
      <c r="L76" s="75">
        <f t="shared" si="72"/>
        <v>173</v>
      </c>
      <c r="M76" s="348">
        <f>IF(AL76="","",AL76)</f>
        <v>0</v>
      </c>
      <c r="N76" s="75">
        <f t="shared" si="89"/>
        <v>180</v>
      </c>
      <c r="O76" s="348">
        <f>IF(AN76="","",AN76)</f>
        <v>0</v>
      </c>
      <c r="P76" s="75">
        <f t="shared" si="73"/>
        <v>176</v>
      </c>
      <c r="Q76" s="348">
        <f>IF(AP76="","",AP76)</f>
        <v>1</v>
      </c>
      <c r="R76" s="75">
        <f t="shared" si="74"/>
        <v>222</v>
      </c>
      <c r="S76" s="348">
        <f>IF(AR76="","",AR76)</f>
        <v>0</v>
      </c>
      <c r="T76" s="75">
        <f t="shared" si="75"/>
        <v>232</v>
      </c>
      <c r="U76" s="348">
        <f>IF(AT76="","",AT76)</f>
        <v>1</v>
      </c>
      <c r="V76" s="75">
        <f t="shared" si="76"/>
        <v>1717</v>
      </c>
      <c r="W76" s="348">
        <f>IF(AV76="","",AV76)</f>
        <v>5</v>
      </c>
      <c r="Z76" s="351" t="s">
        <v>11</v>
      </c>
      <c r="AA76" s="108" t="str">
        <f>IF(AB76=0,"",VLOOKUP(AB76,Starter!$A$1:$D$199,2,FALSE))</f>
        <v>Schanze, Bianka</v>
      </c>
      <c r="AB76" s="99">
        <v>38757</v>
      </c>
      <c r="AC76" s="188">
        <v>162</v>
      </c>
      <c r="AD76" s="109">
        <f>IF(SUM(AC76:AC78)+AC88=0,0,IF(SUM(AC76:AC78)=AC88,0.5,IF(SUM(AC76:AC78)&gt;AC88,1,0)))</f>
        <v>0</v>
      </c>
      <c r="AE76" s="188">
        <v>178</v>
      </c>
      <c r="AF76" s="109">
        <f>IF(SUM(AE76:AE78)+AE88=0,0,IF(SUM(AE76:AE78)=AE88,0.5,IF(SUM(AE76:AE78)&gt;AE88,1,0)))</f>
        <v>1</v>
      </c>
      <c r="AG76" s="188">
        <v>211</v>
      </c>
      <c r="AH76" s="109">
        <f>IF(SUM(AG76:AG78)+AG88=0,0,IF(SUM(AG76:AG78)=AG88,0.5,IF(SUM(AG76:AG78)&gt;AG88,1,0)))</f>
        <v>1</v>
      </c>
      <c r="AI76" s="188">
        <v>183</v>
      </c>
      <c r="AJ76" s="109">
        <f>IF(SUM(AI76:AI78)+AI88=0,0,IF(SUM(AI76:AI78)=AI88,0.5,IF(SUM(AI76:AI78)&gt;AI88,1,0)))</f>
        <v>1</v>
      </c>
      <c r="AK76" s="188">
        <v>173</v>
      </c>
      <c r="AL76" s="109">
        <f>IF(SUM(AK76:AK78)+AK88=0,0,IF(SUM(AK76:AK78)=AK88,0.5,IF(SUM(AK76:AK78)&gt;AK88,1,0)))</f>
        <v>0</v>
      </c>
      <c r="AM76" s="188">
        <v>180</v>
      </c>
      <c r="AN76" s="109">
        <f>IF(SUM(AM76:AM78)+AM88=0,0,IF(SUM(AM76:AM78)=AM88,0.5,IF(SUM(AM76:AM78)&gt;AM88,1,0)))</f>
        <v>0</v>
      </c>
      <c r="AO76" s="188">
        <v>176</v>
      </c>
      <c r="AP76" s="109">
        <f>IF(SUM(AO76:AO78)+AO88=0,0,IF(SUM(AO76:AO78)=AO88,0.5,IF(SUM(AO76:AO78)&gt;AO88,1,0)))</f>
        <v>1</v>
      </c>
      <c r="AQ76" s="188">
        <v>222</v>
      </c>
      <c r="AR76" s="109">
        <f>IF(SUM(AQ76:AQ78)+AQ88=0,0,IF(SUM(AQ76:AQ78)=AQ88,0.5,IF(SUM(AQ76:AQ78)&gt;AQ88,1,0)))</f>
        <v>0</v>
      </c>
      <c r="AS76" s="188">
        <v>232</v>
      </c>
      <c r="AT76" s="109">
        <f>IF(SUM(AS76:AS78)+AS88=0,0,IF(SUM(AS76:AS78)=AS88,0.5,IF(SUM(AS76:AS78)&gt;AS88,1,0)))</f>
        <v>1</v>
      </c>
      <c r="AU76" s="110">
        <f t="shared" si="77"/>
        <v>1717</v>
      </c>
      <c r="AV76" s="111">
        <f>SUM(AD76+AF76+AH76+AJ76+AL76+AN76+AP76+AR76+AT76)</f>
        <v>5</v>
      </c>
      <c r="AW76" s="101"/>
      <c r="AX76" s="102"/>
      <c r="AZ76" s="63"/>
      <c r="BA76" s="212"/>
      <c r="BB76" s="213"/>
      <c r="BC76" s="214"/>
      <c r="BD76" s="217">
        <f t="shared" si="90"/>
        <v>38757</v>
      </c>
      <c r="BE76" s="213">
        <f t="shared" si="91"/>
        <v>1717</v>
      </c>
      <c r="BF76" s="215">
        <f t="shared" si="92"/>
        <v>9</v>
      </c>
      <c r="BG76" s="215">
        <f t="shared" si="93"/>
        <v>9</v>
      </c>
      <c r="BH76" s="215">
        <f t="shared" si="78"/>
        <v>162</v>
      </c>
      <c r="BI76" s="215">
        <f t="shared" si="79"/>
        <v>178</v>
      </c>
      <c r="BJ76" s="215">
        <f t="shared" si="80"/>
        <v>211</v>
      </c>
      <c r="BK76" s="215">
        <f t="shared" si="81"/>
        <v>183</v>
      </c>
      <c r="BL76" s="215">
        <f t="shared" si="82"/>
        <v>173</v>
      </c>
      <c r="BM76" s="215">
        <f t="shared" si="83"/>
        <v>180</v>
      </c>
      <c r="BN76" s="215">
        <f t="shared" si="84"/>
        <v>176</v>
      </c>
      <c r="BO76" s="215">
        <f t="shared" si="85"/>
        <v>222</v>
      </c>
      <c r="BP76" s="215">
        <f t="shared" si="86"/>
        <v>232</v>
      </c>
      <c r="BQ76" s="216"/>
      <c r="BR76" s="214"/>
      <c r="BS76" s="215">
        <f t="shared" si="94"/>
        <v>232</v>
      </c>
      <c r="BT76" s="215">
        <f t="shared" si="95"/>
        <v>0</v>
      </c>
      <c r="BU76" s="215" t="str">
        <f t="shared" si="96"/>
        <v>Highroller Rosenheim</v>
      </c>
      <c r="BV76" s="214">
        <f t="shared" si="97"/>
        <v>2</v>
      </c>
      <c r="BW76" s="215">
        <f t="shared" si="98"/>
        <v>1717</v>
      </c>
      <c r="BX76" s="215">
        <f>IF(COUNTIF(BH76:BP76,"&gt;0")&lt;Spielorte!$A$23,0,BE76/Spielorte!$A$23)</f>
        <v>190.77777777777777</v>
      </c>
      <c r="BY76" s="215">
        <f t="shared" si="99"/>
        <v>0</v>
      </c>
      <c r="BZ76" s="214">
        <f t="shared" si="87"/>
        <v>0</v>
      </c>
    </row>
    <row r="77" spans="1:78" ht="17.2" customHeight="1" x14ac:dyDescent="0.35">
      <c r="A77" s="368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9"/>
      <c r="F77" s="78" t="str">
        <f t="shared" si="69"/>
        <v/>
      </c>
      <c r="G77" s="349"/>
      <c r="H77" s="78" t="str">
        <f t="shared" si="70"/>
        <v/>
      </c>
      <c r="I77" s="349"/>
      <c r="J77" s="78" t="str">
        <f t="shared" si="71"/>
        <v/>
      </c>
      <c r="K77" s="349"/>
      <c r="L77" s="78" t="str">
        <f t="shared" si="72"/>
        <v/>
      </c>
      <c r="M77" s="349"/>
      <c r="N77" s="78" t="str">
        <f t="shared" si="89"/>
        <v/>
      </c>
      <c r="O77" s="349"/>
      <c r="P77" s="78" t="str">
        <f t="shared" si="73"/>
        <v/>
      </c>
      <c r="Q77" s="349"/>
      <c r="R77" s="78" t="str">
        <f t="shared" si="74"/>
        <v/>
      </c>
      <c r="S77" s="349"/>
      <c r="T77" s="78" t="str">
        <f t="shared" si="75"/>
        <v/>
      </c>
      <c r="U77" s="349"/>
      <c r="V77" s="78" t="str">
        <f t="shared" si="76"/>
        <v/>
      </c>
      <c r="W77" s="349"/>
      <c r="Z77" s="352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0</v>
      </c>
      <c r="BU77" s="215" t="str">
        <f t="shared" si="96"/>
        <v>Highroller Rosenheim</v>
      </c>
      <c r="BV77" s="214">
        <f t="shared" si="97"/>
        <v>2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2" customHeight="1" thickBot="1" x14ac:dyDescent="0.4">
      <c r="A78" s="369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0"/>
      <c r="F78" s="69" t="str">
        <f t="shared" si="69"/>
        <v/>
      </c>
      <c r="G78" s="350"/>
      <c r="H78" s="69" t="str">
        <f t="shared" si="70"/>
        <v/>
      </c>
      <c r="I78" s="350"/>
      <c r="J78" s="69" t="str">
        <f t="shared" si="71"/>
        <v/>
      </c>
      <c r="K78" s="350"/>
      <c r="L78" s="69" t="str">
        <f t="shared" si="72"/>
        <v/>
      </c>
      <c r="M78" s="350"/>
      <c r="N78" s="69" t="str">
        <f t="shared" si="89"/>
        <v/>
      </c>
      <c r="O78" s="350"/>
      <c r="P78" s="69" t="str">
        <f t="shared" si="73"/>
        <v/>
      </c>
      <c r="Q78" s="350"/>
      <c r="R78" s="69" t="str">
        <f t="shared" si="74"/>
        <v/>
      </c>
      <c r="S78" s="350"/>
      <c r="T78" s="69" t="str">
        <f t="shared" si="75"/>
        <v/>
      </c>
      <c r="U78" s="350"/>
      <c r="V78" s="69" t="str">
        <f t="shared" si="76"/>
        <v/>
      </c>
      <c r="W78" s="350"/>
      <c r="Z78" s="353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Highroller Rosenheim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4">
      <c r="B79" s="81" t="str">
        <f>IF(AA79=0,"",AA79)</f>
        <v>Gesamt</v>
      </c>
      <c r="C79" s="82" t="str">
        <f t="shared" si="88"/>
        <v/>
      </c>
      <c r="D79" s="83">
        <f t="shared" si="88"/>
        <v>697</v>
      </c>
      <c r="E79" s="84">
        <f>IF(AD79="","",AD79)</f>
        <v>0</v>
      </c>
      <c r="F79" s="83">
        <f t="shared" si="69"/>
        <v>714</v>
      </c>
      <c r="G79" s="84">
        <f>IF(AF79="","",AF79)</f>
        <v>2</v>
      </c>
      <c r="H79" s="83">
        <f t="shared" si="70"/>
        <v>728</v>
      </c>
      <c r="I79" s="84">
        <f>IF(AH79="","",AH79)</f>
        <v>2</v>
      </c>
      <c r="J79" s="83">
        <f t="shared" si="71"/>
        <v>707</v>
      </c>
      <c r="K79" s="84">
        <f>IF(AJ79="","",AJ79)</f>
        <v>2</v>
      </c>
      <c r="L79" s="83">
        <f t="shared" si="72"/>
        <v>640</v>
      </c>
      <c r="M79" s="84">
        <f>IF(AL79="","",AL79)</f>
        <v>2</v>
      </c>
      <c r="N79" s="83">
        <f t="shared" si="89"/>
        <v>698</v>
      </c>
      <c r="O79" s="84">
        <f>IF(AN79="","",AN79)</f>
        <v>2</v>
      </c>
      <c r="P79" s="83">
        <f t="shared" si="73"/>
        <v>711</v>
      </c>
      <c r="Q79" s="84">
        <f>IF(AP79="","",AP79)</f>
        <v>2</v>
      </c>
      <c r="R79" s="83">
        <f t="shared" si="74"/>
        <v>787</v>
      </c>
      <c r="S79" s="84">
        <f>IF(AR79="","",AR79)</f>
        <v>2</v>
      </c>
      <c r="T79" s="83">
        <f t="shared" si="75"/>
        <v>737</v>
      </c>
      <c r="U79" s="84">
        <f>IF(AT79="","",AT79)</f>
        <v>1</v>
      </c>
      <c r="V79" s="83">
        <f t="shared" si="76"/>
        <v>6419</v>
      </c>
      <c r="W79" s="84">
        <f>IF(AV79="","",AV79)</f>
        <v>15</v>
      </c>
      <c r="AA79" s="81" t="s">
        <v>1799</v>
      </c>
      <c r="AB79" s="120"/>
      <c r="AC79" s="211">
        <f>ABS(SUM(AC67:AC69))+ABS(SUM(AC70:AC72))+ABS(SUM(AC73:AC75))+ABS(SUM(AC76:AC78))</f>
        <v>697</v>
      </c>
      <c r="AD79" s="121">
        <f>IF(AC79+AC89=0,0,IF(AC79=AC89,1,IF(AC79&gt;AC89,2,0)))</f>
        <v>0</v>
      </c>
      <c r="AE79" s="211">
        <f>ABS(SUM(AE67:AE69))+ABS(SUM(AE70:AE72))+ABS(SUM(AE73:AE75))+ABS(SUM(AE76:AE78))</f>
        <v>714</v>
      </c>
      <c r="AF79" s="121">
        <f>IF(AE79+AE89=0,0,IF(AE79=AE89,1,IF(AE79&gt;AE89,2,0)))</f>
        <v>2</v>
      </c>
      <c r="AG79" s="211">
        <f>ABS(SUM(AG67:AG69))+ABS(SUM(AG70:AG72))+ABS(SUM(AG73:AG75))+ABS(SUM(AG76:AG78))</f>
        <v>728</v>
      </c>
      <c r="AH79" s="121">
        <f>IF(AG79+AG89=0,0,IF(AG79=AG89,1,IF(AG79&gt;AG89,2,0)))</f>
        <v>2</v>
      </c>
      <c r="AI79" s="211">
        <f>ABS(SUM(AI67:AI69))+ABS(SUM(AI70:AI72))+ABS(SUM(AI73:AI75))+ABS(SUM(AI76:AI78))</f>
        <v>707</v>
      </c>
      <c r="AJ79" s="121">
        <f>IF(AI79+AI89=0,0,IF(AI79=AI89,1,IF(AI79&gt;AI89,2,0)))</f>
        <v>2</v>
      </c>
      <c r="AK79" s="211">
        <f>ABS(SUM(AK67:AK69))+ABS(SUM(AK70:AK72))+ABS(SUM(AK73:AK75))+ABS(SUM(AK76:AK78))</f>
        <v>640</v>
      </c>
      <c r="AL79" s="121">
        <f>IF(AK79+AK89=0,0,IF(AK79=AK89,1,IF(AK79&gt;AK89,2,0)))</f>
        <v>2</v>
      </c>
      <c r="AM79" s="211">
        <f>ABS(SUM(AM67:AM69))+ABS(SUM(AM70:AM72))+ABS(SUM(AM73:AM75))+ABS(SUM(AM76:AM78))</f>
        <v>698</v>
      </c>
      <c r="AN79" s="121">
        <f>IF(AM79+AM89=0,0,IF(AM79=AM89,1,IF(AM79&gt;AM89,2,0)))</f>
        <v>2</v>
      </c>
      <c r="AO79" s="211">
        <f>ABS(SUM(AO67:AO69))+ABS(SUM(AO70:AO72))+ABS(SUM(AO73:AO75))+ABS(SUM(AO76:AO78))</f>
        <v>711</v>
      </c>
      <c r="AP79" s="121">
        <f>IF(AO79+AO89=0,0,IF(AO79=AO89,1,IF(AO79&gt;AO89,2,0)))</f>
        <v>2</v>
      </c>
      <c r="AQ79" s="211">
        <f>ABS(SUM(AQ67:AQ69))+ABS(SUM(AQ70:AQ72))+ABS(SUM(AQ73:AQ75))+ABS(SUM(AQ76:AQ78))</f>
        <v>787</v>
      </c>
      <c r="AR79" s="121">
        <f>IF(AQ79+AQ89=0,0,IF(AQ79=AQ89,1,IF(AQ79&gt;AQ89,2,0)))</f>
        <v>2</v>
      </c>
      <c r="AS79" s="211">
        <f>ABS(SUM(AS67:AS69))+ABS(SUM(AS70:AS72))+ABS(SUM(AS73:AS75))+ABS(SUM(AS76:AS78))</f>
        <v>737</v>
      </c>
      <c r="AT79" s="121">
        <f>IF(AS79+AS89=0,0,IF(AS79=AS89,1,IF(AS79&gt;AS89,2,0)))</f>
        <v>1</v>
      </c>
      <c r="AU79" s="122">
        <f>SUM(AC79+AE79+AG79+AI79+AK79+AM79+AO79+AQ79+AS79)</f>
        <v>6419</v>
      </c>
      <c r="AV79" s="123">
        <f>SUM(AD79+AF79+AH79+AJ79+AL79+AN79+AP79+AR79+AT79)</f>
        <v>15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4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1</v>
      </c>
      <c r="F80" s="86" t="str">
        <f t="shared" si="69"/>
        <v/>
      </c>
      <c r="G80" s="87">
        <f>IF(AF80="","",AF80)</f>
        <v>6</v>
      </c>
      <c r="H80" s="86" t="str">
        <f t="shared" si="70"/>
        <v/>
      </c>
      <c r="I80" s="87">
        <f>IF(AH80="","",AH80)</f>
        <v>5</v>
      </c>
      <c r="J80" s="86" t="str">
        <f t="shared" si="71"/>
        <v/>
      </c>
      <c r="K80" s="87">
        <f>IF(AJ80="","",AJ80)</f>
        <v>5</v>
      </c>
      <c r="L80" s="86" t="str">
        <f t="shared" si="72"/>
        <v/>
      </c>
      <c r="M80" s="87">
        <f>IF(AL80="","",AL80)</f>
        <v>5</v>
      </c>
      <c r="N80" s="86" t="str">
        <f t="shared" si="89"/>
        <v/>
      </c>
      <c r="O80" s="87">
        <f>IF(AN80="","",AN80)</f>
        <v>4</v>
      </c>
      <c r="P80" s="86" t="str">
        <f t="shared" si="73"/>
        <v/>
      </c>
      <c r="Q80" s="87">
        <f>IF(AP80="","",AP80)</f>
        <v>5</v>
      </c>
      <c r="R80" s="86" t="str">
        <f t="shared" si="74"/>
        <v/>
      </c>
      <c r="S80" s="87">
        <f>IF(AR80="","",AR80)</f>
        <v>4</v>
      </c>
      <c r="T80" s="86" t="str">
        <f t="shared" si="75"/>
        <v/>
      </c>
      <c r="U80" s="87">
        <f>IF(AT80="","",AT80)</f>
        <v>3</v>
      </c>
      <c r="V80" s="86" t="str">
        <f t="shared" si="76"/>
        <v/>
      </c>
      <c r="W80" s="87">
        <f>IF(AV80="","",AV80)</f>
        <v>38</v>
      </c>
      <c r="AA80" s="85" t="s">
        <v>1814</v>
      </c>
      <c r="AB80" s="86"/>
      <c r="AC80" s="86"/>
      <c r="AD80" s="124">
        <f>SUM(AD67:AD79)</f>
        <v>1</v>
      </c>
      <c r="AE80" s="86"/>
      <c r="AF80" s="124">
        <f>SUM(AF67:AF79)</f>
        <v>6</v>
      </c>
      <c r="AG80" s="86"/>
      <c r="AH80" s="124">
        <f>SUM(AH67:AH79)</f>
        <v>5</v>
      </c>
      <c r="AI80" s="86"/>
      <c r="AJ80" s="124">
        <f>SUM(AJ67:AJ79)</f>
        <v>5</v>
      </c>
      <c r="AK80" s="86"/>
      <c r="AL80" s="124">
        <f>SUM(AL67:AL79)</f>
        <v>5</v>
      </c>
      <c r="AM80" s="86"/>
      <c r="AN80" s="124">
        <f>SUM(AN67:AN79)</f>
        <v>4</v>
      </c>
      <c r="AO80" s="86"/>
      <c r="AP80" s="124">
        <f>SUM(AP67:AP79)</f>
        <v>5</v>
      </c>
      <c r="AQ80" s="86"/>
      <c r="AR80" s="124">
        <f>SUM(AR67:AR79)</f>
        <v>4</v>
      </c>
      <c r="AS80" s="86"/>
      <c r="AT80" s="124">
        <f>SUM(AT67:AT79)</f>
        <v>3</v>
      </c>
      <c r="AU80" s="86"/>
      <c r="AV80" s="125">
        <f>SUM(AV67:AV79)</f>
        <v>38</v>
      </c>
      <c r="AW80" s="101"/>
      <c r="AX80" s="102"/>
      <c r="BA80" s="212">
        <f>+AV80</f>
        <v>38</v>
      </c>
      <c r="BB80" s="213">
        <f>+AU79</f>
        <v>6419</v>
      </c>
      <c r="BC80" s="214">
        <f>+AA62</f>
        <v>3</v>
      </c>
      <c r="BF80" s="215">
        <f>SUM(BF61:BF79)</f>
        <v>36</v>
      </c>
      <c r="BQ80" s="212">
        <f>+BB80/1000000+BA80</f>
        <v>38.006419000000001</v>
      </c>
      <c r="BR80" s="214">
        <f>RANK(BQ80,BQ:BQ)</f>
        <v>3</v>
      </c>
      <c r="BV80" s="214"/>
      <c r="BZ80" s="214"/>
    </row>
    <row r="81" spans="1:78" ht="11.25" customHeight="1" x14ac:dyDescent="0.3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35">
      <c r="B82" s="88" t="str">
        <f t="shared" ref="B82:K84" si="100">IF(AA82=0,"",AA82)</f>
        <v>Gegner-Nr.:</v>
      </c>
      <c r="C82" s="89" t="str">
        <f t="shared" si="100"/>
        <v>&gt;&gt;&gt;&gt;</v>
      </c>
      <c r="D82" s="346">
        <f t="shared" si="100"/>
        <v>8</v>
      </c>
      <c r="E82" s="346" t="str">
        <f t="shared" si="100"/>
        <v/>
      </c>
      <c r="F82" s="346">
        <f t="shared" si="100"/>
        <v>4</v>
      </c>
      <c r="G82" s="346" t="str">
        <f t="shared" si="100"/>
        <v/>
      </c>
      <c r="H82" s="346">
        <f t="shared" si="100"/>
        <v>5</v>
      </c>
      <c r="I82" s="346" t="str">
        <f t="shared" si="100"/>
        <v/>
      </c>
      <c r="J82" s="346">
        <f t="shared" si="100"/>
        <v>7</v>
      </c>
      <c r="K82" s="346" t="str">
        <f t="shared" si="100"/>
        <v/>
      </c>
      <c r="L82" s="346">
        <f t="shared" ref="L82:U84" si="101">IF(AK82=0,"",AK82)</f>
        <v>9</v>
      </c>
      <c r="M82" s="346" t="str">
        <f t="shared" si="101"/>
        <v/>
      </c>
      <c r="N82" s="346">
        <f t="shared" si="101"/>
        <v>6</v>
      </c>
      <c r="O82" s="346" t="str">
        <f t="shared" si="101"/>
        <v/>
      </c>
      <c r="P82" s="346">
        <f t="shared" si="101"/>
        <v>2</v>
      </c>
      <c r="Q82" s="346" t="str">
        <f t="shared" si="101"/>
        <v/>
      </c>
      <c r="R82" s="346">
        <f t="shared" si="101"/>
        <v>1</v>
      </c>
      <c r="S82" s="346" t="str">
        <f t="shared" si="101"/>
        <v/>
      </c>
      <c r="T82" s="346">
        <f t="shared" si="101"/>
        <v>10</v>
      </c>
      <c r="U82" s="346" t="str">
        <f t="shared" si="101"/>
        <v/>
      </c>
      <c r="V82" s="347"/>
      <c r="W82" s="347"/>
      <c r="AA82" s="88" t="s">
        <v>1797</v>
      </c>
      <c r="AB82" s="89" t="s">
        <v>1798</v>
      </c>
      <c r="AC82" s="370">
        <f>VLOOKUP($AA62,Schlüssel!$A$5:$DG$14,63)</f>
        <v>8</v>
      </c>
      <c r="AD82" s="371"/>
      <c r="AE82" s="370">
        <f>VLOOKUP($AA62,Schlüssel!$A$5:$EK$14,64)</f>
        <v>4</v>
      </c>
      <c r="AF82" s="371"/>
      <c r="AG82" s="370">
        <f>VLOOKUP($AA62,Schlüssel!$A$5:$EK$14,65)</f>
        <v>5</v>
      </c>
      <c r="AH82" s="371"/>
      <c r="AI82" s="370">
        <f>VLOOKUP($AA62,Schlüssel!$A$5:$EK$14,66)</f>
        <v>7</v>
      </c>
      <c r="AJ82" s="371"/>
      <c r="AK82" s="370">
        <f>VLOOKUP($AA62,Schlüssel!$A$5:$EK$14,67)</f>
        <v>9</v>
      </c>
      <c r="AL82" s="371"/>
      <c r="AM82" s="370">
        <f>VLOOKUP($AA62,Schlüssel!$A$5:$EK$14,68)</f>
        <v>6</v>
      </c>
      <c r="AN82" s="371"/>
      <c r="AO82" s="370">
        <f>VLOOKUP($AA62,Schlüssel!$A$5:$EK$14,69)</f>
        <v>2</v>
      </c>
      <c r="AP82" s="371"/>
      <c r="AQ82" s="370">
        <f>VLOOKUP($AA62,Schlüssel!$A$5:$EK$14,70)</f>
        <v>1</v>
      </c>
      <c r="AR82" s="371"/>
      <c r="AS82" s="370">
        <f>VLOOKUP($AA62,Schlüssel!$A$5:$EK$14,71)</f>
        <v>10</v>
      </c>
      <c r="AT82" s="371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35">
      <c r="B83" s="90" t="str">
        <f t="shared" si="100"/>
        <v/>
      </c>
      <c r="C83" s="86" t="str">
        <f t="shared" si="100"/>
        <v/>
      </c>
      <c r="D83" s="343" t="str">
        <f t="shared" si="100"/>
        <v>EPA München 1</v>
      </c>
      <c r="E83" s="344" t="str">
        <f t="shared" si="100"/>
        <v/>
      </c>
      <c r="F83" s="343" t="str">
        <f t="shared" si="100"/>
        <v>BK München 3</v>
      </c>
      <c r="G83" s="344" t="str">
        <f t="shared" si="100"/>
        <v/>
      </c>
      <c r="H83" s="343" t="str">
        <f t="shared" si="100"/>
        <v xml:space="preserve">Weiß Blau Unterföhring </v>
      </c>
      <c r="I83" s="344" t="str">
        <f t="shared" si="100"/>
        <v/>
      </c>
      <c r="J83" s="343" t="str">
        <f t="shared" si="100"/>
        <v>Frankenpower Nürnberg</v>
      </c>
      <c r="K83" s="344" t="str">
        <f t="shared" si="100"/>
        <v/>
      </c>
      <c r="L83" s="343" t="str">
        <f t="shared" si="101"/>
        <v>RW Lichtenhof 69 Stein 2</v>
      </c>
      <c r="M83" s="344" t="str">
        <f t="shared" si="101"/>
        <v/>
      </c>
      <c r="N83" s="343" t="str">
        <f t="shared" si="101"/>
        <v>Phönix 03 Lauf</v>
      </c>
      <c r="O83" s="344" t="str">
        <f t="shared" si="101"/>
        <v/>
      </c>
      <c r="P83" s="343" t="str">
        <f t="shared" si="101"/>
        <v>BK München 2</v>
      </c>
      <c r="Q83" s="344" t="str">
        <f t="shared" si="101"/>
        <v/>
      </c>
      <c r="R83" s="343" t="str">
        <f t="shared" si="101"/>
        <v>Praetoria Regensburg</v>
      </c>
      <c r="S83" s="344" t="str">
        <f t="shared" si="101"/>
        <v/>
      </c>
      <c r="T83" s="343" t="str">
        <f t="shared" si="101"/>
        <v>BK München 4</v>
      </c>
      <c r="U83" s="344" t="str">
        <f t="shared" si="101"/>
        <v/>
      </c>
      <c r="V83" s="345"/>
      <c r="W83" s="345"/>
      <c r="AA83" s="90"/>
      <c r="AB83" s="86"/>
      <c r="AC83" s="343" t="str">
        <f>VLOOKUP(AC82,Schlüssel!$A$5:$K$14,2)</f>
        <v>EPA München 1</v>
      </c>
      <c r="AD83" s="344"/>
      <c r="AE83" s="343" t="str">
        <f>VLOOKUP(AE82,Schlüssel!$A$5:$K$14,2)</f>
        <v>BK München 3</v>
      </c>
      <c r="AF83" s="344"/>
      <c r="AG83" s="343" t="str">
        <f>VLOOKUP(AG82,Schlüssel!$A$5:$K$14,2)</f>
        <v xml:space="preserve">Weiß Blau Unterföhring </v>
      </c>
      <c r="AH83" s="344"/>
      <c r="AI83" s="343" t="str">
        <f>VLOOKUP(AI82,Schlüssel!$A$5:$K$14,2)</f>
        <v>Frankenpower Nürnberg</v>
      </c>
      <c r="AJ83" s="344"/>
      <c r="AK83" s="343" t="str">
        <f>VLOOKUP(AK82,Schlüssel!$A$5:$K$14,2)</f>
        <v>RW Lichtenhof 69 Stein 2</v>
      </c>
      <c r="AL83" s="344"/>
      <c r="AM83" s="343" t="str">
        <f>VLOOKUP(AM82,Schlüssel!$A$5:$K$14,2)</f>
        <v>Phönix 03 Lauf</v>
      </c>
      <c r="AN83" s="344"/>
      <c r="AO83" s="343" t="str">
        <f>VLOOKUP(AO82,Schlüssel!$A$5:$K$14,2)</f>
        <v>BK München 2</v>
      </c>
      <c r="AP83" s="344"/>
      <c r="AQ83" s="343" t="str">
        <f>VLOOKUP(AQ82,Schlüssel!$A$5:$K$14,2)</f>
        <v>Praetoria Regensburg</v>
      </c>
      <c r="AR83" s="344"/>
      <c r="AS83" s="343" t="str">
        <f>VLOOKUP(AS82,Schlüssel!$A$5:$K$14,2)</f>
        <v>BK München 4</v>
      </c>
      <c r="AT83" s="344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35">
      <c r="B84" s="90" t="str">
        <f t="shared" si="100"/>
        <v/>
      </c>
      <c r="C84" s="86" t="str">
        <f t="shared" si="100"/>
        <v/>
      </c>
      <c r="D84" s="341" t="str">
        <f t="shared" si="100"/>
        <v/>
      </c>
      <c r="E84" s="341" t="str">
        <f t="shared" si="100"/>
        <v/>
      </c>
      <c r="F84" s="341" t="str">
        <f t="shared" si="100"/>
        <v/>
      </c>
      <c r="G84" s="341" t="str">
        <f t="shared" si="100"/>
        <v/>
      </c>
      <c r="H84" s="341" t="str">
        <f t="shared" si="100"/>
        <v/>
      </c>
      <c r="I84" s="341" t="str">
        <f t="shared" si="100"/>
        <v/>
      </c>
      <c r="J84" s="341" t="str">
        <f t="shared" si="100"/>
        <v/>
      </c>
      <c r="K84" s="341" t="str">
        <f t="shared" si="100"/>
        <v/>
      </c>
      <c r="L84" s="341" t="str">
        <f t="shared" si="101"/>
        <v/>
      </c>
      <c r="M84" s="341" t="str">
        <f t="shared" si="101"/>
        <v/>
      </c>
      <c r="N84" s="341" t="str">
        <f t="shared" si="101"/>
        <v/>
      </c>
      <c r="O84" s="341" t="str">
        <f t="shared" si="101"/>
        <v/>
      </c>
      <c r="P84" s="341" t="str">
        <f t="shared" si="101"/>
        <v/>
      </c>
      <c r="Q84" s="341" t="str">
        <f t="shared" si="101"/>
        <v/>
      </c>
      <c r="R84" s="341" t="str">
        <f t="shared" si="101"/>
        <v/>
      </c>
      <c r="S84" s="341" t="str">
        <f t="shared" si="101"/>
        <v/>
      </c>
      <c r="T84" s="341" t="str">
        <f t="shared" si="101"/>
        <v/>
      </c>
      <c r="U84" s="342" t="str">
        <f t="shared" si="101"/>
        <v/>
      </c>
      <c r="V84" s="301"/>
      <c r="W84" s="301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6.05" customHeight="1" x14ac:dyDescent="0.35">
      <c r="B85" s="365" t="str">
        <f t="shared" ref="B85:C89" si="102">IF(AA85=0,"",AA85)</f>
        <v>Spieler 1</v>
      </c>
      <c r="C85" s="366" t="str">
        <f t="shared" si="102"/>
        <v/>
      </c>
      <c r="D85" s="339">
        <f>IF(AC85=301,"",AC85)</f>
        <v>183</v>
      </c>
      <c r="E85" s="339" t="str">
        <f>IF(AD85=0,"",AD85)</f>
        <v/>
      </c>
      <c r="F85" s="339">
        <f>IF(AE85=301,"",AE85)</f>
        <v>0</v>
      </c>
      <c r="G85" s="339" t="str">
        <f>IF(AF85=0,"",AF85)</f>
        <v/>
      </c>
      <c r="H85" s="339">
        <f>IF(AG85=301,"",AG85)</f>
        <v>176</v>
      </c>
      <c r="I85" s="339" t="str">
        <f>IF(AH85=0,"",AH85)</f>
        <v/>
      </c>
      <c r="J85" s="339">
        <f>IF(AI85=301,"",AI85)</f>
        <v>180</v>
      </c>
      <c r="K85" s="339" t="str">
        <f>IF(AJ85=0,"",AJ85)</f>
        <v/>
      </c>
      <c r="L85" s="339">
        <f>IF(AK85=301,"",AK85)</f>
        <v>134</v>
      </c>
      <c r="M85" s="339" t="str">
        <f>IF(AL85=0,"",AL85)</f>
        <v/>
      </c>
      <c r="N85" s="339">
        <f>IF(AM85=301,"",AM85)</f>
        <v>157</v>
      </c>
      <c r="O85" s="339" t="str">
        <f>IF(AN85=0,"",AN85)</f>
        <v/>
      </c>
      <c r="P85" s="339">
        <f>IF(AO85=301,"",AO85)</f>
        <v>189</v>
      </c>
      <c r="Q85" s="339" t="str">
        <f>IF(AP85=0,"",AP85)</f>
        <v/>
      </c>
      <c r="R85" s="339">
        <f>IF(AQ85=301,"",AQ85)</f>
        <v>177</v>
      </c>
      <c r="S85" s="339" t="str">
        <f>IF(AR85=0,"",AR85)</f>
        <v/>
      </c>
      <c r="T85" s="339">
        <f>IF(AS85=301,"",AS85)</f>
        <v>139</v>
      </c>
      <c r="U85" s="339" t="str">
        <f>IF(AT85=0,"",AT85)</f>
        <v/>
      </c>
      <c r="V85" s="340"/>
      <c r="W85" s="340"/>
      <c r="AA85" s="91" t="s">
        <v>0</v>
      </c>
      <c r="AB85" s="92"/>
      <c r="AC85" s="372">
        <f>ABS(INDEX(AC:AC,MATCH(AC82,$AA:$AA,0)+5)+INDEX(AC:AC,MATCH(AC82,$AA:$AA,0)+6)+INDEX(AC:AC,MATCH(AC82,$AA:$AA,0)+7))</f>
        <v>183</v>
      </c>
      <c r="AD85" s="373"/>
      <c r="AE85" s="372">
        <f>ABS(INDEX(AE:AE,MATCH(AE82,$AA:$AA,0)+5)+INDEX(AE:AE,MATCH(AE82,$AA:$AA,0)+6)+INDEX(AE:AE,MATCH(AE82,$AA:$AA,0)+7))</f>
        <v>0</v>
      </c>
      <c r="AF85" s="373"/>
      <c r="AG85" s="372">
        <f>ABS(INDEX(AG:AG,MATCH(AG82,$AA:$AA,0)+5)+INDEX(AG:AG,MATCH(AG82,$AA:$AA,0)+6)+INDEX(AG:AG,MATCH(AG82,$AA:$AA,0)+7))</f>
        <v>176</v>
      </c>
      <c r="AH85" s="373"/>
      <c r="AI85" s="372">
        <f>ABS(INDEX(AI:AI,MATCH(AI82,$AA:$AA,0)+5)+INDEX(AI:AI,MATCH(AI82,$AA:$AA,0)+6)+INDEX(AI:AI,MATCH(AI82,$AA:$AA,0)+7))</f>
        <v>180</v>
      </c>
      <c r="AJ85" s="373"/>
      <c r="AK85" s="372">
        <f>ABS(INDEX(AK:AK,MATCH(AK82,$AA:$AA,0)+5)+INDEX(AK:AK,MATCH(AK82,$AA:$AA,0)+6)+INDEX(AK:AK,MATCH(AK82,$AA:$AA,0)+7))</f>
        <v>134</v>
      </c>
      <c r="AL85" s="373"/>
      <c r="AM85" s="372">
        <f>ABS(INDEX(AM:AM,MATCH(AM82,$AA:$AA,0)+5)+INDEX(AM:AM,MATCH(AM82,$AA:$AA,0)+6)+INDEX(AM:AM,MATCH(AM82,$AA:$AA,0)+7))</f>
        <v>157</v>
      </c>
      <c r="AN85" s="373"/>
      <c r="AO85" s="372">
        <f>ABS(INDEX(AO:AO,MATCH(AO82,$AA:$AA,0)+5)+INDEX(AO:AO,MATCH(AO82,$AA:$AA,0)+6)+INDEX(AO:AO,MATCH(AO82,$AA:$AA,0)+7))</f>
        <v>189</v>
      </c>
      <c r="AP85" s="373"/>
      <c r="AQ85" s="372">
        <f>ABS(INDEX(AQ:AQ,MATCH(AQ82,$AA:$AA,0)+5)+INDEX(AQ:AQ,MATCH(AQ82,$AA:$AA,0)+6)+INDEX(AQ:AQ,MATCH(AQ82,$AA:$AA,0)+7))</f>
        <v>177</v>
      </c>
      <c r="AR85" s="373"/>
      <c r="AS85" s="372">
        <f>ABS(INDEX(AS:AS,MATCH(AS82,$AA:$AA,0)+5)+INDEX(AS:AS,MATCH(AS82,$AA:$AA,0)+6)+INDEX(AS:AS,MATCH(AS82,$AA:$AA,0)+7))</f>
        <v>139</v>
      </c>
      <c r="AT85" s="373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6.05" customHeight="1" x14ac:dyDescent="0.35">
      <c r="B86" s="365" t="str">
        <f t="shared" si="102"/>
        <v>Spieler 2</v>
      </c>
      <c r="C86" s="366" t="str">
        <f t="shared" si="102"/>
        <v/>
      </c>
      <c r="D86" s="339">
        <f>IF(AC86=301,"",AC86)</f>
        <v>161</v>
      </c>
      <c r="E86" s="339" t="str">
        <f>IF(AD86=0,"",AD86)</f>
        <v/>
      </c>
      <c r="F86" s="339">
        <f>IF(AE86=301,"",AE86)</f>
        <v>0</v>
      </c>
      <c r="G86" s="339" t="str">
        <f>IF(AF86=0,"",AF86)</f>
        <v/>
      </c>
      <c r="H86" s="339">
        <f>IF(AG86=301,"",AG86)</f>
        <v>138</v>
      </c>
      <c r="I86" s="339" t="str">
        <f>IF(AH86=0,"",AH86)</f>
        <v/>
      </c>
      <c r="J86" s="339">
        <f>IF(AI86=301,"",AI86)</f>
        <v>182</v>
      </c>
      <c r="K86" s="339" t="str">
        <f>IF(AJ86=0,"",AJ86)</f>
        <v/>
      </c>
      <c r="L86" s="339">
        <f>IF(AK86=301,"",AK86)</f>
        <v>155</v>
      </c>
      <c r="M86" s="339" t="str">
        <f>IF(AL86=0,"",AL86)</f>
        <v/>
      </c>
      <c r="N86" s="339">
        <f>IF(AM86=301,"",AM86)</f>
        <v>149</v>
      </c>
      <c r="O86" s="339" t="str">
        <f>IF(AN86=0,"",AN86)</f>
        <v/>
      </c>
      <c r="P86" s="339">
        <f>IF(AO86=301,"",AO86)</f>
        <v>165</v>
      </c>
      <c r="Q86" s="339" t="str">
        <f>IF(AP86=0,"",AP86)</f>
        <v/>
      </c>
      <c r="R86" s="339">
        <f>IF(AQ86=301,"",AQ86)</f>
        <v>190</v>
      </c>
      <c r="S86" s="339" t="str">
        <f>IF(AR86=0,"",AR86)</f>
        <v/>
      </c>
      <c r="T86" s="339">
        <f>IF(AS86=301,"",AS86)</f>
        <v>196</v>
      </c>
      <c r="U86" s="339" t="str">
        <f>IF(AT86=0,"",AT86)</f>
        <v/>
      </c>
      <c r="V86" s="340"/>
      <c r="W86" s="340"/>
      <c r="AA86" s="91" t="s">
        <v>2</v>
      </c>
      <c r="AB86" s="92"/>
      <c r="AC86" s="374">
        <f>ABS(INDEX(AC:AC,MATCH(AC82,$AA:$AA,0)+8)+INDEX(AC:AC,MATCH(AC82,$AA:$AA,0)+9)+INDEX(AC:AC,MATCH(AC82,$AA:$AA,0)+10))</f>
        <v>161</v>
      </c>
      <c r="AD86" s="375"/>
      <c r="AE86" s="374">
        <f>ABS(INDEX(AE:AE,MATCH(AE82,$AA:$AA,0)+8)+INDEX(AE:AE,MATCH(AE82,$AA:$AA,0)+9)+INDEX(AE:AE,MATCH(AE82,$AA:$AA,0)+10))</f>
        <v>0</v>
      </c>
      <c r="AF86" s="375"/>
      <c r="AG86" s="374">
        <f>ABS(INDEX(AG:AG,MATCH(AG82,$AA:$AA,0)+8)+INDEX(AG:AG,MATCH(AG82,$AA:$AA,0)+9)+INDEX(AG:AG,MATCH(AG82,$AA:$AA,0)+10))</f>
        <v>138</v>
      </c>
      <c r="AH86" s="375"/>
      <c r="AI86" s="374">
        <f>ABS(INDEX(AI:AI,MATCH(AI82,$AA:$AA,0)+8)+INDEX(AI:AI,MATCH(AI82,$AA:$AA,0)+9)+INDEX(AI:AI,MATCH(AI82,$AA:$AA,0)+10))</f>
        <v>182</v>
      </c>
      <c r="AJ86" s="375"/>
      <c r="AK86" s="374">
        <f>ABS(INDEX(AK:AK,MATCH(AK82,$AA:$AA,0)+8)+INDEX(AK:AK,MATCH(AK82,$AA:$AA,0)+9)+INDEX(AK:AK,MATCH(AK82,$AA:$AA,0)+10))</f>
        <v>155</v>
      </c>
      <c r="AL86" s="375"/>
      <c r="AM86" s="374">
        <f>ABS(INDEX(AM:AM,MATCH(AM82,$AA:$AA,0)+8)+INDEX(AM:AM,MATCH(AM82,$AA:$AA,0)+9)+INDEX(AM:AM,MATCH(AM82,$AA:$AA,0)+10))</f>
        <v>149</v>
      </c>
      <c r="AN86" s="375"/>
      <c r="AO86" s="374">
        <f>ABS(INDEX(AO:AO,MATCH(AO82,$AA:$AA,0)+8)+INDEX(AO:AO,MATCH(AO82,$AA:$AA,0)+9)+INDEX(AO:AO,MATCH(AO82,$AA:$AA,0)+10))</f>
        <v>165</v>
      </c>
      <c r="AP86" s="375"/>
      <c r="AQ86" s="374">
        <f>ABS(INDEX(AQ:AQ,MATCH(AQ82,$AA:$AA,0)+8)+INDEX(AQ:AQ,MATCH(AQ82,$AA:$AA,0)+9)+INDEX(AQ:AQ,MATCH(AQ82,$AA:$AA,0)+10))</f>
        <v>190</v>
      </c>
      <c r="AR86" s="375"/>
      <c r="AS86" s="374">
        <f>ABS(INDEX(AS:AS,MATCH(AS82,$AA:$AA,0)+8)+INDEX(AS:AS,MATCH(AS82,$AA:$AA,0)+9)+INDEX(AS:AS,MATCH(AS82,$AA:$AA,0)+10))</f>
        <v>196</v>
      </c>
      <c r="AT86" s="37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6.05" customHeight="1" x14ac:dyDescent="0.35">
      <c r="B87" s="365" t="str">
        <f t="shared" si="102"/>
        <v>Spieler 3</v>
      </c>
      <c r="C87" s="366" t="str">
        <f t="shared" si="102"/>
        <v/>
      </c>
      <c r="D87" s="339">
        <f>IF(AC87=301,"",AC87)</f>
        <v>202</v>
      </c>
      <c r="E87" s="339" t="str">
        <f>IF(AD87=0,"",AD87)</f>
        <v/>
      </c>
      <c r="F87" s="339">
        <f>IF(AE87=301,"",AE87)</f>
        <v>0</v>
      </c>
      <c r="G87" s="339" t="str">
        <f>IF(AF87=0,"",AF87)</f>
        <v/>
      </c>
      <c r="H87" s="339">
        <f>IF(AG87=301,"",AG87)</f>
        <v>149</v>
      </c>
      <c r="I87" s="339" t="str">
        <f>IF(AH87=0,"",AH87)</f>
        <v/>
      </c>
      <c r="J87" s="339">
        <f>IF(AI87=301,"",AI87)</f>
        <v>138</v>
      </c>
      <c r="K87" s="339" t="str">
        <f>IF(AJ87=0,"",AJ87)</f>
        <v/>
      </c>
      <c r="L87" s="339">
        <f>IF(AK87=301,"",AK87)</f>
        <v>145</v>
      </c>
      <c r="M87" s="339" t="str">
        <f>IF(AL87=0,"",AL87)</f>
        <v/>
      </c>
      <c r="N87" s="339">
        <f>IF(AM87=301,"",AM87)</f>
        <v>169</v>
      </c>
      <c r="O87" s="339" t="str">
        <f>IF(AN87=0,"",AN87)</f>
        <v/>
      </c>
      <c r="P87" s="339">
        <f>IF(AO87=301,"",AO87)</f>
        <v>137</v>
      </c>
      <c r="Q87" s="339" t="str">
        <f>IF(AP87=0,"",AP87)</f>
        <v/>
      </c>
      <c r="R87" s="339">
        <f>IF(AQ87=301,"",AQ87)</f>
        <v>192</v>
      </c>
      <c r="S87" s="339" t="str">
        <f>IF(AR87=0,"",AR87)</f>
        <v/>
      </c>
      <c r="T87" s="339">
        <f>IF(AS87=301,"",AS87)</f>
        <v>180</v>
      </c>
      <c r="U87" s="339" t="str">
        <f>IF(AT87=0,"",AT87)</f>
        <v/>
      </c>
      <c r="V87" s="340"/>
      <c r="W87" s="340"/>
      <c r="AA87" s="91" t="s">
        <v>3</v>
      </c>
      <c r="AB87" s="92"/>
      <c r="AC87" s="374">
        <f>ABS(INDEX(AC:AC,MATCH(AC82,$AA:$AA,0)+11)+INDEX(AC:AC,MATCH(AC82,$AA:$AA,0)+12)+INDEX(AC:AC,MATCH(AC82,$AA:$AA,0)+13))</f>
        <v>202</v>
      </c>
      <c r="AD87" s="375"/>
      <c r="AE87" s="374">
        <f>ABS(INDEX(AE:AE,MATCH(AE82,$AA:$AA,0)+11)+INDEX(AE:AE,MATCH(AE82,$AA:$AA,0)+12)+INDEX(AE:AE,MATCH(AE82,$AA:$AA,0)+13))</f>
        <v>0</v>
      </c>
      <c r="AF87" s="375"/>
      <c r="AG87" s="374">
        <f>ABS(INDEX(AG:AG,MATCH(AG82,$AA:$AA,0)+11)+INDEX(AG:AG,MATCH(AG82,$AA:$AA,0)+12)+INDEX(AG:AG,MATCH(AG82,$AA:$AA,0)+13))</f>
        <v>149</v>
      </c>
      <c r="AH87" s="375"/>
      <c r="AI87" s="374">
        <f>ABS(INDEX(AI:AI,MATCH(AI82,$AA:$AA,0)+11)+INDEX(AI:AI,MATCH(AI82,$AA:$AA,0)+12)+INDEX(AI:AI,MATCH(AI82,$AA:$AA,0)+13))</f>
        <v>138</v>
      </c>
      <c r="AJ87" s="375"/>
      <c r="AK87" s="374">
        <f>ABS(INDEX(AK:AK,MATCH(AK82,$AA:$AA,0)+11)+INDEX(AK:AK,MATCH(AK82,$AA:$AA,0)+12)+INDEX(AK:AK,MATCH(AK82,$AA:$AA,0)+13))</f>
        <v>145</v>
      </c>
      <c r="AL87" s="375"/>
      <c r="AM87" s="374">
        <f>ABS(INDEX(AM:AM,MATCH(AM82,$AA:$AA,0)+11)+INDEX(AM:AM,MATCH(AM82,$AA:$AA,0)+12)+INDEX(AM:AM,MATCH(AM82,$AA:$AA,0)+13))</f>
        <v>169</v>
      </c>
      <c r="AN87" s="375"/>
      <c r="AO87" s="374">
        <f>ABS(INDEX(AO:AO,MATCH(AO82,$AA:$AA,0)+11)+INDEX(AO:AO,MATCH(AO82,$AA:$AA,0)+12)+INDEX(AO:AO,MATCH(AO82,$AA:$AA,0)+13))</f>
        <v>137</v>
      </c>
      <c r="AP87" s="375"/>
      <c r="AQ87" s="374">
        <f>ABS(INDEX(AQ:AQ,MATCH(AQ82,$AA:$AA,0)+11)+INDEX(AQ:AQ,MATCH(AQ82,$AA:$AA,0)+12)+INDEX(AQ:AQ,MATCH(AQ82,$AA:$AA,0)+13))</f>
        <v>192</v>
      </c>
      <c r="AR87" s="375"/>
      <c r="AS87" s="374">
        <f>ABS(INDEX(AS:AS,MATCH(AS82,$AA:$AA,0)+11)+INDEX(AS:AS,MATCH(AS82,$AA:$AA,0)+12)+INDEX(AS:AS,MATCH(AS82,$AA:$AA,0)+13))</f>
        <v>180</v>
      </c>
      <c r="AT87" s="37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6.05" customHeight="1" x14ac:dyDescent="0.35">
      <c r="B88" s="365" t="str">
        <f t="shared" si="102"/>
        <v>Spieler 4</v>
      </c>
      <c r="C88" s="366" t="str">
        <f t="shared" si="102"/>
        <v/>
      </c>
      <c r="D88" s="339">
        <f>IF(AC88=301,"",AC88)</f>
        <v>181</v>
      </c>
      <c r="E88" s="339" t="str">
        <f>IF(AD88=0,"",AD88)</f>
        <v/>
      </c>
      <c r="F88" s="339">
        <f>IF(AE88=301,"",AE88)</f>
        <v>0</v>
      </c>
      <c r="G88" s="339" t="str">
        <f>IF(AF88=0,"",AF88)</f>
        <v/>
      </c>
      <c r="H88" s="339">
        <f>IF(AG88=301,"",AG88)</f>
        <v>177</v>
      </c>
      <c r="I88" s="339" t="str">
        <f>IF(AH88=0,"",AH88)</f>
        <v/>
      </c>
      <c r="J88" s="339">
        <f>IF(AI88=301,"",AI88)</f>
        <v>167</v>
      </c>
      <c r="K88" s="339" t="str">
        <f>IF(AJ88=0,"",AJ88)</f>
        <v/>
      </c>
      <c r="L88" s="339">
        <f>IF(AK88=301,"",AK88)</f>
        <v>181</v>
      </c>
      <c r="M88" s="339" t="str">
        <f>IF(AL88=0,"",AL88)</f>
        <v/>
      </c>
      <c r="N88" s="339">
        <f>IF(AM88=301,"",AM88)</f>
        <v>207</v>
      </c>
      <c r="O88" s="339" t="str">
        <f>IF(AN88=0,"",AN88)</f>
        <v/>
      </c>
      <c r="P88" s="339">
        <f>IF(AO88=301,"",AO88)</f>
        <v>145</v>
      </c>
      <c r="Q88" s="339" t="str">
        <f>IF(AP88=0,"",AP88)</f>
        <v/>
      </c>
      <c r="R88" s="339">
        <f>IF(AQ88=301,"",AQ88)</f>
        <v>224</v>
      </c>
      <c r="S88" s="339" t="str">
        <f>IF(AR88=0,"",AR88)</f>
        <v/>
      </c>
      <c r="T88" s="339">
        <f>IF(AS88=301,"",AS88)</f>
        <v>222</v>
      </c>
      <c r="U88" s="339" t="str">
        <f>IF(AT88=0,"",AT88)</f>
        <v/>
      </c>
      <c r="V88" s="340"/>
      <c r="W88" s="340"/>
      <c r="AA88" s="91" t="s">
        <v>11</v>
      </c>
      <c r="AB88" s="92"/>
      <c r="AC88" s="374">
        <f>ABS(INDEX(AC:AC,MATCH(AC82,$AA:$AA,0)+14)+INDEX(AC:AC,MATCH(AC82,$AA:$AA,0)+15)+INDEX(AC:AC,MATCH(AC82,$AA:$AA,0)+16))</f>
        <v>181</v>
      </c>
      <c r="AD88" s="375"/>
      <c r="AE88" s="374">
        <f>ABS(INDEX(AE:AE,MATCH(AE82,$AA:$AA,0)+14)+INDEX(AE:AE,MATCH(AE82,$AA:$AA,0)+15)+INDEX(AE:AE,MATCH(AE82,$AA:$AA,0)+16))</f>
        <v>0</v>
      </c>
      <c r="AF88" s="375"/>
      <c r="AG88" s="374">
        <f>ABS(INDEX(AG:AG,MATCH(AG82,$AA:$AA,0)+14)+INDEX(AG:AG,MATCH(AG82,$AA:$AA,0)+15)+INDEX(AG:AG,MATCH(AG82,$AA:$AA,0)+16))</f>
        <v>177</v>
      </c>
      <c r="AH88" s="375"/>
      <c r="AI88" s="374">
        <f>ABS(INDEX(AI:AI,MATCH(AI82,$AA:$AA,0)+14)+INDEX(AI:AI,MATCH(AI82,$AA:$AA,0)+15)+INDEX(AI:AI,MATCH(AI82,$AA:$AA,0)+16))</f>
        <v>167</v>
      </c>
      <c r="AJ88" s="375"/>
      <c r="AK88" s="374">
        <f>ABS(INDEX(AK:AK,MATCH(AK82,$AA:$AA,0)+14)+INDEX(AK:AK,MATCH(AK82,$AA:$AA,0)+15)+INDEX(AK:AK,MATCH(AK82,$AA:$AA,0)+16))</f>
        <v>181</v>
      </c>
      <c r="AL88" s="375"/>
      <c r="AM88" s="374">
        <f>ABS(INDEX(AM:AM,MATCH(AM82,$AA:$AA,0)+14)+INDEX(AM:AM,MATCH(AM82,$AA:$AA,0)+15)+INDEX(AM:AM,MATCH(AM82,$AA:$AA,0)+16))</f>
        <v>207</v>
      </c>
      <c r="AN88" s="375"/>
      <c r="AO88" s="374">
        <f>ABS(INDEX(AO:AO,MATCH(AO82,$AA:$AA,0)+14)+INDEX(AO:AO,MATCH(AO82,$AA:$AA,0)+15)+INDEX(AO:AO,MATCH(AO82,$AA:$AA,0)+16))</f>
        <v>145</v>
      </c>
      <c r="AP88" s="375"/>
      <c r="AQ88" s="374">
        <f>ABS(INDEX(AQ:AQ,MATCH(AQ82,$AA:$AA,0)+14)+INDEX(AQ:AQ,MATCH(AQ82,$AA:$AA,0)+15)+INDEX(AQ:AQ,MATCH(AQ82,$AA:$AA,0)+16))</f>
        <v>224</v>
      </c>
      <c r="AR88" s="375"/>
      <c r="AS88" s="374">
        <f>ABS(INDEX(AS:AS,MATCH(AS82,$AA:$AA,0)+14)+INDEX(AS:AS,MATCH(AS82,$AA:$AA,0)+15)+INDEX(AS:AS,MATCH(AS82,$AA:$AA,0)+16))</f>
        <v>222</v>
      </c>
      <c r="AT88" s="37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6.05" customHeight="1" x14ac:dyDescent="0.35">
      <c r="B89" s="354" t="str">
        <f t="shared" si="102"/>
        <v>Gesamt</v>
      </c>
      <c r="C89" s="355" t="str">
        <f t="shared" si="102"/>
        <v/>
      </c>
      <c r="D89" s="338">
        <f>IF(AC89=1505,"",AC89)</f>
        <v>727</v>
      </c>
      <c r="E89" s="338" t="str">
        <f>IF(AD89=0,"",AD89)</f>
        <v/>
      </c>
      <c r="F89" s="338">
        <f>IF(AE89=1505,"",AE89)</f>
        <v>0</v>
      </c>
      <c r="G89" s="338" t="str">
        <f>IF(AF89=0,"",AF89)</f>
        <v/>
      </c>
      <c r="H89" s="338">
        <f>IF(AG89=1505,"",AG89)</f>
        <v>640</v>
      </c>
      <c r="I89" s="338" t="str">
        <f>IF(AH89=0,"",AH89)</f>
        <v/>
      </c>
      <c r="J89" s="338">
        <f>IF(AI89=1505,"",AI89)</f>
        <v>667</v>
      </c>
      <c r="K89" s="338" t="str">
        <f>IF(AJ89=0,"",AJ89)</f>
        <v/>
      </c>
      <c r="L89" s="338">
        <f>IF(AK89=1505,"",AK89)</f>
        <v>615</v>
      </c>
      <c r="M89" s="338" t="str">
        <f>IF(AL89=0,"",AL89)</f>
        <v/>
      </c>
      <c r="N89" s="338">
        <f>IF(AM89=1505,"",AM89)</f>
        <v>682</v>
      </c>
      <c r="O89" s="338" t="str">
        <f>IF(AN89=0,"",AN89)</f>
        <v/>
      </c>
      <c r="P89" s="338">
        <f>IF(AO89=1505,"",AO89)</f>
        <v>636</v>
      </c>
      <c r="Q89" s="338" t="str">
        <f>IF(AP89=0,"",AP89)</f>
        <v/>
      </c>
      <c r="R89" s="338">
        <f>IF(AQ89=1505,"",AQ89)</f>
        <v>783</v>
      </c>
      <c r="S89" s="338" t="str">
        <f>IF(AR89=0,"",AR89)</f>
        <v/>
      </c>
      <c r="T89" s="338">
        <f>IF(AS89=1505,"",AS89)</f>
        <v>737</v>
      </c>
      <c r="U89" s="338" t="str">
        <f>IF(AT89=0,"",AT89)</f>
        <v/>
      </c>
      <c r="V89" s="290"/>
      <c r="W89" s="290"/>
      <c r="AA89" s="93" t="s">
        <v>1799</v>
      </c>
      <c r="AB89" s="94"/>
      <c r="AC89" s="354">
        <f>SUM(AC85:AC88)</f>
        <v>727</v>
      </c>
      <c r="AD89" s="355"/>
      <c r="AE89" s="354">
        <f>SUM(AE85:AE88)</f>
        <v>0</v>
      </c>
      <c r="AF89" s="355"/>
      <c r="AG89" s="354">
        <f>SUM(AG85:AG88)</f>
        <v>640</v>
      </c>
      <c r="AH89" s="355"/>
      <c r="AI89" s="354">
        <f>SUM(AI85:AI88)</f>
        <v>667</v>
      </c>
      <c r="AJ89" s="355"/>
      <c r="AK89" s="354">
        <f>SUM(AK85:AK88)</f>
        <v>615</v>
      </c>
      <c r="AL89" s="355"/>
      <c r="AM89" s="354">
        <f>SUM(AM85:AM88)</f>
        <v>682</v>
      </c>
      <c r="AN89" s="355"/>
      <c r="AO89" s="354">
        <f>SUM(AO85:AO88)</f>
        <v>636</v>
      </c>
      <c r="AP89" s="355"/>
      <c r="AQ89" s="354">
        <f>SUM(AQ85:AQ88)</f>
        <v>783</v>
      </c>
      <c r="AR89" s="355"/>
      <c r="AS89" s="354">
        <f>SUM(AS85:AS88)</f>
        <v>737</v>
      </c>
      <c r="AT89" s="35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3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7">
      <c r="B91" s="44" t="str">
        <f>AA91</f>
        <v>Team-Nr.</v>
      </c>
      <c r="C91" s="45"/>
      <c r="D91" s="44" t="str">
        <f>AC91</f>
        <v>Liga:</v>
      </c>
      <c r="E91" s="47"/>
      <c r="F91" s="359" t="str">
        <f>AE91</f>
        <v>Bayernliga Frauen</v>
      </c>
      <c r="G91" s="359"/>
      <c r="H91" s="359"/>
      <c r="I91" s="359"/>
      <c r="J91" s="359"/>
      <c r="K91" s="359"/>
      <c r="L91" s="359"/>
      <c r="M91" s="359"/>
      <c r="N91" s="359"/>
      <c r="O91" s="359"/>
      <c r="P91" s="359"/>
      <c r="Q91" s="359"/>
      <c r="R91" s="48"/>
      <c r="S91" s="49" t="s">
        <v>1794</v>
      </c>
      <c r="T91" s="50"/>
      <c r="U91" s="360" t="str">
        <f>AT91</f>
        <v>15.02./16.02.</v>
      </c>
      <c r="V91" s="361"/>
      <c r="W91" s="362"/>
      <c r="X91" s="363"/>
      <c r="Y91" s="364"/>
      <c r="Z91" s="364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0" t="str">
        <f>VLOOKUP(AS92,Spielorte!$A$1:$C$6,2)</f>
        <v>15.02./16.02.</v>
      </c>
      <c r="AU91" s="361"/>
      <c r="AV91" s="362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65">
      <c r="B92" s="53">
        <f>AA92</f>
        <v>4</v>
      </c>
      <c r="D92" s="46" t="s">
        <v>1793</v>
      </c>
      <c r="E92" s="54"/>
      <c r="F92" s="358" t="str">
        <f>AE92</f>
        <v>Nürnberg West Bowling</v>
      </c>
      <c r="G92" s="358"/>
      <c r="H92" s="358"/>
      <c r="I92" s="358"/>
      <c r="J92" s="358"/>
      <c r="K92" s="358"/>
      <c r="L92" s="358"/>
      <c r="M92" s="358"/>
      <c r="N92" s="358"/>
      <c r="O92" s="358"/>
      <c r="P92" s="55"/>
      <c r="Q92" s="55"/>
      <c r="S92" s="49" t="s">
        <v>1791</v>
      </c>
      <c r="T92" s="56">
        <f>AS92</f>
        <v>4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Nürnberg West Bowling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4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4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5" thickBot="1" x14ac:dyDescent="0.45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VLOOKUP(AA92,Schlüssel!$A$5:$DZ$14,73)</f>
        <v>17</v>
      </c>
      <c r="AE94" s="65" t="s">
        <v>10</v>
      </c>
      <c r="AF94" s="44">
        <f>VLOOKUP(AA92,Schlüssel!$A$5:$DZ$14,74)</f>
        <v>15</v>
      </c>
      <c r="AG94" s="65" t="s">
        <v>10</v>
      </c>
      <c r="AH94" s="44">
        <f>VLOOKUP(AA92,Schlüssel!$A$5:$DZ$14,75)</f>
        <v>11</v>
      </c>
      <c r="AI94" s="65" t="s">
        <v>10</v>
      </c>
      <c r="AJ94" s="44">
        <f>VLOOKUP(AA92,Schlüssel!$A$5:$DZ$14,76)</f>
        <v>19</v>
      </c>
      <c r="AK94" s="65" t="s">
        <v>10</v>
      </c>
      <c r="AL94" s="44">
        <f>VLOOKUP(AA92,Schlüssel!$A$5:$DZ$14,77)</f>
        <v>16</v>
      </c>
      <c r="AM94" s="65" t="s">
        <v>10</v>
      </c>
      <c r="AN94" s="44">
        <f>VLOOKUP(AA92,Schlüssel!$A$5:$DZ$14,78)</f>
        <v>20</v>
      </c>
      <c r="AO94" s="65" t="s">
        <v>10</v>
      </c>
      <c r="AP94" s="44">
        <f>VLOOKUP(AA92,Schlüssel!$A$5:$DZ$14,79)</f>
        <v>13</v>
      </c>
      <c r="AQ94" s="65" t="s">
        <v>10</v>
      </c>
      <c r="AR94" s="44">
        <f>VLOOKUP(AA92,Schlüssel!$A$5:$DZ$14,80)</f>
        <v>18</v>
      </c>
      <c r="AS94" s="65" t="s">
        <v>10</v>
      </c>
      <c r="AT94" s="44">
        <f>VLOOKUP(AA92,Schlüssel!$A$5:$DZ$14,81)</f>
        <v>12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35">
      <c r="B95" s="67" t="s">
        <v>1</v>
      </c>
      <c r="C95" s="68"/>
      <c r="D95" s="354" t="s">
        <v>1800</v>
      </c>
      <c r="E95" s="355"/>
      <c r="F95" s="354" t="s">
        <v>1801</v>
      </c>
      <c r="G95" s="355"/>
      <c r="H95" s="354" t="s">
        <v>1802</v>
      </c>
      <c r="I95" s="355"/>
      <c r="J95" s="354" t="s">
        <v>1803</v>
      </c>
      <c r="K95" s="355"/>
      <c r="L95" s="354" t="s">
        <v>1804</v>
      </c>
      <c r="M95" s="355"/>
      <c r="N95" s="354" t="s">
        <v>1805</v>
      </c>
      <c r="O95" s="355"/>
      <c r="P95" s="354" t="s">
        <v>1806</v>
      </c>
      <c r="Q95" s="355"/>
      <c r="R95" s="354" t="s">
        <v>1807</v>
      </c>
      <c r="S95" s="355"/>
      <c r="T95" s="354" t="s">
        <v>1808</v>
      </c>
      <c r="U95" s="355"/>
      <c r="V95" s="356" t="s">
        <v>1799</v>
      </c>
      <c r="W95" s="357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4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2" customHeight="1" x14ac:dyDescent="0.35">
      <c r="A97" s="367" t="s">
        <v>0</v>
      </c>
      <c r="B97" s="73" t="str">
        <f>IF(AA97=0,"",AA97)</f>
        <v/>
      </c>
      <c r="C97" s="74" t="str">
        <f>IF(AB97=0,"",AB97)</f>
        <v/>
      </c>
      <c r="D97" s="75" t="str">
        <f>IF(AC97=0,"",AC97)</f>
        <v/>
      </c>
      <c r="E97" s="348">
        <f>IF(AD97="","",AD97)</f>
        <v>0</v>
      </c>
      <c r="F97" s="75" t="str">
        <f t="shared" ref="F97:F110" si="103">IF(AE97=0,"",AE97)</f>
        <v/>
      </c>
      <c r="G97" s="348">
        <f>IF(AF97="","",AF97)</f>
        <v>0</v>
      </c>
      <c r="H97" s="75" t="str">
        <f t="shared" ref="H97:H110" si="104">IF(AG97=0,"",AG97)</f>
        <v/>
      </c>
      <c r="I97" s="348">
        <f>IF(AH97="","",AH97)</f>
        <v>0</v>
      </c>
      <c r="J97" s="75" t="str">
        <f t="shared" ref="J97:J110" si="105">IF(AI97=0,"",AI97)</f>
        <v/>
      </c>
      <c r="K97" s="348">
        <f>IF(AJ97="","",AJ97)</f>
        <v>0</v>
      </c>
      <c r="L97" s="75" t="str">
        <f t="shared" ref="L97:L110" si="106">IF(AK97=0,"",AK97)</f>
        <v/>
      </c>
      <c r="M97" s="348">
        <f>IF(AL97="","",AL97)</f>
        <v>0</v>
      </c>
      <c r="N97" s="75" t="str">
        <f>IF(AM97=0,"",AM97)</f>
        <v/>
      </c>
      <c r="O97" s="348">
        <f>IF(AN97="","",AN97)</f>
        <v>0</v>
      </c>
      <c r="P97" s="75" t="str">
        <f t="shared" ref="P97:P110" si="107">IF(AO97=0,"",AO97)</f>
        <v/>
      </c>
      <c r="Q97" s="348">
        <f>IF(AP97="","",AP97)</f>
        <v>0</v>
      </c>
      <c r="R97" s="75" t="str">
        <f t="shared" ref="R97:R110" si="108">IF(AQ97=0,"",AQ97)</f>
        <v/>
      </c>
      <c r="S97" s="348">
        <f>IF(AR97="","",AR97)</f>
        <v>0</v>
      </c>
      <c r="T97" s="75" t="str">
        <f t="shared" ref="T97:T110" si="109">IF(AS97=0,"",AS97)</f>
        <v/>
      </c>
      <c r="U97" s="348">
        <f>IF(AT97="","",AT97)</f>
        <v>0</v>
      </c>
      <c r="V97" s="75" t="str">
        <f t="shared" ref="V97:V110" si="110">IF(AU97=0,"",AU97)</f>
        <v/>
      </c>
      <c r="W97" s="348">
        <f>IF(AV97="","",AV97)</f>
        <v>0</v>
      </c>
      <c r="Z97" s="351" t="s">
        <v>0</v>
      </c>
      <c r="AA97" s="108" t="str">
        <f>IF(AB97=0,"",VLOOKUP(AB97,Starter!$A$1:$D$199,2,FALSE))</f>
        <v/>
      </c>
      <c r="AB97" s="99"/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1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0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2">IF(AC97=0,"",AC97)</f>
        <v/>
      </c>
      <c r="BI97" s="215" t="str">
        <f t="shared" ref="BI97:BI108" si="113">IF(AE97=0,"",AE97)</f>
        <v/>
      </c>
      <c r="BJ97" s="215" t="str">
        <f t="shared" ref="BJ97:BJ108" si="114">IF(AG97=0,"",AG97)</f>
        <v/>
      </c>
      <c r="BK97" s="215" t="str">
        <f t="shared" ref="BK97:BK108" si="115">IF(AI97=0,"",AI97)</f>
        <v/>
      </c>
      <c r="BL97" s="215" t="str">
        <f t="shared" ref="BL97:BL108" si="116">IF(AK97=0,"",AK97)</f>
        <v/>
      </c>
      <c r="BM97" s="215" t="str">
        <f t="shared" ref="BM97:BM108" si="117">IF(AM97=0,"",AM97)</f>
        <v/>
      </c>
      <c r="BN97" s="215" t="str">
        <f t="shared" ref="BN97:BN108" si="118">IF(AO97=0,"",AO97)</f>
        <v/>
      </c>
      <c r="BO97" s="215" t="str">
        <f t="shared" ref="BO97:BO108" si="119">IF(AQ97=0,"",AQ97)</f>
        <v/>
      </c>
      <c r="BP97" s="215" t="str">
        <f t="shared" ref="BP97:BP108" si="120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0</v>
      </c>
      <c r="BU97" s="215" t="str">
        <f>+AA93</f>
        <v>BK München 3</v>
      </c>
      <c r="BV97" s="214">
        <f>RANK(BT97,BT:BT)</f>
        <v>2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0</v>
      </c>
      <c r="BZ97" s="214">
        <f t="shared" ref="BZ97:BZ108" si="121">IF(BY97=0,0,RANK(BY97,BY:BY))</f>
        <v>0</v>
      </c>
    </row>
    <row r="98" spans="1:78" ht="17.2" customHeight="1" x14ac:dyDescent="0.35">
      <c r="A98" s="368"/>
      <c r="B98" s="76" t="str">
        <f t="shared" ref="B98:D110" si="122">IF(AA98=0,"",AA98)</f>
        <v/>
      </c>
      <c r="C98" s="77" t="str">
        <f t="shared" si="122"/>
        <v/>
      </c>
      <c r="D98" s="78" t="str">
        <f t="shared" si="122"/>
        <v/>
      </c>
      <c r="E98" s="349"/>
      <c r="F98" s="78" t="str">
        <f t="shared" si="103"/>
        <v/>
      </c>
      <c r="G98" s="349"/>
      <c r="H98" s="78" t="str">
        <f t="shared" si="104"/>
        <v/>
      </c>
      <c r="I98" s="349"/>
      <c r="J98" s="78" t="str">
        <f t="shared" si="105"/>
        <v/>
      </c>
      <c r="K98" s="349"/>
      <c r="L98" s="78" t="str">
        <f t="shared" si="106"/>
        <v/>
      </c>
      <c r="M98" s="349"/>
      <c r="N98" s="78" t="str">
        <f t="shared" ref="N98:N110" si="123">IF(AM98=0,"",AM98)</f>
        <v/>
      </c>
      <c r="O98" s="349"/>
      <c r="P98" s="78" t="str">
        <f t="shared" si="107"/>
        <v/>
      </c>
      <c r="Q98" s="349"/>
      <c r="R98" s="78" t="str">
        <f t="shared" si="108"/>
        <v/>
      </c>
      <c r="S98" s="349"/>
      <c r="T98" s="78" t="str">
        <f t="shared" si="109"/>
        <v/>
      </c>
      <c r="U98" s="349"/>
      <c r="V98" s="78" t="str">
        <f t="shared" si="110"/>
        <v/>
      </c>
      <c r="W98" s="349"/>
      <c r="Z98" s="352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1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4">+AB98</f>
        <v>0</v>
      </c>
      <c r="BE98" s="213">
        <f t="shared" ref="BE98:BE108" si="125">+AU98</f>
        <v>0</v>
      </c>
      <c r="BF98" s="215">
        <f t="shared" ref="BF98:BF108" si="126">COUNT(BH98:BP98)</f>
        <v>0</v>
      </c>
      <c r="BG98" s="215">
        <f t="shared" ref="BG98:BG108" si="127">COUNTIF(BH98:BP98,"&gt;0")</f>
        <v>0</v>
      </c>
      <c r="BH98" s="215" t="str">
        <f t="shared" si="112"/>
        <v/>
      </c>
      <c r="BI98" s="215" t="str">
        <f t="shared" si="113"/>
        <v/>
      </c>
      <c r="BJ98" s="215" t="str">
        <f t="shared" si="114"/>
        <v/>
      </c>
      <c r="BK98" s="215" t="str">
        <f t="shared" si="115"/>
        <v/>
      </c>
      <c r="BL98" s="215" t="str">
        <f t="shared" si="116"/>
        <v/>
      </c>
      <c r="BM98" s="215" t="str">
        <f t="shared" si="117"/>
        <v/>
      </c>
      <c r="BN98" s="215" t="str">
        <f t="shared" si="118"/>
        <v/>
      </c>
      <c r="BO98" s="215" t="str">
        <f t="shared" si="119"/>
        <v/>
      </c>
      <c r="BP98" s="215" t="str">
        <f t="shared" si="120"/>
        <v/>
      </c>
      <c r="BQ98" s="216"/>
      <c r="BR98" s="214"/>
      <c r="BS98" s="215">
        <f t="shared" ref="BS98:BS108" si="128">MAX(BH98:BP98)</f>
        <v>0</v>
      </c>
      <c r="BT98" s="215">
        <f t="shared" ref="BT98:BT108" si="129">IF(BS98&lt;MAX(BS:BS),0,BS98+ROW()/1000000000)</f>
        <v>0</v>
      </c>
      <c r="BU98" s="215" t="str">
        <f t="shared" ref="BU98:BU108" si="130">+BU97</f>
        <v>BK München 3</v>
      </c>
      <c r="BV98" s="214">
        <f t="shared" ref="BV98:BV108" si="131">RANK(BT98,BT:BT)</f>
        <v>2</v>
      </c>
      <c r="BW98" s="215">
        <f t="shared" ref="BW98:BW108" si="132">SUMIF(BH98:BP98,"&gt;0")</f>
        <v>0</v>
      </c>
      <c r="BX98" s="215">
        <f>IF(COUNTIF(BH98:BP98,"&gt;0")&lt;Spielorte!$A$23,0,BE98/Spielorte!$A$23)</f>
        <v>0</v>
      </c>
      <c r="BY98" s="215">
        <f t="shared" ref="BY98:BY108" si="133">IF(BX98&lt;MAX(BX:BX),0,BX98+ROW()/1000000000)</f>
        <v>0</v>
      </c>
      <c r="BZ98" s="214">
        <f t="shared" si="121"/>
        <v>0</v>
      </c>
    </row>
    <row r="99" spans="1:78" ht="17.2" customHeight="1" thickBot="1" x14ac:dyDescent="0.4">
      <c r="A99" s="369"/>
      <c r="B99" s="79" t="str">
        <f t="shared" si="122"/>
        <v/>
      </c>
      <c r="C99" s="80" t="str">
        <f t="shared" si="122"/>
        <v/>
      </c>
      <c r="D99" s="69" t="str">
        <f t="shared" si="122"/>
        <v/>
      </c>
      <c r="E99" s="350"/>
      <c r="F99" s="69" t="str">
        <f t="shared" si="103"/>
        <v/>
      </c>
      <c r="G99" s="350"/>
      <c r="H99" s="69" t="str">
        <f t="shared" si="104"/>
        <v/>
      </c>
      <c r="I99" s="350"/>
      <c r="J99" s="69" t="str">
        <f t="shared" si="105"/>
        <v/>
      </c>
      <c r="K99" s="350"/>
      <c r="L99" s="69" t="str">
        <f t="shared" si="106"/>
        <v/>
      </c>
      <c r="M99" s="350"/>
      <c r="N99" s="69" t="str">
        <f t="shared" si="123"/>
        <v/>
      </c>
      <c r="O99" s="350"/>
      <c r="P99" s="69" t="str">
        <f t="shared" si="107"/>
        <v/>
      </c>
      <c r="Q99" s="350"/>
      <c r="R99" s="69" t="str">
        <f t="shared" si="108"/>
        <v/>
      </c>
      <c r="S99" s="350"/>
      <c r="T99" s="69" t="str">
        <f t="shared" si="109"/>
        <v/>
      </c>
      <c r="U99" s="350"/>
      <c r="V99" s="69" t="str">
        <f t="shared" si="110"/>
        <v/>
      </c>
      <c r="W99" s="350"/>
      <c r="Z99" s="353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1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4"/>
        <v>0</v>
      </c>
      <c r="BE99" s="213">
        <f t="shared" si="125"/>
        <v>0</v>
      </c>
      <c r="BF99" s="215">
        <f t="shared" si="126"/>
        <v>0</v>
      </c>
      <c r="BG99" s="215">
        <f t="shared" si="127"/>
        <v>0</v>
      </c>
      <c r="BH99" s="215" t="str">
        <f t="shared" si="112"/>
        <v/>
      </c>
      <c r="BI99" s="215" t="str">
        <f t="shared" si="113"/>
        <v/>
      </c>
      <c r="BJ99" s="215" t="str">
        <f t="shared" si="114"/>
        <v/>
      </c>
      <c r="BK99" s="215" t="str">
        <f t="shared" si="115"/>
        <v/>
      </c>
      <c r="BL99" s="215" t="str">
        <f t="shared" si="116"/>
        <v/>
      </c>
      <c r="BM99" s="215" t="str">
        <f t="shared" si="117"/>
        <v/>
      </c>
      <c r="BN99" s="215" t="str">
        <f t="shared" si="118"/>
        <v/>
      </c>
      <c r="BO99" s="215" t="str">
        <f t="shared" si="119"/>
        <v/>
      </c>
      <c r="BP99" s="215" t="str">
        <f t="shared" si="120"/>
        <v/>
      </c>
      <c r="BQ99" s="216"/>
      <c r="BR99" s="214"/>
      <c r="BS99" s="215">
        <f t="shared" si="128"/>
        <v>0</v>
      </c>
      <c r="BT99" s="215">
        <f t="shared" si="129"/>
        <v>0</v>
      </c>
      <c r="BU99" s="215" t="str">
        <f t="shared" si="130"/>
        <v>BK München 3</v>
      </c>
      <c r="BV99" s="214">
        <f t="shared" si="131"/>
        <v>2</v>
      </c>
      <c r="BW99" s="215">
        <f t="shared" si="132"/>
        <v>0</v>
      </c>
      <c r="BX99" s="215">
        <f>IF(COUNTIF(BH99:BP99,"&gt;0")&lt;Spielorte!$A$23,0,BE99/Spielorte!$A$23)</f>
        <v>0</v>
      </c>
      <c r="BY99" s="215">
        <f t="shared" si="133"/>
        <v>0</v>
      </c>
      <c r="BZ99" s="214">
        <f t="shared" si="121"/>
        <v>0</v>
      </c>
    </row>
    <row r="100" spans="1:78" ht="17.2" customHeight="1" x14ac:dyDescent="0.35">
      <c r="A100" s="367" t="s">
        <v>2</v>
      </c>
      <c r="B100" s="73" t="str">
        <f t="shared" si="122"/>
        <v/>
      </c>
      <c r="C100" s="74" t="str">
        <f t="shared" si="122"/>
        <v/>
      </c>
      <c r="D100" s="75" t="str">
        <f t="shared" si="122"/>
        <v/>
      </c>
      <c r="E100" s="348">
        <f>IF(AD100="","",AD100)</f>
        <v>0</v>
      </c>
      <c r="F100" s="75" t="str">
        <f t="shared" si="103"/>
        <v/>
      </c>
      <c r="G100" s="348">
        <f>IF(AF100="","",AF100)</f>
        <v>0</v>
      </c>
      <c r="H100" s="75" t="str">
        <f t="shared" si="104"/>
        <v/>
      </c>
      <c r="I100" s="348">
        <f>IF(AH100="","",AH100)</f>
        <v>0</v>
      </c>
      <c r="J100" s="75" t="str">
        <f t="shared" si="105"/>
        <v/>
      </c>
      <c r="K100" s="348">
        <f>IF(AJ100="","",AJ100)</f>
        <v>0</v>
      </c>
      <c r="L100" s="75" t="str">
        <f t="shared" si="106"/>
        <v/>
      </c>
      <c r="M100" s="348">
        <f>IF(AL100="","",AL100)</f>
        <v>0</v>
      </c>
      <c r="N100" s="75" t="str">
        <f t="shared" si="123"/>
        <v/>
      </c>
      <c r="O100" s="348">
        <f>IF(AN100="","",AN100)</f>
        <v>0</v>
      </c>
      <c r="P100" s="75" t="str">
        <f t="shared" si="107"/>
        <v/>
      </c>
      <c r="Q100" s="348">
        <f>IF(AP100="","",AP100)</f>
        <v>0</v>
      </c>
      <c r="R100" s="75" t="str">
        <f t="shared" si="108"/>
        <v/>
      </c>
      <c r="S100" s="348">
        <f>IF(AR100="","",AR100)</f>
        <v>0</v>
      </c>
      <c r="T100" s="75" t="str">
        <f t="shared" si="109"/>
        <v/>
      </c>
      <c r="U100" s="348">
        <f>IF(AT100="","",AT100)</f>
        <v>0</v>
      </c>
      <c r="V100" s="75" t="str">
        <f t="shared" si="110"/>
        <v/>
      </c>
      <c r="W100" s="348">
        <f>IF(AV100="","",AV100)</f>
        <v>0</v>
      </c>
      <c r="Z100" s="351" t="s">
        <v>2</v>
      </c>
      <c r="AA100" s="108" t="str">
        <f>IF(AB100=0,"",VLOOKUP(AB100,Starter!$A$1:$D$199,2,FALSE))</f>
        <v/>
      </c>
      <c r="AB100" s="99"/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1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4"/>
        <v>0</v>
      </c>
      <c r="BE100" s="213">
        <f t="shared" si="125"/>
        <v>0</v>
      </c>
      <c r="BF100" s="215">
        <f t="shared" si="126"/>
        <v>0</v>
      </c>
      <c r="BG100" s="215">
        <f t="shared" si="127"/>
        <v>0</v>
      </c>
      <c r="BH100" s="215" t="str">
        <f t="shared" si="112"/>
        <v/>
      </c>
      <c r="BI100" s="215" t="str">
        <f t="shared" si="113"/>
        <v/>
      </c>
      <c r="BJ100" s="215" t="str">
        <f t="shared" si="114"/>
        <v/>
      </c>
      <c r="BK100" s="215" t="str">
        <f t="shared" si="115"/>
        <v/>
      </c>
      <c r="BL100" s="215" t="str">
        <f t="shared" si="116"/>
        <v/>
      </c>
      <c r="BM100" s="215" t="str">
        <f t="shared" si="117"/>
        <v/>
      </c>
      <c r="BN100" s="215" t="str">
        <f t="shared" si="118"/>
        <v/>
      </c>
      <c r="BO100" s="215" t="str">
        <f t="shared" si="119"/>
        <v/>
      </c>
      <c r="BP100" s="215" t="str">
        <f t="shared" si="120"/>
        <v/>
      </c>
      <c r="BQ100" s="216"/>
      <c r="BR100" s="214"/>
      <c r="BS100" s="215">
        <f t="shared" si="128"/>
        <v>0</v>
      </c>
      <c r="BT100" s="215">
        <f t="shared" si="129"/>
        <v>0</v>
      </c>
      <c r="BU100" s="215" t="str">
        <f t="shared" si="130"/>
        <v>BK München 3</v>
      </c>
      <c r="BV100" s="214">
        <f t="shared" si="131"/>
        <v>2</v>
      </c>
      <c r="BW100" s="215">
        <f t="shared" si="132"/>
        <v>0</v>
      </c>
      <c r="BX100" s="215">
        <f>IF(COUNTIF(BH100:BP100,"&gt;0")&lt;Spielorte!$A$23,0,BE100/Spielorte!$A$23)</f>
        <v>0</v>
      </c>
      <c r="BY100" s="215">
        <f t="shared" si="133"/>
        <v>0</v>
      </c>
      <c r="BZ100" s="214">
        <f t="shared" si="121"/>
        <v>0</v>
      </c>
    </row>
    <row r="101" spans="1:78" ht="17.2" customHeight="1" x14ac:dyDescent="0.35">
      <c r="A101" s="368"/>
      <c r="B101" s="76" t="str">
        <f t="shared" si="122"/>
        <v/>
      </c>
      <c r="C101" s="77" t="str">
        <f t="shared" si="122"/>
        <v/>
      </c>
      <c r="D101" s="78" t="str">
        <f t="shared" si="122"/>
        <v/>
      </c>
      <c r="E101" s="349"/>
      <c r="F101" s="78" t="str">
        <f t="shared" si="103"/>
        <v/>
      </c>
      <c r="G101" s="349"/>
      <c r="H101" s="78" t="str">
        <f t="shared" si="104"/>
        <v/>
      </c>
      <c r="I101" s="349"/>
      <c r="J101" s="78" t="str">
        <f t="shared" si="105"/>
        <v/>
      </c>
      <c r="K101" s="349"/>
      <c r="L101" s="78" t="str">
        <f t="shared" si="106"/>
        <v/>
      </c>
      <c r="M101" s="349"/>
      <c r="N101" s="78" t="str">
        <f t="shared" si="123"/>
        <v/>
      </c>
      <c r="O101" s="349"/>
      <c r="P101" s="78" t="str">
        <f t="shared" si="107"/>
        <v/>
      </c>
      <c r="Q101" s="349"/>
      <c r="R101" s="78" t="str">
        <f t="shared" si="108"/>
        <v/>
      </c>
      <c r="S101" s="349"/>
      <c r="T101" s="78" t="str">
        <f t="shared" si="109"/>
        <v/>
      </c>
      <c r="U101" s="349"/>
      <c r="V101" s="78" t="str">
        <f t="shared" si="110"/>
        <v/>
      </c>
      <c r="W101" s="349"/>
      <c r="Z101" s="352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1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4"/>
        <v>0</v>
      </c>
      <c r="BE101" s="213">
        <f t="shared" si="125"/>
        <v>0</v>
      </c>
      <c r="BF101" s="215">
        <f t="shared" si="126"/>
        <v>0</v>
      </c>
      <c r="BG101" s="215">
        <f t="shared" si="127"/>
        <v>0</v>
      </c>
      <c r="BH101" s="215" t="str">
        <f t="shared" si="112"/>
        <v/>
      </c>
      <c r="BI101" s="215" t="str">
        <f t="shared" si="113"/>
        <v/>
      </c>
      <c r="BJ101" s="215" t="str">
        <f t="shared" si="114"/>
        <v/>
      </c>
      <c r="BK101" s="215" t="str">
        <f t="shared" si="115"/>
        <v/>
      </c>
      <c r="BL101" s="215" t="str">
        <f t="shared" si="116"/>
        <v/>
      </c>
      <c r="BM101" s="215" t="str">
        <f t="shared" si="117"/>
        <v/>
      </c>
      <c r="BN101" s="215" t="str">
        <f t="shared" si="118"/>
        <v/>
      </c>
      <c r="BO101" s="215" t="str">
        <f t="shared" si="119"/>
        <v/>
      </c>
      <c r="BP101" s="215" t="str">
        <f t="shared" si="120"/>
        <v/>
      </c>
      <c r="BQ101" s="216"/>
      <c r="BR101" s="214"/>
      <c r="BS101" s="215">
        <f t="shared" si="128"/>
        <v>0</v>
      </c>
      <c r="BT101" s="215">
        <f t="shared" si="129"/>
        <v>0</v>
      </c>
      <c r="BU101" s="215" t="str">
        <f t="shared" si="130"/>
        <v>BK München 3</v>
      </c>
      <c r="BV101" s="214">
        <f t="shared" si="131"/>
        <v>2</v>
      </c>
      <c r="BW101" s="215">
        <f t="shared" si="132"/>
        <v>0</v>
      </c>
      <c r="BX101" s="215">
        <f>IF(COUNTIF(BH101:BP101,"&gt;0")&lt;Spielorte!$A$23,0,BE101/Spielorte!$A$23)</f>
        <v>0</v>
      </c>
      <c r="BY101" s="215">
        <f t="shared" si="133"/>
        <v>0</v>
      </c>
      <c r="BZ101" s="214">
        <f t="shared" si="121"/>
        <v>0</v>
      </c>
    </row>
    <row r="102" spans="1:78" ht="17.2" customHeight="1" thickBot="1" x14ac:dyDescent="0.4">
      <c r="A102" s="369"/>
      <c r="B102" s="79" t="str">
        <f t="shared" si="122"/>
        <v/>
      </c>
      <c r="C102" s="80" t="str">
        <f t="shared" si="122"/>
        <v/>
      </c>
      <c r="D102" s="69" t="str">
        <f t="shared" si="122"/>
        <v/>
      </c>
      <c r="E102" s="350"/>
      <c r="F102" s="69" t="str">
        <f t="shared" si="103"/>
        <v/>
      </c>
      <c r="G102" s="350"/>
      <c r="H102" s="69" t="str">
        <f t="shared" si="104"/>
        <v/>
      </c>
      <c r="I102" s="350"/>
      <c r="J102" s="69" t="str">
        <f t="shared" si="105"/>
        <v/>
      </c>
      <c r="K102" s="350"/>
      <c r="L102" s="69" t="str">
        <f t="shared" si="106"/>
        <v/>
      </c>
      <c r="M102" s="350"/>
      <c r="N102" s="69" t="str">
        <f t="shared" si="123"/>
        <v/>
      </c>
      <c r="O102" s="350"/>
      <c r="P102" s="69" t="str">
        <f t="shared" si="107"/>
        <v/>
      </c>
      <c r="Q102" s="350"/>
      <c r="R102" s="69" t="str">
        <f t="shared" si="108"/>
        <v/>
      </c>
      <c r="S102" s="350"/>
      <c r="T102" s="69" t="str">
        <f t="shared" si="109"/>
        <v/>
      </c>
      <c r="U102" s="350"/>
      <c r="V102" s="69" t="str">
        <f t="shared" si="110"/>
        <v/>
      </c>
      <c r="W102" s="350"/>
      <c r="Z102" s="353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1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4"/>
        <v>0</v>
      </c>
      <c r="BE102" s="213">
        <f t="shared" si="125"/>
        <v>0</v>
      </c>
      <c r="BF102" s="215">
        <f t="shared" si="126"/>
        <v>0</v>
      </c>
      <c r="BG102" s="215">
        <f t="shared" si="127"/>
        <v>0</v>
      </c>
      <c r="BH102" s="215" t="str">
        <f t="shared" si="112"/>
        <v/>
      </c>
      <c r="BI102" s="215" t="str">
        <f t="shared" si="113"/>
        <v/>
      </c>
      <c r="BJ102" s="215" t="str">
        <f t="shared" si="114"/>
        <v/>
      </c>
      <c r="BK102" s="215" t="str">
        <f t="shared" si="115"/>
        <v/>
      </c>
      <c r="BL102" s="215" t="str">
        <f t="shared" si="116"/>
        <v/>
      </c>
      <c r="BM102" s="215" t="str">
        <f t="shared" si="117"/>
        <v/>
      </c>
      <c r="BN102" s="215" t="str">
        <f t="shared" si="118"/>
        <v/>
      </c>
      <c r="BO102" s="215" t="str">
        <f t="shared" si="119"/>
        <v/>
      </c>
      <c r="BP102" s="215" t="str">
        <f t="shared" si="120"/>
        <v/>
      </c>
      <c r="BQ102" s="216"/>
      <c r="BR102" s="214"/>
      <c r="BS102" s="215">
        <f t="shared" si="128"/>
        <v>0</v>
      </c>
      <c r="BT102" s="215">
        <f t="shared" si="129"/>
        <v>0</v>
      </c>
      <c r="BU102" s="215" t="str">
        <f t="shared" si="130"/>
        <v>BK München 3</v>
      </c>
      <c r="BV102" s="214">
        <f t="shared" si="131"/>
        <v>2</v>
      </c>
      <c r="BW102" s="215">
        <f t="shared" si="132"/>
        <v>0</v>
      </c>
      <c r="BX102" s="215">
        <f>IF(COUNTIF(BH102:BP102,"&gt;0")&lt;Spielorte!$A$23,0,BE102/Spielorte!$A$23)</f>
        <v>0</v>
      </c>
      <c r="BY102" s="215">
        <f t="shared" si="133"/>
        <v>0</v>
      </c>
      <c r="BZ102" s="214">
        <f t="shared" si="121"/>
        <v>0</v>
      </c>
    </row>
    <row r="103" spans="1:78" ht="17.2" customHeight="1" x14ac:dyDescent="0.35">
      <c r="A103" s="367" t="s">
        <v>3</v>
      </c>
      <c r="B103" s="73" t="str">
        <f t="shared" si="122"/>
        <v/>
      </c>
      <c r="C103" s="74" t="str">
        <f t="shared" si="122"/>
        <v/>
      </c>
      <c r="D103" s="75" t="str">
        <f t="shared" si="122"/>
        <v/>
      </c>
      <c r="E103" s="348">
        <f>IF(AD103="","",AD103)</f>
        <v>0</v>
      </c>
      <c r="F103" s="75" t="str">
        <f t="shared" si="103"/>
        <v/>
      </c>
      <c r="G103" s="348">
        <f>IF(AF103="","",AF103)</f>
        <v>0</v>
      </c>
      <c r="H103" s="75" t="str">
        <f t="shared" si="104"/>
        <v/>
      </c>
      <c r="I103" s="348">
        <f>IF(AH103="","",AH103)</f>
        <v>0</v>
      </c>
      <c r="J103" s="75" t="str">
        <f t="shared" si="105"/>
        <v/>
      </c>
      <c r="K103" s="348">
        <f>IF(AJ103="","",AJ103)</f>
        <v>0</v>
      </c>
      <c r="L103" s="75" t="str">
        <f t="shared" si="106"/>
        <v/>
      </c>
      <c r="M103" s="348">
        <f>IF(AL103="","",AL103)</f>
        <v>0</v>
      </c>
      <c r="N103" s="75" t="str">
        <f t="shared" si="123"/>
        <v/>
      </c>
      <c r="O103" s="348">
        <f>IF(AN103="","",AN103)</f>
        <v>0</v>
      </c>
      <c r="P103" s="75" t="str">
        <f t="shared" si="107"/>
        <v/>
      </c>
      <c r="Q103" s="348">
        <f>IF(AP103="","",AP103)</f>
        <v>0</v>
      </c>
      <c r="R103" s="75" t="str">
        <f t="shared" si="108"/>
        <v/>
      </c>
      <c r="S103" s="348">
        <f>IF(AR103="","",AR103)</f>
        <v>0</v>
      </c>
      <c r="T103" s="75" t="str">
        <f t="shared" si="109"/>
        <v/>
      </c>
      <c r="U103" s="348">
        <f>IF(AT103="","",AT103)</f>
        <v>0</v>
      </c>
      <c r="V103" s="75" t="str">
        <f t="shared" si="110"/>
        <v/>
      </c>
      <c r="W103" s="348">
        <f>IF(AV103="","",AV103)</f>
        <v>0</v>
      </c>
      <c r="Z103" s="351" t="s">
        <v>3</v>
      </c>
      <c r="AA103" s="108" t="str">
        <f>IF(AB103=0,"",VLOOKUP(AB103,Starter!$A$1:$D$199,2,FALSE))</f>
        <v/>
      </c>
      <c r="AB103" s="99"/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1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4"/>
        <v>0</v>
      </c>
      <c r="BE103" s="213">
        <f t="shared" si="125"/>
        <v>0</v>
      </c>
      <c r="BF103" s="215">
        <f t="shared" si="126"/>
        <v>0</v>
      </c>
      <c r="BG103" s="215">
        <f t="shared" si="127"/>
        <v>0</v>
      </c>
      <c r="BH103" s="215" t="str">
        <f t="shared" si="112"/>
        <v/>
      </c>
      <c r="BI103" s="215" t="str">
        <f t="shared" si="113"/>
        <v/>
      </c>
      <c r="BJ103" s="215" t="str">
        <f t="shared" si="114"/>
        <v/>
      </c>
      <c r="BK103" s="215" t="str">
        <f t="shared" si="115"/>
        <v/>
      </c>
      <c r="BL103" s="215" t="str">
        <f t="shared" si="116"/>
        <v/>
      </c>
      <c r="BM103" s="215" t="str">
        <f t="shared" si="117"/>
        <v/>
      </c>
      <c r="BN103" s="215" t="str">
        <f t="shared" si="118"/>
        <v/>
      </c>
      <c r="BO103" s="215" t="str">
        <f t="shared" si="119"/>
        <v/>
      </c>
      <c r="BP103" s="215" t="str">
        <f t="shared" si="120"/>
        <v/>
      </c>
      <c r="BQ103" s="216"/>
      <c r="BR103" s="214"/>
      <c r="BS103" s="215">
        <f t="shared" si="128"/>
        <v>0</v>
      </c>
      <c r="BT103" s="215">
        <f t="shared" si="129"/>
        <v>0</v>
      </c>
      <c r="BU103" s="215" t="str">
        <f t="shared" si="130"/>
        <v>BK München 3</v>
      </c>
      <c r="BV103" s="214">
        <f t="shared" si="131"/>
        <v>2</v>
      </c>
      <c r="BW103" s="215">
        <f t="shared" si="132"/>
        <v>0</v>
      </c>
      <c r="BX103" s="215">
        <f>IF(COUNTIF(BH103:BP103,"&gt;0")&lt;Spielorte!$A$23,0,BE103/Spielorte!$A$23)</f>
        <v>0</v>
      </c>
      <c r="BY103" s="215">
        <f t="shared" si="133"/>
        <v>0</v>
      </c>
      <c r="BZ103" s="214">
        <f t="shared" si="121"/>
        <v>0</v>
      </c>
    </row>
    <row r="104" spans="1:78" ht="17.2" customHeight="1" x14ac:dyDescent="0.35">
      <c r="A104" s="368"/>
      <c r="B104" s="76" t="str">
        <f t="shared" si="122"/>
        <v/>
      </c>
      <c r="C104" s="77" t="str">
        <f t="shared" si="122"/>
        <v/>
      </c>
      <c r="D104" s="78" t="str">
        <f t="shared" si="122"/>
        <v/>
      </c>
      <c r="E104" s="349"/>
      <c r="F104" s="78" t="str">
        <f t="shared" si="103"/>
        <v/>
      </c>
      <c r="G104" s="349"/>
      <c r="H104" s="78" t="str">
        <f t="shared" si="104"/>
        <v/>
      </c>
      <c r="I104" s="349"/>
      <c r="J104" s="78" t="str">
        <f t="shared" si="105"/>
        <v/>
      </c>
      <c r="K104" s="349"/>
      <c r="L104" s="78" t="str">
        <f t="shared" si="106"/>
        <v/>
      </c>
      <c r="M104" s="349"/>
      <c r="N104" s="78" t="str">
        <f t="shared" si="123"/>
        <v/>
      </c>
      <c r="O104" s="349"/>
      <c r="P104" s="78" t="str">
        <f t="shared" si="107"/>
        <v/>
      </c>
      <c r="Q104" s="349"/>
      <c r="R104" s="78" t="str">
        <f t="shared" si="108"/>
        <v/>
      </c>
      <c r="S104" s="349"/>
      <c r="T104" s="78" t="str">
        <f t="shared" si="109"/>
        <v/>
      </c>
      <c r="U104" s="349"/>
      <c r="V104" s="78" t="str">
        <f t="shared" si="110"/>
        <v/>
      </c>
      <c r="W104" s="349"/>
      <c r="Z104" s="352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1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4"/>
        <v>0</v>
      </c>
      <c r="BE104" s="213">
        <f t="shared" si="125"/>
        <v>0</v>
      </c>
      <c r="BF104" s="215">
        <f t="shared" si="126"/>
        <v>0</v>
      </c>
      <c r="BG104" s="215">
        <f t="shared" si="127"/>
        <v>0</v>
      </c>
      <c r="BH104" s="215" t="str">
        <f t="shared" si="112"/>
        <v/>
      </c>
      <c r="BI104" s="215" t="str">
        <f t="shared" si="113"/>
        <v/>
      </c>
      <c r="BJ104" s="215" t="str">
        <f t="shared" si="114"/>
        <v/>
      </c>
      <c r="BK104" s="215" t="str">
        <f t="shared" si="115"/>
        <v/>
      </c>
      <c r="BL104" s="215" t="str">
        <f t="shared" si="116"/>
        <v/>
      </c>
      <c r="BM104" s="215" t="str">
        <f t="shared" si="117"/>
        <v/>
      </c>
      <c r="BN104" s="215" t="str">
        <f t="shared" si="118"/>
        <v/>
      </c>
      <c r="BO104" s="215" t="str">
        <f t="shared" si="119"/>
        <v/>
      </c>
      <c r="BP104" s="215" t="str">
        <f t="shared" si="120"/>
        <v/>
      </c>
      <c r="BQ104" s="216"/>
      <c r="BR104" s="214"/>
      <c r="BS104" s="215">
        <f t="shared" si="128"/>
        <v>0</v>
      </c>
      <c r="BT104" s="215">
        <f t="shared" si="129"/>
        <v>0</v>
      </c>
      <c r="BU104" s="215" t="str">
        <f t="shared" si="130"/>
        <v>BK München 3</v>
      </c>
      <c r="BV104" s="214">
        <f t="shared" si="131"/>
        <v>2</v>
      </c>
      <c r="BW104" s="215">
        <f t="shared" si="132"/>
        <v>0</v>
      </c>
      <c r="BX104" s="215">
        <f>IF(COUNTIF(BH104:BP104,"&gt;0")&lt;Spielorte!$A$23,0,BE104/Spielorte!$A$23)</f>
        <v>0</v>
      </c>
      <c r="BY104" s="215">
        <f t="shared" si="133"/>
        <v>0</v>
      </c>
      <c r="BZ104" s="214">
        <f t="shared" si="121"/>
        <v>0</v>
      </c>
    </row>
    <row r="105" spans="1:78" ht="17.2" customHeight="1" thickBot="1" x14ac:dyDescent="0.4">
      <c r="A105" s="369"/>
      <c r="B105" s="79" t="str">
        <f t="shared" si="122"/>
        <v/>
      </c>
      <c r="C105" s="80" t="str">
        <f t="shared" si="122"/>
        <v/>
      </c>
      <c r="D105" s="69" t="str">
        <f t="shared" si="122"/>
        <v/>
      </c>
      <c r="E105" s="350"/>
      <c r="F105" s="69" t="str">
        <f t="shared" si="103"/>
        <v/>
      </c>
      <c r="G105" s="350"/>
      <c r="H105" s="69" t="str">
        <f t="shared" si="104"/>
        <v/>
      </c>
      <c r="I105" s="350"/>
      <c r="J105" s="69" t="str">
        <f t="shared" si="105"/>
        <v/>
      </c>
      <c r="K105" s="350"/>
      <c r="L105" s="69" t="str">
        <f t="shared" si="106"/>
        <v/>
      </c>
      <c r="M105" s="350"/>
      <c r="N105" s="69" t="str">
        <f t="shared" si="123"/>
        <v/>
      </c>
      <c r="O105" s="350"/>
      <c r="P105" s="69" t="str">
        <f t="shared" si="107"/>
        <v/>
      </c>
      <c r="Q105" s="350"/>
      <c r="R105" s="69" t="str">
        <f t="shared" si="108"/>
        <v/>
      </c>
      <c r="S105" s="350"/>
      <c r="T105" s="69" t="str">
        <f t="shared" si="109"/>
        <v/>
      </c>
      <c r="U105" s="350"/>
      <c r="V105" s="69" t="str">
        <f t="shared" si="110"/>
        <v/>
      </c>
      <c r="W105" s="350"/>
      <c r="Z105" s="353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1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4"/>
        <v>0</v>
      </c>
      <c r="BE105" s="213">
        <f t="shared" si="125"/>
        <v>0</v>
      </c>
      <c r="BF105" s="215">
        <f t="shared" si="126"/>
        <v>0</v>
      </c>
      <c r="BG105" s="215">
        <f t="shared" si="127"/>
        <v>0</v>
      </c>
      <c r="BH105" s="215" t="str">
        <f t="shared" si="112"/>
        <v/>
      </c>
      <c r="BI105" s="215" t="str">
        <f t="shared" si="113"/>
        <v/>
      </c>
      <c r="BJ105" s="215" t="str">
        <f t="shared" si="114"/>
        <v/>
      </c>
      <c r="BK105" s="215" t="str">
        <f t="shared" si="115"/>
        <v/>
      </c>
      <c r="BL105" s="215" t="str">
        <f t="shared" si="116"/>
        <v/>
      </c>
      <c r="BM105" s="215" t="str">
        <f t="shared" si="117"/>
        <v/>
      </c>
      <c r="BN105" s="215" t="str">
        <f t="shared" si="118"/>
        <v/>
      </c>
      <c r="BO105" s="215" t="str">
        <f t="shared" si="119"/>
        <v/>
      </c>
      <c r="BP105" s="215" t="str">
        <f t="shared" si="120"/>
        <v/>
      </c>
      <c r="BQ105" s="216"/>
      <c r="BR105" s="214"/>
      <c r="BS105" s="215">
        <f t="shared" si="128"/>
        <v>0</v>
      </c>
      <c r="BT105" s="215">
        <f t="shared" si="129"/>
        <v>0</v>
      </c>
      <c r="BU105" s="215" t="str">
        <f t="shared" si="130"/>
        <v>BK München 3</v>
      </c>
      <c r="BV105" s="214">
        <f t="shared" si="131"/>
        <v>2</v>
      </c>
      <c r="BW105" s="215">
        <f t="shared" si="132"/>
        <v>0</v>
      </c>
      <c r="BX105" s="215">
        <f>IF(COUNTIF(BH105:BP105,"&gt;0")&lt;Spielorte!$A$23,0,BE105/Spielorte!$A$23)</f>
        <v>0</v>
      </c>
      <c r="BY105" s="215">
        <f t="shared" si="133"/>
        <v>0</v>
      </c>
      <c r="BZ105" s="214">
        <f t="shared" si="121"/>
        <v>0</v>
      </c>
    </row>
    <row r="106" spans="1:78" ht="17.2" customHeight="1" x14ac:dyDescent="0.35">
      <c r="A106" s="367" t="s">
        <v>11</v>
      </c>
      <c r="B106" s="73" t="str">
        <f>IF(AA106=0,"",AA106)</f>
        <v/>
      </c>
      <c r="C106" s="74" t="str">
        <f t="shared" si="122"/>
        <v/>
      </c>
      <c r="D106" s="75" t="str">
        <f t="shared" si="122"/>
        <v/>
      </c>
      <c r="E106" s="348">
        <f>IF(AD106="","",AD106)</f>
        <v>0</v>
      </c>
      <c r="F106" s="75" t="str">
        <f t="shared" si="103"/>
        <v/>
      </c>
      <c r="G106" s="348">
        <f>IF(AF106="","",AF106)</f>
        <v>0</v>
      </c>
      <c r="H106" s="75" t="str">
        <f t="shared" si="104"/>
        <v/>
      </c>
      <c r="I106" s="348">
        <f>IF(AH106="","",AH106)</f>
        <v>0</v>
      </c>
      <c r="J106" s="75" t="str">
        <f t="shared" si="105"/>
        <v/>
      </c>
      <c r="K106" s="348">
        <f>IF(AJ106="","",AJ106)</f>
        <v>0</v>
      </c>
      <c r="L106" s="75" t="str">
        <f t="shared" si="106"/>
        <v/>
      </c>
      <c r="M106" s="348">
        <f>IF(AL106="","",AL106)</f>
        <v>0</v>
      </c>
      <c r="N106" s="75" t="str">
        <f t="shared" si="123"/>
        <v/>
      </c>
      <c r="O106" s="348">
        <f>IF(AN106="","",AN106)</f>
        <v>0</v>
      </c>
      <c r="P106" s="75" t="str">
        <f t="shared" si="107"/>
        <v/>
      </c>
      <c r="Q106" s="348">
        <f>IF(AP106="","",AP106)</f>
        <v>0</v>
      </c>
      <c r="R106" s="75" t="str">
        <f t="shared" si="108"/>
        <v/>
      </c>
      <c r="S106" s="348">
        <f>IF(AR106="","",AR106)</f>
        <v>0</v>
      </c>
      <c r="T106" s="75" t="str">
        <f t="shared" si="109"/>
        <v/>
      </c>
      <c r="U106" s="348">
        <f>IF(AT106="","",AT106)</f>
        <v>0</v>
      </c>
      <c r="V106" s="75" t="str">
        <f t="shared" si="110"/>
        <v/>
      </c>
      <c r="W106" s="348">
        <f>IF(AV106="","",AV106)</f>
        <v>0</v>
      </c>
      <c r="Z106" s="351" t="s">
        <v>11</v>
      </c>
      <c r="AA106" s="108" t="str">
        <f>IF(AB106=0,"",VLOOKUP(AB106,Starter!$A$1:$D$199,2,FALSE))</f>
        <v/>
      </c>
      <c r="AB106" s="99"/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1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4"/>
        <v>0</v>
      </c>
      <c r="BE106" s="213">
        <f t="shared" si="125"/>
        <v>0</v>
      </c>
      <c r="BF106" s="215">
        <f t="shared" si="126"/>
        <v>0</v>
      </c>
      <c r="BG106" s="215">
        <f t="shared" si="127"/>
        <v>0</v>
      </c>
      <c r="BH106" s="215" t="str">
        <f t="shared" si="112"/>
        <v/>
      </c>
      <c r="BI106" s="215" t="str">
        <f t="shared" si="113"/>
        <v/>
      </c>
      <c r="BJ106" s="215" t="str">
        <f t="shared" si="114"/>
        <v/>
      </c>
      <c r="BK106" s="215" t="str">
        <f t="shared" si="115"/>
        <v/>
      </c>
      <c r="BL106" s="215" t="str">
        <f t="shared" si="116"/>
        <v/>
      </c>
      <c r="BM106" s="215" t="str">
        <f t="shared" si="117"/>
        <v/>
      </c>
      <c r="BN106" s="215" t="str">
        <f t="shared" si="118"/>
        <v/>
      </c>
      <c r="BO106" s="215" t="str">
        <f t="shared" si="119"/>
        <v/>
      </c>
      <c r="BP106" s="215" t="str">
        <f t="shared" si="120"/>
        <v/>
      </c>
      <c r="BQ106" s="216"/>
      <c r="BR106" s="214"/>
      <c r="BS106" s="215">
        <f t="shared" si="128"/>
        <v>0</v>
      </c>
      <c r="BT106" s="215">
        <f t="shared" si="129"/>
        <v>0</v>
      </c>
      <c r="BU106" s="215" t="str">
        <f t="shared" si="130"/>
        <v>BK München 3</v>
      </c>
      <c r="BV106" s="214">
        <f t="shared" si="131"/>
        <v>2</v>
      </c>
      <c r="BW106" s="215">
        <f t="shared" si="132"/>
        <v>0</v>
      </c>
      <c r="BX106" s="215">
        <f>IF(COUNTIF(BH106:BP106,"&gt;0")&lt;Spielorte!$A$23,0,BE106/Spielorte!$A$23)</f>
        <v>0</v>
      </c>
      <c r="BY106" s="215">
        <f t="shared" si="133"/>
        <v>0</v>
      </c>
      <c r="BZ106" s="214">
        <f t="shared" si="121"/>
        <v>0</v>
      </c>
    </row>
    <row r="107" spans="1:78" ht="17.2" customHeight="1" x14ac:dyDescent="0.35">
      <c r="A107" s="368"/>
      <c r="B107" s="76" t="str">
        <f>IF(AA107=0,"",AA107)</f>
        <v/>
      </c>
      <c r="C107" s="77" t="str">
        <f t="shared" si="122"/>
        <v/>
      </c>
      <c r="D107" s="78" t="str">
        <f t="shared" si="122"/>
        <v/>
      </c>
      <c r="E107" s="349"/>
      <c r="F107" s="78" t="str">
        <f t="shared" si="103"/>
        <v/>
      </c>
      <c r="G107" s="349"/>
      <c r="H107" s="78" t="str">
        <f t="shared" si="104"/>
        <v/>
      </c>
      <c r="I107" s="349"/>
      <c r="J107" s="78" t="str">
        <f t="shared" si="105"/>
        <v/>
      </c>
      <c r="K107" s="349"/>
      <c r="L107" s="78" t="str">
        <f t="shared" si="106"/>
        <v/>
      </c>
      <c r="M107" s="349"/>
      <c r="N107" s="78" t="str">
        <f t="shared" si="123"/>
        <v/>
      </c>
      <c r="O107" s="349"/>
      <c r="P107" s="78" t="str">
        <f t="shared" si="107"/>
        <v/>
      </c>
      <c r="Q107" s="349"/>
      <c r="R107" s="78" t="str">
        <f t="shared" si="108"/>
        <v/>
      </c>
      <c r="S107" s="349"/>
      <c r="T107" s="78" t="str">
        <f t="shared" si="109"/>
        <v/>
      </c>
      <c r="U107" s="349"/>
      <c r="V107" s="78" t="str">
        <f t="shared" si="110"/>
        <v/>
      </c>
      <c r="W107" s="349"/>
      <c r="Z107" s="352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1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4"/>
        <v>0</v>
      </c>
      <c r="BE107" s="213">
        <f t="shared" si="125"/>
        <v>0</v>
      </c>
      <c r="BF107" s="215">
        <f t="shared" si="126"/>
        <v>0</v>
      </c>
      <c r="BG107" s="215">
        <f t="shared" si="127"/>
        <v>0</v>
      </c>
      <c r="BH107" s="215" t="str">
        <f t="shared" si="112"/>
        <v/>
      </c>
      <c r="BI107" s="215" t="str">
        <f t="shared" si="113"/>
        <v/>
      </c>
      <c r="BJ107" s="215" t="str">
        <f t="shared" si="114"/>
        <v/>
      </c>
      <c r="BK107" s="215" t="str">
        <f t="shared" si="115"/>
        <v/>
      </c>
      <c r="BL107" s="215" t="str">
        <f t="shared" si="116"/>
        <v/>
      </c>
      <c r="BM107" s="215" t="str">
        <f t="shared" si="117"/>
        <v/>
      </c>
      <c r="BN107" s="215" t="str">
        <f t="shared" si="118"/>
        <v/>
      </c>
      <c r="BO107" s="215" t="str">
        <f t="shared" si="119"/>
        <v/>
      </c>
      <c r="BP107" s="215" t="str">
        <f t="shared" si="120"/>
        <v/>
      </c>
      <c r="BQ107" s="216"/>
      <c r="BR107" s="214"/>
      <c r="BS107" s="215">
        <f t="shared" si="128"/>
        <v>0</v>
      </c>
      <c r="BT107" s="215">
        <f t="shared" si="129"/>
        <v>0</v>
      </c>
      <c r="BU107" s="215" t="str">
        <f t="shared" si="130"/>
        <v>BK München 3</v>
      </c>
      <c r="BV107" s="214">
        <f t="shared" si="131"/>
        <v>2</v>
      </c>
      <c r="BW107" s="215">
        <f t="shared" si="132"/>
        <v>0</v>
      </c>
      <c r="BX107" s="215">
        <f>IF(COUNTIF(BH107:BP107,"&gt;0")&lt;Spielorte!$A$23,0,BE107/Spielorte!$A$23)</f>
        <v>0</v>
      </c>
      <c r="BY107" s="215">
        <f t="shared" si="133"/>
        <v>0</v>
      </c>
      <c r="BZ107" s="214">
        <f t="shared" si="121"/>
        <v>0</v>
      </c>
    </row>
    <row r="108" spans="1:78" ht="17.2" customHeight="1" thickBot="1" x14ac:dyDescent="0.4">
      <c r="A108" s="369"/>
      <c r="B108" s="79" t="str">
        <f>IF(AA108=0,"",AA108)</f>
        <v/>
      </c>
      <c r="C108" s="80" t="str">
        <f t="shared" si="122"/>
        <v/>
      </c>
      <c r="D108" s="69" t="str">
        <f t="shared" si="122"/>
        <v/>
      </c>
      <c r="E108" s="350"/>
      <c r="F108" s="69" t="str">
        <f t="shared" si="103"/>
        <v/>
      </c>
      <c r="G108" s="350"/>
      <c r="H108" s="69" t="str">
        <f t="shared" si="104"/>
        <v/>
      </c>
      <c r="I108" s="350"/>
      <c r="J108" s="69" t="str">
        <f t="shared" si="105"/>
        <v/>
      </c>
      <c r="K108" s="350"/>
      <c r="L108" s="69" t="str">
        <f t="shared" si="106"/>
        <v/>
      </c>
      <c r="M108" s="350"/>
      <c r="N108" s="69" t="str">
        <f t="shared" si="123"/>
        <v/>
      </c>
      <c r="O108" s="350"/>
      <c r="P108" s="69" t="str">
        <f t="shared" si="107"/>
        <v/>
      </c>
      <c r="Q108" s="350"/>
      <c r="R108" s="69" t="str">
        <f t="shared" si="108"/>
        <v/>
      </c>
      <c r="S108" s="350"/>
      <c r="T108" s="69" t="str">
        <f t="shared" si="109"/>
        <v/>
      </c>
      <c r="U108" s="350"/>
      <c r="V108" s="69" t="str">
        <f t="shared" si="110"/>
        <v/>
      </c>
      <c r="W108" s="350"/>
      <c r="Z108" s="353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1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4"/>
        <v>0</v>
      </c>
      <c r="BE108" s="213">
        <f t="shared" si="125"/>
        <v>0</v>
      </c>
      <c r="BF108" s="215">
        <f t="shared" si="126"/>
        <v>0</v>
      </c>
      <c r="BG108" s="215">
        <f t="shared" si="127"/>
        <v>0</v>
      </c>
      <c r="BH108" s="215" t="str">
        <f t="shared" si="112"/>
        <v/>
      </c>
      <c r="BI108" s="215" t="str">
        <f t="shared" si="113"/>
        <v/>
      </c>
      <c r="BJ108" s="215" t="str">
        <f t="shared" si="114"/>
        <v/>
      </c>
      <c r="BK108" s="215" t="str">
        <f t="shared" si="115"/>
        <v/>
      </c>
      <c r="BL108" s="215" t="str">
        <f t="shared" si="116"/>
        <v/>
      </c>
      <c r="BM108" s="215" t="str">
        <f t="shared" si="117"/>
        <v/>
      </c>
      <c r="BN108" s="215" t="str">
        <f t="shared" si="118"/>
        <v/>
      </c>
      <c r="BO108" s="215" t="str">
        <f t="shared" si="119"/>
        <v/>
      </c>
      <c r="BP108" s="215" t="str">
        <f t="shared" si="120"/>
        <v/>
      </c>
      <c r="BQ108" s="216"/>
      <c r="BR108" s="214"/>
      <c r="BS108" s="215">
        <f t="shared" si="128"/>
        <v>0</v>
      </c>
      <c r="BT108" s="215">
        <f t="shared" si="129"/>
        <v>0</v>
      </c>
      <c r="BU108" s="215" t="str">
        <f t="shared" si="130"/>
        <v>BK München 3</v>
      </c>
      <c r="BV108" s="214">
        <f t="shared" si="131"/>
        <v>2</v>
      </c>
      <c r="BW108" s="215">
        <f t="shared" si="132"/>
        <v>0</v>
      </c>
      <c r="BX108" s="215">
        <f>IF(COUNTIF(BH108:BP108,"&gt;0")&lt;Spielorte!$A$23,0,BE108/Spielorte!$A$23)</f>
        <v>0</v>
      </c>
      <c r="BY108" s="215">
        <f t="shared" si="133"/>
        <v>0</v>
      </c>
      <c r="BZ108" s="214">
        <f t="shared" si="121"/>
        <v>0</v>
      </c>
    </row>
    <row r="109" spans="1:78" ht="27.75" customHeight="1" thickBot="1" x14ac:dyDescent="0.4">
      <c r="B109" s="81" t="str">
        <f>IF(AA109=0,"",AA109)</f>
        <v>Gesamt</v>
      </c>
      <c r="C109" s="82" t="str">
        <f t="shared" si="122"/>
        <v/>
      </c>
      <c r="D109" s="83" t="str">
        <f t="shared" si="122"/>
        <v/>
      </c>
      <c r="E109" s="84">
        <f>IF(AD109="","",AD109)</f>
        <v>0</v>
      </c>
      <c r="F109" s="83" t="str">
        <f t="shared" si="103"/>
        <v/>
      </c>
      <c r="G109" s="84">
        <f>IF(AF109="","",AF109)</f>
        <v>0</v>
      </c>
      <c r="H109" s="83" t="str">
        <f t="shared" si="104"/>
        <v/>
      </c>
      <c r="I109" s="84">
        <f>IF(AH109="","",AH109)</f>
        <v>0</v>
      </c>
      <c r="J109" s="83" t="str">
        <f t="shared" si="105"/>
        <v/>
      </c>
      <c r="K109" s="84">
        <f>IF(AJ109="","",AJ109)</f>
        <v>0</v>
      </c>
      <c r="L109" s="83" t="str">
        <f t="shared" si="106"/>
        <v/>
      </c>
      <c r="M109" s="84">
        <f>IF(AL109="","",AL109)</f>
        <v>0</v>
      </c>
      <c r="N109" s="83" t="str">
        <f t="shared" si="123"/>
        <v/>
      </c>
      <c r="O109" s="84">
        <f>IF(AN109="","",AN109)</f>
        <v>0</v>
      </c>
      <c r="P109" s="83" t="str">
        <f t="shared" si="107"/>
        <v/>
      </c>
      <c r="Q109" s="84">
        <f>IF(AP109="","",AP109)</f>
        <v>0</v>
      </c>
      <c r="R109" s="83" t="str">
        <f t="shared" si="108"/>
        <v/>
      </c>
      <c r="S109" s="84">
        <f>IF(AR109="","",AR109)</f>
        <v>0</v>
      </c>
      <c r="T109" s="83" t="str">
        <f t="shared" si="109"/>
        <v/>
      </c>
      <c r="U109" s="84">
        <f>IF(AT109="","",AT109)</f>
        <v>0</v>
      </c>
      <c r="V109" s="83" t="str">
        <f t="shared" si="110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4">
      <c r="B110" s="85" t="str">
        <f>IF(AA110=0,"",AA110)</f>
        <v>Gesamt - Punkte</v>
      </c>
      <c r="C110" s="86" t="str">
        <f t="shared" si="122"/>
        <v/>
      </c>
      <c r="D110" s="86" t="str">
        <f t="shared" si="122"/>
        <v/>
      </c>
      <c r="E110" s="87">
        <f>IF(AD110="","",AD110)</f>
        <v>0</v>
      </c>
      <c r="F110" s="86" t="str">
        <f t="shared" si="103"/>
        <v/>
      </c>
      <c r="G110" s="87">
        <f>IF(AF110="","",AF110)</f>
        <v>0</v>
      </c>
      <c r="H110" s="86" t="str">
        <f t="shared" si="104"/>
        <v/>
      </c>
      <c r="I110" s="87">
        <f>IF(AH110="","",AH110)</f>
        <v>0</v>
      </c>
      <c r="J110" s="86" t="str">
        <f t="shared" si="105"/>
        <v/>
      </c>
      <c r="K110" s="87">
        <f>IF(AJ110="","",AJ110)</f>
        <v>0</v>
      </c>
      <c r="L110" s="86" t="str">
        <f t="shared" si="106"/>
        <v/>
      </c>
      <c r="M110" s="87">
        <f>IF(AL110="","",AL110)</f>
        <v>0</v>
      </c>
      <c r="N110" s="86" t="str">
        <f t="shared" si="123"/>
        <v/>
      </c>
      <c r="O110" s="87">
        <f>IF(AN110="","",AN110)</f>
        <v>0</v>
      </c>
      <c r="P110" s="86" t="str">
        <f t="shared" si="107"/>
        <v/>
      </c>
      <c r="Q110" s="87">
        <f>IF(AP110="","",AP110)</f>
        <v>0</v>
      </c>
      <c r="R110" s="86" t="str">
        <f t="shared" si="108"/>
        <v/>
      </c>
      <c r="S110" s="87">
        <f>IF(AR110="","",AR110)</f>
        <v>0</v>
      </c>
      <c r="T110" s="86" t="str">
        <f t="shared" si="109"/>
        <v/>
      </c>
      <c r="U110" s="87">
        <f>IF(AT110="","",AT110)</f>
        <v>0</v>
      </c>
      <c r="V110" s="86" t="str">
        <f t="shared" si="110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10</v>
      </c>
      <c r="BV110" s="214"/>
      <c r="BZ110" s="214"/>
    </row>
    <row r="111" spans="1:78" ht="11.25" customHeight="1" x14ac:dyDescent="0.3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35">
      <c r="B112" s="88" t="str">
        <f t="shared" ref="B112:K114" si="134">IF(AA112=0,"",AA112)</f>
        <v>Gegner-Nr.:</v>
      </c>
      <c r="C112" s="89" t="str">
        <f t="shared" si="134"/>
        <v>&gt;&gt;&gt;&gt;</v>
      </c>
      <c r="D112" s="346">
        <f t="shared" si="134"/>
        <v>2</v>
      </c>
      <c r="E112" s="346" t="str">
        <f t="shared" si="134"/>
        <v/>
      </c>
      <c r="F112" s="346">
        <f t="shared" si="134"/>
        <v>3</v>
      </c>
      <c r="G112" s="346" t="str">
        <f t="shared" si="134"/>
        <v/>
      </c>
      <c r="H112" s="346">
        <f t="shared" si="134"/>
        <v>10</v>
      </c>
      <c r="I112" s="346" t="str">
        <f t="shared" si="134"/>
        <v/>
      </c>
      <c r="J112" s="346">
        <f t="shared" si="134"/>
        <v>1</v>
      </c>
      <c r="K112" s="346" t="str">
        <f t="shared" si="134"/>
        <v/>
      </c>
      <c r="L112" s="346">
        <f t="shared" ref="L112:U114" si="135">IF(AK112=0,"",AK112)</f>
        <v>8</v>
      </c>
      <c r="M112" s="346" t="str">
        <f t="shared" si="135"/>
        <v/>
      </c>
      <c r="N112" s="346">
        <f t="shared" si="135"/>
        <v>7</v>
      </c>
      <c r="O112" s="346" t="str">
        <f t="shared" si="135"/>
        <v/>
      </c>
      <c r="P112" s="346">
        <f t="shared" si="135"/>
        <v>9</v>
      </c>
      <c r="Q112" s="346" t="str">
        <f t="shared" si="135"/>
        <v/>
      </c>
      <c r="R112" s="346">
        <f t="shared" si="135"/>
        <v>5</v>
      </c>
      <c r="S112" s="346" t="str">
        <f t="shared" si="135"/>
        <v/>
      </c>
      <c r="T112" s="346">
        <f t="shared" si="135"/>
        <v>6</v>
      </c>
      <c r="U112" s="346" t="str">
        <f t="shared" si="135"/>
        <v/>
      </c>
      <c r="V112" s="347"/>
      <c r="W112" s="347"/>
      <c r="AA112" s="88" t="s">
        <v>1797</v>
      </c>
      <c r="AB112" s="89" t="s">
        <v>1798</v>
      </c>
      <c r="AC112" s="370">
        <f>VLOOKUP($AA92,Schlüssel!$A$5:$DG$14,63)</f>
        <v>2</v>
      </c>
      <c r="AD112" s="371"/>
      <c r="AE112" s="370">
        <f>VLOOKUP($AA92,Schlüssel!$A$5:$EK$14,64)</f>
        <v>3</v>
      </c>
      <c r="AF112" s="371"/>
      <c r="AG112" s="370">
        <f>VLOOKUP($AA92,Schlüssel!$A$5:$EK$14,65)</f>
        <v>10</v>
      </c>
      <c r="AH112" s="371"/>
      <c r="AI112" s="370">
        <f>VLOOKUP($AA92,Schlüssel!$A$5:$EK$14,66)</f>
        <v>1</v>
      </c>
      <c r="AJ112" s="371"/>
      <c r="AK112" s="370">
        <f>VLOOKUP($AA92,Schlüssel!$A$5:$EK$14,67)</f>
        <v>8</v>
      </c>
      <c r="AL112" s="371"/>
      <c r="AM112" s="370">
        <f>VLOOKUP($AA92,Schlüssel!$A$5:$EK$14,68)</f>
        <v>7</v>
      </c>
      <c r="AN112" s="371"/>
      <c r="AO112" s="370">
        <f>VLOOKUP($AA92,Schlüssel!$A$5:$EK$14,69)</f>
        <v>9</v>
      </c>
      <c r="AP112" s="371"/>
      <c r="AQ112" s="370">
        <f>VLOOKUP($AA92,Schlüssel!$A$5:$EK$14,70)</f>
        <v>5</v>
      </c>
      <c r="AR112" s="371"/>
      <c r="AS112" s="370">
        <f>VLOOKUP($AA92,Schlüssel!$A$5:$EK$14,71)</f>
        <v>6</v>
      </c>
      <c r="AT112" s="371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35">
      <c r="B113" s="90" t="str">
        <f t="shared" si="134"/>
        <v/>
      </c>
      <c r="C113" s="86" t="str">
        <f t="shared" si="134"/>
        <v/>
      </c>
      <c r="D113" s="343" t="str">
        <f t="shared" si="134"/>
        <v>BK München 2</v>
      </c>
      <c r="E113" s="344" t="str">
        <f t="shared" si="134"/>
        <v/>
      </c>
      <c r="F113" s="343" t="str">
        <f t="shared" si="134"/>
        <v>Highroller Rosenheim</v>
      </c>
      <c r="G113" s="344" t="str">
        <f t="shared" si="134"/>
        <v/>
      </c>
      <c r="H113" s="343" t="str">
        <f t="shared" si="134"/>
        <v>BK München 4</v>
      </c>
      <c r="I113" s="344" t="str">
        <f t="shared" si="134"/>
        <v/>
      </c>
      <c r="J113" s="343" t="str">
        <f t="shared" si="134"/>
        <v>Praetoria Regensburg</v>
      </c>
      <c r="K113" s="344" t="str">
        <f t="shared" si="134"/>
        <v/>
      </c>
      <c r="L113" s="343" t="str">
        <f t="shared" si="135"/>
        <v>EPA München 1</v>
      </c>
      <c r="M113" s="344" t="str">
        <f t="shared" si="135"/>
        <v/>
      </c>
      <c r="N113" s="343" t="str">
        <f t="shared" si="135"/>
        <v>Frankenpower Nürnberg</v>
      </c>
      <c r="O113" s="344" t="str">
        <f t="shared" si="135"/>
        <v/>
      </c>
      <c r="P113" s="343" t="str">
        <f t="shared" si="135"/>
        <v>RW Lichtenhof 69 Stein 2</v>
      </c>
      <c r="Q113" s="344" t="str">
        <f t="shared" si="135"/>
        <v/>
      </c>
      <c r="R113" s="343" t="str">
        <f t="shared" si="135"/>
        <v xml:space="preserve">Weiß Blau Unterföhring </v>
      </c>
      <c r="S113" s="344" t="str">
        <f t="shared" si="135"/>
        <v/>
      </c>
      <c r="T113" s="343" t="str">
        <f t="shared" si="135"/>
        <v>Phönix 03 Lauf</v>
      </c>
      <c r="U113" s="344" t="str">
        <f t="shared" si="135"/>
        <v/>
      </c>
      <c r="V113" s="345"/>
      <c r="W113" s="345"/>
      <c r="AA113" s="90"/>
      <c r="AB113" s="86"/>
      <c r="AC113" s="343" t="str">
        <f>VLOOKUP(AC112,Schlüssel!$A$5:$K$14,2)</f>
        <v>BK München 2</v>
      </c>
      <c r="AD113" s="344"/>
      <c r="AE113" s="343" t="str">
        <f>VLOOKUP(AE112,Schlüssel!$A$5:$K$14,2)</f>
        <v>Highroller Rosenheim</v>
      </c>
      <c r="AF113" s="344"/>
      <c r="AG113" s="343" t="str">
        <f>VLOOKUP(AG112,Schlüssel!$A$5:$K$14,2)</f>
        <v>BK München 4</v>
      </c>
      <c r="AH113" s="344"/>
      <c r="AI113" s="343" t="str">
        <f>VLOOKUP(AI112,Schlüssel!$A$5:$K$14,2)</f>
        <v>Praetoria Regensburg</v>
      </c>
      <c r="AJ113" s="344"/>
      <c r="AK113" s="343" t="str">
        <f>VLOOKUP(AK112,Schlüssel!$A$5:$K$14,2)</f>
        <v>EPA München 1</v>
      </c>
      <c r="AL113" s="344"/>
      <c r="AM113" s="343" t="str">
        <f>VLOOKUP(AM112,Schlüssel!$A$5:$K$14,2)</f>
        <v>Frankenpower Nürnberg</v>
      </c>
      <c r="AN113" s="344"/>
      <c r="AO113" s="343" t="str">
        <f>VLOOKUP(AO112,Schlüssel!$A$5:$K$14,2)</f>
        <v>RW Lichtenhof 69 Stein 2</v>
      </c>
      <c r="AP113" s="344"/>
      <c r="AQ113" s="343" t="str">
        <f>VLOOKUP(AQ112,Schlüssel!$A$5:$K$14,2)</f>
        <v xml:space="preserve">Weiß Blau Unterföhring </v>
      </c>
      <c r="AR113" s="344"/>
      <c r="AS113" s="343" t="str">
        <f>VLOOKUP(AS112,Schlüssel!$A$5:$K$14,2)</f>
        <v>Phönix 03 Lauf</v>
      </c>
      <c r="AT113" s="344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35">
      <c r="B114" s="90" t="str">
        <f t="shared" si="134"/>
        <v/>
      </c>
      <c r="C114" s="86" t="str">
        <f t="shared" si="134"/>
        <v/>
      </c>
      <c r="D114" s="341" t="str">
        <f t="shared" si="134"/>
        <v/>
      </c>
      <c r="E114" s="341" t="str">
        <f t="shared" si="134"/>
        <v/>
      </c>
      <c r="F114" s="341" t="str">
        <f t="shared" si="134"/>
        <v/>
      </c>
      <c r="G114" s="341" t="str">
        <f t="shared" si="134"/>
        <v/>
      </c>
      <c r="H114" s="341" t="str">
        <f t="shared" si="134"/>
        <v/>
      </c>
      <c r="I114" s="341" t="str">
        <f t="shared" si="134"/>
        <v/>
      </c>
      <c r="J114" s="341" t="str">
        <f t="shared" si="134"/>
        <v/>
      </c>
      <c r="K114" s="341" t="str">
        <f t="shared" si="134"/>
        <v/>
      </c>
      <c r="L114" s="341" t="str">
        <f t="shared" si="135"/>
        <v/>
      </c>
      <c r="M114" s="341" t="str">
        <f t="shared" si="135"/>
        <v/>
      </c>
      <c r="N114" s="341" t="str">
        <f t="shared" si="135"/>
        <v/>
      </c>
      <c r="O114" s="341" t="str">
        <f t="shared" si="135"/>
        <v/>
      </c>
      <c r="P114" s="341" t="str">
        <f t="shared" si="135"/>
        <v/>
      </c>
      <c r="Q114" s="341" t="str">
        <f t="shared" si="135"/>
        <v/>
      </c>
      <c r="R114" s="341" t="str">
        <f t="shared" si="135"/>
        <v/>
      </c>
      <c r="S114" s="341" t="str">
        <f t="shared" si="135"/>
        <v/>
      </c>
      <c r="T114" s="341" t="str">
        <f t="shared" si="135"/>
        <v/>
      </c>
      <c r="U114" s="342" t="str">
        <f t="shared" si="135"/>
        <v/>
      </c>
      <c r="V114" s="301"/>
      <c r="W114" s="301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6.05" customHeight="1" x14ac:dyDescent="0.35">
      <c r="B115" s="365" t="str">
        <f t="shared" ref="B115:C119" si="136">IF(AA115=0,"",AA115)</f>
        <v>Spieler 1</v>
      </c>
      <c r="C115" s="366" t="str">
        <f t="shared" si="136"/>
        <v/>
      </c>
      <c r="D115" s="339">
        <f>IF(AC115=301,"",AC115)</f>
        <v>222</v>
      </c>
      <c r="E115" s="339" t="str">
        <f>IF(AD115=0,"",AD115)</f>
        <v/>
      </c>
      <c r="F115" s="339">
        <f>IF(AE115=301,"",AE115)</f>
        <v>156</v>
      </c>
      <c r="G115" s="339" t="str">
        <f>IF(AF115=0,"",AF115)</f>
        <v/>
      </c>
      <c r="H115" s="339">
        <f>IF(AG115=301,"",AG115)</f>
        <v>210</v>
      </c>
      <c r="I115" s="339" t="str">
        <f>IF(AH115=0,"",AH115)</f>
        <v/>
      </c>
      <c r="J115" s="339">
        <f>IF(AI115=301,"",AI115)</f>
        <v>173</v>
      </c>
      <c r="K115" s="339" t="str">
        <f>IF(AJ115=0,"",AJ115)</f>
        <v/>
      </c>
      <c r="L115" s="339">
        <f>IF(AK115=301,"",AK115)</f>
        <v>138</v>
      </c>
      <c r="M115" s="339" t="str">
        <f>IF(AL115=0,"",AL115)</f>
        <v/>
      </c>
      <c r="N115" s="339">
        <f>IF(AM115=301,"",AM115)</f>
        <v>160</v>
      </c>
      <c r="O115" s="339" t="str">
        <f>IF(AN115=0,"",AN115)</f>
        <v/>
      </c>
      <c r="P115" s="339">
        <f>IF(AO115=301,"",AO115)</f>
        <v>188</v>
      </c>
      <c r="Q115" s="339" t="str">
        <f>IF(AP115=0,"",AP115)</f>
        <v/>
      </c>
      <c r="R115" s="339">
        <f>IF(AQ115=301,"",AQ115)</f>
        <v>174</v>
      </c>
      <c r="S115" s="339" t="str">
        <f>IF(AR115=0,"",AR115)</f>
        <v/>
      </c>
      <c r="T115" s="339">
        <f>IF(AS115=301,"",AS115)</f>
        <v>154</v>
      </c>
      <c r="U115" s="339" t="str">
        <f>IF(AT115=0,"",AT115)</f>
        <v/>
      </c>
      <c r="V115" s="340"/>
      <c r="W115" s="340"/>
      <c r="AA115" s="91" t="s">
        <v>0</v>
      </c>
      <c r="AB115" s="92"/>
      <c r="AC115" s="372">
        <f>ABS(INDEX(AC:AC,MATCH(AC112,$AA:$AA,0)+5)+INDEX(AC:AC,MATCH(AC112,$AA:$AA,0)+6)+INDEX(AC:AC,MATCH(AC112,$AA:$AA,0)+7))</f>
        <v>222</v>
      </c>
      <c r="AD115" s="373"/>
      <c r="AE115" s="372">
        <f>ABS(INDEX(AE:AE,MATCH(AE112,$AA:$AA,0)+5)+INDEX(AE:AE,MATCH(AE112,$AA:$AA,0)+6)+INDEX(AE:AE,MATCH(AE112,$AA:$AA,0)+7))</f>
        <v>156</v>
      </c>
      <c r="AF115" s="373"/>
      <c r="AG115" s="372">
        <f>ABS(INDEX(AG:AG,MATCH(AG112,$AA:$AA,0)+5)+INDEX(AG:AG,MATCH(AG112,$AA:$AA,0)+6)+INDEX(AG:AG,MATCH(AG112,$AA:$AA,0)+7))</f>
        <v>210</v>
      </c>
      <c r="AH115" s="373"/>
      <c r="AI115" s="372">
        <f>ABS(INDEX(AI:AI,MATCH(AI112,$AA:$AA,0)+5)+INDEX(AI:AI,MATCH(AI112,$AA:$AA,0)+6)+INDEX(AI:AI,MATCH(AI112,$AA:$AA,0)+7))</f>
        <v>173</v>
      </c>
      <c r="AJ115" s="373"/>
      <c r="AK115" s="372">
        <f>ABS(INDEX(AK:AK,MATCH(AK112,$AA:$AA,0)+5)+INDEX(AK:AK,MATCH(AK112,$AA:$AA,0)+6)+INDEX(AK:AK,MATCH(AK112,$AA:$AA,0)+7))</f>
        <v>138</v>
      </c>
      <c r="AL115" s="373"/>
      <c r="AM115" s="372">
        <f>ABS(INDEX(AM:AM,MATCH(AM112,$AA:$AA,0)+5)+INDEX(AM:AM,MATCH(AM112,$AA:$AA,0)+6)+INDEX(AM:AM,MATCH(AM112,$AA:$AA,0)+7))</f>
        <v>160</v>
      </c>
      <c r="AN115" s="373"/>
      <c r="AO115" s="372">
        <f>ABS(INDEX(AO:AO,MATCH(AO112,$AA:$AA,0)+5)+INDEX(AO:AO,MATCH(AO112,$AA:$AA,0)+6)+INDEX(AO:AO,MATCH(AO112,$AA:$AA,0)+7))</f>
        <v>188</v>
      </c>
      <c r="AP115" s="373"/>
      <c r="AQ115" s="372">
        <f>ABS(INDEX(AQ:AQ,MATCH(AQ112,$AA:$AA,0)+5)+INDEX(AQ:AQ,MATCH(AQ112,$AA:$AA,0)+6)+INDEX(AQ:AQ,MATCH(AQ112,$AA:$AA,0)+7))</f>
        <v>174</v>
      </c>
      <c r="AR115" s="373"/>
      <c r="AS115" s="372">
        <f>ABS(INDEX(AS:AS,MATCH(AS112,$AA:$AA,0)+5)+INDEX(AS:AS,MATCH(AS112,$AA:$AA,0)+6)+INDEX(AS:AS,MATCH(AS112,$AA:$AA,0)+7))</f>
        <v>154</v>
      </c>
      <c r="AT115" s="373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6.05" customHeight="1" x14ac:dyDescent="0.35">
      <c r="B116" s="365" t="str">
        <f t="shared" si="136"/>
        <v>Spieler 2</v>
      </c>
      <c r="C116" s="366" t="str">
        <f t="shared" si="136"/>
        <v/>
      </c>
      <c r="D116" s="339">
        <f>IF(AC116=301,"",AC116)</f>
        <v>191</v>
      </c>
      <c r="E116" s="339" t="str">
        <f>IF(AD116=0,"",AD116)</f>
        <v/>
      </c>
      <c r="F116" s="339">
        <f>IF(AE116=301,"",AE116)</f>
        <v>199</v>
      </c>
      <c r="G116" s="339" t="str">
        <f>IF(AF116=0,"",AF116)</f>
        <v/>
      </c>
      <c r="H116" s="339">
        <f>IF(AG116=301,"",AG116)</f>
        <v>144</v>
      </c>
      <c r="I116" s="339" t="str">
        <f>IF(AH116=0,"",AH116)</f>
        <v/>
      </c>
      <c r="J116" s="339">
        <f>IF(AI116=301,"",AI116)</f>
        <v>160</v>
      </c>
      <c r="K116" s="339" t="str">
        <f>IF(AJ116=0,"",AJ116)</f>
        <v/>
      </c>
      <c r="L116" s="339">
        <f>IF(AK116=301,"",AK116)</f>
        <v>169</v>
      </c>
      <c r="M116" s="339" t="str">
        <f>IF(AL116=0,"",AL116)</f>
        <v/>
      </c>
      <c r="N116" s="339">
        <f>IF(AM116=301,"",AM116)</f>
        <v>181</v>
      </c>
      <c r="O116" s="339" t="str">
        <f>IF(AN116=0,"",AN116)</f>
        <v/>
      </c>
      <c r="P116" s="339">
        <f>IF(AO116=301,"",AO116)</f>
        <v>192</v>
      </c>
      <c r="Q116" s="339" t="str">
        <f>IF(AP116=0,"",AP116)</f>
        <v/>
      </c>
      <c r="R116" s="339">
        <f>IF(AQ116=301,"",AQ116)</f>
        <v>173</v>
      </c>
      <c r="S116" s="339" t="str">
        <f>IF(AR116=0,"",AR116)</f>
        <v/>
      </c>
      <c r="T116" s="339">
        <f>IF(AS116=301,"",AS116)</f>
        <v>168</v>
      </c>
      <c r="U116" s="339" t="str">
        <f>IF(AT116=0,"",AT116)</f>
        <v/>
      </c>
      <c r="V116" s="340"/>
      <c r="W116" s="340"/>
      <c r="AA116" s="91" t="s">
        <v>2</v>
      </c>
      <c r="AB116" s="92"/>
      <c r="AC116" s="374">
        <f>ABS(INDEX(AC:AC,MATCH(AC112,$AA:$AA,0)+8)+INDEX(AC:AC,MATCH(AC112,$AA:$AA,0)+9)+INDEX(AC:AC,MATCH(AC112,$AA:$AA,0)+10))</f>
        <v>191</v>
      </c>
      <c r="AD116" s="375"/>
      <c r="AE116" s="374">
        <f>ABS(INDEX(AE:AE,MATCH(AE112,$AA:$AA,0)+8)+INDEX(AE:AE,MATCH(AE112,$AA:$AA,0)+9)+INDEX(AE:AE,MATCH(AE112,$AA:$AA,0)+10))</f>
        <v>199</v>
      </c>
      <c r="AF116" s="375"/>
      <c r="AG116" s="374">
        <f>ABS(INDEX(AG:AG,MATCH(AG112,$AA:$AA,0)+8)+INDEX(AG:AG,MATCH(AG112,$AA:$AA,0)+9)+INDEX(AG:AG,MATCH(AG112,$AA:$AA,0)+10))</f>
        <v>144</v>
      </c>
      <c r="AH116" s="375"/>
      <c r="AI116" s="374">
        <f>ABS(INDEX(AI:AI,MATCH(AI112,$AA:$AA,0)+8)+INDEX(AI:AI,MATCH(AI112,$AA:$AA,0)+9)+INDEX(AI:AI,MATCH(AI112,$AA:$AA,0)+10))</f>
        <v>160</v>
      </c>
      <c r="AJ116" s="375"/>
      <c r="AK116" s="374">
        <f>ABS(INDEX(AK:AK,MATCH(AK112,$AA:$AA,0)+8)+INDEX(AK:AK,MATCH(AK112,$AA:$AA,0)+9)+INDEX(AK:AK,MATCH(AK112,$AA:$AA,0)+10))</f>
        <v>169</v>
      </c>
      <c r="AL116" s="375"/>
      <c r="AM116" s="374">
        <f>ABS(INDEX(AM:AM,MATCH(AM112,$AA:$AA,0)+8)+INDEX(AM:AM,MATCH(AM112,$AA:$AA,0)+9)+INDEX(AM:AM,MATCH(AM112,$AA:$AA,0)+10))</f>
        <v>181</v>
      </c>
      <c r="AN116" s="375"/>
      <c r="AO116" s="374">
        <f>ABS(INDEX(AO:AO,MATCH(AO112,$AA:$AA,0)+8)+INDEX(AO:AO,MATCH(AO112,$AA:$AA,0)+9)+INDEX(AO:AO,MATCH(AO112,$AA:$AA,0)+10))</f>
        <v>192</v>
      </c>
      <c r="AP116" s="375"/>
      <c r="AQ116" s="374">
        <f>ABS(INDEX(AQ:AQ,MATCH(AQ112,$AA:$AA,0)+8)+INDEX(AQ:AQ,MATCH(AQ112,$AA:$AA,0)+9)+INDEX(AQ:AQ,MATCH(AQ112,$AA:$AA,0)+10))</f>
        <v>173</v>
      </c>
      <c r="AR116" s="375"/>
      <c r="AS116" s="374">
        <f>ABS(INDEX(AS:AS,MATCH(AS112,$AA:$AA,0)+8)+INDEX(AS:AS,MATCH(AS112,$AA:$AA,0)+9)+INDEX(AS:AS,MATCH(AS112,$AA:$AA,0)+10))</f>
        <v>168</v>
      </c>
      <c r="AT116" s="37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6.05" customHeight="1" x14ac:dyDescent="0.35">
      <c r="B117" s="365" t="str">
        <f t="shared" si="136"/>
        <v>Spieler 3</v>
      </c>
      <c r="C117" s="366" t="str">
        <f t="shared" si="136"/>
        <v/>
      </c>
      <c r="D117" s="339">
        <f>IF(AC117=301,"",AC117)</f>
        <v>177</v>
      </c>
      <c r="E117" s="339" t="str">
        <f>IF(AD117=0,"",AD117)</f>
        <v/>
      </c>
      <c r="F117" s="339">
        <f>IF(AE117=301,"",AE117)</f>
        <v>181</v>
      </c>
      <c r="G117" s="339" t="str">
        <f>IF(AF117=0,"",AF117)</f>
        <v/>
      </c>
      <c r="H117" s="339">
        <f>IF(AG117=301,"",AG117)</f>
        <v>206</v>
      </c>
      <c r="I117" s="339" t="str">
        <f>IF(AH117=0,"",AH117)</f>
        <v/>
      </c>
      <c r="J117" s="339">
        <f>IF(AI117=301,"",AI117)</f>
        <v>199</v>
      </c>
      <c r="K117" s="339" t="str">
        <f>IF(AJ117=0,"",AJ117)</f>
        <v/>
      </c>
      <c r="L117" s="339">
        <f>IF(AK117=301,"",AK117)</f>
        <v>172</v>
      </c>
      <c r="M117" s="339" t="str">
        <f>IF(AL117=0,"",AL117)</f>
        <v/>
      </c>
      <c r="N117" s="339">
        <f>IF(AM117=301,"",AM117)</f>
        <v>195</v>
      </c>
      <c r="O117" s="339" t="str">
        <f>IF(AN117=0,"",AN117)</f>
        <v/>
      </c>
      <c r="P117" s="339">
        <f>IF(AO117=301,"",AO117)</f>
        <v>161</v>
      </c>
      <c r="Q117" s="339" t="str">
        <f>IF(AP117=0,"",AP117)</f>
        <v/>
      </c>
      <c r="R117" s="339">
        <f>IF(AQ117=301,"",AQ117)</f>
        <v>152</v>
      </c>
      <c r="S117" s="339" t="str">
        <f>IF(AR117=0,"",AR117)</f>
        <v/>
      </c>
      <c r="T117" s="339">
        <f>IF(AS117=301,"",AS117)</f>
        <v>119</v>
      </c>
      <c r="U117" s="339" t="str">
        <f>IF(AT117=0,"",AT117)</f>
        <v/>
      </c>
      <c r="V117" s="340"/>
      <c r="W117" s="340"/>
      <c r="AA117" s="91" t="s">
        <v>3</v>
      </c>
      <c r="AB117" s="92"/>
      <c r="AC117" s="374">
        <f>ABS(INDEX(AC:AC,MATCH(AC112,$AA:$AA,0)+11)+INDEX(AC:AC,MATCH(AC112,$AA:$AA,0)+12)+INDEX(AC:AC,MATCH(AC112,$AA:$AA,0)+13))</f>
        <v>177</v>
      </c>
      <c r="AD117" s="375"/>
      <c r="AE117" s="374">
        <f>ABS(INDEX(AE:AE,MATCH(AE112,$AA:$AA,0)+11)+INDEX(AE:AE,MATCH(AE112,$AA:$AA,0)+12)+INDEX(AE:AE,MATCH(AE112,$AA:$AA,0)+13))</f>
        <v>181</v>
      </c>
      <c r="AF117" s="375"/>
      <c r="AG117" s="374">
        <f>ABS(INDEX(AG:AG,MATCH(AG112,$AA:$AA,0)+11)+INDEX(AG:AG,MATCH(AG112,$AA:$AA,0)+12)+INDEX(AG:AG,MATCH(AG112,$AA:$AA,0)+13))</f>
        <v>206</v>
      </c>
      <c r="AH117" s="375"/>
      <c r="AI117" s="374">
        <f>ABS(INDEX(AI:AI,MATCH(AI112,$AA:$AA,0)+11)+INDEX(AI:AI,MATCH(AI112,$AA:$AA,0)+12)+INDEX(AI:AI,MATCH(AI112,$AA:$AA,0)+13))</f>
        <v>199</v>
      </c>
      <c r="AJ117" s="375"/>
      <c r="AK117" s="374">
        <f>ABS(INDEX(AK:AK,MATCH(AK112,$AA:$AA,0)+11)+INDEX(AK:AK,MATCH(AK112,$AA:$AA,0)+12)+INDEX(AK:AK,MATCH(AK112,$AA:$AA,0)+13))</f>
        <v>172</v>
      </c>
      <c r="AL117" s="375"/>
      <c r="AM117" s="374">
        <f>ABS(INDEX(AM:AM,MATCH(AM112,$AA:$AA,0)+11)+INDEX(AM:AM,MATCH(AM112,$AA:$AA,0)+12)+INDEX(AM:AM,MATCH(AM112,$AA:$AA,0)+13))</f>
        <v>195</v>
      </c>
      <c r="AN117" s="375"/>
      <c r="AO117" s="374">
        <f>ABS(INDEX(AO:AO,MATCH(AO112,$AA:$AA,0)+11)+INDEX(AO:AO,MATCH(AO112,$AA:$AA,0)+12)+INDEX(AO:AO,MATCH(AO112,$AA:$AA,0)+13))</f>
        <v>161</v>
      </c>
      <c r="AP117" s="375"/>
      <c r="AQ117" s="374">
        <f>ABS(INDEX(AQ:AQ,MATCH(AQ112,$AA:$AA,0)+11)+INDEX(AQ:AQ,MATCH(AQ112,$AA:$AA,0)+12)+INDEX(AQ:AQ,MATCH(AQ112,$AA:$AA,0)+13))</f>
        <v>152</v>
      </c>
      <c r="AR117" s="375"/>
      <c r="AS117" s="374">
        <f>ABS(INDEX(AS:AS,MATCH(AS112,$AA:$AA,0)+11)+INDEX(AS:AS,MATCH(AS112,$AA:$AA,0)+12)+INDEX(AS:AS,MATCH(AS112,$AA:$AA,0)+13))</f>
        <v>119</v>
      </c>
      <c r="AT117" s="37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6.05" customHeight="1" x14ac:dyDescent="0.35">
      <c r="B118" s="365" t="str">
        <f t="shared" si="136"/>
        <v>Spieler 4</v>
      </c>
      <c r="C118" s="366" t="str">
        <f t="shared" si="136"/>
        <v/>
      </c>
      <c r="D118" s="339">
        <f>IF(AC118=301,"",AC118)</f>
        <v>195</v>
      </c>
      <c r="E118" s="339" t="str">
        <f>IF(AD118=0,"",AD118)</f>
        <v/>
      </c>
      <c r="F118" s="339">
        <f>IF(AE118=301,"",AE118)</f>
        <v>178</v>
      </c>
      <c r="G118" s="339" t="str">
        <f>IF(AF118=0,"",AF118)</f>
        <v/>
      </c>
      <c r="H118" s="339">
        <f>IF(AG118=301,"",AG118)</f>
        <v>133</v>
      </c>
      <c r="I118" s="339" t="str">
        <f>IF(AH118=0,"",AH118)</f>
        <v/>
      </c>
      <c r="J118" s="339">
        <f>IF(AI118=301,"",AI118)</f>
        <v>204</v>
      </c>
      <c r="K118" s="339" t="str">
        <f>IF(AJ118=0,"",AJ118)</f>
        <v/>
      </c>
      <c r="L118" s="339">
        <f>IF(AK118=301,"",AK118)</f>
        <v>208</v>
      </c>
      <c r="M118" s="339" t="str">
        <f>IF(AL118=0,"",AL118)</f>
        <v/>
      </c>
      <c r="N118" s="339">
        <f>IF(AM118=301,"",AM118)</f>
        <v>123</v>
      </c>
      <c r="O118" s="339" t="str">
        <f>IF(AN118=0,"",AN118)</f>
        <v/>
      </c>
      <c r="P118" s="339">
        <f>IF(AO118=301,"",AO118)</f>
        <v>181</v>
      </c>
      <c r="Q118" s="339" t="str">
        <f>IF(AP118=0,"",AP118)</f>
        <v/>
      </c>
      <c r="R118" s="339">
        <f>IF(AQ118=301,"",AQ118)</f>
        <v>148</v>
      </c>
      <c r="S118" s="339" t="str">
        <f>IF(AR118=0,"",AR118)</f>
        <v/>
      </c>
      <c r="T118" s="339">
        <f>IF(AS118=301,"",AS118)</f>
        <v>127</v>
      </c>
      <c r="U118" s="339" t="str">
        <f>IF(AT118=0,"",AT118)</f>
        <v/>
      </c>
      <c r="V118" s="340"/>
      <c r="W118" s="340"/>
      <c r="AA118" s="91" t="s">
        <v>11</v>
      </c>
      <c r="AB118" s="92"/>
      <c r="AC118" s="374">
        <f>ABS(INDEX(AC:AC,MATCH(AC112,$AA:$AA,0)+14)+INDEX(AC:AC,MATCH(AC112,$AA:$AA,0)+15)+INDEX(AC:AC,MATCH(AC112,$AA:$AA,0)+16))</f>
        <v>195</v>
      </c>
      <c r="AD118" s="375"/>
      <c r="AE118" s="374">
        <f>ABS(INDEX(AE:AE,MATCH(AE112,$AA:$AA,0)+14)+INDEX(AE:AE,MATCH(AE112,$AA:$AA,0)+15)+INDEX(AE:AE,MATCH(AE112,$AA:$AA,0)+16))</f>
        <v>178</v>
      </c>
      <c r="AF118" s="375"/>
      <c r="AG118" s="374">
        <f>ABS(INDEX(AG:AG,MATCH(AG112,$AA:$AA,0)+14)+INDEX(AG:AG,MATCH(AG112,$AA:$AA,0)+15)+INDEX(AG:AG,MATCH(AG112,$AA:$AA,0)+16))</f>
        <v>133</v>
      </c>
      <c r="AH118" s="375"/>
      <c r="AI118" s="374">
        <f>ABS(INDEX(AI:AI,MATCH(AI112,$AA:$AA,0)+14)+INDEX(AI:AI,MATCH(AI112,$AA:$AA,0)+15)+INDEX(AI:AI,MATCH(AI112,$AA:$AA,0)+16))</f>
        <v>204</v>
      </c>
      <c r="AJ118" s="375"/>
      <c r="AK118" s="374">
        <f>ABS(INDEX(AK:AK,MATCH(AK112,$AA:$AA,0)+14)+INDEX(AK:AK,MATCH(AK112,$AA:$AA,0)+15)+INDEX(AK:AK,MATCH(AK112,$AA:$AA,0)+16))</f>
        <v>208</v>
      </c>
      <c r="AL118" s="375"/>
      <c r="AM118" s="374">
        <f>ABS(INDEX(AM:AM,MATCH(AM112,$AA:$AA,0)+14)+INDEX(AM:AM,MATCH(AM112,$AA:$AA,0)+15)+INDEX(AM:AM,MATCH(AM112,$AA:$AA,0)+16))</f>
        <v>123</v>
      </c>
      <c r="AN118" s="375"/>
      <c r="AO118" s="374">
        <f>ABS(INDEX(AO:AO,MATCH(AO112,$AA:$AA,0)+14)+INDEX(AO:AO,MATCH(AO112,$AA:$AA,0)+15)+INDEX(AO:AO,MATCH(AO112,$AA:$AA,0)+16))</f>
        <v>181</v>
      </c>
      <c r="AP118" s="375"/>
      <c r="AQ118" s="374">
        <f>ABS(INDEX(AQ:AQ,MATCH(AQ112,$AA:$AA,0)+14)+INDEX(AQ:AQ,MATCH(AQ112,$AA:$AA,0)+15)+INDEX(AQ:AQ,MATCH(AQ112,$AA:$AA,0)+16))</f>
        <v>148</v>
      </c>
      <c r="AR118" s="375"/>
      <c r="AS118" s="374">
        <f>ABS(INDEX(AS:AS,MATCH(AS112,$AA:$AA,0)+14)+INDEX(AS:AS,MATCH(AS112,$AA:$AA,0)+15)+INDEX(AS:AS,MATCH(AS112,$AA:$AA,0)+16))</f>
        <v>127</v>
      </c>
      <c r="AT118" s="37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6.05" customHeight="1" x14ac:dyDescent="0.35">
      <c r="B119" s="354" t="str">
        <f t="shared" si="136"/>
        <v>Gesamt</v>
      </c>
      <c r="C119" s="355" t="str">
        <f t="shared" si="136"/>
        <v/>
      </c>
      <c r="D119" s="338">
        <f>IF(AC119=1505,"",AC119)</f>
        <v>785</v>
      </c>
      <c r="E119" s="338" t="str">
        <f>IF(AD119=0,"",AD119)</f>
        <v/>
      </c>
      <c r="F119" s="338">
        <f>IF(AE119=1505,"",AE119)</f>
        <v>714</v>
      </c>
      <c r="G119" s="338" t="str">
        <f>IF(AF119=0,"",AF119)</f>
        <v/>
      </c>
      <c r="H119" s="338">
        <f>IF(AG119=1505,"",AG119)</f>
        <v>693</v>
      </c>
      <c r="I119" s="338" t="str">
        <f>IF(AH119=0,"",AH119)</f>
        <v/>
      </c>
      <c r="J119" s="338">
        <f>IF(AI119=1505,"",AI119)</f>
        <v>736</v>
      </c>
      <c r="K119" s="338" t="str">
        <f>IF(AJ119=0,"",AJ119)</f>
        <v/>
      </c>
      <c r="L119" s="338">
        <f>IF(AK119=1505,"",AK119)</f>
        <v>687</v>
      </c>
      <c r="M119" s="338" t="str">
        <f>IF(AL119=0,"",AL119)</f>
        <v/>
      </c>
      <c r="N119" s="338">
        <f>IF(AM119=1505,"",AM119)</f>
        <v>659</v>
      </c>
      <c r="O119" s="338" t="str">
        <f>IF(AN119=0,"",AN119)</f>
        <v/>
      </c>
      <c r="P119" s="338">
        <f>IF(AO119=1505,"",AO119)</f>
        <v>722</v>
      </c>
      <c r="Q119" s="338" t="str">
        <f>IF(AP119=0,"",AP119)</f>
        <v/>
      </c>
      <c r="R119" s="338">
        <f>IF(AQ119=1505,"",AQ119)</f>
        <v>647</v>
      </c>
      <c r="S119" s="338" t="str">
        <f>IF(AR119=0,"",AR119)</f>
        <v/>
      </c>
      <c r="T119" s="338">
        <f>IF(AS119=1505,"",AS119)</f>
        <v>568</v>
      </c>
      <c r="U119" s="338" t="str">
        <f>IF(AT119=0,"",AT119)</f>
        <v/>
      </c>
      <c r="V119" s="290"/>
      <c r="W119" s="290"/>
      <c r="AA119" s="93" t="s">
        <v>1799</v>
      </c>
      <c r="AB119" s="94"/>
      <c r="AC119" s="354">
        <f>SUM(AC115:AC118)</f>
        <v>785</v>
      </c>
      <c r="AD119" s="355"/>
      <c r="AE119" s="354">
        <f>SUM(AE115:AE118)</f>
        <v>714</v>
      </c>
      <c r="AF119" s="355"/>
      <c r="AG119" s="354">
        <f>SUM(AG115:AG118)</f>
        <v>693</v>
      </c>
      <c r="AH119" s="355"/>
      <c r="AI119" s="354">
        <f>SUM(AI115:AI118)</f>
        <v>736</v>
      </c>
      <c r="AJ119" s="355"/>
      <c r="AK119" s="354">
        <f>SUM(AK115:AK118)</f>
        <v>687</v>
      </c>
      <c r="AL119" s="355"/>
      <c r="AM119" s="354">
        <f>SUM(AM115:AM118)</f>
        <v>659</v>
      </c>
      <c r="AN119" s="355"/>
      <c r="AO119" s="354">
        <f>SUM(AO115:AO118)</f>
        <v>722</v>
      </c>
      <c r="AP119" s="355"/>
      <c r="AQ119" s="354">
        <f>SUM(AQ115:AQ118)</f>
        <v>647</v>
      </c>
      <c r="AR119" s="355"/>
      <c r="AS119" s="354">
        <f>SUM(AS115:AS118)</f>
        <v>568</v>
      </c>
      <c r="AT119" s="35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3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7">
      <c r="B121" s="44" t="str">
        <f>AA121</f>
        <v>Team-Nr.</v>
      </c>
      <c r="C121" s="45"/>
      <c r="D121" s="44" t="str">
        <f>AC121</f>
        <v>Liga:</v>
      </c>
      <c r="E121" s="47"/>
      <c r="F121" s="359" t="str">
        <f>AE121</f>
        <v>Bayernliga Frauen</v>
      </c>
      <c r="G121" s="359"/>
      <c r="H121" s="359"/>
      <c r="I121" s="359"/>
      <c r="J121" s="359"/>
      <c r="K121" s="359"/>
      <c r="L121" s="359"/>
      <c r="M121" s="359"/>
      <c r="N121" s="359"/>
      <c r="O121" s="359"/>
      <c r="P121" s="359"/>
      <c r="Q121" s="359"/>
      <c r="R121" s="48"/>
      <c r="S121" s="49" t="s">
        <v>1794</v>
      </c>
      <c r="T121" s="50"/>
      <c r="U121" s="360" t="str">
        <f>AT121</f>
        <v>15.02./16.02.</v>
      </c>
      <c r="V121" s="361"/>
      <c r="W121" s="362"/>
      <c r="X121" s="363"/>
      <c r="Y121" s="364"/>
      <c r="Z121" s="364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0" t="str">
        <f>VLOOKUP(AS122,Spielorte!$A$1:$C$6,2)</f>
        <v>15.02./16.02.</v>
      </c>
      <c r="AU121" s="361"/>
      <c r="AV121" s="362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65">
      <c r="B122" s="53">
        <f>AA122</f>
        <v>5</v>
      </c>
      <c r="D122" s="46" t="s">
        <v>1793</v>
      </c>
      <c r="E122" s="54"/>
      <c r="F122" s="358" t="str">
        <f>AE122</f>
        <v>Nürnberg West Bowling</v>
      </c>
      <c r="G122" s="358"/>
      <c r="H122" s="358"/>
      <c r="I122" s="358"/>
      <c r="J122" s="358"/>
      <c r="K122" s="358"/>
      <c r="L122" s="358"/>
      <c r="M122" s="358"/>
      <c r="N122" s="358"/>
      <c r="O122" s="358"/>
      <c r="P122" s="55"/>
      <c r="Q122" s="55"/>
      <c r="S122" s="49" t="s">
        <v>1791</v>
      </c>
      <c r="T122" s="56">
        <f>AS122</f>
        <v>4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Nürnberg West Bowling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4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4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5" thickBot="1" x14ac:dyDescent="0.45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VLOOKUP(AA122,Schlüssel!$A$5:$DZ$14,73)</f>
        <v>12</v>
      </c>
      <c r="AE124" s="65" t="s">
        <v>10</v>
      </c>
      <c r="AF124" s="44">
        <f>VLOOKUP(AA122,Schlüssel!$A$5:$DZ$14,74)</f>
        <v>19</v>
      </c>
      <c r="AG124" s="65" t="s">
        <v>10</v>
      </c>
      <c r="AH124" s="44">
        <f>VLOOKUP(AA122,Schlüssel!$A$5:$DZ$14,75)</f>
        <v>18</v>
      </c>
      <c r="AI124" s="65" t="s">
        <v>10</v>
      </c>
      <c r="AJ124" s="44">
        <f>VLOOKUP(AA122,Schlüssel!$A$5:$DZ$14,76)</f>
        <v>11</v>
      </c>
      <c r="AK124" s="65" t="s">
        <v>10</v>
      </c>
      <c r="AL124" s="44">
        <f>VLOOKUP(AA122,Schlüssel!$A$5:$DZ$14,77)</f>
        <v>13</v>
      </c>
      <c r="AM124" s="65" t="s">
        <v>10</v>
      </c>
      <c r="AN124" s="44">
        <f>VLOOKUP(AA122,Schlüssel!$A$5:$DZ$14,78)</f>
        <v>15</v>
      </c>
      <c r="AO124" s="65" t="s">
        <v>10</v>
      </c>
      <c r="AP124" s="44">
        <f>VLOOKUP(AA122,Schlüssel!$A$5:$DZ$14,79)</f>
        <v>20</v>
      </c>
      <c r="AQ124" s="65" t="s">
        <v>10</v>
      </c>
      <c r="AR124" s="44">
        <f>VLOOKUP(AA122,Schlüssel!$A$5:$DZ$14,80)</f>
        <v>17</v>
      </c>
      <c r="AS124" s="65" t="s">
        <v>10</v>
      </c>
      <c r="AT124" s="44">
        <f>VLOOKUP(AA122,Schlüssel!$A$5:$DZ$14,81)</f>
        <v>14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35">
      <c r="B125" s="67" t="s">
        <v>1</v>
      </c>
      <c r="C125" s="68"/>
      <c r="D125" s="354" t="s">
        <v>1800</v>
      </c>
      <c r="E125" s="355"/>
      <c r="F125" s="354" t="s">
        <v>1801</v>
      </c>
      <c r="G125" s="355"/>
      <c r="H125" s="354" t="s">
        <v>1802</v>
      </c>
      <c r="I125" s="355"/>
      <c r="J125" s="354" t="s">
        <v>1803</v>
      </c>
      <c r="K125" s="355"/>
      <c r="L125" s="354" t="s">
        <v>1804</v>
      </c>
      <c r="M125" s="355"/>
      <c r="N125" s="354" t="s">
        <v>1805</v>
      </c>
      <c r="O125" s="355"/>
      <c r="P125" s="354" t="s">
        <v>1806</v>
      </c>
      <c r="Q125" s="355"/>
      <c r="R125" s="354" t="s">
        <v>1807</v>
      </c>
      <c r="S125" s="355"/>
      <c r="T125" s="354" t="s">
        <v>1808</v>
      </c>
      <c r="U125" s="355"/>
      <c r="V125" s="356" t="s">
        <v>1799</v>
      </c>
      <c r="W125" s="357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4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2" customHeight="1" x14ac:dyDescent="0.35">
      <c r="A127" s="367" t="s">
        <v>0</v>
      </c>
      <c r="B127" s="73" t="str">
        <f>IF(AA127=0,"",AA127)</f>
        <v>Richter, Petra</v>
      </c>
      <c r="C127" s="74">
        <f>IF(AB127=0,"",AB127)</f>
        <v>21185</v>
      </c>
      <c r="D127" s="75">
        <f>IF(AC127=0,"",AC127)</f>
        <v>155</v>
      </c>
      <c r="E127" s="348">
        <f>IF(AD127="","",AD127)</f>
        <v>1</v>
      </c>
      <c r="F127" s="75">
        <f t="shared" ref="F127:F140" si="137">IF(AE127=0,"",AE127)</f>
        <v>194</v>
      </c>
      <c r="G127" s="348">
        <f>IF(AF127="","",AF127)</f>
        <v>1</v>
      </c>
      <c r="H127" s="75">
        <f t="shared" ref="H127:H140" si="138">IF(AG127=0,"",AG127)</f>
        <v>176</v>
      </c>
      <c r="I127" s="348">
        <f>IF(AH127="","",AH127)</f>
        <v>1</v>
      </c>
      <c r="J127" s="75">
        <f t="shared" ref="J127:J140" si="139">IF(AI127=0,"",AI127)</f>
        <v>148</v>
      </c>
      <c r="K127" s="348">
        <f>IF(AJ127="","",AJ127)</f>
        <v>0</v>
      </c>
      <c r="L127" s="75">
        <f t="shared" ref="L127:L140" si="140">IF(AK127=0,"",AK127)</f>
        <v>171</v>
      </c>
      <c r="M127" s="348">
        <f>IF(AL127="","",AL127)</f>
        <v>1</v>
      </c>
      <c r="N127" s="75">
        <f>IF(AM127=0,"",AM127)</f>
        <v>175</v>
      </c>
      <c r="O127" s="348">
        <f>IF(AN127="","",AN127)</f>
        <v>1</v>
      </c>
      <c r="P127" s="75">
        <f t="shared" ref="P127:P140" si="141">IF(AO127=0,"",AO127)</f>
        <v>160</v>
      </c>
      <c r="Q127" s="348">
        <f>IF(AP127="","",AP127)</f>
        <v>0</v>
      </c>
      <c r="R127" s="75">
        <f t="shared" ref="R127:R140" si="142">IF(AQ127=0,"",AQ127)</f>
        <v>174</v>
      </c>
      <c r="S127" s="348">
        <f>IF(AR127="","",AR127)</f>
        <v>1</v>
      </c>
      <c r="T127" s="75">
        <f t="shared" ref="T127:T140" si="143">IF(AS127=0,"",AS127)</f>
        <v>168</v>
      </c>
      <c r="U127" s="348">
        <f>IF(AT127="","",AT127)</f>
        <v>0</v>
      </c>
      <c r="V127" s="75">
        <f t="shared" ref="V127:V140" si="144">IF(AU127=0,"",AU127)</f>
        <v>1521</v>
      </c>
      <c r="W127" s="348">
        <f>IF(AV127="","",AV127)</f>
        <v>6</v>
      </c>
      <c r="Z127" s="351" t="s">
        <v>0</v>
      </c>
      <c r="AA127" s="108" t="str">
        <f>IF(AB127=0,"",VLOOKUP(AB127,Starter!$A$1:$D$199,2,FALSE))</f>
        <v>Richter, Petra</v>
      </c>
      <c r="AB127" s="99">
        <v>21185</v>
      </c>
      <c r="AC127" s="185">
        <v>155</v>
      </c>
      <c r="AD127" s="109">
        <f>IF(SUM(AC127:AC129)+AC145=0,0,IF(SUM(AC127:AC129)=AC145,0.5,IF(SUM(AC127:AC129)&gt;AC145,1,0)))</f>
        <v>1</v>
      </c>
      <c r="AE127" s="185">
        <v>194</v>
      </c>
      <c r="AF127" s="109">
        <f>IF(SUM(AE127:AE129)+AE145=0,0,IF(SUM(AE127:AE129)=AE145,0.5,IF(SUM(AE127:AE129)&gt;AE145,1,0)))</f>
        <v>1</v>
      </c>
      <c r="AG127" s="185">
        <v>176</v>
      </c>
      <c r="AH127" s="109">
        <f>IF(SUM(AG127:AG129)+AG145=0,0,IF(SUM(AG127:AG129)=AG145,0.5,IF(SUM(AG127:AG129)&gt;AG145,1,0)))</f>
        <v>1</v>
      </c>
      <c r="AI127" s="185">
        <v>148</v>
      </c>
      <c r="AJ127" s="109">
        <f>IF(SUM(AI127:AI129)+AI145=0,0,IF(SUM(AI127:AI129)=AI145,0.5,IF(SUM(AI127:AI129)&gt;AI145,1,0)))</f>
        <v>0</v>
      </c>
      <c r="AK127" s="185">
        <v>171</v>
      </c>
      <c r="AL127" s="109">
        <f>IF(SUM(AK127:AK129)+AK145=0,0,IF(SUM(AK127:AK129)=AK145,0.5,IF(SUM(AK127:AK129)&gt;AK145,1,0)))</f>
        <v>1</v>
      </c>
      <c r="AM127" s="185">
        <v>175</v>
      </c>
      <c r="AN127" s="109">
        <f>IF(SUM(AM127:AM129)+AM145=0,0,IF(SUM(AM127:AM129)=AM145,0.5,IF(SUM(AM127:AM129)&gt;AM145,1,0)))</f>
        <v>1</v>
      </c>
      <c r="AO127" s="185">
        <v>160</v>
      </c>
      <c r="AP127" s="109">
        <f>IF(SUM(AO127:AO129)+AO145=0,0,IF(SUM(AO127:AO129)=AO145,0.5,IF(SUM(AO127:AO129)&gt;AO145,1,0)))</f>
        <v>0</v>
      </c>
      <c r="AQ127" s="185">
        <v>174</v>
      </c>
      <c r="AR127" s="109">
        <f>IF(SUM(AQ127:AQ129)+AQ145=0,0,IF(SUM(AQ127:AQ129)=AQ145,0.5,IF(SUM(AQ127:AQ129)&gt;AQ145,1,0)))</f>
        <v>1</v>
      </c>
      <c r="AS127" s="185">
        <v>168</v>
      </c>
      <c r="AT127" s="109">
        <f>IF(SUM(AS127:AS129)+AS145=0,0,IF(SUM(AS127:AS129)=AS145,0.5,IF(SUM(AS127:AS129)&gt;AS145,1,0)))</f>
        <v>0</v>
      </c>
      <c r="AU127" s="110">
        <f t="shared" ref="AU127:AU138" si="145">ABS(SUM(AC127:AC127))+ABS(SUM(AE127:AE127))+ABS(SUM(AG127:AG127))+ABS(SUM(AI127:AI127))+ABS(SUM(AK127:AK127))+ABS(SUM(AM127:AM127))+ABS(SUM(AO127:AO127))+ABS(SUM(AQ127:AQ127))+ABS(SUM(AS127:AS127))</f>
        <v>1521</v>
      </c>
      <c r="AV127" s="111">
        <f>SUM(AD127+AF127+AH127+AJ127+AL127+AN127+AP127+AR127+AT127)</f>
        <v>6</v>
      </c>
      <c r="AW127" s="101"/>
      <c r="AX127" s="102"/>
      <c r="AZ127" s="63"/>
      <c r="BA127" s="212"/>
      <c r="BB127" s="213"/>
      <c r="BC127" s="214"/>
      <c r="BD127" s="217">
        <f>+AB127</f>
        <v>21185</v>
      </c>
      <c r="BE127" s="213">
        <f>+AU127</f>
        <v>1521</v>
      </c>
      <c r="BF127" s="215">
        <f>COUNT(BH127:BP127)</f>
        <v>9</v>
      </c>
      <c r="BG127" s="215">
        <f>COUNTIF(BH127:BP127,"&gt;0")</f>
        <v>9</v>
      </c>
      <c r="BH127" s="215">
        <f t="shared" ref="BH127:BH138" si="146">IF(AC127=0,"",AC127)</f>
        <v>155</v>
      </c>
      <c r="BI127" s="215">
        <f t="shared" ref="BI127:BI138" si="147">IF(AE127=0,"",AE127)</f>
        <v>194</v>
      </c>
      <c r="BJ127" s="215">
        <f t="shared" ref="BJ127:BJ138" si="148">IF(AG127=0,"",AG127)</f>
        <v>176</v>
      </c>
      <c r="BK127" s="215">
        <f t="shared" ref="BK127:BK138" si="149">IF(AI127=0,"",AI127)</f>
        <v>148</v>
      </c>
      <c r="BL127" s="215">
        <f t="shared" ref="BL127:BL138" si="150">IF(AK127=0,"",AK127)</f>
        <v>171</v>
      </c>
      <c r="BM127" s="215">
        <f t="shared" ref="BM127:BM138" si="151">IF(AM127=0,"",AM127)</f>
        <v>175</v>
      </c>
      <c r="BN127" s="215">
        <f t="shared" ref="BN127:BN138" si="152">IF(AO127=0,"",AO127)</f>
        <v>160</v>
      </c>
      <c r="BO127" s="215">
        <f t="shared" ref="BO127:BO138" si="153">IF(AQ127=0,"",AQ127)</f>
        <v>174</v>
      </c>
      <c r="BP127" s="215">
        <f t="shared" ref="BP127:BP138" si="154">IF(AS127=0,"",AS127)</f>
        <v>168</v>
      </c>
      <c r="BQ127" s="216"/>
      <c r="BR127" s="214"/>
      <c r="BS127" s="215">
        <f>MAX(BH127:BP127)</f>
        <v>194</v>
      </c>
      <c r="BT127" s="215">
        <f>IF(BS127&lt;MAX(BS:BS),0,BS127+ROW()/1000000000)</f>
        <v>0</v>
      </c>
      <c r="BU127" s="215" t="str">
        <f>+AA123</f>
        <v xml:space="preserve">Weiß Blau Unterföhring </v>
      </c>
      <c r="BV127" s="214">
        <f>RANK(BT127,BT:BT)</f>
        <v>2</v>
      </c>
      <c r="BW127" s="215">
        <f>SUMIF(BH127:BP127,"&gt;0")</f>
        <v>1521</v>
      </c>
      <c r="BX127" s="215">
        <f>IF(COUNTIF(BH127:BP127,"&gt;0")&lt;Spielorte!$A$23,0,BE127/Spielorte!$A$23)</f>
        <v>169</v>
      </c>
      <c r="BY127" s="215">
        <f>IF(BX127&lt;MAX(BX:BX),0,BX127+ROW()/1000000000)</f>
        <v>0</v>
      </c>
      <c r="BZ127" s="214">
        <f t="shared" ref="BZ127:BZ138" si="155">IF(BY127=0,0,RANK(BY127,BY:BY))</f>
        <v>0</v>
      </c>
    </row>
    <row r="128" spans="1:78" ht="17.2" customHeight="1" x14ac:dyDescent="0.35">
      <c r="A128" s="368"/>
      <c r="B128" s="76" t="str">
        <f t="shared" ref="B128:D140" si="156">IF(AA128=0,"",AA128)</f>
        <v/>
      </c>
      <c r="C128" s="77" t="str">
        <f t="shared" si="156"/>
        <v/>
      </c>
      <c r="D128" s="78" t="str">
        <f t="shared" si="156"/>
        <v/>
      </c>
      <c r="E128" s="349"/>
      <c r="F128" s="78" t="str">
        <f t="shared" si="137"/>
        <v/>
      </c>
      <c r="G128" s="349"/>
      <c r="H128" s="78" t="str">
        <f t="shared" si="138"/>
        <v/>
      </c>
      <c r="I128" s="349"/>
      <c r="J128" s="78" t="str">
        <f t="shared" si="139"/>
        <v/>
      </c>
      <c r="K128" s="349"/>
      <c r="L128" s="78" t="str">
        <f t="shared" si="140"/>
        <v/>
      </c>
      <c r="M128" s="349"/>
      <c r="N128" s="78" t="str">
        <f t="shared" ref="N128:N140" si="157">IF(AM128=0,"",AM128)</f>
        <v/>
      </c>
      <c r="O128" s="349"/>
      <c r="P128" s="78" t="str">
        <f t="shared" si="141"/>
        <v/>
      </c>
      <c r="Q128" s="349"/>
      <c r="R128" s="78" t="str">
        <f t="shared" si="142"/>
        <v/>
      </c>
      <c r="S128" s="349"/>
      <c r="T128" s="78" t="str">
        <f t="shared" si="143"/>
        <v/>
      </c>
      <c r="U128" s="349"/>
      <c r="V128" s="78" t="str">
        <f t="shared" si="144"/>
        <v/>
      </c>
      <c r="W128" s="349"/>
      <c r="Z128" s="352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5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58">+AB128</f>
        <v>0</v>
      </c>
      <c r="BE128" s="213">
        <f t="shared" ref="BE128:BE138" si="159">+AU128</f>
        <v>0</v>
      </c>
      <c r="BF128" s="215">
        <f t="shared" ref="BF128:BF138" si="160">COUNT(BH128:BP128)</f>
        <v>0</v>
      </c>
      <c r="BG128" s="215">
        <f t="shared" ref="BG128:BG138" si="161">COUNTIF(BH128:BP128,"&gt;0")</f>
        <v>0</v>
      </c>
      <c r="BH128" s="215" t="str">
        <f t="shared" si="146"/>
        <v/>
      </c>
      <c r="BI128" s="215" t="str">
        <f t="shared" si="147"/>
        <v/>
      </c>
      <c r="BJ128" s="215" t="str">
        <f t="shared" si="148"/>
        <v/>
      </c>
      <c r="BK128" s="215" t="str">
        <f t="shared" si="149"/>
        <v/>
      </c>
      <c r="BL128" s="215" t="str">
        <f t="shared" si="150"/>
        <v/>
      </c>
      <c r="BM128" s="215" t="str">
        <f t="shared" si="151"/>
        <v/>
      </c>
      <c r="BN128" s="215" t="str">
        <f t="shared" si="152"/>
        <v/>
      </c>
      <c r="BO128" s="215" t="str">
        <f t="shared" si="153"/>
        <v/>
      </c>
      <c r="BP128" s="215" t="str">
        <f t="shared" si="154"/>
        <v/>
      </c>
      <c r="BQ128" s="216"/>
      <c r="BR128" s="214"/>
      <c r="BS128" s="215">
        <f t="shared" ref="BS128:BS138" si="162">MAX(BH128:BP128)</f>
        <v>0</v>
      </c>
      <c r="BT128" s="215">
        <f t="shared" ref="BT128:BT138" si="163">IF(BS128&lt;MAX(BS:BS),0,BS128+ROW()/1000000000)</f>
        <v>0</v>
      </c>
      <c r="BU128" s="215" t="str">
        <f t="shared" ref="BU128:BU138" si="164">+BU127</f>
        <v xml:space="preserve">Weiß Blau Unterföhring </v>
      </c>
      <c r="BV128" s="214">
        <f t="shared" ref="BV128:BV138" si="165">RANK(BT128,BT:BT)</f>
        <v>2</v>
      </c>
      <c r="BW128" s="215">
        <f t="shared" ref="BW128:BW138" si="166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7">IF(BX128&lt;MAX(BX:BX),0,BX128+ROW()/1000000000)</f>
        <v>0</v>
      </c>
      <c r="BZ128" s="214">
        <f t="shared" si="155"/>
        <v>0</v>
      </c>
    </row>
    <row r="129" spans="1:78" ht="17.2" customHeight="1" thickBot="1" x14ac:dyDescent="0.4">
      <c r="A129" s="369"/>
      <c r="B129" s="79" t="str">
        <f t="shared" si="156"/>
        <v/>
      </c>
      <c r="C129" s="80" t="str">
        <f t="shared" si="156"/>
        <v/>
      </c>
      <c r="D129" s="69" t="str">
        <f t="shared" si="156"/>
        <v/>
      </c>
      <c r="E129" s="350"/>
      <c r="F129" s="69" t="str">
        <f t="shared" si="137"/>
        <v/>
      </c>
      <c r="G129" s="350"/>
      <c r="H129" s="69" t="str">
        <f t="shared" si="138"/>
        <v/>
      </c>
      <c r="I129" s="350"/>
      <c r="J129" s="69" t="str">
        <f t="shared" si="139"/>
        <v/>
      </c>
      <c r="K129" s="350"/>
      <c r="L129" s="69" t="str">
        <f t="shared" si="140"/>
        <v/>
      </c>
      <c r="M129" s="350"/>
      <c r="N129" s="69" t="str">
        <f t="shared" si="157"/>
        <v/>
      </c>
      <c r="O129" s="350"/>
      <c r="P129" s="69" t="str">
        <f t="shared" si="141"/>
        <v/>
      </c>
      <c r="Q129" s="350"/>
      <c r="R129" s="69" t="str">
        <f t="shared" si="142"/>
        <v/>
      </c>
      <c r="S129" s="350"/>
      <c r="T129" s="69" t="str">
        <f t="shared" si="143"/>
        <v/>
      </c>
      <c r="U129" s="350"/>
      <c r="V129" s="69" t="str">
        <f t="shared" si="144"/>
        <v/>
      </c>
      <c r="W129" s="350"/>
      <c r="Z129" s="353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5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58"/>
        <v>0</v>
      </c>
      <c r="BE129" s="213">
        <f t="shared" si="159"/>
        <v>0</v>
      </c>
      <c r="BF129" s="215">
        <f t="shared" si="160"/>
        <v>0</v>
      </c>
      <c r="BG129" s="215">
        <f t="shared" si="161"/>
        <v>0</v>
      </c>
      <c r="BH129" s="215" t="str">
        <f t="shared" si="146"/>
        <v/>
      </c>
      <c r="BI129" s="215" t="str">
        <f t="shared" si="147"/>
        <v/>
      </c>
      <c r="BJ129" s="215" t="str">
        <f t="shared" si="148"/>
        <v/>
      </c>
      <c r="BK129" s="215" t="str">
        <f t="shared" si="149"/>
        <v/>
      </c>
      <c r="BL129" s="215" t="str">
        <f t="shared" si="150"/>
        <v/>
      </c>
      <c r="BM129" s="215" t="str">
        <f t="shared" si="151"/>
        <v/>
      </c>
      <c r="BN129" s="215" t="str">
        <f t="shared" si="152"/>
        <v/>
      </c>
      <c r="BO129" s="215" t="str">
        <f t="shared" si="153"/>
        <v/>
      </c>
      <c r="BP129" s="215" t="str">
        <f t="shared" si="154"/>
        <v/>
      </c>
      <c r="BQ129" s="216"/>
      <c r="BR129" s="214"/>
      <c r="BS129" s="215">
        <f t="shared" si="162"/>
        <v>0</v>
      </c>
      <c r="BT129" s="215">
        <f t="shared" si="163"/>
        <v>0</v>
      </c>
      <c r="BU129" s="215" t="str">
        <f t="shared" si="164"/>
        <v xml:space="preserve">Weiß Blau Unterföhring </v>
      </c>
      <c r="BV129" s="214">
        <f t="shared" si="165"/>
        <v>2</v>
      </c>
      <c r="BW129" s="215">
        <f t="shared" si="166"/>
        <v>0</v>
      </c>
      <c r="BX129" s="215">
        <f>IF(COUNTIF(BH129:BP129,"&gt;0")&lt;Spielorte!$A$23,0,BE129/Spielorte!$A$23)</f>
        <v>0</v>
      </c>
      <c r="BY129" s="215">
        <f t="shared" si="167"/>
        <v>0</v>
      </c>
      <c r="BZ129" s="214">
        <f t="shared" si="155"/>
        <v>0</v>
      </c>
    </row>
    <row r="130" spans="1:78" ht="17.2" customHeight="1" x14ac:dyDescent="0.35">
      <c r="A130" s="367" t="s">
        <v>2</v>
      </c>
      <c r="B130" s="73" t="str">
        <f t="shared" si="156"/>
        <v>Denz, Angelika</v>
      </c>
      <c r="C130" s="74">
        <f t="shared" si="156"/>
        <v>7431</v>
      </c>
      <c r="D130" s="75">
        <f t="shared" si="156"/>
        <v>164</v>
      </c>
      <c r="E130" s="348">
        <f>IF(AD130="","",AD130)</f>
        <v>0</v>
      </c>
      <c r="F130" s="75">
        <f t="shared" si="137"/>
        <v>168</v>
      </c>
      <c r="G130" s="348">
        <f>IF(AF130="","",AF130)</f>
        <v>0</v>
      </c>
      <c r="H130" s="75">
        <f t="shared" si="138"/>
        <v>138</v>
      </c>
      <c r="I130" s="348">
        <f>IF(AH130="","",AH130)</f>
        <v>0</v>
      </c>
      <c r="J130" s="75" t="str">
        <f t="shared" si="139"/>
        <v/>
      </c>
      <c r="K130" s="348">
        <f>IF(AJ130="","",AJ130)</f>
        <v>0</v>
      </c>
      <c r="L130" s="75" t="str">
        <f t="shared" si="140"/>
        <v/>
      </c>
      <c r="M130" s="348">
        <f>IF(AL130="","",AL130)</f>
        <v>1</v>
      </c>
      <c r="N130" s="75" t="str">
        <f t="shared" si="157"/>
        <v/>
      </c>
      <c r="O130" s="348">
        <f>IF(AN130="","",AN130)</f>
        <v>0</v>
      </c>
      <c r="P130" s="75" t="str">
        <f t="shared" si="141"/>
        <v/>
      </c>
      <c r="Q130" s="348">
        <f>IF(AP130="","",AP130)</f>
        <v>0</v>
      </c>
      <c r="R130" s="75" t="str">
        <f t="shared" si="142"/>
        <v/>
      </c>
      <c r="S130" s="348">
        <f>IF(AR130="","",AR130)</f>
        <v>1</v>
      </c>
      <c r="T130" s="75" t="str">
        <f t="shared" si="143"/>
        <v/>
      </c>
      <c r="U130" s="348">
        <f>IF(AT130="","",AT130)</f>
        <v>0</v>
      </c>
      <c r="V130" s="75">
        <f t="shared" si="144"/>
        <v>470</v>
      </c>
      <c r="W130" s="348">
        <f>IF(AV130="","",AV130)</f>
        <v>2</v>
      </c>
      <c r="Z130" s="351" t="s">
        <v>2</v>
      </c>
      <c r="AA130" s="108" t="str">
        <f>IF(AB130=0,"",VLOOKUP(AB130,Starter!$A$1:$D$199,2,FALSE))</f>
        <v>Denz, Angelika</v>
      </c>
      <c r="AB130" s="99">
        <v>7431</v>
      </c>
      <c r="AC130" s="188">
        <v>164</v>
      </c>
      <c r="AD130" s="109">
        <f>IF(SUM(AC130:AC132)+AC146=0,0,IF(SUM(AC130:AC132)=AC146,0.5,IF(SUM(AC130:AC132)&gt;AC146,1,0)))</f>
        <v>0</v>
      </c>
      <c r="AE130" s="188">
        <v>168</v>
      </c>
      <c r="AF130" s="109">
        <f>IF(SUM(AE130:AE132)+AE146=0,0,IF(SUM(AE130:AE132)=AE146,0.5,IF(SUM(AE130:AE132)&gt;AE146,1,0)))</f>
        <v>0</v>
      </c>
      <c r="AG130" s="188">
        <v>138</v>
      </c>
      <c r="AH130" s="109">
        <f>IF(SUM(AG130:AG132)+AG146=0,0,IF(SUM(AG130:AG132)=AG146,0.5,IF(SUM(AG130:AG132)&gt;AG146,1,0)))</f>
        <v>0</v>
      </c>
      <c r="AI130" s="188"/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1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1</v>
      </c>
      <c r="AS130" s="188"/>
      <c r="AT130" s="109">
        <f>IF(SUM(AS130:AS132)+AS146=0,0,IF(SUM(AS130:AS132)=AS146,0.5,IF(SUM(AS130:AS132)&gt;AS146,1,0)))</f>
        <v>0</v>
      </c>
      <c r="AU130" s="110">
        <f t="shared" si="145"/>
        <v>470</v>
      </c>
      <c r="AV130" s="111">
        <f>SUM(AD130+AF130+AH130+AJ130+AL130+AN130+AP130+AR130+AT130)</f>
        <v>2</v>
      </c>
      <c r="AW130" s="101"/>
      <c r="AX130" s="102"/>
      <c r="AZ130" s="63"/>
      <c r="BA130" s="212"/>
      <c r="BB130" s="213"/>
      <c r="BC130" s="214"/>
      <c r="BD130" s="217">
        <f t="shared" si="158"/>
        <v>7431</v>
      </c>
      <c r="BE130" s="213">
        <f t="shared" si="159"/>
        <v>470</v>
      </c>
      <c r="BF130" s="215">
        <f t="shared" si="160"/>
        <v>3</v>
      </c>
      <c r="BG130" s="215">
        <f t="shared" si="161"/>
        <v>3</v>
      </c>
      <c r="BH130" s="215">
        <f t="shared" si="146"/>
        <v>164</v>
      </c>
      <c r="BI130" s="215">
        <f t="shared" si="147"/>
        <v>168</v>
      </c>
      <c r="BJ130" s="215">
        <f t="shared" si="148"/>
        <v>138</v>
      </c>
      <c r="BK130" s="215" t="str">
        <f t="shared" si="149"/>
        <v/>
      </c>
      <c r="BL130" s="215" t="str">
        <f t="shared" si="150"/>
        <v/>
      </c>
      <c r="BM130" s="215" t="str">
        <f t="shared" si="151"/>
        <v/>
      </c>
      <c r="BN130" s="215" t="str">
        <f t="shared" si="152"/>
        <v/>
      </c>
      <c r="BO130" s="215" t="str">
        <f t="shared" si="153"/>
        <v/>
      </c>
      <c r="BP130" s="215" t="str">
        <f t="shared" si="154"/>
        <v/>
      </c>
      <c r="BQ130" s="216"/>
      <c r="BR130" s="214"/>
      <c r="BS130" s="215">
        <f t="shared" si="162"/>
        <v>168</v>
      </c>
      <c r="BT130" s="215">
        <f t="shared" si="163"/>
        <v>0</v>
      </c>
      <c r="BU130" s="215" t="str">
        <f t="shared" si="164"/>
        <v xml:space="preserve">Weiß Blau Unterföhring </v>
      </c>
      <c r="BV130" s="214">
        <f t="shared" si="165"/>
        <v>2</v>
      </c>
      <c r="BW130" s="215">
        <f t="shared" si="166"/>
        <v>470</v>
      </c>
      <c r="BX130" s="215">
        <f>IF(COUNTIF(BH130:BP130,"&gt;0")&lt;Spielorte!$A$23,0,BE130/Spielorte!$A$23)</f>
        <v>0</v>
      </c>
      <c r="BY130" s="215">
        <f t="shared" si="167"/>
        <v>0</v>
      </c>
      <c r="BZ130" s="214">
        <f t="shared" si="155"/>
        <v>0</v>
      </c>
    </row>
    <row r="131" spans="1:78" ht="17.2" customHeight="1" x14ac:dyDescent="0.35">
      <c r="A131" s="368"/>
      <c r="B131" s="76" t="str">
        <f t="shared" si="156"/>
        <v>Zehner, Gabriele</v>
      </c>
      <c r="C131" s="77">
        <f t="shared" si="156"/>
        <v>7551</v>
      </c>
      <c r="D131" s="78" t="str">
        <f t="shared" si="156"/>
        <v/>
      </c>
      <c r="E131" s="349"/>
      <c r="F131" s="78" t="str">
        <f t="shared" si="137"/>
        <v/>
      </c>
      <c r="G131" s="349"/>
      <c r="H131" s="78" t="str">
        <f t="shared" si="138"/>
        <v/>
      </c>
      <c r="I131" s="349"/>
      <c r="J131" s="78">
        <f t="shared" si="139"/>
        <v>135</v>
      </c>
      <c r="K131" s="349"/>
      <c r="L131" s="78">
        <f t="shared" si="140"/>
        <v>202</v>
      </c>
      <c r="M131" s="349"/>
      <c r="N131" s="78">
        <f t="shared" si="157"/>
        <v>170</v>
      </c>
      <c r="O131" s="349"/>
      <c r="P131" s="78" t="str">
        <f t="shared" si="141"/>
        <v/>
      </c>
      <c r="Q131" s="349"/>
      <c r="R131" s="78" t="str">
        <f t="shared" si="142"/>
        <v/>
      </c>
      <c r="S131" s="349"/>
      <c r="T131" s="78" t="str">
        <f t="shared" si="143"/>
        <v/>
      </c>
      <c r="U131" s="349"/>
      <c r="V131" s="78">
        <f t="shared" si="144"/>
        <v>507</v>
      </c>
      <c r="W131" s="349"/>
      <c r="Z131" s="352"/>
      <c r="AA131" s="108" t="str">
        <f>IF(AB131=0,"",VLOOKUP(AB131,Starter!$A$1:$D$199,2,FALSE))</f>
        <v>Zehner, Gabriele</v>
      </c>
      <c r="AB131" s="98">
        <v>7551</v>
      </c>
      <c r="AC131" s="186"/>
      <c r="AD131" s="112"/>
      <c r="AE131" s="186"/>
      <c r="AF131" s="112"/>
      <c r="AG131" s="186"/>
      <c r="AH131" s="112"/>
      <c r="AI131" s="186">
        <v>135</v>
      </c>
      <c r="AJ131" s="112"/>
      <c r="AK131" s="186">
        <v>202</v>
      </c>
      <c r="AL131" s="112"/>
      <c r="AM131" s="186">
        <v>170</v>
      </c>
      <c r="AN131" s="112"/>
      <c r="AO131" s="190"/>
      <c r="AP131" s="112"/>
      <c r="AQ131" s="190"/>
      <c r="AR131" s="112"/>
      <c r="AS131" s="190"/>
      <c r="AT131" s="112"/>
      <c r="AU131" s="113">
        <f t="shared" si="145"/>
        <v>507</v>
      </c>
      <c r="AV131" s="114"/>
      <c r="AW131" s="101"/>
      <c r="AX131" s="102"/>
      <c r="AZ131" s="63"/>
      <c r="BA131" s="212"/>
      <c r="BB131" s="213"/>
      <c r="BC131" s="214"/>
      <c r="BD131" s="217">
        <f t="shared" si="158"/>
        <v>7551</v>
      </c>
      <c r="BE131" s="213">
        <f t="shared" si="159"/>
        <v>507</v>
      </c>
      <c r="BF131" s="215">
        <f t="shared" si="160"/>
        <v>3</v>
      </c>
      <c r="BG131" s="215">
        <f t="shared" si="161"/>
        <v>3</v>
      </c>
      <c r="BH131" s="215" t="str">
        <f t="shared" si="146"/>
        <v/>
      </c>
      <c r="BI131" s="215" t="str">
        <f t="shared" si="147"/>
        <v/>
      </c>
      <c r="BJ131" s="215" t="str">
        <f t="shared" si="148"/>
        <v/>
      </c>
      <c r="BK131" s="215">
        <f t="shared" si="149"/>
        <v>135</v>
      </c>
      <c r="BL131" s="215">
        <f t="shared" si="150"/>
        <v>202</v>
      </c>
      <c r="BM131" s="215">
        <f t="shared" si="151"/>
        <v>170</v>
      </c>
      <c r="BN131" s="215" t="str">
        <f t="shared" si="152"/>
        <v/>
      </c>
      <c r="BO131" s="215" t="str">
        <f t="shared" si="153"/>
        <v/>
      </c>
      <c r="BP131" s="215" t="str">
        <f t="shared" si="154"/>
        <v/>
      </c>
      <c r="BQ131" s="216"/>
      <c r="BR131" s="214"/>
      <c r="BS131" s="215">
        <f t="shared" si="162"/>
        <v>202</v>
      </c>
      <c r="BT131" s="215">
        <f t="shared" si="163"/>
        <v>0</v>
      </c>
      <c r="BU131" s="215" t="str">
        <f t="shared" si="164"/>
        <v xml:space="preserve">Weiß Blau Unterföhring </v>
      </c>
      <c r="BV131" s="214">
        <f t="shared" si="165"/>
        <v>2</v>
      </c>
      <c r="BW131" s="215">
        <f t="shared" si="166"/>
        <v>507</v>
      </c>
      <c r="BX131" s="215">
        <f>IF(COUNTIF(BH131:BP131,"&gt;0")&lt;Spielorte!$A$23,0,BE131/Spielorte!$A$23)</f>
        <v>0</v>
      </c>
      <c r="BY131" s="215">
        <f t="shared" si="167"/>
        <v>0</v>
      </c>
      <c r="BZ131" s="214">
        <f t="shared" si="155"/>
        <v>0</v>
      </c>
    </row>
    <row r="132" spans="1:78" ht="17.2" customHeight="1" thickBot="1" x14ac:dyDescent="0.4">
      <c r="A132" s="369"/>
      <c r="B132" s="79" t="str">
        <f t="shared" si="156"/>
        <v>Dornacher, Hannelore</v>
      </c>
      <c r="C132" s="80">
        <f t="shared" si="156"/>
        <v>16414</v>
      </c>
      <c r="D132" s="69" t="str">
        <f t="shared" si="156"/>
        <v/>
      </c>
      <c r="E132" s="350"/>
      <c r="F132" s="69" t="str">
        <f t="shared" si="137"/>
        <v/>
      </c>
      <c r="G132" s="350"/>
      <c r="H132" s="69" t="str">
        <f t="shared" si="138"/>
        <v/>
      </c>
      <c r="I132" s="350"/>
      <c r="J132" s="69" t="str">
        <f t="shared" si="139"/>
        <v/>
      </c>
      <c r="K132" s="350"/>
      <c r="L132" s="69" t="str">
        <f t="shared" si="140"/>
        <v/>
      </c>
      <c r="M132" s="350"/>
      <c r="N132" s="69" t="str">
        <f t="shared" si="157"/>
        <v/>
      </c>
      <c r="O132" s="350"/>
      <c r="P132" s="69">
        <f t="shared" si="141"/>
        <v>176</v>
      </c>
      <c r="Q132" s="350"/>
      <c r="R132" s="69">
        <f t="shared" si="142"/>
        <v>173</v>
      </c>
      <c r="S132" s="350"/>
      <c r="T132" s="69">
        <f t="shared" si="143"/>
        <v>141</v>
      </c>
      <c r="U132" s="350"/>
      <c r="V132" s="69">
        <f t="shared" si="144"/>
        <v>490</v>
      </c>
      <c r="W132" s="350"/>
      <c r="Z132" s="353"/>
      <c r="AA132" s="118" t="str">
        <f>IF(AB132=0,"",VLOOKUP(AB132,Starter!$A$1:$D$199,2,FALSE))</f>
        <v>Dornacher, Hannelore</v>
      </c>
      <c r="AB132" s="100">
        <v>16414</v>
      </c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>
        <v>176</v>
      </c>
      <c r="AP132" s="119"/>
      <c r="AQ132" s="189">
        <v>173</v>
      </c>
      <c r="AR132" s="119"/>
      <c r="AS132" s="189">
        <v>141</v>
      </c>
      <c r="AT132" s="119"/>
      <c r="AU132" s="116">
        <f t="shared" si="145"/>
        <v>490</v>
      </c>
      <c r="AV132" s="117"/>
      <c r="AW132" s="101"/>
      <c r="AX132" s="102"/>
      <c r="AZ132" s="63"/>
      <c r="BA132" s="212"/>
      <c r="BB132" s="213"/>
      <c r="BC132" s="214"/>
      <c r="BD132" s="217">
        <f t="shared" si="158"/>
        <v>16414</v>
      </c>
      <c r="BE132" s="213">
        <f t="shared" si="159"/>
        <v>490</v>
      </c>
      <c r="BF132" s="215">
        <f t="shared" si="160"/>
        <v>3</v>
      </c>
      <c r="BG132" s="215">
        <f t="shared" si="161"/>
        <v>3</v>
      </c>
      <c r="BH132" s="215" t="str">
        <f t="shared" si="146"/>
        <v/>
      </c>
      <c r="BI132" s="215" t="str">
        <f t="shared" si="147"/>
        <v/>
      </c>
      <c r="BJ132" s="215" t="str">
        <f t="shared" si="148"/>
        <v/>
      </c>
      <c r="BK132" s="215" t="str">
        <f t="shared" si="149"/>
        <v/>
      </c>
      <c r="BL132" s="215" t="str">
        <f t="shared" si="150"/>
        <v/>
      </c>
      <c r="BM132" s="215" t="str">
        <f t="shared" si="151"/>
        <v/>
      </c>
      <c r="BN132" s="215">
        <f t="shared" si="152"/>
        <v>176</v>
      </c>
      <c r="BO132" s="215">
        <f t="shared" si="153"/>
        <v>173</v>
      </c>
      <c r="BP132" s="215">
        <f t="shared" si="154"/>
        <v>141</v>
      </c>
      <c r="BQ132" s="216"/>
      <c r="BR132" s="214"/>
      <c r="BS132" s="215">
        <f t="shared" si="162"/>
        <v>176</v>
      </c>
      <c r="BT132" s="215">
        <f t="shared" si="163"/>
        <v>0</v>
      </c>
      <c r="BU132" s="215" t="str">
        <f t="shared" si="164"/>
        <v xml:space="preserve">Weiß Blau Unterföhring </v>
      </c>
      <c r="BV132" s="214">
        <f t="shared" si="165"/>
        <v>2</v>
      </c>
      <c r="BW132" s="215">
        <f t="shared" si="166"/>
        <v>490</v>
      </c>
      <c r="BX132" s="215">
        <f>IF(COUNTIF(BH132:BP132,"&gt;0")&lt;Spielorte!$A$23,0,BE132/Spielorte!$A$23)</f>
        <v>0</v>
      </c>
      <c r="BY132" s="215">
        <f t="shared" si="167"/>
        <v>0</v>
      </c>
      <c r="BZ132" s="214">
        <f t="shared" si="155"/>
        <v>0</v>
      </c>
    </row>
    <row r="133" spans="1:78" ht="17.2" customHeight="1" x14ac:dyDescent="0.35">
      <c r="A133" s="367" t="s">
        <v>3</v>
      </c>
      <c r="B133" s="73" t="str">
        <f t="shared" si="156"/>
        <v>Dornacher, Hannelore</v>
      </c>
      <c r="C133" s="74">
        <f t="shared" si="156"/>
        <v>16414</v>
      </c>
      <c r="D133" s="75">
        <f t="shared" si="156"/>
        <v>156</v>
      </c>
      <c r="E133" s="348">
        <f>IF(AD133="","",AD133)</f>
        <v>1</v>
      </c>
      <c r="F133" s="75">
        <f t="shared" si="137"/>
        <v>178</v>
      </c>
      <c r="G133" s="348">
        <f>IF(AF133="","",AF133)</f>
        <v>0</v>
      </c>
      <c r="H133" s="75">
        <f t="shared" si="138"/>
        <v>149</v>
      </c>
      <c r="I133" s="348">
        <f>IF(AH133="","",AH133)</f>
        <v>0</v>
      </c>
      <c r="J133" s="75">
        <f t="shared" si="139"/>
        <v>203</v>
      </c>
      <c r="K133" s="348">
        <f>IF(AJ133="","",AJ133)</f>
        <v>1</v>
      </c>
      <c r="L133" s="75" t="str">
        <f t="shared" si="140"/>
        <v/>
      </c>
      <c r="M133" s="348">
        <f>IF(AL133="","",AL133)</f>
        <v>0</v>
      </c>
      <c r="N133" s="75" t="str">
        <f t="shared" si="157"/>
        <v/>
      </c>
      <c r="O133" s="348">
        <f>IF(AN133="","",AN133)</f>
        <v>1</v>
      </c>
      <c r="P133" s="75" t="str">
        <f t="shared" si="141"/>
        <v/>
      </c>
      <c r="Q133" s="348">
        <f>IF(AP133="","",AP133)</f>
        <v>0</v>
      </c>
      <c r="R133" s="75" t="str">
        <f t="shared" si="142"/>
        <v/>
      </c>
      <c r="S133" s="348">
        <f>IF(AR133="","",AR133)</f>
        <v>1</v>
      </c>
      <c r="T133" s="75" t="str">
        <f t="shared" si="143"/>
        <v/>
      </c>
      <c r="U133" s="348">
        <f>IF(AT133="","",AT133)</f>
        <v>0</v>
      </c>
      <c r="V133" s="75">
        <f t="shared" si="144"/>
        <v>686</v>
      </c>
      <c r="W133" s="348">
        <f>IF(AV133="","",AV133)</f>
        <v>4</v>
      </c>
      <c r="Z133" s="351" t="s">
        <v>3</v>
      </c>
      <c r="AA133" s="108" t="str">
        <f>IF(AB133=0,"",VLOOKUP(AB133,Starter!$A$1:$D$199,2,FALSE))</f>
        <v>Dornacher, Hannelore</v>
      </c>
      <c r="AB133" s="99">
        <v>16414</v>
      </c>
      <c r="AC133" s="188">
        <v>156</v>
      </c>
      <c r="AD133" s="109">
        <f>IF(SUM(AC133:AC135)+AC147=0,0,IF(SUM(AC133:AC135)=AC147,0.5,IF(SUM(AC133:AC135)&gt;AC147,1,0)))</f>
        <v>1</v>
      </c>
      <c r="AE133" s="188">
        <v>178</v>
      </c>
      <c r="AF133" s="109">
        <f>IF(SUM(AE133:AE135)+AE147=0,0,IF(SUM(AE133:AE135)=AE147,0.5,IF(SUM(AE133:AE135)&gt;AE147,1,0)))</f>
        <v>0</v>
      </c>
      <c r="AG133" s="188">
        <v>149</v>
      </c>
      <c r="AH133" s="109">
        <f>IF(SUM(AG133:AG135)+AG147=0,0,IF(SUM(AG133:AG135)=AG147,0.5,IF(SUM(AG133:AG135)&gt;AG147,1,0)))</f>
        <v>0</v>
      </c>
      <c r="AI133" s="188">
        <v>203</v>
      </c>
      <c r="AJ133" s="109">
        <f>IF(SUM(AI133:AI135)+AI147=0,0,IF(SUM(AI133:AI135)=AI147,0.5,IF(SUM(AI133:AI135)&gt;AI147,1,0)))</f>
        <v>1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1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1</v>
      </c>
      <c r="AS133" s="188"/>
      <c r="AT133" s="109">
        <f>IF(SUM(AS133:AS135)+AS147=0,0,IF(SUM(AS133:AS135)=AS147,0.5,IF(SUM(AS133:AS135)&gt;AS147,1,0)))</f>
        <v>0</v>
      </c>
      <c r="AU133" s="110">
        <f t="shared" si="145"/>
        <v>686</v>
      </c>
      <c r="AV133" s="111">
        <f>SUM(AD133+AF133+AH133+AJ133+AL133+AN133+AP133+AR133+AT133)</f>
        <v>4</v>
      </c>
      <c r="AW133" s="101"/>
      <c r="AX133" s="102"/>
      <c r="AZ133" s="63"/>
      <c r="BA133" s="212"/>
      <c r="BB133" s="213"/>
      <c r="BC133" s="214"/>
      <c r="BD133" s="217">
        <f t="shared" si="158"/>
        <v>16414</v>
      </c>
      <c r="BE133" s="213">
        <f t="shared" si="159"/>
        <v>686</v>
      </c>
      <c r="BF133" s="215">
        <f t="shared" si="160"/>
        <v>4</v>
      </c>
      <c r="BG133" s="215">
        <f t="shared" si="161"/>
        <v>4</v>
      </c>
      <c r="BH133" s="215">
        <f t="shared" si="146"/>
        <v>156</v>
      </c>
      <c r="BI133" s="215">
        <f t="shared" si="147"/>
        <v>178</v>
      </c>
      <c r="BJ133" s="215">
        <f t="shared" si="148"/>
        <v>149</v>
      </c>
      <c r="BK133" s="215">
        <f t="shared" si="149"/>
        <v>203</v>
      </c>
      <c r="BL133" s="215" t="str">
        <f t="shared" si="150"/>
        <v/>
      </c>
      <c r="BM133" s="215" t="str">
        <f t="shared" si="151"/>
        <v/>
      </c>
      <c r="BN133" s="215" t="str">
        <f t="shared" si="152"/>
        <v/>
      </c>
      <c r="BO133" s="215" t="str">
        <f t="shared" si="153"/>
        <v/>
      </c>
      <c r="BP133" s="215" t="str">
        <f t="shared" si="154"/>
        <v/>
      </c>
      <c r="BQ133" s="216"/>
      <c r="BR133" s="214"/>
      <c r="BS133" s="215">
        <f t="shared" si="162"/>
        <v>203</v>
      </c>
      <c r="BT133" s="215">
        <f t="shared" si="163"/>
        <v>0</v>
      </c>
      <c r="BU133" s="215" t="str">
        <f t="shared" si="164"/>
        <v xml:space="preserve">Weiß Blau Unterföhring </v>
      </c>
      <c r="BV133" s="214">
        <f t="shared" si="165"/>
        <v>2</v>
      </c>
      <c r="BW133" s="215">
        <f t="shared" si="166"/>
        <v>686</v>
      </c>
      <c r="BX133" s="215">
        <f>IF(COUNTIF(BH133:BP133,"&gt;0")&lt;Spielorte!$A$23,0,BE133/Spielorte!$A$23)</f>
        <v>0</v>
      </c>
      <c r="BY133" s="215">
        <f t="shared" si="167"/>
        <v>0</v>
      </c>
      <c r="BZ133" s="214">
        <f t="shared" si="155"/>
        <v>0</v>
      </c>
    </row>
    <row r="134" spans="1:78" ht="17.2" customHeight="1" x14ac:dyDescent="0.35">
      <c r="A134" s="368"/>
      <c r="B134" s="76" t="str">
        <f t="shared" si="156"/>
        <v>Denz, Angelika</v>
      </c>
      <c r="C134" s="77">
        <f t="shared" si="156"/>
        <v>7431</v>
      </c>
      <c r="D134" s="78" t="str">
        <f t="shared" si="156"/>
        <v/>
      </c>
      <c r="E134" s="349"/>
      <c r="F134" s="78" t="str">
        <f t="shared" si="137"/>
        <v/>
      </c>
      <c r="G134" s="349"/>
      <c r="H134" s="78" t="str">
        <f t="shared" si="138"/>
        <v/>
      </c>
      <c r="I134" s="349"/>
      <c r="J134" s="78" t="str">
        <f t="shared" si="139"/>
        <v/>
      </c>
      <c r="K134" s="349"/>
      <c r="L134" s="78">
        <f t="shared" si="140"/>
        <v>147</v>
      </c>
      <c r="M134" s="349"/>
      <c r="N134" s="78">
        <f t="shared" si="157"/>
        <v>197</v>
      </c>
      <c r="O134" s="349"/>
      <c r="P134" s="78">
        <f t="shared" si="141"/>
        <v>151</v>
      </c>
      <c r="Q134" s="349"/>
      <c r="R134" s="78">
        <f t="shared" si="142"/>
        <v>152</v>
      </c>
      <c r="S134" s="349"/>
      <c r="T134" s="78">
        <f t="shared" si="143"/>
        <v>158</v>
      </c>
      <c r="U134" s="349"/>
      <c r="V134" s="78">
        <f t="shared" si="144"/>
        <v>805</v>
      </c>
      <c r="W134" s="349"/>
      <c r="Z134" s="352"/>
      <c r="AA134" s="108" t="str">
        <f>IF(AB134=0,"",VLOOKUP(AB134,Starter!$A$1:$D$199,2,FALSE))</f>
        <v>Denz, Angelika</v>
      </c>
      <c r="AB134" s="98">
        <v>7431</v>
      </c>
      <c r="AC134" s="186"/>
      <c r="AD134" s="112"/>
      <c r="AE134" s="186"/>
      <c r="AF134" s="112"/>
      <c r="AG134" s="186"/>
      <c r="AH134" s="112"/>
      <c r="AI134" s="186"/>
      <c r="AJ134" s="112"/>
      <c r="AK134" s="186">
        <v>147</v>
      </c>
      <c r="AL134" s="112"/>
      <c r="AM134" s="186">
        <v>197</v>
      </c>
      <c r="AN134" s="112"/>
      <c r="AO134" s="186">
        <v>151</v>
      </c>
      <c r="AP134" s="112"/>
      <c r="AQ134" s="186">
        <v>152</v>
      </c>
      <c r="AR134" s="112"/>
      <c r="AS134" s="186">
        <v>158</v>
      </c>
      <c r="AT134" s="112"/>
      <c r="AU134" s="113">
        <f t="shared" si="145"/>
        <v>805</v>
      </c>
      <c r="AV134" s="114"/>
      <c r="AW134" s="101"/>
      <c r="AX134" s="102"/>
      <c r="AZ134" s="63"/>
      <c r="BA134" s="212"/>
      <c r="BB134" s="213"/>
      <c r="BC134" s="214"/>
      <c r="BD134" s="217">
        <f t="shared" si="158"/>
        <v>7431</v>
      </c>
      <c r="BE134" s="213">
        <f t="shared" si="159"/>
        <v>805</v>
      </c>
      <c r="BF134" s="215">
        <f t="shared" si="160"/>
        <v>5</v>
      </c>
      <c r="BG134" s="215">
        <f t="shared" si="161"/>
        <v>5</v>
      </c>
      <c r="BH134" s="215" t="str">
        <f t="shared" si="146"/>
        <v/>
      </c>
      <c r="BI134" s="215" t="str">
        <f t="shared" si="147"/>
        <v/>
      </c>
      <c r="BJ134" s="215" t="str">
        <f t="shared" si="148"/>
        <v/>
      </c>
      <c r="BK134" s="215" t="str">
        <f t="shared" si="149"/>
        <v/>
      </c>
      <c r="BL134" s="215">
        <f t="shared" si="150"/>
        <v>147</v>
      </c>
      <c r="BM134" s="215">
        <f t="shared" si="151"/>
        <v>197</v>
      </c>
      <c r="BN134" s="215">
        <f t="shared" si="152"/>
        <v>151</v>
      </c>
      <c r="BO134" s="215">
        <f t="shared" si="153"/>
        <v>152</v>
      </c>
      <c r="BP134" s="215">
        <f t="shared" si="154"/>
        <v>158</v>
      </c>
      <c r="BQ134" s="216"/>
      <c r="BR134" s="214"/>
      <c r="BS134" s="215">
        <f t="shared" si="162"/>
        <v>197</v>
      </c>
      <c r="BT134" s="215">
        <f t="shared" si="163"/>
        <v>0</v>
      </c>
      <c r="BU134" s="215" t="str">
        <f t="shared" si="164"/>
        <v xml:space="preserve">Weiß Blau Unterföhring </v>
      </c>
      <c r="BV134" s="214">
        <f t="shared" si="165"/>
        <v>2</v>
      </c>
      <c r="BW134" s="215">
        <f t="shared" si="166"/>
        <v>805</v>
      </c>
      <c r="BX134" s="215">
        <f>IF(COUNTIF(BH134:BP134,"&gt;0")&lt;Spielorte!$A$23,0,BE134/Spielorte!$A$23)</f>
        <v>0</v>
      </c>
      <c r="BY134" s="215">
        <f t="shared" si="167"/>
        <v>0</v>
      </c>
      <c r="BZ134" s="214">
        <f t="shared" si="155"/>
        <v>0</v>
      </c>
    </row>
    <row r="135" spans="1:78" ht="17.2" customHeight="1" thickBot="1" x14ac:dyDescent="0.4">
      <c r="A135" s="369"/>
      <c r="B135" s="79" t="str">
        <f t="shared" si="156"/>
        <v/>
      </c>
      <c r="C135" s="80" t="str">
        <f t="shared" si="156"/>
        <v/>
      </c>
      <c r="D135" s="69" t="str">
        <f t="shared" si="156"/>
        <v/>
      </c>
      <c r="E135" s="350"/>
      <c r="F135" s="69" t="str">
        <f t="shared" si="137"/>
        <v/>
      </c>
      <c r="G135" s="350"/>
      <c r="H135" s="69" t="str">
        <f t="shared" si="138"/>
        <v/>
      </c>
      <c r="I135" s="350"/>
      <c r="J135" s="69" t="str">
        <f t="shared" si="139"/>
        <v/>
      </c>
      <c r="K135" s="350"/>
      <c r="L135" s="69" t="str">
        <f t="shared" si="140"/>
        <v/>
      </c>
      <c r="M135" s="350"/>
      <c r="N135" s="69" t="str">
        <f t="shared" si="157"/>
        <v/>
      </c>
      <c r="O135" s="350"/>
      <c r="P135" s="69" t="str">
        <f t="shared" si="141"/>
        <v/>
      </c>
      <c r="Q135" s="350"/>
      <c r="R135" s="69" t="str">
        <f t="shared" si="142"/>
        <v/>
      </c>
      <c r="S135" s="350"/>
      <c r="T135" s="69" t="str">
        <f t="shared" si="143"/>
        <v/>
      </c>
      <c r="U135" s="350"/>
      <c r="V135" s="69" t="str">
        <f t="shared" si="144"/>
        <v/>
      </c>
      <c r="W135" s="350"/>
      <c r="Z135" s="353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5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58"/>
        <v>0</v>
      </c>
      <c r="BE135" s="213">
        <f t="shared" si="159"/>
        <v>0</v>
      </c>
      <c r="BF135" s="215">
        <f t="shared" si="160"/>
        <v>0</v>
      </c>
      <c r="BG135" s="215">
        <f t="shared" si="161"/>
        <v>0</v>
      </c>
      <c r="BH135" s="215" t="str">
        <f t="shared" si="146"/>
        <v/>
      </c>
      <c r="BI135" s="215" t="str">
        <f t="shared" si="147"/>
        <v/>
      </c>
      <c r="BJ135" s="215" t="str">
        <f t="shared" si="148"/>
        <v/>
      </c>
      <c r="BK135" s="215" t="str">
        <f t="shared" si="149"/>
        <v/>
      </c>
      <c r="BL135" s="215" t="str">
        <f t="shared" si="150"/>
        <v/>
      </c>
      <c r="BM135" s="215" t="str">
        <f t="shared" si="151"/>
        <v/>
      </c>
      <c r="BN135" s="215" t="str">
        <f t="shared" si="152"/>
        <v/>
      </c>
      <c r="BO135" s="215" t="str">
        <f t="shared" si="153"/>
        <v/>
      </c>
      <c r="BP135" s="215" t="str">
        <f t="shared" si="154"/>
        <v/>
      </c>
      <c r="BQ135" s="216"/>
      <c r="BR135" s="214"/>
      <c r="BS135" s="215">
        <f t="shared" si="162"/>
        <v>0</v>
      </c>
      <c r="BT135" s="215">
        <f t="shared" si="163"/>
        <v>0</v>
      </c>
      <c r="BU135" s="215" t="str">
        <f t="shared" si="164"/>
        <v xml:space="preserve">Weiß Blau Unterföhring </v>
      </c>
      <c r="BV135" s="214">
        <f t="shared" si="165"/>
        <v>2</v>
      </c>
      <c r="BW135" s="215">
        <f t="shared" si="166"/>
        <v>0</v>
      </c>
      <c r="BX135" s="215">
        <f>IF(COUNTIF(BH135:BP135,"&gt;0")&lt;Spielorte!$A$23,0,BE135/Spielorte!$A$23)</f>
        <v>0</v>
      </c>
      <c r="BY135" s="215">
        <f t="shared" si="167"/>
        <v>0</v>
      </c>
      <c r="BZ135" s="214">
        <f t="shared" si="155"/>
        <v>0</v>
      </c>
    </row>
    <row r="136" spans="1:78" ht="17.2" customHeight="1" x14ac:dyDescent="0.35">
      <c r="A136" s="367" t="s">
        <v>11</v>
      </c>
      <c r="B136" s="73" t="str">
        <f>IF(AA136=0,"",AA136)</f>
        <v>Albert, Beate</v>
      </c>
      <c r="C136" s="74">
        <f t="shared" si="156"/>
        <v>7087</v>
      </c>
      <c r="D136" s="75">
        <f t="shared" si="156"/>
        <v>168</v>
      </c>
      <c r="E136" s="348">
        <f>IF(AD136="","",AD136)</f>
        <v>1</v>
      </c>
      <c r="F136" s="75">
        <f t="shared" si="137"/>
        <v>153</v>
      </c>
      <c r="G136" s="348">
        <f>IF(AF136="","",AF136)</f>
        <v>0</v>
      </c>
      <c r="H136" s="75">
        <f t="shared" si="138"/>
        <v>177</v>
      </c>
      <c r="I136" s="348">
        <f>IF(AH136="","",AH136)</f>
        <v>0</v>
      </c>
      <c r="J136" s="75">
        <f t="shared" si="139"/>
        <v>204</v>
      </c>
      <c r="K136" s="348">
        <f>IF(AJ136="","",AJ136)</f>
        <v>1</v>
      </c>
      <c r="L136" s="75">
        <f t="shared" si="140"/>
        <v>219</v>
      </c>
      <c r="M136" s="348">
        <f>IF(AL136="","",AL136)</f>
        <v>1</v>
      </c>
      <c r="N136" s="75">
        <f t="shared" si="157"/>
        <v>163</v>
      </c>
      <c r="O136" s="348">
        <f>IF(AN136="","",AN136)</f>
        <v>0</v>
      </c>
      <c r="P136" s="75">
        <f t="shared" si="141"/>
        <v>167</v>
      </c>
      <c r="Q136" s="348">
        <f>IF(AP136="","",AP136)</f>
        <v>0</v>
      </c>
      <c r="R136" s="75" t="str">
        <f t="shared" si="142"/>
        <v/>
      </c>
      <c r="S136" s="348">
        <f>IF(AR136="","",AR136)</f>
        <v>1</v>
      </c>
      <c r="T136" s="75">
        <f t="shared" si="143"/>
        <v>163</v>
      </c>
      <c r="U136" s="348">
        <f>IF(AT136="","",AT136)</f>
        <v>0</v>
      </c>
      <c r="V136" s="75">
        <f t="shared" si="144"/>
        <v>1414</v>
      </c>
      <c r="W136" s="348">
        <f>IF(AV136="","",AV136)</f>
        <v>4</v>
      </c>
      <c r="Z136" s="351" t="s">
        <v>11</v>
      </c>
      <c r="AA136" s="108" t="str">
        <f>IF(AB136=0,"",VLOOKUP(AB136,Starter!$A$1:$D$199,2,FALSE))</f>
        <v>Albert, Beate</v>
      </c>
      <c r="AB136" s="99">
        <v>7087</v>
      </c>
      <c r="AC136" s="188">
        <v>168</v>
      </c>
      <c r="AD136" s="109">
        <f>IF(SUM(AC136:AC138)+AC148=0,0,IF(SUM(AC136:AC138)=AC148,0.5,IF(SUM(AC136:AC138)&gt;AC148,1,0)))</f>
        <v>1</v>
      </c>
      <c r="AE136" s="188">
        <v>153</v>
      </c>
      <c r="AF136" s="109">
        <f>IF(SUM(AE136:AE138)+AE148=0,0,IF(SUM(AE136:AE138)=AE148,0.5,IF(SUM(AE136:AE138)&gt;AE148,1,0)))</f>
        <v>0</v>
      </c>
      <c r="AG136" s="188">
        <v>177</v>
      </c>
      <c r="AH136" s="109">
        <f>IF(SUM(AG136:AG138)+AG148=0,0,IF(SUM(AG136:AG138)=AG148,0.5,IF(SUM(AG136:AG138)&gt;AG148,1,0)))</f>
        <v>0</v>
      </c>
      <c r="AI136" s="188">
        <v>204</v>
      </c>
      <c r="AJ136" s="109">
        <f>IF(SUM(AI136:AI138)+AI148=0,0,IF(SUM(AI136:AI138)=AI148,0.5,IF(SUM(AI136:AI138)&gt;AI148,1,0)))</f>
        <v>1</v>
      </c>
      <c r="AK136" s="188">
        <v>219</v>
      </c>
      <c r="AL136" s="109">
        <f>IF(SUM(AK136:AK138)+AK148=0,0,IF(SUM(AK136:AK138)=AK148,0.5,IF(SUM(AK136:AK138)&gt;AK148,1,0)))</f>
        <v>1</v>
      </c>
      <c r="AM136" s="188">
        <v>163</v>
      </c>
      <c r="AN136" s="109">
        <f>IF(SUM(AM136:AM138)+AM148=0,0,IF(SUM(AM136:AM138)=AM148,0.5,IF(SUM(AM136:AM138)&gt;AM148,1,0)))</f>
        <v>0</v>
      </c>
      <c r="AO136" s="188">
        <v>167</v>
      </c>
      <c r="AP136" s="109">
        <f>IF(SUM(AO136:AO138)+AO148=0,0,IF(SUM(AO136:AO138)=AO148,0.5,IF(SUM(AO136:AO138)&gt;AO148,1,0)))</f>
        <v>0</v>
      </c>
      <c r="AQ136" s="188"/>
      <c r="AR136" s="109">
        <f>IF(SUM(AQ136:AQ138)+AQ148=0,0,IF(SUM(AQ136:AQ138)=AQ148,0.5,IF(SUM(AQ136:AQ138)&gt;AQ148,1,0)))</f>
        <v>1</v>
      </c>
      <c r="AS136" s="188">
        <v>163</v>
      </c>
      <c r="AT136" s="109">
        <f>IF(SUM(AS136:AS138)+AS148=0,0,IF(SUM(AS136:AS138)=AS148,0.5,IF(SUM(AS136:AS138)&gt;AS148,1,0)))</f>
        <v>0</v>
      </c>
      <c r="AU136" s="110">
        <f t="shared" si="145"/>
        <v>1414</v>
      </c>
      <c r="AV136" s="111">
        <f>SUM(AD136+AF136+AH136+AJ136+AL136+AN136+AP136+AR136+AT136)</f>
        <v>4</v>
      </c>
      <c r="AW136" s="101"/>
      <c r="AX136" s="102"/>
      <c r="AZ136" s="63"/>
      <c r="BA136" s="212"/>
      <c r="BB136" s="213"/>
      <c r="BC136" s="214"/>
      <c r="BD136" s="217">
        <f t="shared" si="158"/>
        <v>7087</v>
      </c>
      <c r="BE136" s="213">
        <f t="shared" si="159"/>
        <v>1414</v>
      </c>
      <c r="BF136" s="215">
        <f t="shared" si="160"/>
        <v>8</v>
      </c>
      <c r="BG136" s="215">
        <f t="shared" si="161"/>
        <v>8</v>
      </c>
      <c r="BH136" s="215">
        <f t="shared" si="146"/>
        <v>168</v>
      </c>
      <c r="BI136" s="215">
        <f t="shared" si="147"/>
        <v>153</v>
      </c>
      <c r="BJ136" s="215">
        <f t="shared" si="148"/>
        <v>177</v>
      </c>
      <c r="BK136" s="215">
        <f t="shared" si="149"/>
        <v>204</v>
      </c>
      <c r="BL136" s="215">
        <f t="shared" si="150"/>
        <v>219</v>
      </c>
      <c r="BM136" s="215">
        <f t="shared" si="151"/>
        <v>163</v>
      </c>
      <c r="BN136" s="215">
        <f t="shared" si="152"/>
        <v>167</v>
      </c>
      <c r="BO136" s="215" t="str">
        <f t="shared" si="153"/>
        <v/>
      </c>
      <c r="BP136" s="215">
        <f t="shared" si="154"/>
        <v>163</v>
      </c>
      <c r="BQ136" s="216"/>
      <c r="BR136" s="214"/>
      <c r="BS136" s="215">
        <f t="shared" si="162"/>
        <v>219</v>
      </c>
      <c r="BT136" s="215">
        <f t="shared" si="163"/>
        <v>0</v>
      </c>
      <c r="BU136" s="215" t="str">
        <f t="shared" si="164"/>
        <v xml:space="preserve">Weiß Blau Unterföhring </v>
      </c>
      <c r="BV136" s="214">
        <f t="shared" si="165"/>
        <v>2</v>
      </c>
      <c r="BW136" s="215">
        <f t="shared" si="166"/>
        <v>1414</v>
      </c>
      <c r="BX136" s="215">
        <f>IF(COUNTIF(BH136:BP136,"&gt;0")&lt;Spielorte!$A$23,0,BE136/Spielorte!$A$23)</f>
        <v>0</v>
      </c>
      <c r="BY136" s="215">
        <f t="shared" si="167"/>
        <v>0</v>
      </c>
      <c r="BZ136" s="214">
        <f t="shared" si="155"/>
        <v>0</v>
      </c>
    </row>
    <row r="137" spans="1:78" ht="17.2" customHeight="1" x14ac:dyDescent="0.35">
      <c r="A137" s="368"/>
      <c r="B137" s="76" t="str">
        <f>IF(AA137=0,"",AA137)</f>
        <v>Zehner, Gabriele</v>
      </c>
      <c r="C137" s="77">
        <f t="shared" si="156"/>
        <v>7551</v>
      </c>
      <c r="D137" s="78" t="str">
        <f t="shared" si="156"/>
        <v/>
      </c>
      <c r="E137" s="349"/>
      <c r="F137" s="78" t="str">
        <f t="shared" si="137"/>
        <v/>
      </c>
      <c r="G137" s="349"/>
      <c r="H137" s="78" t="str">
        <f t="shared" si="138"/>
        <v/>
      </c>
      <c r="I137" s="349"/>
      <c r="J137" s="78" t="str">
        <f t="shared" si="139"/>
        <v/>
      </c>
      <c r="K137" s="349"/>
      <c r="L137" s="78" t="str">
        <f t="shared" si="140"/>
        <v/>
      </c>
      <c r="M137" s="349"/>
      <c r="N137" s="78" t="str">
        <f t="shared" si="157"/>
        <v/>
      </c>
      <c r="O137" s="349"/>
      <c r="P137" s="78" t="str">
        <f t="shared" si="141"/>
        <v/>
      </c>
      <c r="Q137" s="349"/>
      <c r="R137" s="78">
        <f t="shared" si="142"/>
        <v>148</v>
      </c>
      <c r="S137" s="349"/>
      <c r="T137" s="78" t="str">
        <f t="shared" si="143"/>
        <v/>
      </c>
      <c r="U137" s="349"/>
      <c r="V137" s="78">
        <f t="shared" si="144"/>
        <v>148</v>
      </c>
      <c r="W137" s="349"/>
      <c r="Z137" s="352"/>
      <c r="AA137" s="108" t="str">
        <f>IF(AB137=0,"",VLOOKUP(AB137,Starter!$A$1:$D$199,2,FALSE))</f>
        <v>Zehner, Gabriele</v>
      </c>
      <c r="AB137" s="98">
        <v>7551</v>
      </c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>
        <v>148</v>
      </c>
      <c r="AR137" s="112"/>
      <c r="AS137" s="186"/>
      <c r="AT137" s="112"/>
      <c r="AU137" s="113">
        <f t="shared" si="145"/>
        <v>148</v>
      </c>
      <c r="AV137" s="114"/>
      <c r="AW137" s="101"/>
      <c r="AX137" s="102"/>
      <c r="AZ137" s="63"/>
      <c r="BA137" s="212"/>
      <c r="BB137" s="213"/>
      <c r="BC137" s="214"/>
      <c r="BD137" s="217">
        <f t="shared" si="158"/>
        <v>7551</v>
      </c>
      <c r="BE137" s="213">
        <f t="shared" si="159"/>
        <v>148</v>
      </c>
      <c r="BF137" s="215">
        <f t="shared" si="160"/>
        <v>1</v>
      </c>
      <c r="BG137" s="215">
        <f t="shared" si="161"/>
        <v>1</v>
      </c>
      <c r="BH137" s="215" t="str">
        <f t="shared" si="146"/>
        <v/>
      </c>
      <c r="BI137" s="215" t="str">
        <f t="shared" si="147"/>
        <v/>
      </c>
      <c r="BJ137" s="215" t="str">
        <f t="shared" si="148"/>
        <v/>
      </c>
      <c r="BK137" s="215" t="str">
        <f t="shared" si="149"/>
        <v/>
      </c>
      <c r="BL137" s="215" t="str">
        <f t="shared" si="150"/>
        <v/>
      </c>
      <c r="BM137" s="215" t="str">
        <f t="shared" si="151"/>
        <v/>
      </c>
      <c r="BN137" s="215" t="str">
        <f t="shared" si="152"/>
        <v/>
      </c>
      <c r="BO137" s="215">
        <f t="shared" si="153"/>
        <v>148</v>
      </c>
      <c r="BP137" s="215" t="str">
        <f t="shared" si="154"/>
        <v/>
      </c>
      <c r="BQ137" s="216"/>
      <c r="BR137" s="214"/>
      <c r="BS137" s="215">
        <f t="shared" si="162"/>
        <v>148</v>
      </c>
      <c r="BT137" s="215">
        <f t="shared" si="163"/>
        <v>0</v>
      </c>
      <c r="BU137" s="215" t="str">
        <f t="shared" si="164"/>
        <v xml:space="preserve">Weiß Blau Unterföhring </v>
      </c>
      <c r="BV137" s="214">
        <f t="shared" si="165"/>
        <v>2</v>
      </c>
      <c r="BW137" s="215">
        <f t="shared" si="166"/>
        <v>148</v>
      </c>
      <c r="BX137" s="215">
        <f>IF(COUNTIF(BH137:BP137,"&gt;0")&lt;Spielorte!$A$23,0,BE137/Spielorte!$A$23)</f>
        <v>0</v>
      </c>
      <c r="BY137" s="215">
        <f t="shared" si="167"/>
        <v>0</v>
      </c>
      <c r="BZ137" s="214">
        <f t="shared" si="155"/>
        <v>0</v>
      </c>
    </row>
    <row r="138" spans="1:78" ht="17.2" customHeight="1" thickBot="1" x14ac:dyDescent="0.4">
      <c r="A138" s="369"/>
      <c r="B138" s="79" t="str">
        <f>IF(AA138=0,"",AA138)</f>
        <v/>
      </c>
      <c r="C138" s="80" t="str">
        <f t="shared" si="156"/>
        <v/>
      </c>
      <c r="D138" s="69" t="str">
        <f t="shared" si="156"/>
        <v/>
      </c>
      <c r="E138" s="350"/>
      <c r="F138" s="69" t="str">
        <f t="shared" si="137"/>
        <v/>
      </c>
      <c r="G138" s="350"/>
      <c r="H138" s="69" t="str">
        <f t="shared" si="138"/>
        <v/>
      </c>
      <c r="I138" s="350"/>
      <c r="J138" s="69" t="str">
        <f t="shared" si="139"/>
        <v/>
      </c>
      <c r="K138" s="350"/>
      <c r="L138" s="69" t="str">
        <f t="shared" si="140"/>
        <v/>
      </c>
      <c r="M138" s="350"/>
      <c r="N138" s="69" t="str">
        <f t="shared" si="157"/>
        <v/>
      </c>
      <c r="O138" s="350"/>
      <c r="P138" s="69" t="str">
        <f t="shared" si="141"/>
        <v/>
      </c>
      <c r="Q138" s="350"/>
      <c r="R138" s="69" t="str">
        <f t="shared" si="142"/>
        <v/>
      </c>
      <c r="S138" s="350"/>
      <c r="T138" s="69" t="str">
        <f t="shared" si="143"/>
        <v/>
      </c>
      <c r="U138" s="350"/>
      <c r="V138" s="69" t="str">
        <f t="shared" si="144"/>
        <v/>
      </c>
      <c r="W138" s="350"/>
      <c r="Z138" s="353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5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58"/>
        <v>0</v>
      </c>
      <c r="BE138" s="213">
        <f t="shared" si="159"/>
        <v>0</v>
      </c>
      <c r="BF138" s="215">
        <f t="shared" si="160"/>
        <v>0</v>
      </c>
      <c r="BG138" s="215">
        <f t="shared" si="161"/>
        <v>0</v>
      </c>
      <c r="BH138" s="215" t="str">
        <f t="shared" si="146"/>
        <v/>
      </c>
      <c r="BI138" s="215" t="str">
        <f t="shared" si="147"/>
        <v/>
      </c>
      <c r="BJ138" s="215" t="str">
        <f t="shared" si="148"/>
        <v/>
      </c>
      <c r="BK138" s="215" t="str">
        <f t="shared" si="149"/>
        <v/>
      </c>
      <c r="BL138" s="215" t="str">
        <f t="shared" si="150"/>
        <v/>
      </c>
      <c r="BM138" s="215" t="str">
        <f t="shared" si="151"/>
        <v/>
      </c>
      <c r="BN138" s="215" t="str">
        <f t="shared" si="152"/>
        <v/>
      </c>
      <c r="BO138" s="215" t="str">
        <f t="shared" si="153"/>
        <v/>
      </c>
      <c r="BP138" s="215" t="str">
        <f t="shared" si="154"/>
        <v/>
      </c>
      <c r="BQ138" s="216"/>
      <c r="BR138" s="214"/>
      <c r="BS138" s="215">
        <f t="shared" si="162"/>
        <v>0</v>
      </c>
      <c r="BT138" s="215">
        <f t="shared" si="163"/>
        <v>0</v>
      </c>
      <c r="BU138" s="215" t="str">
        <f t="shared" si="164"/>
        <v xml:space="preserve">Weiß Blau Unterföhring </v>
      </c>
      <c r="BV138" s="214">
        <f t="shared" si="165"/>
        <v>2</v>
      </c>
      <c r="BW138" s="215">
        <f t="shared" si="166"/>
        <v>0</v>
      </c>
      <c r="BX138" s="215">
        <f>IF(COUNTIF(BH138:BP138,"&gt;0")&lt;Spielorte!$A$23,0,BE138/Spielorte!$A$23)</f>
        <v>0</v>
      </c>
      <c r="BY138" s="215">
        <f t="shared" si="167"/>
        <v>0</v>
      </c>
      <c r="BZ138" s="214">
        <f t="shared" si="155"/>
        <v>0</v>
      </c>
    </row>
    <row r="139" spans="1:78" ht="27.75" customHeight="1" thickBot="1" x14ac:dyDescent="0.4">
      <c r="B139" s="81" t="str">
        <f>IF(AA139=0,"",AA139)</f>
        <v>Gesamt</v>
      </c>
      <c r="C139" s="82" t="str">
        <f t="shared" si="156"/>
        <v/>
      </c>
      <c r="D139" s="83">
        <f t="shared" si="156"/>
        <v>643</v>
      </c>
      <c r="E139" s="84">
        <f>IF(AD139="","",AD139)</f>
        <v>2</v>
      </c>
      <c r="F139" s="83">
        <f t="shared" si="137"/>
        <v>693</v>
      </c>
      <c r="G139" s="84">
        <f>IF(AF139="","",AF139)</f>
        <v>0</v>
      </c>
      <c r="H139" s="83">
        <f t="shared" si="138"/>
        <v>640</v>
      </c>
      <c r="I139" s="84">
        <f>IF(AH139="","",AH139)</f>
        <v>0</v>
      </c>
      <c r="J139" s="83">
        <f t="shared" si="139"/>
        <v>690</v>
      </c>
      <c r="K139" s="84">
        <f>IF(AJ139="","",AJ139)</f>
        <v>0</v>
      </c>
      <c r="L139" s="83">
        <f t="shared" si="140"/>
        <v>739</v>
      </c>
      <c r="M139" s="84">
        <f>IF(AL139="","",AL139)</f>
        <v>2</v>
      </c>
      <c r="N139" s="83">
        <f t="shared" si="157"/>
        <v>705</v>
      </c>
      <c r="O139" s="84">
        <f>IF(AN139="","",AN139)</f>
        <v>2</v>
      </c>
      <c r="P139" s="83">
        <f t="shared" si="141"/>
        <v>654</v>
      </c>
      <c r="Q139" s="84">
        <f>IF(AP139="","",AP139)</f>
        <v>0</v>
      </c>
      <c r="R139" s="83">
        <f t="shared" si="142"/>
        <v>647</v>
      </c>
      <c r="S139" s="84">
        <f>IF(AR139="","",AR139)</f>
        <v>2</v>
      </c>
      <c r="T139" s="83">
        <f t="shared" si="143"/>
        <v>630</v>
      </c>
      <c r="U139" s="84">
        <f>IF(AT139="","",AT139)</f>
        <v>0</v>
      </c>
      <c r="V139" s="83">
        <f t="shared" si="144"/>
        <v>6041</v>
      </c>
      <c r="W139" s="84">
        <f>IF(AV139="","",AV139)</f>
        <v>8</v>
      </c>
      <c r="AA139" s="81" t="s">
        <v>1799</v>
      </c>
      <c r="AB139" s="120"/>
      <c r="AC139" s="211">
        <f>ABS(SUM(AC127:AC129))+ABS(SUM(AC130:AC132))+ABS(SUM(AC133:AC135))+ABS(SUM(AC136:AC138))</f>
        <v>643</v>
      </c>
      <c r="AD139" s="121">
        <f>IF(AC139+AC149=0,0,IF(AC139=AC149,1,IF(AC139&gt;AC149,2,0)))</f>
        <v>2</v>
      </c>
      <c r="AE139" s="211">
        <f>ABS(SUM(AE127:AE129))+ABS(SUM(AE130:AE132))+ABS(SUM(AE133:AE135))+ABS(SUM(AE136:AE138))</f>
        <v>693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640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690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739</v>
      </c>
      <c r="AL139" s="121">
        <f>IF(AK139+AK149=0,0,IF(AK139=AK149,1,IF(AK139&gt;AK149,2,0)))</f>
        <v>2</v>
      </c>
      <c r="AM139" s="211">
        <f>ABS(SUM(AM127:AM129))+ABS(SUM(AM130:AM132))+ABS(SUM(AM133:AM135))+ABS(SUM(AM136:AM138))</f>
        <v>705</v>
      </c>
      <c r="AN139" s="121">
        <f>IF(AM139+AM149=0,0,IF(AM139=AM149,1,IF(AM139&gt;AM149,2,0)))</f>
        <v>2</v>
      </c>
      <c r="AO139" s="211">
        <f>ABS(SUM(AO127:AO129))+ABS(SUM(AO130:AO132))+ABS(SUM(AO133:AO135))+ABS(SUM(AO136:AO138))</f>
        <v>654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647</v>
      </c>
      <c r="AR139" s="121">
        <f>IF(AQ139+AQ149=0,0,IF(AQ139=AQ149,1,IF(AQ139&gt;AQ149,2,0)))</f>
        <v>2</v>
      </c>
      <c r="AS139" s="211">
        <f>ABS(SUM(AS127:AS129))+ABS(SUM(AS130:AS132))+ABS(SUM(AS133:AS135))+ABS(SUM(AS136:AS138))</f>
        <v>630</v>
      </c>
      <c r="AT139" s="121">
        <f>IF(AS139+AS149=0,0,IF(AS139=AS149,1,IF(AS139&gt;AS149,2,0)))</f>
        <v>0</v>
      </c>
      <c r="AU139" s="122">
        <f>SUM(AC139+AE139+AG139+AI139+AK139+AM139+AO139+AQ139+AS139)</f>
        <v>6041</v>
      </c>
      <c r="AV139" s="123">
        <f>SUM(AD139+AF139+AH139+AJ139+AL139+AN139+AP139+AR139+AT139)</f>
        <v>8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4">
      <c r="B140" s="85" t="str">
        <f>IF(AA140=0,"",AA140)</f>
        <v>Gesamt - Punkte</v>
      </c>
      <c r="C140" s="86" t="str">
        <f t="shared" si="156"/>
        <v/>
      </c>
      <c r="D140" s="86" t="str">
        <f t="shared" si="156"/>
        <v/>
      </c>
      <c r="E140" s="87">
        <f>IF(AD140="","",AD140)</f>
        <v>5</v>
      </c>
      <c r="F140" s="86" t="str">
        <f t="shared" si="137"/>
        <v/>
      </c>
      <c r="G140" s="87">
        <f>IF(AF140="","",AF140)</f>
        <v>1</v>
      </c>
      <c r="H140" s="86" t="str">
        <f t="shared" si="138"/>
        <v/>
      </c>
      <c r="I140" s="87">
        <f>IF(AH140="","",AH140)</f>
        <v>1</v>
      </c>
      <c r="J140" s="86" t="str">
        <f t="shared" si="139"/>
        <v/>
      </c>
      <c r="K140" s="87">
        <f>IF(AJ140="","",AJ140)</f>
        <v>2</v>
      </c>
      <c r="L140" s="86" t="str">
        <f t="shared" si="140"/>
        <v/>
      </c>
      <c r="M140" s="87">
        <f>IF(AL140="","",AL140)</f>
        <v>5</v>
      </c>
      <c r="N140" s="86" t="str">
        <f t="shared" si="157"/>
        <v/>
      </c>
      <c r="O140" s="87">
        <f>IF(AN140="","",AN140)</f>
        <v>4</v>
      </c>
      <c r="P140" s="86" t="str">
        <f t="shared" si="141"/>
        <v/>
      </c>
      <c r="Q140" s="87">
        <f>IF(AP140="","",AP140)</f>
        <v>0</v>
      </c>
      <c r="R140" s="86" t="str">
        <f t="shared" si="142"/>
        <v/>
      </c>
      <c r="S140" s="87">
        <f>IF(AR140="","",AR140)</f>
        <v>6</v>
      </c>
      <c r="T140" s="86" t="str">
        <f t="shared" si="143"/>
        <v/>
      </c>
      <c r="U140" s="87">
        <f>IF(AT140="","",AT140)</f>
        <v>0</v>
      </c>
      <c r="V140" s="86" t="str">
        <f t="shared" si="144"/>
        <v/>
      </c>
      <c r="W140" s="87">
        <f>IF(AV140="","",AV140)</f>
        <v>24</v>
      </c>
      <c r="AA140" s="85" t="s">
        <v>1814</v>
      </c>
      <c r="AB140" s="86"/>
      <c r="AC140" s="86"/>
      <c r="AD140" s="124">
        <f>SUM(AD127:AD139)</f>
        <v>5</v>
      </c>
      <c r="AE140" s="86"/>
      <c r="AF140" s="124">
        <f>SUM(AF127:AF139)</f>
        <v>1</v>
      </c>
      <c r="AG140" s="86"/>
      <c r="AH140" s="124">
        <f>SUM(AH127:AH139)</f>
        <v>1</v>
      </c>
      <c r="AI140" s="86"/>
      <c r="AJ140" s="124">
        <f>SUM(AJ127:AJ139)</f>
        <v>2</v>
      </c>
      <c r="AK140" s="86"/>
      <c r="AL140" s="124">
        <f>SUM(AL127:AL139)</f>
        <v>5</v>
      </c>
      <c r="AM140" s="86"/>
      <c r="AN140" s="124">
        <f>SUM(AN127:AN139)</f>
        <v>4</v>
      </c>
      <c r="AO140" s="86"/>
      <c r="AP140" s="124">
        <f>SUM(AP127:AP139)</f>
        <v>0</v>
      </c>
      <c r="AQ140" s="86"/>
      <c r="AR140" s="124">
        <f>SUM(AR127:AR139)</f>
        <v>6</v>
      </c>
      <c r="AS140" s="86"/>
      <c r="AT140" s="124">
        <f>SUM(AT127:AT139)</f>
        <v>0</v>
      </c>
      <c r="AU140" s="86"/>
      <c r="AV140" s="125">
        <f>SUM(AV127:AV139)</f>
        <v>24</v>
      </c>
      <c r="AW140" s="101"/>
      <c r="AX140" s="102"/>
      <c r="BA140" s="212">
        <f>+AV140</f>
        <v>24</v>
      </c>
      <c r="BB140" s="213">
        <f>+AU139</f>
        <v>6041</v>
      </c>
      <c r="BC140" s="214">
        <f>+AA122</f>
        <v>5</v>
      </c>
      <c r="BF140" s="215">
        <f>SUM(BF121:BF139)</f>
        <v>36</v>
      </c>
      <c r="BQ140" s="212">
        <f>+BB140/1000000+BA140</f>
        <v>24.006041</v>
      </c>
      <c r="BR140" s="214">
        <f>RANK(BQ140,BQ:BQ)</f>
        <v>7</v>
      </c>
      <c r="BV140" s="214"/>
      <c r="BZ140" s="214"/>
    </row>
    <row r="141" spans="1:78" ht="11.25" customHeight="1" x14ac:dyDescent="0.3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35">
      <c r="B142" s="88" t="str">
        <f t="shared" ref="B142:K144" si="168">IF(AA142=0,"",AA142)</f>
        <v>Gegner-Nr.:</v>
      </c>
      <c r="C142" s="89" t="str">
        <f t="shared" si="168"/>
        <v>&gt;&gt;&gt;&gt;</v>
      </c>
      <c r="D142" s="346">
        <f t="shared" si="168"/>
        <v>7</v>
      </c>
      <c r="E142" s="346" t="str">
        <f t="shared" si="168"/>
        <v/>
      </c>
      <c r="F142" s="346">
        <f t="shared" si="168"/>
        <v>2</v>
      </c>
      <c r="G142" s="346" t="str">
        <f t="shared" si="168"/>
        <v/>
      </c>
      <c r="H142" s="346">
        <f t="shared" si="168"/>
        <v>3</v>
      </c>
      <c r="I142" s="346" t="str">
        <f t="shared" si="168"/>
        <v/>
      </c>
      <c r="J142" s="346">
        <f t="shared" si="168"/>
        <v>8</v>
      </c>
      <c r="K142" s="346" t="str">
        <f t="shared" si="168"/>
        <v/>
      </c>
      <c r="L142" s="346">
        <f t="shared" ref="L142:U144" si="169">IF(AK142=0,"",AK142)</f>
        <v>10</v>
      </c>
      <c r="M142" s="346" t="str">
        <f t="shared" si="169"/>
        <v/>
      </c>
      <c r="N142" s="346">
        <f t="shared" si="169"/>
        <v>9</v>
      </c>
      <c r="O142" s="346" t="str">
        <f t="shared" si="169"/>
        <v/>
      </c>
      <c r="P142" s="346">
        <f t="shared" si="169"/>
        <v>6</v>
      </c>
      <c r="Q142" s="346" t="str">
        <f t="shared" si="169"/>
        <v/>
      </c>
      <c r="R142" s="346">
        <f t="shared" si="169"/>
        <v>4</v>
      </c>
      <c r="S142" s="346" t="str">
        <f t="shared" si="169"/>
        <v/>
      </c>
      <c r="T142" s="346">
        <f t="shared" si="169"/>
        <v>1</v>
      </c>
      <c r="U142" s="346" t="str">
        <f t="shared" si="169"/>
        <v/>
      </c>
      <c r="V142" s="347"/>
      <c r="W142" s="347"/>
      <c r="AA142" s="88" t="s">
        <v>1797</v>
      </c>
      <c r="AB142" s="89" t="s">
        <v>1798</v>
      </c>
      <c r="AC142" s="370">
        <f>VLOOKUP($AA122,Schlüssel!$A$5:$DG$14,63)</f>
        <v>7</v>
      </c>
      <c r="AD142" s="371"/>
      <c r="AE142" s="370">
        <f>VLOOKUP($AA122,Schlüssel!$A$5:$EK$14,64)</f>
        <v>2</v>
      </c>
      <c r="AF142" s="371"/>
      <c r="AG142" s="370">
        <f>VLOOKUP($AA122,Schlüssel!$A$5:$EK$14,65)</f>
        <v>3</v>
      </c>
      <c r="AH142" s="371"/>
      <c r="AI142" s="370">
        <f>VLOOKUP($AA122,Schlüssel!$A$5:$EK$14,66)</f>
        <v>8</v>
      </c>
      <c r="AJ142" s="371"/>
      <c r="AK142" s="370">
        <f>VLOOKUP($AA122,Schlüssel!$A$5:$EK$14,67)</f>
        <v>10</v>
      </c>
      <c r="AL142" s="371"/>
      <c r="AM142" s="370">
        <f>VLOOKUP($AA122,Schlüssel!$A$5:$EK$14,68)</f>
        <v>9</v>
      </c>
      <c r="AN142" s="371"/>
      <c r="AO142" s="370">
        <f>VLOOKUP($AA122,Schlüssel!$A$5:$EK$14,69)</f>
        <v>6</v>
      </c>
      <c r="AP142" s="371"/>
      <c r="AQ142" s="370">
        <f>VLOOKUP($AA122,Schlüssel!$A$5:$EK$14,70)</f>
        <v>4</v>
      </c>
      <c r="AR142" s="371"/>
      <c r="AS142" s="370">
        <f>VLOOKUP($AA122,Schlüssel!$A$5:$EK$14,71)</f>
        <v>1</v>
      </c>
      <c r="AT142" s="371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35">
      <c r="B143" s="90" t="str">
        <f t="shared" si="168"/>
        <v/>
      </c>
      <c r="C143" s="86" t="str">
        <f t="shared" si="168"/>
        <v/>
      </c>
      <c r="D143" s="343" t="str">
        <f t="shared" si="168"/>
        <v>Frankenpower Nürnberg</v>
      </c>
      <c r="E143" s="344" t="str">
        <f t="shared" si="168"/>
        <v/>
      </c>
      <c r="F143" s="343" t="str">
        <f t="shared" si="168"/>
        <v>BK München 2</v>
      </c>
      <c r="G143" s="344" t="str">
        <f t="shared" si="168"/>
        <v/>
      </c>
      <c r="H143" s="343" t="str">
        <f t="shared" si="168"/>
        <v>Highroller Rosenheim</v>
      </c>
      <c r="I143" s="344" t="str">
        <f t="shared" si="168"/>
        <v/>
      </c>
      <c r="J143" s="343" t="str">
        <f t="shared" si="168"/>
        <v>EPA München 1</v>
      </c>
      <c r="K143" s="344" t="str">
        <f t="shared" si="168"/>
        <v/>
      </c>
      <c r="L143" s="343" t="str">
        <f t="shared" si="169"/>
        <v>BK München 4</v>
      </c>
      <c r="M143" s="344" t="str">
        <f t="shared" si="169"/>
        <v/>
      </c>
      <c r="N143" s="343" t="str">
        <f t="shared" si="169"/>
        <v>RW Lichtenhof 69 Stein 2</v>
      </c>
      <c r="O143" s="344" t="str">
        <f t="shared" si="169"/>
        <v/>
      </c>
      <c r="P143" s="343" t="str">
        <f t="shared" si="169"/>
        <v>Phönix 03 Lauf</v>
      </c>
      <c r="Q143" s="344" t="str">
        <f t="shared" si="169"/>
        <v/>
      </c>
      <c r="R143" s="343" t="str">
        <f t="shared" si="169"/>
        <v>BK München 3</v>
      </c>
      <c r="S143" s="344" t="str">
        <f t="shared" si="169"/>
        <v/>
      </c>
      <c r="T143" s="343" t="str">
        <f t="shared" si="169"/>
        <v>Praetoria Regensburg</v>
      </c>
      <c r="U143" s="344" t="str">
        <f t="shared" si="169"/>
        <v/>
      </c>
      <c r="V143" s="345"/>
      <c r="W143" s="345"/>
      <c r="AA143" s="90"/>
      <c r="AB143" s="86"/>
      <c r="AC143" s="343" t="str">
        <f>VLOOKUP(AC142,Schlüssel!$A$5:$K$14,2)</f>
        <v>Frankenpower Nürnberg</v>
      </c>
      <c r="AD143" s="344"/>
      <c r="AE143" s="343" t="str">
        <f>VLOOKUP(AE142,Schlüssel!$A$5:$K$14,2)</f>
        <v>BK München 2</v>
      </c>
      <c r="AF143" s="344"/>
      <c r="AG143" s="343" t="str">
        <f>VLOOKUP(AG142,Schlüssel!$A$5:$K$14,2)</f>
        <v>Highroller Rosenheim</v>
      </c>
      <c r="AH143" s="344"/>
      <c r="AI143" s="343" t="str">
        <f>VLOOKUP(AI142,Schlüssel!$A$5:$K$14,2)</f>
        <v>EPA München 1</v>
      </c>
      <c r="AJ143" s="344"/>
      <c r="AK143" s="343" t="str">
        <f>VLOOKUP(AK142,Schlüssel!$A$5:$K$14,2)</f>
        <v>BK München 4</v>
      </c>
      <c r="AL143" s="344"/>
      <c r="AM143" s="343" t="str">
        <f>VLOOKUP(AM142,Schlüssel!$A$5:$K$14,2)</f>
        <v>RW Lichtenhof 69 Stein 2</v>
      </c>
      <c r="AN143" s="344"/>
      <c r="AO143" s="343" t="str">
        <f>VLOOKUP(AO142,Schlüssel!$A$5:$K$14,2)</f>
        <v>Phönix 03 Lauf</v>
      </c>
      <c r="AP143" s="344"/>
      <c r="AQ143" s="343" t="str">
        <f>VLOOKUP(AQ142,Schlüssel!$A$5:$K$14,2)</f>
        <v>BK München 3</v>
      </c>
      <c r="AR143" s="344"/>
      <c r="AS143" s="343" t="str">
        <f>VLOOKUP(AS142,Schlüssel!$A$5:$K$14,2)</f>
        <v>Praetoria Regensburg</v>
      </c>
      <c r="AT143" s="344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35">
      <c r="B144" s="90" t="str">
        <f t="shared" si="168"/>
        <v/>
      </c>
      <c r="C144" s="86" t="str">
        <f t="shared" si="168"/>
        <v/>
      </c>
      <c r="D144" s="341" t="str">
        <f t="shared" si="168"/>
        <v/>
      </c>
      <c r="E144" s="341" t="str">
        <f t="shared" si="168"/>
        <v/>
      </c>
      <c r="F144" s="341" t="str">
        <f t="shared" si="168"/>
        <v/>
      </c>
      <c r="G144" s="341" t="str">
        <f t="shared" si="168"/>
        <v/>
      </c>
      <c r="H144" s="341" t="str">
        <f t="shared" si="168"/>
        <v/>
      </c>
      <c r="I144" s="341" t="str">
        <f t="shared" si="168"/>
        <v/>
      </c>
      <c r="J144" s="341" t="str">
        <f t="shared" si="168"/>
        <v/>
      </c>
      <c r="K144" s="341" t="str">
        <f t="shared" si="168"/>
        <v/>
      </c>
      <c r="L144" s="341" t="str">
        <f t="shared" si="169"/>
        <v/>
      </c>
      <c r="M144" s="341" t="str">
        <f t="shared" si="169"/>
        <v/>
      </c>
      <c r="N144" s="341" t="str">
        <f t="shared" si="169"/>
        <v/>
      </c>
      <c r="O144" s="341" t="str">
        <f t="shared" si="169"/>
        <v/>
      </c>
      <c r="P144" s="341" t="str">
        <f t="shared" si="169"/>
        <v/>
      </c>
      <c r="Q144" s="341" t="str">
        <f t="shared" si="169"/>
        <v/>
      </c>
      <c r="R144" s="341" t="str">
        <f t="shared" si="169"/>
        <v/>
      </c>
      <c r="S144" s="341" t="str">
        <f t="shared" si="169"/>
        <v/>
      </c>
      <c r="T144" s="341" t="str">
        <f t="shared" si="169"/>
        <v/>
      </c>
      <c r="U144" s="342" t="str">
        <f t="shared" si="169"/>
        <v/>
      </c>
      <c r="V144" s="301"/>
      <c r="W144" s="301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6.05" customHeight="1" x14ac:dyDescent="0.35">
      <c r="B145" s="365" t="str">
        <f t="shared" ref="B145:C149" si="170">IF(AA145=0,"",AA145)</f>
        <v>Spieler 1</v>
      </c>
      <c r="C145" s="366" t="str">
        <f t="shared" si="170"/>
        <v/>
      </c>
      <c r="D145" s="339">
        <f>IF(AC145=301,"",AC145)</f>
        <v>147</v>
      </c>
      <c r="E145" s="339" t="str">
        <f>IF(AD145=0,"",AD145)</f>
        <v/>
      </c>
      <c r="F145" s="339">
        <f>IF(AE145=301,"",AE145)</f>
        <v>156</v>
      </c>
      <c r="G145" s="339" t="str">
        <f>IF(AF145=0,"",AF145)</f>
        <v/>
      </c>
      <c r="H145" s="339">
        <f>IF(AG145=301,"",AG145)</f>
        <v>165</v>
      </c>
      <c r="I145" s="339" t="str">
        <f>IF(AH145=0,"",AH145)</f>
        <v/>
      </c>
      <c r="J145" s="339">
        <f>IF(AI145=301,"",AI145)</f>
        <v>203</v>
      </c>
      <c r="K145" s="339" t="str">
        <f>IF(AJ145=0,"",AJ145)</f>
        <v/>
      </c>
      <c r="L145" s="339">
        <f>IF(AK145=301,"",AK145)</f>
        <v>132</v>
      </c>
      <c r="M145" s="339" t="str">
        <f>IF(AL145=0,"",AL145)</f>
        <v/>
      </c>
      <c r="N145" s="339">
        <f>IF(AM145=301,"",AM145)</f>
        <v>160</v>
      </c>
      <c r="O145" s="339" t="str">
        <f>IF(AN145=0,"",AN145)</f>
        <v/>
      </c>
      <c r="P145" s="339">
        <f>IF(AO145=301,"",AO145)</f>
        <v>206</v>
      </c>
      <c r="Q145" s="339" t="str">
        <f>IF(AP145=0,"",AP145)</f>
        <v/>
      </c>
      <c r="R145" s="339">
        <f>IF(AQ145=301,"",AQ145)</f>
        <v>0</v>
      </c>
      <c r="S145" s="339" t="str">
        <f>IF(AR145=0,"",AR145)</f>
        <v/>
      </c>
      <c r="T145" s="339">
        <f>IF(AS145=301,"",AS145)</f>
        <v>178</v>
      </c>
      <c r="U145" s="339" t="str">
        <f>IF(AT145=0,"",AT145)</f>
        <v/>
      </c>
      <c r="V145" s="340"/>
      <c r="W145" s="340"/>
      <c r="AA145" s="91" t="s">
        <v>0</v>
      </c>
      <c r="AB145" s="92"/>
      <c r="AC145" s="372">
        <f>ABS(INDEX(AC:AC,MATCH(AC142,$AA:$AA,0)+5)+INDEX(AC:AC,MATCH(AC142,$AA:$AA,0)+6)+INDEX(AC:AC,MATCH(AC142,$AA:$AA,0)+7))</f>
        <v>147</v>
      </c>
      <c r="AD145" s="373"/>
      <c r="AE145" s="372">
        <f>ABS(INDEX(AE:AE,MATCH(AE142,$AA:$AA,0)+5)+INDEX(AE:AE,MATCH(AE142,$AA:$AA,0)+6)+INDEX(AE:AE,MATCH(AE142,$AA:$AA,0)+7))</f>
        <v>156</v>
      </c>
      <c r="AF145" s="373"/>
      <c r="AG145" s="372">
        <f>ABS(INDEX(AG:AG,MATCH(AG142,$AA:$AA,0)+5)+INDEX(AG:AG,MATCH(AG142,$AA:$AA,0)+6)+INDEX(AG:AG,MATCH(AG142,$AA:$AA,0)+7))</f>
        <v>165</v>
      </c>
      <c r="AH145" s="373"/>
      <c r="AI145" s="372">
        <f>ABS(INDEX(AI:AI,MATCH(AI142,$AA:$AA,0)+5)+INDEX(AI:AI,MATCH(AI142,$AA:$AA,0)+6)+INDEX(AI:AI,MATCH(AI142,$AA:$AA,0)+7))</f>
        <v>203</v>
      </c>
      <c r="AJ145" s="373"/>
      <c r="AK145" s="372">
        <f>ABS(INDEX(AK:AK,MATCH(AK142,$AA:$AA,0)+5)+INDEX(AK:AK,MATCH(AK142,$AA:$AA,0)+6)+INDEX(AK:AK,MATCH(AK142,$AA:$AA,0)+7))</f>
        <v>132</v>
      </c>
      <c r="AL145" s="373"/>
      <c r="AM145" s="372">
        <f>ABS(INDEX(AM:AM,MATCH(AM142,$AA:$AA,0)+5)+INDEX(AM:AM,MATCH(AM142,$AA:$AA,0)+6)+INDEX(AM:AM,MATCH(AM142,$AA:$AA,0)+7))</f>
        <v>160</v>
      </c>
      <c r="AN145" s="373"/>
      <c r="AO145" s="372">
        <f>ABS(INDEX(AO:AO,MATCH(AO142,$AA:$AA,0)+5)+INDEX(AO:AO,MATCH(AO142,$AA:$AA,0)+6)+INDEX(AO:AO,MATCH(AO142,$AA:$AA,0)+7))</f>
        <v>206</v>
      </c>
      <c r="AP145" s="373"/>
      <c r="AQ145" s="372">
        <f>ABS(INDEX(AQ:AQ,MATCH(AQ142,$AA:$AA,0)+5)+INDEX(AQ:AQ,MATCH(AQ142,$AA:$AA,0)+6)+INDEX(AQ:AQ,MATCH(AQ142,$AA:$AA,0)+7))</f>
        <v>0</v>
      </c>
      <c r="AR145" s="373"/>
      <c r="AS145" s="372">
        <f>ABS(INDEX(AS:AS,MATCH(AS142,$AA:$AA,0)+5)+INDEX(AS:AS,MATCH(AS142,$AA:$AA,0)+6)+INDEX(AS:AS,MATCH(AS142,$AA:$AA,0)+7))</f>
        <v>178</v>
      </c>
      <c r="AT145" s="373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6.05" customHeight="1" x14ac:dyDescent="0.35">
      <c r="B146" s="365" t="str">
        <f t="shared" si="170"/>
        <v>Spieler 2</v>
      </c>
      <c r="C146" s="366" t="str">
        <f t="shared" si="170"/>
        <v/>
      </c>
      <c r="D146" s="339">
        <f>IF(AC146=301,"",AC146)</f>
        <v>192</v>
      </c>
      <c r="E146" s="339" t="str">
        <f>IF(AD146=0,"",AD146)</f>
        <v/>
      </c>
      <c r="F146" s="339">
        <f>IF(AE146=301,"",AE146)</f>
        <v>202</v>
      </c>
      <c r="G146" s="339" t="str">
        <f>IF(AF146=0,"",AF146)</f>
        <v/>
      </c>
      <c r="H146" s="339">
        <f>IF(AG146=301,"",AG146)</f>
        <v>160</v>
      </c>
      <c r="I146" s="339" t="str">
        <f>IF(AH146=0,"",AH146)</f>
        <v/>
      </c>
      <c r="J146" s="339">
        <f>IF(AI146=301,"",AI146)</f>
        <v>190</v>
      </c>
      <c r="K146" s="339" t="str">
        <f>IF(AJ146=0,"",AJ146)</f>
        <v/>
      </c>
      <c r="L146" s="339">
        <f>IF(AK146=301,"",AK146)</f>
        <v>147</v>
      </c>
      <c r="M146" s="339" t="str">
        <f>IF(AL146=0,"",AL146)</f>
        <v/>
      </c>
      <c r="N146" s="339">
        <f>IF(AM146=301,"",AM146)</f>
        <v>171</v>
      </c>
      <c r="O146" s="339" t="str">
        <f>IF(AN146=0,"",AN146)</f>
        <v/>
      </c>
      <c r="P146" s="339">
        <f>IF(AO146=301,"",AO146)</f>
        <v>207</v>
      </c>
      <c r="Q146" s="339" t="str">
        <f>IF(AP146=0,"",AP146)</f>
        <v/>
      </c>
      <c r="R146" s="339">
        <f>IF(AQ146=301,"",AQ146)</f>
        <v>0</v>
      </c>
      <c r="S146" s="339" t="str">
        <f>IF(AR146=0,"",AR146)</f>
        <v/>
      </c>
      <c r="T146" s="339">
        <f>IF(AS146=301,"",AS146)</f>
        <v>165</v>
      </c>
      <c r="U146" s="339" t="str">
        <f>IF(AT146=0,"",AT146)</f>
        <v/>
      </c>
      <c r="V146" s="340"/>
      <c r="W146" s="340"/>
      <c r="AA146" s="91" t="s">
        <v>2</v>
      </c>
      <c r="AB146" s="92"/>
      <c r="AC146" s="374">
        <f>ABS(INDEX(AC:AC,MATCH(AC142,$AA:$AA,0)+8)+INDEX(AC:AC,MATCH(AC142,$AA:$AA,0)+9)+INDEX(AC:AC,MATCH(AC142,$AA:$AA,0)+10))</f>
        <v>192</v>
      </c>
      <c r="AD146" s="375"/>
      <c r="AE146" s="374">
        <f>ABS(INDEX(AE:AE,MATCH(AE142,$AA:$AA,0)+8)+INDEX(AE:AE,MATCH(AE142,$AA:$AA,0)+9)+INDEX(AE:AE,MATCH(AE142,$AA:$AA,0)+10))</f>
        <v>202</v>
      </c>
      <c r="AF146" s="375"/>
      <c r="AG146" s="374">
        <f>ABS(INDEX(AG:AG,MATCH(AG142,$AA:$AA,0)+8)+INDEX(AG:AG,MATCH(AG142,$AA:$AA,0)+9)+INDEX(AG:AG,MATCH(AG142,$AA:$AA,0)+10))</f>
        <v>160</v>
      </c>
      <c r="AH146" s="375"/>
      <c r="AI146" s="374">
        <f>ABS(INDEX(AI:AI,MATCH(AI142,$AA:$AA,0)+8)+INDEX(AI:AI,MATCH(AI142,$AA:$AA,0)+9)+INDEX(AI:AI,MATCH(AI142,$AA:$AA,0)+10))</f>
        <v>190</v>
      </c>
      <c r="AJ146" s="375"/>
      <c r="AK146" s="374">
        <f>ABS(INDEX(AK:AK,MATCH(AK142,$AA:$AA,0)+8)+INDEX(AK:AK,MATCH(AK142,$AA:$AA,0)+9)+INDEX(AK:AK,MATCH(AK142,$AA:$AA,0)+10))</f>
        <v>147</v>
      </c>
      <c r="AL146" s="375"/>
      <c r="AM146" s="374">
        <f>ABS(INDEX(AM:AM,MATCH(AM142,$AA:$AA,0)+8)+INDEX(AM:AM,MATCH(AM142,$AA:$AA,0)+9)+INDEX(AM:AM,MATCH(AM142,$AA:$AA,0)+10))</f>
        <v>171</v>
      </c>
      <c r="AN146" s="375"/>
      <c r="AO146" s="374">
        <f>ABS(INDEX(AO:AO,MATCH(AO142,$AA:$AA,0)+8)+INDEX(AO:AO,MATCH(AO142,$AA:$AA,0)+9)+INDEX(AO:AO,MATCH(AO142,$AA:$AA,0)+10))</f>
        <v>207</v>
      </c>
      <c r="AP146" s="375"/>
      <c r="AQ146" s="374">
        <f>ABS(INDEX(AQ:AQ,MATCH(AQ142,$AA:$AA,0)+8)+INDEX(AQ:AQ,MATCH(AQ142,$AA:$AA,0)+9)+INDEX(AQ:AQ,MATCH(AQ142,$AA:$AA,0)+10))</f>
        <v>0</v>
      </c>
      <c r="AR146" s="375"/>
      <c r="AS146" s="374">
        <f>ABS(INDEX(AS:AS,MATCH(AS142,$AA:$AA,0)+8)+INDEX(AS:AS,MATCH(AS142,$AA:$AA,0)+9)+INDEX(AS:AS,MATCH(AS142,$AA:$AA,0)+10))</f>
        <v>165</v>
      </c>
      <c r="AT146" s="37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6.05" customHeight="1" x14ac:dyDescent="0.35">
      <c r="B147" s="365" t="str">
        <f t="shared" si="170"/>
        <v>Spieler 3</v>
      </c>
      <c r="C147" s="366" t="str">
        <f t="shared" si="170"/>
        <v/>
      </c>
      <c r="D147" s="339">
        <f>IF(AC147=301,"",AC147)</f>
        <v>154</v>
      </c>
      <c r="E147" s="339" t="str">
        <f>IF(AD147=0,"",AD147)</f>
        <v/>
      </c>
      <c r="F147" s="339">
        <f>IF(AE147=301,"",AE147)</f>
        <v>186</v>
      </c>
      <c r="G147" s="339" t="str">
        <f>IF(AF147=0,"",AF147)</f>
        <v/>
      </c>
      <c r="H147" s="339">
        <f>IF(AG147=301,"",AG147)</f>
        <v>192</v>
      </c>
      <c r="I147" s="339" t="str">
        <f>IF(AH147=0,"",AH147)</f>
        <v/>
      </c>
      <c r="J147" s="339">
        <f>IF(AI147=301,"",AI147)</f>
        <v>180</v>
      </c>
      <c r="K147" s="339" t="str">
        <f>IF(AJ147=0,"",AJ147)</f>
        <v/>
      </c>
      <c r="L147" s="339">
        <f>IF(AK147=301,"",AK147)</f>
        <v>160</v>
      </c>
      <c r="M147" s="339" t="str">
        <f>IF(AL147=0,"",AL147)</f>
        <v/>
      </c>
      <c r="N147" s="339">
        <f>IF(AM147=301,"",AM147)</f>
        <v>170</v>
      </c>
      <c r="O147" s="339" t="str">
        <f>IF(AN147=0,"",AN147)</f>
        <v/>
      </c>
      <c r="P147" s="339">
        <f>IF(AO147=301,"",AO147)</f>
        <v>181</v>
      </c>
      <c r="Q147" s="339" t="str">
        <f>IF(AP147=0,"",AP147)</f>
        <v/>
      </c>
      <c r="R147" s="339">
        <f>IF(AQ147=301,"",AQ147)</f>
        <v>0</v>
      </c>
      <c r="S147" s="339" t="str">
        <f>IF(AR147=0,"",AR147)</f>
        <v/>
      </c>
      <c r="T147" s="339">
        <f>IF(AS147=301,"",AS147)</f>
        <v>163</v>
      </c>
      <c r="U147" s="339" t="str">
        <f>IF(AT147=0,"",AT147)</f>
        <v/>
      </c>
      <c r="V147" s="340"/>
      <c r="W147" s="340"/>
      <c r="AA147" s="91" t="s">
        <v>3</v>
      </c>
      <c r="AB147" s="92"/>
      <c r="AC147" s="374">
        <f>ABS(INDEX(AC:AC,MATCH(AC142,$AA:$AA,0)+11)+INDEX(AC:AC,MATCH(AC142,$AA:$AA,0)+12)+INDEX(AC:AC,MATCH(AC142,$AA:$AA,0)+13))</f>
        <v>154</v>
      </c>
      <c r="AD147" s="375"/>
      <c r="AE147" s="374">
        <f>ABS(INDEX(AE:AE,MATCH(AE142,$AA:$AA,0)+11)+INDEX(AE:AE,MATCH(AE142,$AA:$AA,0)+12)+INDEX(AE:AE,MATCH(AE142,$AA:$AA,0)+13))</f>
        <v>186</v>
      </c>
      <c r="AF147" s="375"/>
      <c r="AG147" s="374">
        <f>ABS(INDEX(AG:AG,MATCH(AG142,$AA:$AA,0)+11)+INDEX(AG:AG,MATCH(AG142,$AA:$AA,0)+12)+INDEX(AG:AG,MATCH(AG142,$AA:$AA,0)+13))</f>
        <v>192</v>
      </c>
      <c r="AH147" s="375"/>
      <c r="AI147" s="374">
        <f>ABS(INDEX(AI:AI,MATCH(AI142,$AA:$AA,0)+11)+INDEX(AI:AI,MATCH(AI142,$AA:$AA,0)+12)+INDEX(AI:AI,MATCH(AI142,$AA:$AA,0)+13))</f>
        <v>180</v>
      </c>
      <c r="AJ147" s="375"/>
      <c r="AK147" s="374">
        <f>ABS(INDEX(AK:AK,MATCH(AK142,$AA:$AA,0)+11)+INDEX(AK:AK,MATCH(AK142,$AA:$AA,0)+12)+INDEX(AK:AK,MATCH(AK142,$AA:$AA,0)+13))</f>
        <v>160</v>
      </c>
      <c r="AL147" s="375"/>
      <c r="AM147" s="374">
        <f>ABS(INDEX(AM:AM,MATCH(AM142,$AA:$AA,0)+11)+INDEX(AM:AM,MATCH(AM142,$AA:$AA,0)+12)+INDEX(AM:AM,MATCH(AM142,$AA:$AA,0)+13))</f>
        <v>170</v>
      </c>
      <c r="AN147" s="375"/>
      <c r="AO147" s="374">
        <f>ABS(INDEX(AO:AO,MATCH(AO142,$AA:$AA,0)+11)+INDEX(AO:AO,MATCH(AO142,$AA:$AA,0)+12)+INDEX(AO:AO,MATCH(AO142,$AA:$AA,0)+13))</f>
        <v>181</v>
      </c>
      <c r="AP147" s="375"/>
      <c r="AQ147" s="374">
        <f>ABS(INDEX(AQ:AQ,MATCH(AQ142,$AA:$AA,0)+11)+INDEX(AQ:AQ,MATCH(AQ142,$AA:$AA,0)+12)+INDEX(AQ:AQ,MATCH(AQ142,$AA:$AA,0)+13))</f>
        <v>0</v>
      </c>
      <c r="AR147" s="375"/>
      <c r="AS147" s="374">
        <f>ABS(INDEX(AS:AS,MATCH(AS142,$AA:$AA,0)+11)+INDEX(AS:AS,MATCH(AS142,$AA:$AA,0)+12)+INDEX(AS:AS,MATCH(AS142,$AA:$AA,0)+13))</f>
        <v>163</v>
      </c>
      <c r="AT147" s="37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6.05" customHeight="1" x14ac:dyDescent="0.35">
      <c r="B148" s="365" t="str">
        <f t="shared" si="170"/>
        <v>Spieler 4</v>
      </c>
      <c r="C148" s="366" t="str">
        <f t="shared" si="170"/>
        <v/>
      </c>
      <c r="D148" s="339">
        <f>IF(AC148=301,"",AC148)</f>
        <v>146</v>
      </c>
      <c r="E148" s="339" t="str">
        <f>IF(AD148=0,"",AD148)</f>
        <v/>
      </c>
      <c r="F148" s="339">
        <f>IF(AE148=301,"",AE148)</f>
        <v>179</v>
      </c>
      <c r="G148" s="339" t="str">
        <f>IF(AF148=0,"",AF148)</f>
        <v/>
      </c>
      <c r="H148" s="339">
        <f>IF(AG148=301,"",AG148)</f>
        <v>211</v>
      </c>
      <c r="I148" s="339" t="str">
        <f>IF(AH148=0,"",AH148)</f>
        <v/>
      </c>
      <c r="J148" s="339">
        <f>IF(AI148=301,"",AI148)</f>
        <v>169</v>
      </c>
      <c r="K148" s="339" t="str">
        <f>IF(AJ148=0,"",AJ148)</f>
        <v/>
      </c>
      <c r="L148" s="339">
        <f>IF(AK148=301,"",AK148)</f>
        <v>189</v>
      </c>
      <c r="M148" s="339" t="str">
        <f>IF(AL148=0,"",AL148)</f>
        <v/>
      </c>
      <c r="N148" s="339">
        <f>IF(AM148=301,"",AM148)</f>
        <v>174</v>
      </c>
      <c r="O148" s="339" t="str">
        <f>IF(AN148=0,"",AN148)</f>
        <v/>
      </c>
      <c r="P148" s="339">
        <f>IF(AO148=301,"",AO148)</f>
        <v>190</v>
      </c>
      <c r="Q148" s="339" t="str">
        <f>IF(AP148=0,"",AP148)</f>
        <v/>
      </c>
      <c r="R148" s="339">
        <f>IF(AQ148=301,"",AQ148)</f>
        <v>0</v>
      </c>
      <c r="S148" s="339" t="str">
        <f>IF(AR148=0,"",AR148)</f>
        <v/>
      </c>
      <c r="T148" s="339">
        <f>IF(AS148=301,"",AS148)</f>
        <v>182</v>
      </c>
      <c r="U148" s="339" t="str">
        <f>IF(AT148=0,"",AT148)</f>
        <v/>
      </c>
      <c r="V148" s="340"/>
      <c r="W148" s="340"/>
      <c r="AA148" s="91" t="s">
        <v>11</v>
      </c>
      <c r="AB148" s="92"/>
      <c r="AC148" s="374">
        <f>ABS(INDEX(AC:AC,MATCH(AC142,$AA:$AA,0)+14)+INDEX(AC:AC,MATCH(AC142,$AA:$AA,0)+15)+INDEX(AC:AC,MATCH(AC142,$AA:$AA,0)+16))</f>
        <v>146</v>
      </c>
      <c r="AD148" s="375"/>
      <c r="AE148" s="374">
        <f>ABS(INDEX(AE:AE,MATCH(AE142,$AA:$AA,0)+14)+INDEX(AE:AE,MATCH(AE142,$AA:$AA,0)+15)+INDEX(AE:AE,MATCH(AE142,$AA:$AA,0)+16))</f>
        <v>179</v>
      </c>
      <c r="AF148" s="375"/>
      <c r="AG148" s="374">
        <f>ABS(INDEX(AG:AG,MATCH(AG142,$AA:$AA,0)+14)+INDEX(AG:AG,MATCH(AG142,$AA:$AA,0)+15)+INDEX(AG:AG,MATCH(AG142,$AA:$AA,0)+16))</f>
        <v>211</v>
      </c>
      <c r="AH148" s="375"/>
      <c r="AI148" s="374">
        <f>ABS(INDEX(AI:AI,MATCH(AI142,$AA:$AA,0)+14)+INDEX(AI:AI,MATCH(AI142,$AA:$AA,0)+15)+INDEX(AI:AI,MATCH(AI142,$AA:$AA,0)+16))</f>
        <v>169</v>
      </c>
      <c r="AJ148" s="375"/>
      <c r="AK148" s="374">
        <f>ABS(INDEX(AK:AK,MATCH(AK142,$AA:$AA,0)+14)+INDEX(AK:AK,MATCH(AK142,$AA:$AA,0)+15)+INDEX(AK:AK,MATCH(AK142,$AA:$AA,0)+16))</f>
        <v>189</v>
      </c>
      <c r="AL148" s="375"/>
      <c r="AM148" s="374">
        <f>ABS(INDEX(AM:AM,MATCH(AM142,$AA:$AA,0)+14)+INDEX(AM:AM,MATCH(AM142,$AA:$AA,0)+15)+INDEX(AM:AM,MATCH(AM142,$AA:$AA,0)+16))</f>
        <v>174</v>
      </c>
      <c r="AN148" s="375"/>
      <c r="AO148" s="374">
        <f>ABS(INDEX(AO:AO,MATCH(AO142,$AA:$AA,0)+14)+INDEX(AO:AO,MATCH(AO142,$AA:$AA,0)+15)+INDEX(AO:AO,MATCH(AO142,$AA:$AA,0)+16))</f>
        <v>190</v>
      </c>
      <c r="AP148" s="375"/>
      <c r="AQ148" s="374">
        <f>ABS(INDEX(AQ:AQ,MATCH(AQ142,$AA:$AA,0)+14)+INDEX(AQ:AQ,MATCH(AQ142,$AA:$AA,0)+15)+INDEX(AQ:AQ,MATCH(AQ142,$AA:$AA,0)+16))</f>
        <v>0</v>
      </c>
      <c r="AR148" s="375"/>
      <c r="AS148" s="374">
        <f>ABS(INDEX(AS:AS,MATCH(AS142,$AA:$AA,0)+14)+INDEX(AS:AS,MATCH(AS142,$AA:$AA,0)+15)+INDEX(AS:AS,MATCH(AS142,$AA:$AA,0)+16))</f>
        <v>182</v>
      </c>
      <c r="AT148" s="37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6.05" customHeight="1" x14ac:dyDescent="0.35">
      <c r="B149" s="354" t="str">
        <f t="shared" si="170"/>
        <v>Gesamt</v>
      </c>
      <c r="C149" s="355" t="str">
        <f t="shared" si="170"/>
        <v/>
      </c>
      <c r="D149" s="338">
        <f>IF(AC149=1505,"",AC149)</f>
        <v>639</v>
      </c>
      <c r="E149" s="338" t="str">
        <f>IF(AD149=0,"",AD149)</f>
        <v/>
      </c>
      <c r="F149" s="338">
        <f>IF(AE149=1505,"",AE149)</f>
        <v>723</v>
      </c>
      <c r="G149" s="338" t="str">
        <f>IF(AF149=0,"",AF149)</f>
        <v/>
      </c>
      <c r="H149" s="338">
        <f>IF(AG149=1505,"",AG149)</f>
        <v>728</v>
      </c>
      <c r="I149" s="338" t="str">
        <f>IF(AH149=0,"",AH149)</f>
        <v/>
      </c>
      <c r="J149" s="338">
        <f>IF(AI149=1505,"",AI149)</f>
        <v>742</v>
      </c>
      <c r="K149" s="338" t="str">
        <f>IF(AJ149=0,"",AJ149)</f>
        <v/>
      </c>
      <c r="L149" s="338">
        <f>IF(AK149=1505,"",AK149)</f>
        <v>628</v>
      </c>
      <c r="M149" s="338" t="str">
        <f>IF(AL149=0,"",AL149)</f>
        <v/>
      </c>
      <c r="N149" s="338">
        <f>IF(AM149=1505,"",AM149)</f>
        <v>675</v>
      </c>
      <c r="O149" s="338" t="str">
        <f>IF(AN149=0,"",AN149)</f>
        <v/>
      </c>
      <c r="P149" s="338">
        <f>IF(AO149=1505,"",AO149)</f>
        <v>784</v>
      </c>
      <c r="Q149" s="338" t="str">
        <f>IF(AP149=0,"",AP149)</f>
        <v/>
      </c>
      <c r="R149" s="338">
        <f>IF(AQ149=1505,"",AQ149)</f>
        <v>0</v>
      </c>
      <c r="S149" s="338" t="str">
        <f>IF(AR149=0,"",AR149)</f>
        <v/>
      </c>
      <c r="T149" s="338">
        <f>IF(AS149=1505,"",AS149)</f>
        <v>688</v>
      </c>
      <c r="U149" s="338" t="str">
        <f>IF(AT149=0,"",AT149)</f>
        <v/>
      </c>
      <c r="V149" s="290"/>
      <c r="W149" s="290"/>
      <c r="AA149" s="93" t="s">
        <v>1799</v>
      </c>
      <c r="AB149" s="94"/>
      <c r="AC149" s="354">
        <f>SUM(AC145:AC148)</f>
        <v>639</v>
      </c>
      <c r="AD149" s="355"/>
      <c r="AE149" s="354">
        <f>SUM(AE145:AE148)</f>
        <v>723</v>
      </c>
      <c r="AF149" s="355"/>
      <c r="AG149" s="354">
        <f>SUM(AG145:AG148)</f>
        <v>728</v>
      </c>
      <c r="AH149" s="355"/>
      <c r="AI149" s="354">
        <f>SUM(AI145:AI148)</f>
        <v>742</v>
      </c>
      <c r="AJ149" s="355"/>
      <c r="AK149" s="354">
        <f>SUM(AK145:AK148)</f>
        <v>628</v>
      </c>
      <c r="AL149" s="355"/>
      <c r="AM149" s="354">
        <f>SUM(AM145:AM148)</f>
        <v>675</v>
      </c>
      <c r="AN149" s="355"/>
      <c r="AO149" s="354">
        <f>SUM(AO145:AO148)</f>
        <v>784</v>
      </c>
      <c r="AP149" s="355"/>
      <c r="AQ149" s="354">
        <f>SUM(AQ145:AQ148)</f>
        <v>0</v>
      </c>
      <c r="AR149" s="355"/>
      <c r="AS149" s="354">
        <f>SUM(AS145:AS148)</f>
        <v>688</v>
      </c>
      <c r="AT149" s="35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3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7">
      <c r="B151" s="44" t="str">
        <f>AA151</f>
        <v>Team-Nr.</v>
      </c>
      <c r="C151" s="45"/>
      <c r="D151" s="44" t="str">
        <f>AC151</f>
        <v>Liga:</v>
      </c>
      <c r="E151" s="47"/>
      <c r="F151" s="359" t="str">
        <f>AE151</f>
        <v>Bayernliga Frauen</v>
      </c>
      <c r="G151" s="359"/>
      <c r="H151" s="359"/>
      <c r="I151" s="359"/>
      <c r="J151" s="359"/>
      <c r="K151" s="359"/>
      <c r="L151" s="359"/>
      <c r="M151" s="359"/>
      <c r="N151" s="359"/>
      <c r="O151" s="359"/>
      <c r="P151" s="359"/>
      <c r="Q151" s="359"/>
      <c r="R151" s="48"/>
      <c r="S151" s="49" t="s">
        <v>1794</v>
      </c>
      <c r="T151" s="50"/>
      <c r="U151" s="360" t="str">
        <f>AT151</f>
        <v>15.02./16.02.</v>
      </c>
      <c r="V151" s="361"/>
      <c r="W151" s="362"/>
      <c r="X151" s="363"/>
      <c r="Y151" s="364"/>
      <c r="Z151" s="364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0" t="str">
        <f>VLOOKUP(AS152,Spielorte!$A$1:$C$6,2)</f>
        <v>15.02./16.02.</v>
      </c>
      <c r="AU151" s="361"/>
      <c r="AV151" s="362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65">
      <c r="B152" s="53">
        <f>AA152</f>
        <v>6</v>
      </c>
      <c r="D152" s="46" t="s">
        <v>1793</v>
      </c>
      <c r="E152" s="54"/>
      <c r="F152" s="358" t="str">
        <f>AE152</f>
        <v>Nürnberg West Bowling</v>
      </c>
      <c r="G152" s="358"/>
      <c r="H152" s="358"/>
      <c r="I152" s="358"/>
      <c r="J152" s="358"/>
      <c r="K152" s="358"/>
      <c r="L152" s="358"/>
      <c r="M152" s="358"/>
      <c r="N152" s="358"/>
      <c r="O152" s="358"/>
      <c r="P152" s="55"/>
      <c r="Q152" s="55"/>
      <c r="S152" s="49" t="s">
        <v>1791</v>
      </c>
      <c r="T152" s="56">
        <f>AS152</f>
        <v>4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Nürnberg West Bowling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4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4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5" thickBot="1" x14ac:dyDescent="0.45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VLOOKUP(AA152,Schlüssel!$A$5:$DZ$14,73)</f>
        <v>16</v>
      </c>
      <c r="AE154" s="65" t="s">
        <v>10</v>
      </c>
      <c r="AF154" s="44">
        <f>VLOOKUP(AA152,Schlüssel!$A$5:$DZ$14,74)</f>
        <v>14</v>
      </c>
      <c r="AG154" s="65" t="s">
        <v>10</v>
      </c>
      <c r="AH154" s="44">
        <f>VLOOKUP(AA152,Schlüssel!$A$5:$DZ$14,75)</f>
        <v>20</v>
      </c>
      <c r="AI154" s="65" t="s">
        <v>10</v>
      </c>
      <c r="AJ154" s="44">
        <f>VLOOKUP(AA152,Schlüssel!$A$5:$DZ$14,76)</f>
        <v>15</v>
      </c>
      <c r="AK154" s="65" t="s">
        <v>10</v>
      </c>
      <c r="AL154" s="44">
        <f>VLOOKUP(AA152,Schlüssel!$A$5:$DZ$14,77)</f>
        <v>18</v>
      </c>
      <c r="AM154" s="65" t="s">
        <v>10</v>
      </c>
      <c r="AN154" s="44">
        <f>VLOOKUP(AA152,Schlüssel!$A$5:$DZ$14,78)</f>
        <v>12</v>
      </c>
      <c r="AO154" s="65" t="s">
        <v>10</v>
      </c>
      <c r="AP154" s="44">
        <f>VLOOKUP(AA152,Schlüssel!$A$5:$DZ$14,79)</f>
        <v>19</v>
      </c>
      <c r="AQ154" s="65" t="s">
        <v>10</v>
      </c>
      <c r="AR154" s="44">
        <f>VLOOKUP(AA152,Schlüssel!$A$5:$DZ$14,80)</f>
        <v>13</v>
      </c>
      <c r="AS154" s="65" t="s">
        <v>10</v>
      </c>
      <c r="AT154" s="44">
        <f>VLOOKUP(AA152,Schlüssel!$A$5:$DZ$14,81)</f>
        <v>11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35">
      <c r="B155" s="67" t="s">
        <v>1</v>
      </c>
      <c r="C155" s="68"/>
      <c r="D155" s="354" t="s">
        <v>1800</v>
      </c>
      <c r="E155" s="355"/>
      <c r="F155" s="354" t="s">
        <v>1801</v>
      </c>
      <c r="G155" s="355"/>
      <c r="H155" s="354" t="s">
        <v>1802</v>
      </c>
      <c r="I155" s="355"/>
      <c r="J155" s="354" t="s">
        <v>1803</v>
      </c>
      <c r="K155" s="355"/>
      <c r="L155" s="354" t="s">
        <v>1804</v>
      </c>
      <c r="M155" s="355"/>
      <c r="N155" s="354" t="s">
        <v>1805</v>
      </c>
      <c r="O155" s="355"/>
      <c r="P155" s="354" t="s">
        <v>1806</v>
      </c>
      <c r="Q155" s="355"/>
      <c r="R155" s="354" t="s">
        <v>1807</v>
      </c>
      <c r="S155" s="355"/>
      <c r="T155" s="354" t="s">
        <v>1808</v>
      </c>
      <c r="U155" s="355"/>
      <c r="V155" s="356" t="s">
        <v>1799</v>
      </c>
      <c r="W155" s="357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4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2" customHeight="1" x14ac:dyDescent="0.35">
      <c r="A157" s="367" t="s">
        <v>0</v>
      </c>
      <c r="B157" s="73" t="str">
        <f>IF(AA157=0,"",AA157)</f>
        <v>Jenke, Sandra</v>
      </c>
      <c r="C157" s="74">
        <f>IF(AB157=0,"",AB157)</f>
        <v>38607</v>
      </c>
      <c r="D157" s="75">
        <f>IF(AC157=0,"",AC157)</f>
        <v>141</v>
      </c>
      <c r="E157" s="348">
        <f>IF(AD157="","",AD157)</f>
        <v>0</v>
      </c>
      <c r="F157" s="75">
        <f t="shared" ref="F157:F170" si="171">IF(AE157=0,"",AE157)</f>
        <v>202</v>
      </c>
      <c r="G157" s="348">
        <f>IF(AF157="","",AF157)</f>
        <v>1</v>
      </c>
      <c r="H157" s="75">
        <f t="shared" ref="H157:H170" si="172">IF(AG157=0,"",AG157)</f>
        <v>145</v>
      </c>
      <c r="I157" s="348">
        <f>IF(AH157="","",AH157)</f>
        <v>0</v>
      </c>
      <c r="J157" s="75">
        <f t="shared" ref="J157:J170" si="173">IF(AI157=0,"",AI157)</f>
        <v>182</v>
      </c>
      <c r="K157" s="348">
        <f>IF(AJ157="","",AJ157)</f>
        <v>0</v>
      </c>
      <c r="L157" s="75" t="str">
        <f t="shared" ref="L157:L170" si="174">IF(AK157=0,"",AK157)</f>
        <v/>
      </c>
      <c r="M157" s="348">
        <f>IF(AL157="","",AL157)</f>
        <v>0</v>
      </c>
      <c r="N157" s="75" t="str">
        <f>IF(AM157=0,"",AM157)</f>
        <v/>
      </c>
      <c r="O157" s="348">
        <f>IF(AN157="","",AN157)</f>
        <v>0</v>
      </c>
      <c r="P157" s="75" t="str">
        <f t="shared" ref="P157:P170" si="175">IF(AO157=0,"",AO157)</f>
        <v/>
      </c>
      <c r="Q157" s="348">
        <f>IF(AP157="","",AP157)</f>
        <v>1</v>
      </c>
      <c r="R157" s="75" t="str">
        <f t="shared" ref="R157:R170" si="176">IF(AQ157=0,"",AQ157)</f>
        <v/>
      </c>
      <c r="S157" s="348">
        <f>IF(AR157="","",AR157)</f>
        <v>1</v>
      </c>
      <c r="T157" s="75" t="str">
        <f t="shared" ref="T157:T170" si="177">IF(AS157=0,"",AS157)</f>
        <v/>
      </c>
      <c r="U157" s="348">
        <f>IF(AT157="","",AT157)</f>
        <v>1</v>
      </c>
      <c r="V157" s="75">
        <f t="shared" ref="V157:V170" si="178">IF(AU157=0,"",AU157)</f>
        <v>670</v>
      </c>
      <c r="W157" s="348">
        <f>IF(AV157="","",AV157)</f>
        <v>4</v>
      </c>
      <c r="Z157" s="351" t="s">
        <v>0</v>
      </c>
      <c r="AA157" s="108" t="str">
        <f>IF(AB157=0,"",VLOOKUP(AB157,Starter!$A$1:$D$199,2,FALSE))</f>
        <v>Jenke, Sandra</v>
      </c>
      <c r="AB157" s="99">
        <v>38607</v>
      </c>
      <c r="AC157" s="185">
        <v>141</v>
      </c>
      <c r="AD157" s="109">
        <f>IF(SUM(AC157:AC159)+AC175=0,0,IF(SUM(AC157:AC159)=AC175,0.5,IF(SUM(AC157:AC159)&gt;AC175,1,0)))</f>
        <v>0</v>
      </c>
      <c r="AE157" s="185">
        <v>202</v>
      </c>
      <c r="AF157" s="109">
        <f>IF(SUM(AE157:AE159)+AE175=0,0,IF(SUM(AE157:AE159)=AE175,0.5,IF(SUM(AE157:AE159)&gt;AE175,1,0)))</f>
        <v>1</v>
      </c>
      <c r="AG157" s="185">
        <v>145</v>
      </c>
      <c r="AH157" s="109">
        <f>IF(SUM(AG157:AG159)+AG175=0,0,IF(SUM(AG157:AG159)=AG175,0.5,IF(SUM(AG157:AG159)&gt;AG175,1,0)))</f>
        <v>0</v>
      </c>
      <c r="AI157" s="185">
        <v>182</v>
      </c>
      <c r="AJ157" s="109">
        <f>IF(SUM(AI157:AI159)+AI175=0,0,IF(SUM(AI157:AI159)=AI175,0.5,IF(SUM(AI157:AI159)&gt;AI175,1,0)))</f>
        <v>0</v>
      </c>
      <c r="AK157" s="185"/>
      <c r="AL157" s="109">
        <f>IF(SUM(AK157:AK159)+AK175=0,0,IF(SUM(AK157:AK159)=AK175,0.5,IF(SUM(AK157:AK159)&gt;AK175,1,0)))</f>
        <v>0</v>
      </c>
      <c r="AM157" s="185"/>
      <c r="AN157" s="109">
        <f>IF(SUM(AM157:AM159)+AM175=0,0,IF(SUM(AM157:AM159)=AM175,0.5,IF(SUM(AM157:AM159)&gt;AM175,1,0)))</f>
        <v>0</v>
      </c>
      <c r="AO157" s="185"/>
      <c r="AP157" s="109">
        <f>IF(SUM(AO157:AO159)+AO175=0,0,IF(SUM(AO157:AO159)=AO175,0.5,IF(SUM(AO157:AO159)&gt;AO175,1,0)))</f>
        <v>1</v>
      </c>
      <c r="AQ157" s="185"/>
      <c r="AR157" s="109">
        <f>IF(SUM(AQ157:AQ159)+AQ175=0,0,IF(SUM(AQ157:AQ159)=AQ175,0.5,IF(SUM(AQ157:AQ159)&gt;AQ175,1,0)))</f>
        <v>1</v>
      </c>
      <c r="AS157" s="185"/>
      <c r="AT157" s="109">
        <f>IF(SUM(AS157:AS159)+AS175=0,0,IF(SUM(AS157:AS159)=AS175,0.5,IF(SUM(AS157:AS159)&gt;AS175,1,0)))</f>
        <v>1</v>
      </c>
      <c r="AU157" s="110">
        <f t="shared" ref="AU157:AU168" si="179">ABS(SUM(AC157:AC157))+ABS(SUM(AE157:AE157))+ABS(SUM(AG157:AG157))+ABS(SUM(AI157:AI157))+ABS(SUM(AK157:AK157))+ABS(SUM(AM157:AM157))+ABS(SUM(AO157:AO157))+ABS(SUM(AQ157:AQ157))+ABS(SUM(AS157:AS157))</f>
        <v>670</v>
      </c>
      <c r="AV157" s="111">
        <f>SUM(AD157+AF157+AH157+AJ157+AL157+AN157+AP157+AR157+AT157)</f>
        <v>4</v>
      </c>
      <c r="AW157" s="101"/>
      <c r="AX157" s="102"/>
      <c r="AZ157" s="63"/>
      <c r="BA157" s="212"/>
      <c r="BB157" s="213"/>
      <c r="BC157" s="214"/>
      <c r="BD157" s="217">
        <f>+AB157</f>
        <v>38607</v>
      </c>
      <c r="BE157" s="213">
        <f>+AU157</f>
        <v>670</v>
      </c>
      <c r="BF157" s="215">
        <f>COUNT(BH157:BP157)</f>
        <v>4</v>
      </c>
      <c r="BG157" s="215">
        <f>COUNTIF(BH157:BP157,"&gt;0")</f>
        <v>4</v>
      </c>
      <c r="BH157" s="215">
        <f t="shared" ref="BH157:BH168" si="180">IF(AC157=0,"",AC157)</f>
        <v>141</v>
      </c>
      <c r="BI157" s="215">
        <f t="shared" ref="BI157:BI168" si="181">IF(AE157=0,"",AE157)</f>
        <v>202</v>
      </c>
      <c r="BJ157" s="215">
        <f t="shared" ref="BJ157:BJ168" si="182">IF(AG157=0,"",AG157)</f>
        <v>145</v>
      </c>
      <c r="BK157" s="215">
        <f t="shared" ref="BK157:BK168" si="183">IF(AI157=0,"",AI157)</f>
        <v>182</v>
      </c>
      <c r="BL157" s="215" t="str">
        <f t="shared" ref="BL157:BL168" si="184">IF(AK157=0,"",AK157)</f>
        <v/>
      </c>
      <c r="BM157" s="215" t="str">
        <f t="shared" ref="BM157:BM168" si="185">IF(AM157=0,"",AM157)</f>
        <v/>
      </c>
      <c r="BN157" s="215" t="str">
        <f t="shared" ref="BN157:BN168" si="186">IF(AO157=0,"",AO157)</f>
        <v/>
      </c>
      <c r="BO157" s="215" t="str">
        <f t="shared" ref="BO157:BO168" si="187">IF(AQ157=0,"",AQ157)</f>
        <v/>
      </c>
      <c r="BP157" s="215" t="str">
        <f t="shared" ref="BP157:BP168" si="188">IF(AS157=0,"",AS157)</f>
        <v/>
      </c>
      <c r="BQ157" s="216"/>
      <c r="BR157" s="214"/>
      <c r="BS157" s="215">
        <f>MAX(BH157:BP157)</f>
        <v>202</v>
      </c>
      <c r="BT157" s="215">
        <f>IF(BS157&lt;MAX(BS:BS),0,BS157+ROW()/1000000000)</f>
        <v>0</v>
      </c>
      <c r="BU157" s="215" t="str">
        <f>+AA153</f>
        <v>Phönix 03 Lauf</v>
      </c>
      <c r="BV157" s="214">
        <f>RANK(BT157,BT:BT)</f>
        <v>2</v>
      </c>
      <c r="BW157" s="215">
        <f>SUMIF(BH157:BP157,"&gt;0")</f>
        <v>670</v>
      </c>
      <c r="BX157" s="215">
        <f>IF(COUNTIF(BH157:BP157,"&gt;0")&lt;Spielorte!$A$23,0,BE157/Spielorte!$A$23)</f>
        <v>0</v>
      </c>
      <c r="BY157" s="215">
        <f>IF(BX157&lt;MAX(BX:BX),0,BX157+ROW()/1000000000)</f>
        <v>0</v>
      </c>
      <c r="BZ157" s="214">
        <f t="shared" ref="BZ157:BZ168" si="189">IF(BY157=0,0,RANK(BY157,BY:BY))</f>
        <v>0</v>
      </c>
    </row>
    <row r="158" spans="1:78" ht="17.2" customHeight="1" x14ac:dyDescent="0.35">
      <c r="A158" s="368"/>
      <c r="B158" s="76" t="str">
        <f t="shared" ref="B158:D170" si="190">IF(AA158=0,"",AA158)</f>
        <v>Reichel, Christina</v>
      </c>
      <c r="C158" s="77">
        <f t="shared" si="190"/>
        <v>7786</v>
      </c>
      <c r="D158" s="78" t="str">
        <f t="shared" si="190"/>
        <v/>
      </c>
      <c r="E158" s="349"/>
      <c r="F158" s="78" t="str">
        <f t="shared" si="171"/>
        <v/>
      </c>
      <c r="G158" s="349"/>
      <c r="H158" s="78" t="str">
        <f t="shared" si="172"/>
        <v/>
      </c>
      <c r="I158" s="349"/>
      <c r="J158" s="78" t="str">
        <f t="shared" si="173"/>
        <v/>
      </c>
      <c r="K158" s="349"/>
      <c r="L158" s="78">
        <f t="shared" si="174"/>
        <v>170</v>
      </c>
      <c r="M158" s="349"/>
      <c r="N158" s="78">
        <f t="shared" ref="N158:N170" si="191">IF(AM158=0,"",AM158)</f>
        <v>157</v>
      </c>
      <c r="O158" s="349"/>
      <c r="P158" s="78">
        <f t="shared" si="175"/>
        <v>206</v>
      </c>
      <c r="Q158" s="349"/>
      <c r="R158" s="78">
        <f t="shared" si="176"/>
        <v>207</v>
      </c>
      <c r="S158" s="349"/>
      <c r="T158" s="78">
        <f t="shared" si="177"/>
        <v>154</v>
      </c>
      <c r="U158" s="349"/>
      <c r="V158" s="78">
        <f t="shared" si="178"/>
        <v>894</v>
      </c>
      <c r="W158" s="349"/>
      <c r="Z158" s="352"/>
      <c r="AA158" s="108" t="str">
        <f>IF(AB158=0,"",VLOOKUP(AB158,Starter!$A$1:$D$199,2,FALSE))</f>
        <v>Reichel, Christina</v>
      </c>
      <c r="AB158" s="98">
        <v>7786</v>
      </c>
      <c r="AC158" s="186"/>
      <c r="AD158" s="112"/>
      <c r="AE158" s="186"/>
      <c r="AF158" s="112"/>
      <c r="AG158" s="186"/>
      <c r="AH158" s="112"/>
      <c r="AI158" s="186"/>
      <c r="AJ158" s="112"/>
      <c r="AK158" s="186">
        <v>170</v>
      </c>
      <c r="AL158" s="112"/>
      <c r="AM158" s="186">
        <v>157</v>
      </c>
      <c r="AN158" s="112"/>
      <c r="AO158" s="186">
        <v>206</v>
      </c>
      <c r="AP158" s="112"/>
      <c r="AQ158" s="186">
        <v>207</v>
      </c>
      <c r="AR158" s="112"/>
      <c r="AS158" s="186">
        <v>154</v>
      </c>
      <c r="AT158" s="112"/>
      <c r="AU158" s="113">
        <f t="shared" si="179"/>
        <v>894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2">+AB158</f>
        <v>7786</v>
      </c>
      <c r="BE158" s="213">
        <f t="shared" ref="BE158:BE168" si="193">+AU158</f>
        <v>894</v>
      </c>
      <c r="BF158" s="215">
        <f t="shared" ref="BF158:BF168" si="194">COUNT(BH158:BP158)</f>
        <v>5</v>
      </c>
      <c r="BG158" s="215">
        <f t="shared" ref="BG158:BG168" si="195">COUNTIF(BH158:BP158,"&gt;0")</f>
        <v>5</v>
      </c>
      <c r="BH158" s="215" t="str">
        <f t="shared" si="180"/>
        <v/>
      </c>
      <c r="BI158" s="215" t="str">
        <f t="shared" si="181"/>
        <v/>
      </c>
      <c r="BJ158" s="215" t="str">
        <f t="shared" si="182"/>
        <v/>
      </c>
      <c r="BK158" s="215" t="str">
        <f t="shared" si="183"/>
        <v/>
      </c>
      <c r="BL158" s="215">
        <f t="shared" si="184"/>
        <v>170</v>
      </c>
      <c r="BM158" s="215">
        <f t="shared" si="185"/>
        <v>157</v>
      </c>
      <c r="BN158" s="215">
        <f t="shared" si="186"/>
        <v>206</v>
      </c>
      <c r="BO158" s="215">
        <f t="shared" si="187"/>
        <v>207</v>
      </c>
      <c r="BP158" s="215">
        <f t="shared" si="188"/>
        <v>154</v>
      </c>
      <c r="BQ158" s="216"/>
      <c r="BR158" s="214"/>
      <c r="BS158" s="215">
        <f t="shared" ref="BS158:BS168" si="196">MAX(BH158:BP158)</f>
        <v>207</v>
      </c>
      <c r="BT158" s="215">
        <f t="shared" ref="BT158:BT168" si="197">IF(BS158&lt;MAX(BS:BS),0,BS158+ROW()/1000000000)</f>
        <v>0</v>
      </c>
      <c r="BU158" s="215" t="str">
        <f t="shared" ref="BU158:BU168" si="198">+BU157</f>
        <v>Phönix 03 Lauf</v>
      </c>
      <c r="BV158" s="214">
        <f t="shared" ref="BV158:BV168" si="199">RANK(BT158,BT:BT)</f>
        <v>2</v>
      </c>
      <c r="BW158" s="215">
        <f t="shared" ref="BW158:BW168" si="200">SUMIF(BH158:BP158,"&gt;0")</f>
        <v>894</v>
      </c>
      <c r="BX158" s="215">
        <f>IF(COUNTIF(BH158:BP158,"&gt;0")&lt;Spielorte!$A$23,0,BE158/Spielorte!$A$23)</f>
        <v>0</v>
      </c>
      <c r="BY158" s="215">
        <f t="shared" ref="BY158:BY168" si="201">IF(BX158&lt;MAX(BX:BX),0,BX158+ROW()/1000000000)</f>
        <v>0</v>
      </c>
      <c r="BZ158" s="214">
        <f t="shared" si="189"/>
        <v>0</v>
      </c>
    </row>
    <row r="159" spans="1:78" ht="17.2" customHeight="1" thickBot="1" x14ac:dyDescent="0.4">
      <c r="A159" s="369"/>
      <c r="B159" s="79" t="str">
        <f t="shared" si="190"/>
        <v/>
      </c>
      <c r="C159" s="80" t="str">
        <f t="shared" si="190"/>
        <v/>
      </c>
      <c r="D159" s="69" t="str">
        <f t="shared" si="190"/>
        <v/>
      </c>
      <c r="E159" s="350"/>
      <c r="F159" s="69" t="str">
        <f t="shared" si="171"/>
        <v/>
      </c>
      <c r="G159" s="350"/>
      <c r="H159" s="69" t="str">
        <f t="shared" si="172"/>
        <v/>
      </c>
      <c r="I159" s="350"/>
      <c r="J159" s="69" t="str">
        <f t="shared" si="173"/>
        <v/>
      </c>
      <c r="K159" s="350"/>
      <c r="L159" s="69" t="str">
        <f t="shared" si="174"/>
        <v/>
      </c>
      <c r="M159" s="350"/>
      <c r="N159" s="69" t="str">
        <f t="shared" si="191"/>
        <v/>
      </c>
      <c r="O159" s="350"/>
      <c r="P159" s="69" t="str">
        <f t="shared" si="175"/>
        <v/>
      </c>
      <c r="Q159" s="350"/>
      <c r="R159" s="69" t="str">
        <f t="shared" si="176"/>
        <v/>
      </c>
      <c r="S159" s="350"/>
      <c r="T159" s="69" t="str">
        <f t="shared" si="177"/>
        <v/>
      </c>
      <c r="U159" s="350"/>
      <c r="V159" s="69" t="str">
        <f t="shared" si="178"/>
        <v/>
      </c>
      <c r="W159" s="350"/>
      <c r="Z159" s="353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79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2"/>
        <v>0</v>
      </c>
      <c r="BE159" s="213">
        <f t="shared" si="193"/>
        <v>0</v>
      </c>
      <c r="BF159" s="215">
        <f t="shared" si="194"/>
        <v>0</v>
      </c>
      <c r="BG159" s="215">
        <f t="shared" si="195"/>
        <v>0</v>
      </c>
      <c r="BH159" s="215" t="str">
        <f t="shared" si="180"/>
        <v/>
      </c>
      <c r="BI159" s="215" t="str">
        <f t="shared" si="181"/>
        <v/>
      </c>
      <c r="BJ159" s="215" t="str">
        <f t="shared" si="182"/>
        <v/>
      </c>
      <c r="BK159" s="215" t="str">
        <f t="shared" si="183"/>
        <v/>
      </c>
      <c r="BL159" s="215" t="str">
        <f t="shared" si="184"/>
        <v/>
      </c>
      <c r="BM159" s="215" t="str">
        <f t="shared" si="185"/>
        <v/>
      </c>
      <c r="BN159" s="215" t="str">
        <f t="shared" si="186"/>
        <v/>
      </c>
      <c r="BO159" s="215" t="str">
        <f t="shared" si="187"/>
        <v/>
      </c>
      <c r="BP159" s="215" t="str">
        <f t="shared" si="188"/>
        <v/>
      </c>
      <c r="BQ159" s="216"/>
      <c r="BR159" s="214"/>
      <c r="BS159" s="215">
        <f t="shared" si="196"/>
        <v>0</v>
      </c>
      <c r="BT159" s="215">
        <f t="shared" si="197"/>
        <v>0</v>
      </c>
      <c r="BU159" s="215" t="str">
        <f t="shared" si="198"/>
        <v>Phönix 03 Lauf</v>
      </c>
      <c r="BV159" s="214">
        <f t="shared" si="199"/>
        <v>2</v>
      </c>
      <c r="BW159" s="215">
        <f t="shared" si="200"/>
        <v>0</v>
      </c>
      <c r="BX159" s="215">
        <f>IF(COUNTIF(BH159:BP159,"&gt;0")&lt;Spielorte!$A$23,0,BE159/Spielorte!$A$23)</f>
        <v>0</v>
      </c>
      <c r="BY159" s="215">
        <f t="shared" si="201"/>
        <v>0</v>
      </c>
      <c r="BZ159" s="214">
        <f t="shared" si="189"/>
        <v>0</v>
      </c>
    </row>
    <row r="160" spans="1:78" ht="17.2" customHeight="1" x14ac:dyDescent="0.35">
      <c r="A160" s="367" t="s">
        <v>2</v>
      </c>
      <c r="B160" s="73" t="str">
        <f t="shared" si="190"/>
        <v>Kulzer, Katharina</v>
      </c>
      <c r="C160" s="74">
        <f t="shared" si="190"/>
        <v>38210</v>
      </c>
      <c r="D160" s="75">
        <f t="shared" si="190"/>
        <v>160</v>
      </c>
      <c r="E160" s="348">
        <f>IF(AD160="","",AD160)</f>
        <v>1</v>
      </c>
      <c r="F160" s="75">
        <f t="shared" si="171"/>
        <v>154</v>
      </c>
      <c r="G160" s="348">
        <f>IF(AF160="","",AF160)</f>
        <v>0</v>
      </c>
      <c r="H160" s="75">
        <f t="shared" si="172"/>
        <v>163</v>
      </c>
      <c r="I160" s="348">
        <f>IF(AH160="","",AH160)</f>
        <v>0</v>
      </c>
      <c r="J160" s="75">
        <f t="shared" si="173"/>
        <v>200</v>
      </c>
      <c r="K160" s="348">
        <f>IF(AJ160="","",AJ160)</f>
        <v>1</v>
      </c>
      <c r="L160" s="75" t="str">
        <f t="shared" si="174"/>
        <v/>
      </c>
      <c r="M160" s="348">
        <f>IF(AL160="","",AL160)</f>
        <v>0</v>
      </c>
      <c r="N160" s="75" t="str">
        <f t="shared" si="191"/>
        <v/>
      </c>
      <c r="O160" s="348">
        <f>IF(AN160="","",AN160)</f>
        <v>0</v>
      </c>
      <c r="P160" s="75" t="str">
        <f t="shared" si="175"/>
        <v/>
      </c>
      <c r="Q160" s="348">
        <f>IF(AP160="","",AP160)</f>
        <v>1</v>
      </c>
      <c r="R160" s="75" t="str">
        <f t="shared" si="176"/>
        <v/>
      </c>
      <c r="S160" s="348">
        <f>IF(AR160="","",AR160)</f>
        <v>1</v>
      </c>
      <c r="T160" s="75" t="str">
        <f t="shared" si="177"/>
        <v/>
      </c>
      <c r="U160" s="348">
        <f>IF(AT160="","",AT160)</f>
        <v>1</v>
      </c>
      <c r="V160" s="75">
        <f t="shared" si="178"/>
        <v>677</v>
      </c>
      <c r="W160" s="348">
        <f>IF(AV160="","",AV160)</f>
        <v>5</v>
      </c>
      <c r="Z160" s="351" t="s">
        <v>2</v>
      </c>
      <c r="AA160" s="108" t="str">
        <f>IF(AB160=0,"",VLOOKUP(AB160,Starter!$A$1:$D$199,2,FALSE))</f>
        <v>Kulzer, Katharina</v>
      </c>
      <c r="AB160" s="99">
        <v>38210</v>
      </c>
      <c r="AC160" s="188">
        <v>160</v>
      </c>
      <c r="AD160" s="109">
        <f>IF(SUM(AC160:AC162)+AC176=0,0,IF(SUM(AC160:AC162)=AC176,0.5,IF(SUM(AC160:AC162)&gt;AC176,1,0)))</f>
        <v>1</v>
      </c>
      <c r="AE160" s="188">
        <v>154</v>
      </c>
      <c r="AF160" s="109">
        <f>IF(SUM(AE160:AE162)+AE176=0,0,IF(SUM(AE160:AE162)=AE176,0.5,IF(SUM(AE160:AE162)&gt;AE176,1,0)))</f>
        <v>0</v>
      </c>
      <c r="AG160" s="188">
        <v>163</v>
      </c>
      <c r="AH160" s="109">
        <f>IF(SUM(AG160:AG162)+AG176=0,0,IF(SUM(AG160:AG162)=AG176,0.5,IF(SUM(AG160:AG162)&gt;AG176,1,0)))</f>
        <v>0</v>
      </c>
      <c r="AI160" s="188">
        <v>200</v>
      </c>
      <c r="AJ160" s="109">
        <f>IF(SUM(AI160:AI162)+AI176=0,0,IF(SUM(AI160:AI162)=AI176,0.5,IF(SUM(AI160:AI162)&gt;AI176,1,0)))</f>
        <v>1</v>
      </c>
      <c r="AK160" s="188"/>
      <c r="AL160" s="109">
        <f>IF(SUM(AK160:AK162)+AK176=0,0,IF(SUM(AK160:AK162)=AK176,0.5,IF(SUM(AK160:AK162)&gt;AK176,1,0)))</f>
        <v>0</v>
      </c>
      <c r="AM160" s="188"/>
      <c r="AN160" s="109">
        <f>IF(SUM(AM160:AM162)+AM176=0,0,IF(SUM(AM160:AM162)=AM176,0.5,IF(SUM(AM160:AM162)&gt;AM176,1,0)))</f>
        <v>0</v>
      </c>
      <c r="AO160" s="188"/>
      <c r="AP160" s="109">
        <f>IF(SUM(AO160:AO162)+AO176=0,0,IF(SUM(AO160:AO162)=AO176,0.5,IF(SUM(AO160:AO162)&gt;AO176,1,0)))</f>
        <v>1</v>
      </c>
      <c r="AQ160" s="188"/>
      <c r="AR160" s="109">
        <f>IF(SUM(AQ160:AQ162)+AQ176=0,0,IF(SUM(AQ160:AQ162)=AQ176,0.5,IF(SUM(AQ160:AQ162)&gt;AQ176,1,0)))</f>
        <v>1</v>
      </c>
      <c r="AS160" s="188"/>
      <c r="AT160" s="109">
        <f>IF(SUM(AS160:AS162)+AS176=0,0,IF(SUM(AS160:AS162)=AS176,0.5,IF(SUM(AS160:AS162)&gt;AS176,1,0)))</f>
        <v>1</v>
      </c>
      <c r="AU160" s="110">
        <f t="shared" si="179"/>
        <v>677</v>
      </c>
      <c r="AV160" s="111">
        <f>SUM(AD160+AF160+AH160+AJ160+AL160+AN160+AP160+AR160+AT160)</f>
        <v>5</v>
      </c>
      <c r="AW160" s="101"/>
      <c r="AX160" s="102"/>
      <c r="AZ160" s="63"/>
      <c r="BA160" s="212"/>
      <c r="BB160" s="213"/>
      <c r="BC160" s="214"/>
      <c r="BD160" s="217">
        <f t="shared" si="192"/>
        <v>38210</v>
      </c>
      <c r="BE160" s="213">
        <f t="shared" si="193"/>
        <v>677</v>
      </c>
      <c r="BF160" s="215">
        <f t="shared" si="194"/>
        <v>4</v>
      </c>
      <c r="BG160" s="215">
        <f t="shared" si="195"/>
        <v>4</v>
      </c>
      <c r="BH160" s="215">
        <f t="shared" si="180"/>
        <v>160</v>
      </c>
      <c r="BI160" s="215">
        <f t="shared" si="181"/>
        <v>154</v>
      </c>
      <c r="BJ160" s="215">
        <f t="shared" si="182"/>
        <v>163</v>
      </c>
      <c r="BK160" s="215">
        <f t="shared" si="183"/>
        <v>200</v>
      </c>
      <c r="BL160" s="215" t="str">
        <f t="shared" si="184"/>
        <v/>
      </c>
      <c r="BM160" s="215" t="str">
        <f t="shared" si="185"/>
        <v/>
      </c>
      <c r="BN160" s="215" t="str">
        <f t="shared" si="186"/>
        <v/>
      </c>
      <c r="BO160" s="215" t="str">
        <f t="shared" si="187"/>
        <v/>
      </c>
      <c r="BP160" s="215" t="str">
        <f t="shared" si="188"/>
        <v/>
      </c>
      <c r="BQ160" s="216"/>
      <c r="BR160" s="214"/>
      <c r="BS160" s="215">
        <f t="shared" si="196"/>
        <v>200</v>
      </c>
      <c r="BT160" s="215">
        <f t="shared" si="197"/>
        <v>0</v>
      </c>
      <c r="BU160" s="215" t="str">
        <f t="shared" si="198"/>
        <v>Phönix 03 Lauf</v>
      </c>
      <c r="BV160" s="214">
        <f t="shared" si="199"/>
        <v>2</v>
      </c>
      <c r="BW160" s="215">
        <f t="shared" si="200"/>
        <v>677</v>
      </c>
      <c r="BX160" s="215">
        <f>IF(COUNTIF(BH160:BP160,"&gt;0")&lt;Spielorte!$A$23,0,BE160/Spielorte!$A$23)</f>
        <v>0</v>
      </c>
      <c r="BY160" s="215">
        <f t="shared" si="201"/>
        <v>0</v>
      </c>
      <c r="BZ160" s="214">
        <f t="shared" si="189"/>
        <v>0</v>
      </c>
    </row>
    <row r="161" spans="1:78" ht="17.2" customHeight="1" x14ac:dyDescent="0.35">
      <c r="A161" s="368"/>
      <c r="B161" s="76" t="str">
        <f t="shared" si="190"/>
        <v>Grom-Ruffershöfer, Ilse</v>
      </c>
      <c r="C161" s="77">
        <f t="shared" si="190"/>
        <v>16900</v>
      </c>
      <c r="D161" s="78" t="str">
        <f t="shared" si="190"/>
        <v/>
      </c>
      <c r="E161" s="349"/>
      <c r="F161" s="78" t="str">
        <f t="shared" si="171"/>
        <v/>
      </c>
      <c r="G161" s="349"/>
      <c r="H161" s="78" t="str">
        <f t="shared" si="172"/>
        <v/>
      </c>
      <c r="I161" s="349"/>
      <c r="J161" s="78" t="str">
        <f t="shared" si="173"/>
        <v/>
      </c>
      <c r="K161" s="349"/>
      <c r="L161" s="78">
        <f t="shared" si="174"/>
        <v>152</v>
      </c>
      <c r="M161" s="349"/>
      <c r="N161" s="78">
        <f t="shared" si="191"/>
        <v>149</v>
      </c>
      <c r="O161" s="349"/>
      <c r="P161" s="78">
        <f t="shared" si="175"/>
        <v>207</v>
      </c>
      <c r="Q161" s="349"/>
      <c r="R161" s="78">
        <f t="shared" si="176"/>
        <v>167</v>
      </c>
      <c r="S161" s="349"/>
      <c r="T161" s="78">
        <f t="shared" si="177"/>
        <v>168</v>
      </c>
      <c r="U161" s="349"/>
      <c r="V161" s="78">
        <f t="shared" si="178"/>
        <v>843</v>
      </c>
      <c r="W161" s="349"/>
      <c r="Z161" s="352"/>
      <c r="AA161" s="108" t="str">
        <f>IF(AB161=0,"",VLOOKUP(AB161,Starter!$A$1:$D$199,2,FALSE))</f>
        <v>Grom-Ruffershöfer, Ilse</v>
      </c>
      <c r="AB161" s="98">
        <v>16900</v>
      </c>
      <c r="AC161" s="186"/>
      <c r="AD161" s="112"/>
      <c r="AE161" s="186"/>
      <c r="AF161" s="112"/>
      <c r="AG161" s="186"/>
      <c r="AH161" s="112"/>
      <c r="AI161" s="186"/>
      <c r="AJ161" s="112"/>
      <c r="AK161" s="186">
        <v>152</v>
      </c>
      <c r="AL161" s="112"/>
      <c r="AM161" s="186">
        <v>149</v>
      </c>
      <c r="AN161" s="112"/>
      <c r="AO161" s="190">
        <v>207</v>
      </c>
      <c r="AP161" s="112"/>
      <c r="AQ161" s="190">
        <v>167</v>
      </c>
      <c r="AR161" s="112"/>
      <c r="AS161" s="190">
        <v>168</v>
      </c>
      <c r="AT161" s="112"/>
      <c r="AU161" s="113">
        <f t="shared" si="179"/>
        <v>843</v>
      </c>
      <c r="AV161" s="114"/>
      <c r="AW161" s="101"/>
      <c r="AX161" s="102"/>
      <c r="AZ161" s="63"/>
      <c r="BA161" s="212"/>
      <c r="BB161" s="213"/>
      <c r="BC161" s="214"/>
      <c r="BD161" s="217">
        <f t="shared" si="192"/>
        <v>16900</v>
      </c>
      <c r="BE161" s="213">
        <f t="shared" si="193"/>
        <v>843</v>
      </c>
      <c r="BF161" s="215">
        <f t="shared" si="194"/>
        <v>5</v>
      </c>
      <c r="BG161" s="215">
        <f t="shared" si="195"/>
        <v>5</v>
      </c>
      <c r="BH161" s="215" t="str">
        <f t="shared" si="180"/>
        <v/>
      </c>
      <c r="BI161" s="215" t="str">
        <f t="shared" si="181"/>
        <v/>
      </c>
      <c r="BJ161" s="215" t="str">
        <f t="shared" si="182"/>
        <v/>
      </c>
      <c r="BK161" s="215" t="str">
        <f t="shared" si="183"/>
        <v/>
      </c>
      <c r="BL161" s="215">
        <f t="shared" si="184"/>
        <v>152</v>
      </c>
      <c r="BM161" s="215">
        <f t="shared" si="185"/>
        <v>149</v>
      </c>
      <c r="BN161" s="215">
        <f t="shared" si="186"/>
        <v>207</v>
      </c>
      <c r="BO161" s="215">
        <f t="shared" si="187"/>
        <v>167</v>
      </c>
      <c r="BP161" s="215">
        <f t="shared" si="188"/>
        <v>168</v>
      </c>
      <c r="BQ161" s="216"/>
      <c r="BR161" s="214"/>
      <c r="BS161" s="215">
        <f t="shared" si="196"/>
        <v>207</v>
      </c>
      <c r="BT161" s="215">
        <f t="shared" si="197"/>
        <v>0</v>
      </c>
      <c r="BU161" s="215" t="str">
        <f t="shared" si="198"/>
        <v>Phönix 03 Lauf</v>
      </c>
      <c r="BV161" s="214">
        <f t="shared" si="199"/>
        <v>2</v>
      </c>
      <c r="BW161" s="215">
        <f t="shared" si="200"/>
        <v>843</v>
      </c>
      <c r="BX161" s="215">
        <f>IF(COUNTIF(BH161:BP161,"&gt;0")&lt;Spielorte!$A$23,0,BE161/Spielorte!$A$23)</f>
        <v>0</v>
      </c>
      <c r="BY161" s="215">
        <f t="shared" si="201"/>
        <v>0</v>
      </c>
      <c r="BZ161" s="214">
        <f t="shared" si="189"/>
        <v>0</v>
      </c>
    </row>
    <row r="162" spans="1:78" ht="17.2" customHeight="1" thickBot="1" x14ac:dyDescent="0.4">
      <c r="A162" s="369"/>
      <c r="B162" s="79" t="str">
        <f t="shared" si="190"/>
        <v/>
      </c>
      <c r="C162" s="80" t="str">
        <f t="shared" si="190"/>
        <v/>
      </c>
      <c r="D162" s="69" t="str">
        <f t="shared" si="190"/>
        <v/>
      </c>
      <c r="E162" s="350"/>
      <c r="F162" s="69" t="str">
        <f t="shared" si="171"/>
        <v/>
      </c>
      <c r="G162" s="350"/>
      <c r="H162" s="69" t="str">
        <f t="shared" si="172"/>
        <v/>
      </c>
      <c r="I162" s="350"/>
      <c r="J162" s="69" t="str">
        <f t="shared" si="173"/>
        <v/>
      </c>
      <c r="K162" s="350"/>
      <c r="L162" s="69" t="str">
        <f t="shared" si="174"/>
        <v/>
      </c>
      <c r="M162" s="350"/>
      <c r="N162" s="69" t="str">
        <f t="shared" si="191"/>
        <v/>
      </c>
      <c r="O162" s="350"/>
      <c r="P162" s="69" t="str">
        <f t="shared" si="175"/>
        <v/>
      </c>
      <c r="Q162" s="350"/>
      <c r="R162" s="69" t="str">
        <f t="shared" si="176"/>
        <v/>
      </c>
      <c r="S162" s="350"/>
      <c r="T162" s="69" t="str">
        <f t="shared" si="177"/>
        <v/>
      </c>
      <c r="U162" s="350"/>
      <c r="V162" s="69" t="str">
        <f t="shared" si="178"/>
        <v/>
      </c>
      <c r="W162" s="350"/>
      <c r="Z162" s="353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79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2"/>
        <v>0</v>
      </c>
      <c r="BE162" s="213">
        <f t="shared" si="193"/>
        <v>0</v>
      </c>
      <c r="BF162" s="215">
        <f t="shared" si="194"/>
        <v>0</v>
      </c>
      <c r="BG162" s="215">
        <f t="shared" si="195"/>
        <v>0</v>
      </c>
      <c r="BH162" s="215" t="str">
        <f t="shared" si="180"/>
        <v/>
      </c>
      <c r="BI162" s="215" t="str">
        <f t="shared" si="181"/>
        <v/>
      </c>
      <c r="BJ162" s="215" t="str">
        <f t="shared" si="182"/>
        <v/>
      </c>
      <c r="BK162" s="215" t="str">
        <f t="shared" si="183"/>
        <v/>
      </c>
      <c r="BL162" s="215" t="str">
        <f t="shared" si="184"/>
        <v/>
      </c>
      <c r="BM162" s="215" t="str">
        <f t="shared" si="185"/>
        <v/>
      </c>
      <c r="BN162" s="215" t="str">
        <f t="shared" si="186"/>
        <v/>
      </c>
      <c r="BO162" s="215" t="str">
        <f t="shared" si="187"/>
        <v/>
      </c>
      <c r="BP162" s="215" t="str">
        <f t="shared" si="188"/>
        <v/>
      </c>
      <c r="BQ162" s="216"/>
      <c r="BR162" s="214"/>
      <c r="BS162" s="215">
        <f t="shared" si="196"/>
        <v>0</v>
      </c>
      <c r="BT162" s="215">
        <f t="shared" si="197"/>
        <v>0</v>
      </c>
      <c r="BU162" s="215" t="str">
        <f t="shared" si="198"/>
        <v>Phönix 03 Lauf</v>
      </c>
      <c r="BV162" s="214">
        <f t="shared" si="199"/>
        <v>2</v>
      </c>
      <c r="BW162" s="215">
        <f t="shared" si="200"/>
        <v>0</v>
      </c>
      <c r="BX162" s="215">
        <f>IF(COUNTIF(BH162:BP162,"&gt;0")&lt;Spielorte!$A$23,0,BE162/Spielorte!$A$23)</f>
        <v>0</v>
      </c>
      <c r="BY162" s="215">
        <f t="shared" si="201"/>
        <v>0</v>
      </c>
      <c r="BZ162" s="214">
        <f t="shared" si="189"/>
        <v>0</v>
      </c>
    </row>
    <row r="163" spans="1:78" ht="17.2" customHeight="1" x14ac:dyDescent="0.35">
      <c r="A163" s="367" t="s">
        <v>3</v>
      </c>
      <c r="B163" s="73" t="str">
        <f t="shared" si="190"/>
        <v>Reichel, Christina</v>
      </c>
      <c r="C163" s="74">
        <f t="shared" si="190"/>
        <v>7786</v>
      </c>
      <c r="D163" s="75">
        <f t="shared" si="190"/>
        <v>172</v>
      </c>
      <c r="E163" s="348">
        <f>IF(AD163="","",AD163)</f>
        <v>1</v>
      </c>
      <c r="F163" s="75">
        <f t="shared" si="171"/>
        <v>151</v>
      </c>
      <c r="G163" s="348">
        <f>IF(AF163="","",AF163)</f>
        <v>0</v>
      </c>
      <c r="H163" s="75" t="str">
        <f t="shared" si="172"/>
        <v/>
      </c>
      <c r="I163" s="348">
        <f>IF(AH163="","",AH163)</f>
        <v>0</v>
      </c>
      <c r="J163" s="75" t="str">
        <f t="shared" si="173"/>
        <v/>
      </c>
      <c r="K163" s="348">
        <f>IF(AJ163="","",AJ163)</f>
        <v>1</v>
      </c>
      <c r="L163" s="75" t="str">
        <f t="shared" si="174"/>
        <v/>
      </c>
      <c r="M163" s="348">
        <f>IF(AL163="","",AL163)</f>
        <v>1</v>
      </c>
      <c r="N163" s="75" t="str">
        <f t="shared" si="191"/>
        <v/>
      </c>
      <c r="O163" s="348">
        <f>IF(AN163="","",AN163)</f>
        <v>1</v>
      </c>
      <c r="P163" s="75" t="str">
        <f t="shared" si="175"/>
        <v/>
      </c>
      <c r="Q163" s="348">
        <f>IF(AP163="","",AP163)</f>
        <v>1</v>
      </c>
      <c r="R163" s="75" t="str">
        <f t="shared" si="176"/>
        <v/>
      </c>
      <c r="S163" s="348">
        <f>IF(AR163="","",AR163)</f>
        <v>1</v>
      </c>
      <c r="T163" s="75" t="str">
        <f t="shared" si="177"/>
        <v/>
      </c>
      <c r="U163" s="348">
        <f>IF(AT163="","",AT163)</f>
        <v>1</v>
      </c>
      <c r="V163" s="75">
        <f t="shared" si="178"/>
        <v>323</v>
      </c>
      <c r="W163" s="348">
        <f>IF(AV163="","",AV163)</f>
        <v>7</v>
      </c>
      <c r="Z163" s="351" t="s">
        <v>3</v>
      </c>
      <c r="AA163" s="108" t="str">
        <f>IF(AB163=0,"",VLOOKUP(AB163,Starter!$A$1:$D$199,2,FALSE))</f>
        <v>Reichel, Christina</v>
      </c>
      <c r="AB163" s="99">
        <v>7786</v>
      </c>
      <c r="AC163" s="188">
        <v>172</v>
      </c>
      <c r="AD163" s="109">
        <f>IF(SUM(AC163:AC165)+AC177=0,0,IF(SUM(AC163:AC165)=AC177,0.5,IF(SUM(AC163:AC165)&gt;AC177,1,0)))</f>
        <v>1</v>
      </c>
      <c r="AE163" s="188">
        <v>151</v>
      </c>
      <c r="AF163" s="109">
        <f>IF(SUM(AE163:AE165)+AE177=0,0,IF(SUM(AE163:AE165)=AE177,0.5,IF(SUM(AE163:AE165)&gt;AE177,1,0)))</f>
        <v>0</v>
      </c>
      <c r="AG163" s="188"/>
      <c r="AH163" s="109">
        <f>IF(SUM(AG163:AG165)+AG177=0,0,IF(SUM(AG163:AG165)=AG177,0.5,IF(SUM(AG163:AG165)&gt;AG177,1,0)))</f>
        <v>0</v>
      </c>
      <c r="AI163" s="188"/>
      <c r="AJ163" s="109">
        <f>IF(SUM(AI163:AI165)+AI177=0,0,IF(SUM(AI163:AI165)=AI177,0.5,IF(SUM(AI163:AI165)&gt;AI177,1,0)))</f>
        <v>1</v>
      </c>
      <c r="AK163" s="188"/>
      <c r="AL163" s="109">
        <f>IF(SUM(AK163:AK165)+AK177=0,0,IF(SUM(AK163:AK165)=AK177,0.5,IF(SUM(AK163:AK165)&gt;AK177,1,0)))</f>
        <v>1</v>
      </c>
      <c r="AM163" s="188"/>
      <c r="AN163" s="109">
        <f>IF(SUM(AM163:AM165)+AM177=0,0,IF(SUM(AM163:AM165)=AM177,0.5,IF(SUM(AM163:AM165)&gt;AM177,1,0)))</f>
        <v>1</v>
      </c>
      <c r="AO163" s="188"/>
      <c r="AP163" s="109">
        <f>IF(SUM(AO163:AO165)+AO177=0,0,IF(SUM(AO163:AO165)=AO177,0.5,IF(SUM(AO163:AO165)&gt;AO177,1,0)))</f>
        <v>1</v>
      </c>
      <c r="AQ163" s="188"/>
      <c r="AR163" s="109">
        <f>IF(SUM(AQ163:AQ165)+AQ177=0,0,IF(SUM(AQ163:AQ165)=AQ177,0.5,IF(SUM(AQ163:AQ165)&gt;AQ177,1,0)))</f>
        <v>1</v>
      </c>
      <c r="AS163" s="188"/>
      <c r="AT163" s="109">
        <f>IF(SUM(AS163:AS165)+AS177=0,0,IF(SUM(AS163:AS165)=AS177,0.5,IF(SUM(AS163:AS165)&gt;AS177,1,0)))</f>
        <v>1</v>
      </c>
      <c r="AU163" s="110">
        <f t="shared" si="179"/>
        <v>323</v>
      </c>
      <c r="AV163" s="111">
        <f>SUM(AD163+AF163+AH163+AJ163+AL163+AN163+AP163+AR163+AT163)</f>
        <v>7</v>
      </c>
      <c r="AW163" s="101"/>
      <c r="AX163" s="102"/>
      <c r="AZ163" s="63"/>
      <c r="BA163" s="212"/>
      <c r="BB163" s="213"/>
      <c r="BC163" s="214"/>
      <c r="BD163" s="217">
        <f t="shared" si="192"/>
        <v>7786</v>
      </c>
      <c r="BE163" s="213">
        <f t="shared" si="193"/>
        <v>323</v>
      </c>
      <c r="BF163" s="215">
        <f t="shared" si="194"/>
        <v>2</v>
      </c>
      <c r="BG163" s="215">
        <f t="shared" si="195"/>
        <v>2</v>
      </c>
      <c r="BH163" s="215">
        <f t="shared" si="180"/>
        <v>172</v>
      </c>
      <c r="BI163" s="215">
        <f t="shared" si="181"/>
        <v>151</v>
      </c>
      <c r="BJ163" s="215" t="str">
        <f t="shared" si="182"/>
        <v/>
      </c>
      <c r="BK163" s="215" t="str">
        <f t="shared" si="183"/>
        <v/>
      </c>
      <c r="BL163" s="215" t="str">
        <f t="shared" si="184"/>
        <v/>
      </c>
      <c r="BM163" s="215" t="str">
        <f t="shared" si="185"/>
        <v/>
      </c>
      <c r="BN163" s="215" t="str">
        <f t="shared" si="186"/>
        <v/>
      </c>
      <c r="BO163" s="215" t="str">
        <f t="shared" si="187"/>
        <v/>
      </c>
      <c r="BP163" s="215" t="str">
        <f t="shared" si="188"/>
        <v/>
      </c>
      <c r="BQ163" s="216"/>
      <c r="BR163" s="214"/>
      <c r="BS163" s="215">
        <f t="shared" si="196"/>
        <v>172</v>
      </c>
      <c r="BT163" s="215">
        <f t="shared" si="197"/>
        <v>0</v>
      </c>
      <c r="BU163" s="215" t="str">
        <f t="shared" si="198"/>
        <v>Phönix 03 Lauf</v>
      </c>
      <c r="BV163" s="214">
        <f t="shared" si="199"/>
        <v>2</v>
      </c>
      <c r="BW163" s="215">
        <f t="shared" si="200"/>
        <v>323</v>
      </c>
      <c r="BX163" s="215">
        <f>IF(COUNTIF(BH163:BP163,"&gt;0")&lt;Spielorte!$A$23,0,BE163/Spielorte!$A$23)</f>
        <v>0</v>
      </c>
      <c r="BY163" s="215">
        <f t="shared" si="201"/>
        <v>0</v>
      </c>
      <c r="BZ163" s="214">
        <f t="shared" si="189"/>
        <v>0</v>
      </c>
    </row>
    <row r="164" spans="1:78" ht="17.2" customHeight="1" x14ac:dyDescent="0.35">
      <c r="A164" s="368"/>
      <c r="B164" s="76" t="str">
        <f t="shared" si="190"/>
        <v>Kleim, Helga</v>
      </c>
      <c r="C164" s="77">
        <f t="shared" si="190"/>
        <v>7787</v>
      </c>
      <c r="D164" s="78" t="str">
        <f t="shared" si="190"/>
        <v/>
      </c>
      <c r="E164" s="349"/>
      <c r="F164" s="78" t="str">
        <f t="shared" si="171"/>
        <v/>
      </c>
      <c r="G164" s="349"/>
      <c r="H164" s="78">
        <f t="shared" si="172"/>
        <v>149</v>
      </c>
      <c r="I164" s="349"/>
      <c r="J164" s="78">
        <f t="shared" si="173"/>
        <v>156</v>
      </c>
      <c r="K164" s="349"/>
      <c r="L164" s="78">
        <f t="shared" si="174"/>
        <v>233</v>
      </c>
      <c r="M164" s="349"/>
      <c r="N164" s="78">
        <f t="shared" si="191"/>
        <v>169</v>
      </c>
      <c r="O164" s="349"/>
      <c r="P164" s="78">
        <f t="shared" si="175"/>
        <v>181</v>
      </c>
      <c r="Q164" s="349"/>
      <c r="R164" s="78">
        <f t="shared" si="176"/>
        <v>175</v>
      </c>
      <c r="S164" s="349"/>
      <c r="T164" s="78">
        <f t="shared" si="177"/>
        <v>119</v>
      </c>
      <c r="U164" s="349"/>
      <c r="V164" s="78">
        <f t="shared" si="178"/>
        <v>1182</v>
      </c>
      <c r="W164" s="349"/>
      <c r="Z164" s="352"/>
      <c r="AA164" s="108" t="str">
        <f>IF(AB164=0,"",VLOOKUP(AB164,Starter!$A$1:$D$199,2,FALSE))</f>
        <v>Kleim, Helga</v>
      </c>
      <c r="AB164" s="98">
        <v>7787</v>
      </c>
      <c r="AC164" s="186"/>
      <c r="AD164" s="112"/>
      <c r="AE164" s="186"/>
      <c r="AF164" s="112"/>
      <c r="AG164" s="186">
        <v>149</v>
      </c>
      <c r="AH164" s="112"/>
      <c r="AI164" s="186">
        <v>156</v>
      </c>
      <c r="AJ164" s="112"/>
      <c r="AK164" s="186">
        <v>233</v>
      </c>
      <c r="AL164" s="112"/>
      <c r="AM164" s="186">
        <v>169</v>
      </c>
      <c r="AN164" s="112"/>
      <c r="AO164" s="186">
        <v>181</v>
      </c>
      <c r="AP164" s="112"/>
      <c r="AQ164" s="186">
        <v>175</v>
      </c>
      <c r="AR164" s="112"/>
      <c r="AS164" s="186">
        <v>119</v>
      </c>
      <c r="AT164" s="112"/>
      <c r="AU164" s="113">
        <f t="shared" si="179"/>
        <v>1182</v>
      </c>
      <c r="AV164" s="114"/>
      <c r="AW164" s="101"/>
      <c r="AX164" s="102"/>
      <c r="AZ164" s="63"/>
      <c r="BA164" s="212"/>
      <c r="BB164" s="213"/>
      <c r="BC164" s="214"/>
      <c r="BD164" s="217">
        <f t="shared" si="192"/>
        <v>7787</v>
      </c>
      <c r="BE164" s="213">
        <f t="shared" si="193"/>
        <v>1182</v>
      </c>
      <c r="BF164" s="215">
        <f t="shared" si="194"/>
        <v>7</v>
      </c>
      <c r="BG164" s="215">
        <f t="shared" si="195"/>
        <v>7</v>
      </c>
      <c r="BH164" s="215" t="str">
        <f t="shared" si="180"/>
        <v/>
      </c>
      <c r="BI164" s="215" t="str">
        <f t="shared" si="181"/>
        <v/>
      </c>
      <c r="BJ164" s="215">
        <f t="shared" si="182"/>
        <v>149</v>
      </c>
      <c r="BK164" s="215">
        <f t="shared" si="183"/>
        <v>156</v>
      </c>
      <c r="BL164" s="215">
        <f t="shared" si="184"/>
        <v>233</v>
      </c>
      <c r="BM164" s="215">
        <f t="shared" si="185"/>
        <v>169</v>
      </c>
      <c r="BN164" s="215">
        <f t="shared" si="186"/>
        <v>181</v>
      </c>
      <c r="BO164" s="215">
        <f t="shared" si="187"/>
        <v>175</v>
      </c>
      <c r="BP164" s="215">
        <f t="shared" si="188"/>
        <v>119</v>
      </c>
      <c r="BQ164" s="216"/>
      <c r="BR164" s="214"/>
      <c r="BS164" s="215">
        <f t="shared" si="196"/>
        <v>233</v>
      </c>
      <c r="BT164" s="215">
        <f t="shared" si="197"/>
        <v>0</v>
      </c>
      <c r="BU164" s="215" t="str">
        <f t="shared" si="198"/>
        <v>Phönix 03 Lauf</v>
      </c>
      <c r="BV164" s="214">
        <f t="shared" si="199"/>
        <v>2</v>
      </c>
      <c r="BW164" s="215">
        <f t="shared" si="200"/>
        <v>1182</v>
      </c>
      <c r="BX164" s="215">
        <f>IF(COUNTIF(BH164:BP164,"&gt;0")&lt;Spielorte!$A$23,0,BE164/Spielorte!$A$23)</f>
        <v>0</v>
      </c>
      <c r="BY164" s="215">
        <f t="shared" si="201"/>
        <v>0</v>
      </c>
      <c r="BZ164" s="214">
        <f t="shared" si="189"/>
        <v>0</v>
      </c>
    </row>
    <row r="165" spans="1:78" ht="17.2" customHeight="1" thickBot="1" x14ac:dyDescent="0.4">
      <c r="A165" s="369"/>
      <c r="B165" s="79" t="str">
        <f t="shared" si="190"/>
        <v/>
      </c>
      <c r="C165" s="80" t="str">
        <f t="shared" si="190"/>
        <v/>
      </c>
      <c r="D165" s="69" t="str">
        <f t="shared" si="190"/>
        <v/>
      </c>
      <c r="E165" s="350"/>
      <c r="F165" s="69" t="str">
        <f t="shared" si="171"/>
        <v/>
      </c>
      <c r="G165" s="350"/>
      <c r="H165" s="69" t="str">
        <f t="shared" si="172"/>
        <v/>
      </c>
      <c r="I165" s="350"/>
      <c r="J165" s="69" t="str">
        <f t="shared" si="173"/>
        <v/>
      </c>
      <c r="K165" s="350"/>
      <c r="L165" s="69" t="str">
        <f t="shared" si="174"/>
        <v/>
      </c>
      <c r="M165" s="350"/>
      <c r="N165" s="69" t="str">
        <f t="shared" si="191"/>
        <v/>
      </c>
      <c r="O165" s="350"/>
      <c r="P165" s="69" t="str">
        <f t="shared" si="175"/>
        <v/>
      </c>
      <c r="Q165" s="350"/>
      <c r="R165" s="69" t="str">
        <f t="shared" si="176"/>
        <v/>
      </c>
      <c r="S165" s="350"/>
      <c r="T165" s="69" t="str">
        <f t="shared" si="177"/>
        <v/>
      </c>
      <c r="U165" s="350"/>
      <c r="V165" s="69" t="str">
        <f t="shared" si="178"/>
        <v/>
      </c>
      <c r="W165" s="350"/>
      <c r="Z165" s="353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79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2"/>
        <v>0</v>
      </c>
      <c r="BE165" s="213">
        <f t="shared" si="193"/>
        <v>0</v>
      </c>
      <c r="BF165" s="215">
        <f t="shared" si="194"/>
        <v>0</v>
      </c>
      <c r="BG165" s="215">
        <f t="shared" si="195"/>
        <v>0</v>
      </c>
      <c r="BH165" s="215" t="str">
        <f t="shared" si="180"/>
        <v/>
      </c>
      <c r="BI165" s="215" t="str">
        <f t="shared" si="181"/>
        <v/>
      </c>
      <c r="BJ165" s="215" t="str">
        <f t="shared" si="182"/>
        <v/>
      </c>
      <c r="BK165" s="215" t="str">
        <f t="shared" si="183"/>
        <v/>
      </c>
      <c r="BL165" s="215" t="str">
        <f t="shared" si="184"/>
        <v/>
      </c>
      <c r="BM165" s="215" t="str">
        <f t="shared" si="185"/>
        <v/>
      </c>
      <c r="BN165" s="215" t="str">
        <f t="shared" si="186"/>
        <v/>
      </c>
      <c r="BO165" s="215" t="str">
        <f t="shared" si="187"/>
        <v/>
      </c>
      <c r="BP165" s="215" t="str">
        <f t="shared" si="188"/>
        <v/>
      </c>
      <c r="BQ165" s="216"/>
      <c r="BR165" s="214"/>
      <c r="BS165" s="215">
        <f t="shared" si="196"/>
        <v>0</v>
      </c>
      <c r="BT165" s="215">
        <f t="shared" si="197"/>
        <v>0</v>
      </c>
      <c r="BU165" s="215" t="str">
        <f t="shared" si="198"/>
        <v>Phönix 03 Lauf</v>
      </c>
      <c r="BV165" s="214">
        <f t="shared" si="199"/>
        <v>2</v>
      </c>
      <c r="BW165" s="215">
        <f t="shared" si="200"/>
        <v>0</v>
      </c>
      <c r="BX165" s="215">
        <f>IF(COUNTIF(BH165:BP165,"&gt;0")&lt;Spielorte!$A$23,0,BE165/Spielorte!$A$23)</f>
        <v>0</v>
      </c>
      <c r="BY165" s="215">
        <f t="shared" si="201"/>
        <v>0</v>
      </c>
      <c r="BZ165" s="214">
        <f t="shared" si="189"/>
        <v>0</v>
      </c>
    </row>
    <row r="166" spans="1:78" ht="17.2" customHeight="1" x14ac:dyDescent="0.35">
      <c r="A166" s="367" t="s">
        <v>11</v>
      </c>
      <c r="B166" s="73" t="str">
        <f>IF(AA166=0,"",AA166)</f>
        <v>Schuster, Katharina</v>
      </c>
      <c r="C166" s="74">
        <f t="shared" si="190"/>
        <v>7801</v>
      </c>
      <c r="D166" s="75">
        <f t="shared" si="190"/>
        <v>190</v>
      </c>
      <c r="E166" s="348">
        <f>IF(AD166="","",AD166)</f>
        <v>0</v>
      </c>
      <c r="F166" s="75">
        <f t="shared" si="171"/>
        <v>180</v>
      </c>
      <c r="G166" s="348">
        <f>IF(AF166="","",AF166)</f>
        <v>0.5</v>
      </c>
      <c r="H166" s="75">
        <f t="shared" si="172"/>
        <v>178</v>
      </c>
      <c r="I166" s="348">
        <f>IF(AH166="","",AH166)</f>
        <v>1</v>
      </c>
      <c r="J166" s="75">
        <f t="shared" si="173"/>
        <v>158</v>
      </c>
      <c r="K166" s="348">
        <f>IF(AJ166="","",AJ166)</f>
        <v>0</v>
      </c>
      <c r="L166" s="75">
        <f t="shared" si="174"/>
        <v>186</v>
      </c>
      <c r="M166" s="348">
        <f>IF(AL166="","",AL166)</f>
        <v>0</v>
      </c>
      <c r="N166" s="75">
        <f t="shared" si="191"/>
        <v>207</v>
      </c>
      <c r="O166" s="348">
        <f>IF(AN166="","",AN166)</f>
        <v>1</v>
      </c>
      <c r="P166" s="75">
        <f t="shared" si="175"/>
        <v>190</v>
      </c>
      <c r="Q166" s="348">
        <f>IF(AP166="","",AP166)</f>
        <v>1</v>
      </c>
      <c r="R166" s="75">
        <f t="shared" si="176"/>
        <v>153</v>
      </c>
      <c r="S166" s="348">
        <f>IF(AR166="","",AR166)</f>
        <v>0</v>
      </c>
      <c r="T166" s="75">
        <f t="shared" si="177"/>
        <v>127</v>
      </c>
      <c r="U166" s="348">
        <f>IF(AT166="","",AT166)</f>
        <v>1</v>
      </c>
      <c r="V166" s="75">
        <f t="shared" si="178"/>
        <v>1569</v>
      </c>
      <c r="W166" s="348">
        <f>IF(AV166="","",AV166)</f>
        <v>4.5</v>
      </c>
      <c r="Z166" s="351" t="s">
        <v>11</v>
      </c>
      <c r="AA166" s="108" t="str">
        <f>IF(AB166=0,"",VLOOKUP(AB166,Starter!$A$1:$D$199,2,FALSE))</f>
        <v>Schuster, Katharina</v>
      </c>
      <c r="AB166" s="99">
        <v>7801</v>
      </c>
      <c r="AC166" s="188">
        <v>190</v>
      </c>
      <c r="AD166" s="109">
        <f>IF(SUM(AC166:AC168)+AC178=0,0,IF(SUM(AC166:AC168)=AC178,0.5,IF(SUM(AC166:AC168)&gt;AC178,1,0)))</f>
        <v>0</v>
      </c>
      <c r="AE166" s="188">
        <v>180</v>
      </c>
      <c r="AF166" s="109">
        <f>IF(SUM(AE166:AE168)+AE178=0,0,IF(SUM(AE166:AE168)=AE178,0.5,IF(SUM(AE166:AE168)&gt;AE178,1,0)))</f>
        <v>0.5</v>
      </c>
      <c r="AG166" s="188">
        <v>178</v>
      </c>
      <c r="AH166" s="109">
        <f>IF(SUM(AG166:AG168)+AG178=0,0,IF(SUM(AG166:AG168)=AG178,0.5,IF(SUM(AG166:AG168)&gt;AG178,1,0)))</f>
        <v>1</v>
      </c>
      <c r="AI166" s="188">
        <v>158</v>
      </c>
      <c r="AJ166" s="109">
        <f>IF(SUM(AI166:AI168)+AI178=0,0,IF(SUM(AI166:AI168)=AI178,0.5,IF(SUM(AI166:AI168)&gt;AI178,1,0)))</f>
        <v>0</v>
      </c>
      <c r="AK166" s="188">
        <v>186</v>
      </c>
      <c r="AL166" s="109">
        <f>IF(SUM(AK166:AK168)+AK178=0,0,IF(SUM(AK166:AK168)=AK178,0.5,IF(SUM(AK166:AK168)&gt;AK178,1,0)))</f>
        <v>0</v>
      </c>
      <c r="AM166" s="188">
        <v>207</v>
      </c>
      <c r="AN166" s="109">
        <f>IF(SUM(AM166:AM168)+AM178=0,0,IF(SUM(AM166:AM168)=AM178,0.5,IF(SUM(AM166:AM168)&gt;AM178,1,0)))</f>
        <v>1</v>
      </c>
      <c r="AO166" s="188">
        <v>190</v>
      </c>
      <c r="AP166" s="109">
        <f>IF(SUM(AO166:AO168)+AO178=0,0,IF(SUM(AO166:AO168)=AO178,0.5,IF(SUM(AO166:AO168)&gt;AO178,1,0)))</f>
        <v>1</v>
      </c>
      <c r="AQ166" s="188">
        <v>153</v>
      </c>
      <c r="AR166" s="109">
        <f>IF(SUM(AQ166:AQ168)+AQ178=0,0,IF(SUM(AQ166:AQ168)=AQ178,0.5,IF(SUM(AQ166:AQ168)&gt;AQ178,1,0)))</f>
        <v>0</v>
      </c>
      <c r="AS166" s="188">
        <v>127</v>
      </c>
      <c r="AT166" s="109">
        <f>IF(SUM(AS166:AS168)+AS178=0,0,IF(SUM(AS166:AS168)=AS178,0.5,IF(SUM(AS166:AS168)&gt;AS178,1,0)))</f>
        <v>1</v>
      </c>
      <c r="AU166" s="110">
        <f t="shared" si="179"/>
        <v>1569</v>
      </c>
      <c r="AV166" s="111">
        <f>SUM(AD166+AF166+AH166+AJ166+AL166+AN166+AP166+AR166+AT166)</f>
        <v>4.5</v>
      </c>
      <c r="AW166" s="101"/>
      <c r="AX166" s="102"/>
      <c r="AZ166" s="63"/>
      <c r="BA166" s="212"/>
      <c r="BB166" s="213"/>
      <c r="BC166" s="214"/>
      <c r="BD166" s="217">
        <f t="shared" si="192"/>
        <v>7801</v>
      </c>
      <c r="BE166" s="213">
        <f t="shared" si="193"/>
        <v>1569</v>
      </c>
      <c r="BF166" s="215">
        <f t="shared" si="194"/>
        <v>9</v>
      </c>
      <c r="BG166" s="215">
        <f t="shared" si="195"/>
        <v>9</v>
      </c>
      <c r="BH166" s="215">
        <f t="shared" si="180"/>
        <v>190</v>
      </c>
      <c r="BI166" s="215">
        <f t="shared" si="181"/>
        <v>180</v>
      </c>
      <c r="BJ166" s="215">
        <f t="shared" si="182"/>
        <v>178</v>
      </c>
      <c r="BK166" s="215">
        <f t="shared" si="183"/>
        <v>158</v>
      </c>
      <c r="BL166" s="215">
        <f t="shared" si="184"/>
        <v>186</v>
      </c>
      <c r="BM166" s="215">
        <f t="shared" si="185"/>
        <v>207</v>
      </c>
      <c r="BN166" s="215">
        <f t="shared" si="186"/>
        <v>190</v>
      </c>
      <c r="BO166" s="215">
        <f t="shared" si="187"/>
        <v>153</v>
      </c>
      <c r="BP166" s="215">
        <f t="shared" si="188"/>
        <v>127</v>
      </c>
      <c r="BQ166" s="216"/>
      <c r="BR166" s="214"/>
      <c r="BS166" s="215">
        <f t="shared" si="196"/>
        <v>207</v>
      </c>
      <c r="BT166" s="215">
        <f t="shared" si="197"/>
        <v>0</v>
      </c>
      <c r="BU166" s="215" t="str">
        <f t="shared" si="198"/>
        <v>Phönix 03 Lauf</v>
      </c>
      <c r="BV166" s="214">
        <f t="shared" si="199"/>
        <v>2</v>
      </c>
      <c r="BW166" s="215">
        <f t="shared" si="200"/>
        <v>1569</v>
      </c>
      <c r="BX166" s="215">
        <f>IF(COUNTIF(BH166:BP166,"&gt;0")&lt;Spielorte!$A$23,0,BE166/Spielorte!$A$23)</f>
        <v>174.33333333333334</v>
      </c>
      <c r="BY166" s="215">
        <f t="shared" si="201"/>
        <v>0</v>
      </c>
      <c r="BZ166" s="214">
        <f t="shared" si="189"/>
        <v>0</v>
      </c>
    </row>
    <row r="167" spans="1:78" ht="17.2" customHeight="1" x14ac:dyDescent="0.35">
      <c r="A167" s="368"/>
      <c r="B167" s="76" t="str">
        <f>IF(AA167=0,"",AA167)</f>
        <v/>
      </c>
      <c r="C167" s="77" t="str">
        <f t="shared" si="190"/>
        <v/>
      </c>
      <c r="D167" s="78" t="str">
        <f t="shared" si="190"/>
        <v/>
      </c>
      <c r="E167" s="349"/>
      <c r="F167" s="78" t="str">
        <f t="shared" si="171"/>
        <v/>
      </c>
      <c r="G167" s="349"/>
      <c r="H167" s="78" t="str">
        <f t="shared" si="172"/>
        <v/>
      </c>
      <c r="I167" s="349"/>
      <c r="J167" s="78" t="str">
        <f t="shared" si="173"/>
        <v/>
      </c>
      <c r="K167" s="349"/>
      <c r="L167" s="78" t="str">
        <f t="shared" si="174"/>
        <v/>
      </c>
      <c r="M167" s="349"/>
      <c r="N167" s="78" t="str">
        <f t="shared" si="191"/>
        <v/>
      </c>
      <c r="O167" s="349"/>
      <c r="P167" s="78" t="str">
        <f t="shared" si="175"/>
        <v/>
      </c>
      <c r="Q167" s="349"/>
      <c r="R167" s="78" t="str">
        <f t="shared" si="176"/>
        <v/>
      </c>
      <c r="S167" s="349"/>
      <c r="T167" s="78" t="str">
        <f t="shared" si="177"/>
        <v/>
      </c>
      <c r="U167" s="349"/>
      <c r="V167" s="78" t="str">
        <f t="shared" si="178"/>
        <v/>
      </c>
      <c r="W167" s="349"/>
      <c r="Z167" s="352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79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2"/>
        <v>0</v>
      </c>
      <c r="BE167" s="213">
        <f t="shared" si="193"/>
        <v>0</v>
      </c>
      <c r="BF167" s="215">
        <f t="shared" si="194"/>
        <v>0</v>
      </c>
      <c r="BG167" s="215">
        <f t="shared" si="195"/>
        <v>0</v>
      </c>
      <c r="BH167" s="215" t="str">
        <f t="shared" si="180"/>
        <v/>
      </c>
      <c r="BI167" s="215" t="str">
        <f t="shared" si="181"/>
        <v/>
      </c>
      <c r="BJ167" s="215" t="str">
        <f t="shared" si="182"/>
        <v/>
      </c>
      <c r="BK167" s="215" t="str">
        <f t="shared" si="183"/>
        <v/>
      </c>
      <c r="BL167" s="215" t="str">
        <f t="shared" si="184"/>
        <v/>
      </c>
      <c r="BM167" s="215" t="str">
        <f t="shared" si="185"/>
        <v/>
      </c>
      <c r="BN167" s="215" t="str">
        <f t="shared" si="186"/>
        <v/>
      </c>
      <c r="BO167" s="215" t="str">
        <f t="shared" si="187"/>
        <v/>
      </c>
      <c r="BP167" s="215" t="str">
        <f t="shared" si="188"/>
        <v/>
      </c>
      <c r="BQ167" s="216"/>
      <c r="BR167" s="214"/>
      <c r="BS167" s="215">
        <f t="shared" si="196"/>
        <v>0</v>
      </c>
      <c r="BT167" s="215">
        <f t="shared" si="197"/>
        <v>0</v>
      </c>
      <c r="BU167" s="215" t="str">
        <f t="shared" si="198"/>
        <v>Phönix 03 Lauf</v>
      </c>
      <c r="BV167" s="214">
        <f t="shared" si="199"/>
        <v>2</v>
      </c>
      <c r="BW167" s="215">
        <f t="shared" si="200"/>
        <v>0</v>
      </c>
      <c r="BX167" s="215">
        <f>IF(COUNTIF(BH167:BP167,"&gt;0")&lt;Spielorte!$A$23,0,BE167/Spielorte!$A$23)</f>
        <v>0</v>
      </c>
      <c r="BY167" s="215">
        <f t="shared" si="201"/>
        <v>0</v>
      </c>
      <c r="BZ167" s="214">
        <f t="shared" si="189"/>
        <v>0</v>
      </c>
    </row>
    <row r="168" spans="1:78" ht="17.2" customHeight="1" thickBot="1" x14ac:dyDescent="0.4">
      <c r="A168" s="369"/>
      <c r="B168" s="79" t="str">
        <f>IF(AA168=0,"",AA168)</f>
        <v/>
      </c>
      <c r="C168" s="80" t="str">
        <f t="shared" si="190"/>
        <v/>
      </c>
      <c r="D168" s="69" t="str">
        <f t="shared" si="190"/>
        <v/>
      </c>
      <c r="E168" s="350"/>
      <c r="F168" s="69" t="str">
        <f t="shared" si="171"/>
        <v/>
      </c>
      <c r="G168" s="350"/>
      <c r="H168" s="69" t="str">
        <f t="shared" si="172"/>
        <v/>
      </c>
      <c r="I168" s="350"/>
      <c r="J168" s="69" t="str">
        <f t="shared" si="173"/>
        <v/>
      </c>
      <c r="K168" s="350"/>
      <c r="L168" s="69" t="str">
        <f t="shared" si="174"/>
        <v/>
      </c>
      <c r="M168" s="350"/>
      <c r="N168" s="69" t="str">
        <f t="shared" si="191"/>
        <v/>
      </c>
      <c r="O168" s="350"/>
      <c r="P168" s="69" t="str">
        <f t="shared" si="175"/>
        <v/>
      </c>
      <c r="Q168" s="350"/>
      <c r="R168" s="69" t="str">
        <f t="shared" si="176"/>
        <v/>
      </c>
      <c r="S168" s="350"/>
      <c r="T168" s="69" t="str">
        <f t="shared" si="177"/>
        <v/>
      </c>
      <c r="U168" s="350"/>
      <c r="V168" s="69" t="str">
        <f t="shared" si="178"/>
        <v/>
      </c>
      <c r="W168" s="350"/>
      <c r="Z168" s="353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79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2"/>
        <v>0</v>
      </c>
      <c r="BE168" s="213">
        <f t="shared" si="193"/>
        <v>0</v>
      </c>
      <c r="BF168" s="215">
        <f t="shared" si="194"/>
        <v>0</v>
      </c>
      <c r="BG168" s="215">
        <f t="shared" si="195"/>
        <v>0</v>
      </c>
      <c r="BH168" s="215" t="str">
        <f t="shared" si="180"/>
        <v/>
      </c>
      <c r="BI168" s="215" t="str">
        <f t="shared" si="181"/>
        <v/>
      </c>
      <c r="BJ168" s="215" t="str">
        <f t="shared" si="182"/>
        <v/>
      </c>
      <c r="BK168" s="215" t="str">
        <f t="shared" si="183"/>
        <v/>
      </c>
      <c r="BL168" s="215" t="str">
        <f t="shared" si="184"/>
        <v/>
      </c>
      <c r="BM168" s="215" t="str">
        <f t="shared" si="185"/>
        <v/>
      </c>
      <c r="BN168" s="215" t="str">
        <f t="shared" si="186"/>
        <v/>
      </c>
      <c r="BO168" s="215" t="str">
        <f t="shared" si="187"/>
        <v/>
      </c>
      <c r="BP168" s="215" t="str">
        <f t="shared" si="188"/>
        <v/>
      </c>
      <c r="BQ168" s="216"/>
      <c r="BR168" s="214"/>
      <c r="BS168" s="215">
        <f t="shared" si="196"/>
        <v>0</v>
      </c>
      <c r="BT168" s="215">
        <f t="shared" si="197"/>
        <v>0</v>
      </c>
      <c r="BU168" s="215" t="str">
        <f t="shared" si="198"/>
        <v>Phönix 03 Lauf</v>
      </c>
      <c r="BV168" s="214">
        <f t="shared" si="199"/>
        <v>2</v>
      </c>
      <c r="BW168" s="215">
        <f t="shared" si="200"/>
        <v>0</v>
      </c>
      <c r="BX168" s="215">
        <f>IF(COUNTIF(BH168:BP168,"&gt;0")&lt;Spielorte!$A$23,0,BE168/Spielorte!$A$23)</f>
        <v>0</v>
      </c>
      <c r="BY168" s="215">
        <f t="shared" si="201"/>
        <v>0</v>
      </c>
      <c r="BZ168" s="214">
        <f t="shared" si="189"/>
        <v>0</v>
      </c>
    </row>
    <row r="169" spans="1:78" ht="27.75" customHeight="1" thickBot="1" x14ac:dyDescent="0.4">
      <c r="B169" s="81" t="str">
        <f>IF(AA169=0,"",AA169)</f>
        <v>Gesamt</v>
      </c>
      <c r="C169" s="82" t="str">
        <f t="shared" si="190"/>
        <v/>
      </c>
      <c r="D169" s="83">
        <f t="shared" si="190"/>
        <v>663</v>
      </c>
      <c r="E169" s="84">
        <f>IF(AD169="","",AD169)</f>
        <v>0</v>
      </c>
      <c r="F169" s="83">
        <f t="shared" si="171"/>
        <v>687</v>
      </c>
      <c r="G169" s="84">
        <f>IF(AF169="","",AF169)</f>
        <v>0</v>
      </c>
      <c r="H169" s="83">
        <f t="shared" si="172"/>
        <v>635</v>
      </c>
      <c r="I169" s="84">
        <f>IF(AH169="","",AH169)</f>
        <v>0</v>
      </c>
      <c r="J169" s="83">
        <f t="shared" si="173"/>
        <v>696</v>
      </c>
      <c r="K169" s="84">
        <f>IF(AJ169="","",AJ169)</f>
        <v>0</v>
      </c>
      <c r="L169" s="83">
        <f t="shared" si="174"/>
        <v>741</v>
      </c>
      <c r="M169" s="84">
        <f>IF(AL169="","",AL169)</f>
        <v>2</v>
      </c>
      <c r="N169" s="83">
        <f t="shared" si="191"/>
        <v>682</v>
      </c>
      <c r="O169" s="84">
        <f>IF(AN169="","",AN169)</f>
        <v>0</v>
      </c>
      <c r="P169" s="83">
        <f t="shared" si="175"/>
        <v>784</v>
      </c>
      <c r="Q169" s="84">
        <f>IF(AP169="","",AP169)</f>
        <v>2</v>
      </c>
      <c r="R169" s="83">
        <f t="shared" si="176"/>
        <v>702</v>
      </c>
      <c r="S169" s="84">
        <f>IF(AR169="","",AR169)</f>
        <v>2</v>
      </c>
      <c r="T169" s="83">
        <f t="shared" si="177"/>
        <v>568</v>
      </c>
      <c r="U169" s="84">
        <f>IF(AT169="","",AT169)</f>
        <v>2</v>
      </c>
      <c r="V169" s="83">
        <f t="shared" si="178"/>
        <v>6158</v>
      </c>
      <c r="W169" s="84">
        <f>IF(AV169="","",AV169)</f>
        <v>8</v>
      </c>
      <c r="AA169" s="81" t="s">
        <v>1799</v>
      </c>
      <c r="AB169" s="120"/>
      <c r="AC169" s="211">
        <f>ABS(SUM(AC157:AC159))+ABS(SUM(AC160:AC162))+ABS(SUM(AC163:AC165))+ABS(SUM(AC166:AC168))</f>
        <v>663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687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635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696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741</v>
      </c>
      <c r="AL169" s="121">
        <f>IF(AK169+AK179=0,0,IF(AK169=AK179,1,IF(AK169&gt;AK179,2,0)))</f>
        <v>2</v>
      </c>
      <c r="AM169" s="211">
        <f>ABS(SUM(AM157:AM159))+ABS(SUM(AM160:AM162))+ABS(SUM(AM163:AM165))+ABS(SUM(AM166:AM168))</f>
        <v>682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784</v>
      </c>
      <c r="AP169" s="121">
        <f>IF(AO169+AO179=0,0,IF(AO169=AO179,1,IF(AO169&gt;AO179,2,0)))</f>
        <v>2</v>
      </c>
      <c r="AQ169" s="211">
        <f>ABS(SUM(AQ157:AQ159))+ABS(SUM(AQ160:AQ162))+ABS(SUM(AQ163:AQ165))+ABS(SUM(AQ166:AQ168))</f>
        <v>702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568</v>
      </c>
      <c r="AT169" s="121">
        <f>IF(AS169+AS179=0,0,IF(AS169=AS179,1,IF(AS169&gt;AS179,2,0)))</f>
        <v>2</v>
      </c>
      <c r="AU169" s="122">
        <f>SUM(AC169+AE169+AG169+AI169+AK169+AM169+AO169+AQ169+AS169)</f>
        <v>6158</v>
      </c>
      <c r="AV169" s="123">
        <f>SUM(AD169+AF169+AH169+AJ169+AL169+AN169+AP169+AR169+AT169)</f>
        <v>8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4">
      <c r="B170" s="85" t="str">
        <f>IF(AA170=0,"",AA170)</f>
        <v>Gesamt - Punkte</v>
      </c>
      <c r="C170" s="86" t="str">
        <f t="shared" si="190"/>
        <v/>
      </c>
      <c r="D170" s="86" t="str">
        <f t="shared" si="190"/>
        <v/>
      </c>
      <c r="E170" s="87">
        <f>IF(AD170="","",AD170)</f>
        <v>2</v>
      </c>
      <c r="F170" s="86" t="str">
        <f t="shared" si="171"/>
        <v/>
      </c>
      <c r="G170" s="87">
        <f>IF(AF170="","",AF170)</f>
        <v>1.5</v>
      </c>
      <c r="H170" s="86" t="str">
        <f t="shared" si="172"/>
        <v/>
      </c>
      <c r="I170" s="87">
        <f>IF(AH170="","",AH170)</f>
        <v>1</v>
      </c>
      <c r="J170" s="86" t="str">
        <f t="shared" si="173"/>
        <v/>
      </c>
      <c r="K170" s="87">
        <f>IF(AJ170="","",AJ170)</f>
        <v>2</v>
      </c>
      <c r="L170" s="86" t="str">
        <f t="shared" si="174"/>
        <v/>
      </c>
      <c r="M170" s="87">
        <f>IF(AL170="","",AL170)</f>
        <v>3</v>
      </c>
      <c r="N170" s="86" t="str">
        <f t="shared" si="191"/>
        <v/>
      </c>
      <c r="O170" s="87">
        <f>IF(AN170="","",AN170)</f>
        <v>2</v>
      </c>
      <c r="P170" s="86" t="str">
        <f t="shared" si="175"/>
        <v/>
      </c>
      <c r="Q170" s="87">
        <f>IF(AP170="","",AP170)</f>
        <v>6</v>
      </c>
      <c r="R170" s="86" t="str">
        <f t="shared" si="176"/>
        <v/>
      </c>
      <c r="S170" s="87">
        <f>IF(AR170="","",AR170)</f>
        <v>5</v>
      </c>
      <c r="T170" s="86" t="str">
        <f t="shared" si="177"/>
        <v/>
      </c>
      <c r="U170" s="87">
        <f>IF(AT170="","",AT170)</f>
        <v>6</v>
      </c>
      <c r="V170" s="86" t="str">
        <f t="shared" si="178"/>
        <v/>
      </c>
      <c r="W170" s="87">
        <f>IF(AV170="","",AV170)</f>
        <v>28.5</v>
      </c>
      <c r="AA170" s="85" t="s">
        <v>1814</v>
      </c>
      <c r="AB170" s="86"/>
      <c r="AC170" s="86"/>
      <c r="AD170" s="124">
        <f>SUM(AD157:AD169)</f>
        <v>2</v>
      </c>
      <c r="AE170" s="86"/>
      <c r="AF170" s="124">
        <f>SUM(AF157:AF169)</f>
        <v>1.5</v>
      </c>
      <c r="AG170" s="86"/>
      <c r="AH170" s="124">
        <f>SUM(AH157:AH169)</f>
        <v>1</v>
      </c>
      <c r="AI170" s="86"/>
      <c r="AJ170" s="124">
        <f>SUM(AJ157:AJ169)</f>
        <v>2</v>
      </c>
      <c r="AK170" s="86"/>
      <c r="AL170" s="124">
        <f>SUM(AL157:AL169)</f>
        <v>3</v>
      </c>
      <c r="AM170" s="86"/>
      <c r="AN170" s="124">
        <f>SUM(AN157:AN169)</f>
        <v>2</v>
      </c>
      <c r="AO170" s="86"/>
      <c r="AP170" s="124">
        <f>SUM(AP157:AP169)</f>
        <v>6</v>
      </c>
      <c r="AQ170" s="86"/>
      <c r="AR170" s="124">
        <f>SUM(AR157:AR169)</f>
        <v>5</v>
      </c>
      <c r="AS170" s="86"/>
      <c r="AT170" s="124">
        <f>SUM(AT157:AT169)</f>
        <v>6</v>
      </c>
      <c r="AU170" s="86"/>
      <c r="AV170" s="125">
        <f>SUM(AV157:AV169)</f>
        <v>28.5</v>
      </c>
      <c r="AW170" s="101"/>
      <c r="AX170" s="102"/>
      <c r="BA170" s="212">
        <f>+AV170</f>
        <v>28.5</v>
      </c>
      <c r="BB170" s="213">
        <f>+AU169</f>
        <v>6158</v>
      </c>
      <c r="BC170" s="214">
        <f>+AA152</f>
        <v>6</v>
      </c>
      <c r="BF170" s="215">
        <f>SUM(BF151:BF169)</f>
        <v>36</v>
      </c>
      <c r="BQ170" s="212">
        <f>+BB170/1000000+BA170</f>
        <v>28.506157999999999</v>
      </c>
      <c r="BR170" s="214">
        <f>RANK(BQ170,BQ:BQ)</f>
        <v>5</v>
      </c>
      <c r="BV170" s="214"/>
      <c r="BZ170" s="214"/>
    </row>
    <row r="171" spans="1:78" ht="11.25" customHeight="1" x14ac:dyDescent="0.3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35">
      <c r="B172" s="88" t="str">
        <f t="shared" ref="B172:K174" si="202">IF(AA172=0,"",AA172)</f>
        <v>Gegner-Nr.:</v>
      </c>
      <c r="C172" s="89" t="str">
        <f t="shared" si="202"/>
        <v>&gt;&gt;&gt;&gt;</v>
      </c>
      <c r="D172" s="346">
        <f t="shared" si="202"/>
        <v>9</v>
      </c>
      <c r="E172" s="346" t="str">
        <f t="shared" si="202"/>
        <v/>
      </c>
      <c r="F172" s="346">
        <f t="shared" si="202"/>
        <v>10</v>
      </c>
      <c r="G172" s="346" t="str">
        <f t="shared" si="202"/>
        <v/>
      </c>
      <c r="H172" s="346">
        <f t="shared" si="202"/>
        <v>8</v>
      </c>
      <c r="I172" s="346" t="str">
        <f t="shared" si="202"/>
        <v/>
      </c>
      <c r="J172" s="346">
        <f t="shared" si="202"/>
        <v>2</v>
      </c>
      <c r="K172" s="346" t="str">
        <f t="shared" si="202"/>
        <v/>
      </c>
      <c r="L172" s="346">
        <f t="shared" ref="L172:U174" si="203">IF(AK172=0,"",AK172)</f>
        <v>1</v>
      </c>
      <c r="M172" s="346" t="str">
        <f t="shared" si="203"/>
        <v/>
      </c>
      <c r="N172" s="346">
        <f t="shared" si="203"/>
        <v>3</v>
      </c>
      <c r="O172" s="346" t="str">
        <f t="shared" si="203"/>
        <v/>
      </c>
      <c r="P172" s="346">
        <f t="shared" si="203"/>
        <v>5</v>
      </c>
      <c r="Q172" s="346" t="str">
        <f t="shared" si="203"/>
        <v/>
      </c>
      <c r="R172" s="346">
        <f t="shared" si="203"/>
        <v>7</v>
      </c>
      <c r="S172" s="346" t="str">
        <f t="shared" si="203"/>
        <v/>
      </c>
      <c r="T172" s="346">
        <f t="shared" si="203"/>
        <v>4</v>
      </c>
      <c r="U172" s="346" t="str">
        <f t="shared" si="203"/>
        <v/>
      </c>
      <c r="V172" s="347"/>
      <c r="W172" s="347"/>
      <c r="AA172" s="88" t="s">
        <v>1797</v>
      </c>
      <c r="AB172" s="89" t="s">
        <v>1798</v>
      </c>
      <c r="AC172" s="370">
        <f>VLOOKUP($AA152,Schlüssel!$A$5:$DG$14,63)</f>
        <v>9</v>
      </c>
      <c r="AD172" s="371"/>
      <c r="AE172" s="370">
        <f>VLOOKUP($AA152,Schlüssel!$A$5:$EK$14,64)</f>
        <v>10</v>
      </c>
      <c r="AF172" s="371"/>
      <c r="AG172" s="370">
        <f>VLOOKUP($AA152,Schlüssel!$A$5:$EK$14,65)</f>
        <v>8</v>
      </c>
      <c r="AH172" s="371"/>
      <c r="AI172" s="370">
        <f>VLOOKUP($AA152,Schlüssel!$A$5:$EK$14,66)</f>
        <v>2</v>
      </c>
      <c r="AJ172" s="371"/>
      <c r="AK172" s="370">
        <f>VLOOKUP($AA152,Schlüssel!$A$5:$EK$14,67)</f>
        <v>1</v>
      </c>
      <c r="AL172" s="371"/>
      <c r="AM172" s="370">
        <f>VLOOKUP($AA152,Schlüssel!$A$5:$EK$14,68)</f>
        <v>3</v>
      </c>
      <c r="AN172" s="371"/>
      <c r="AO172" s="370">
        <f>VLOOKUP($AA152,Schlüssel!$A$5:$EK$14,69)</f>
        <v>5</v>
      </c>
      <c r="AP172" s="371"/>
      <c r="AQ172" s="370">
        <f>VLOOKUP($AA152,Schlüssel!$A$5:$EK$14,70)</f>
        <v>7</v>
      </c>
      <c r="AR172" s="371"/>
      <c r="AS172" s="370">
        <f>VLOOKUP($AA152,Schlüssel!$A$5:$EK$14,71)</f>
        <v>4</v>
      </c>
      <c r="AT172" s="371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35">
      <c r="B173" s="90" t="str">
        <f t="shared" si="202"/>
        <v/>
      </c>
      <c r="C173" s="86" t="str">
        <f t="shared" si="202"/>
        <v/>
      </c>
      <c r="D173" s="343" t="str">
        <f t="shared" si="202"/>
        <v>RW Lichtenhof 69 Stein 2</v>
      </c>
      <c r="E173" s="344" t="str">
        <f t="shared" si="202"/>
        <v/>
      </c>
      <c r="F173" s="343" t="str">
        <f t="shared" si="202"/>
        <v>BK München 4</v>
      </c>
      <c r="G173" s="344" t="str">
        <f t="shared" si="202"/>
        <v/>
      </c>
      <c r="H173" s="343" t="str">
        <f t="shared" si="202"/>
        <v>EPA München 1</v>
      </c>
      <c r="I173" s="344" t="str">
        <f t="shared" si="202"/>
        <v/>
      </c>
      <c r="J173" s="343" t="str">
        <f t="shared" si="202"/>
        <v>BK München 2</v>
      </c>
      <c r="K173" s="344" t="str">
        <f t="shared" si="202"/>
        <v/>
      </c>
      <c r="L173" s="343" t="str">
        <f t="shared" si="203"/>
        <v>Praetoria Regensburg</v>
      </c>
      <c r="M173" s="344" t="str">
        <f t="shared" si="203"/>
        <v/>
      </c>
      <c r="N173" s="343" t="str">
        <f t="shared" si="203"/>
        <v>Highroller Rosenheim</v>
      </c>
      <c r="O173" s="344" t="str">
        <f t="shared" si="203"/>
        <v/>
      </c>
      <c r="P173" s="343" t="str">
        <f t="shared" si="203"/>
        <v xml:space="preserve">Weiß Blau Unterföhring </v>
      </c>
      <c r="Q173" s="344" t="str">
        <f t="shared" si="203"/>
        <v/>
      </c>
      <c r="R173" s="343" t="str">
        <f t="shared" si="203"/>
        <v>Frankenpower Nürnberg</v>
      </c>
      <c r="S173" s="344" t="str">
        <f t="shared" si="203"/>
        <v/>
      </c>
      <c r="T173" s="343" t="str">
        <f t="shared" si="203"/>
        <v>BK München 3</v>
      </c>
      <c r="U173" s="344" t="str">
        <f t="shared" si="203"/>
        <v/>
      </c>
      <c r="V173" s="345"/>
      <c r="W173" s="345"/>
      <c r="AA173" s="90"/>
      <c r="AB173" s="86"/>
      <c r="AC173" s="343" t="str">
        <f>VLOOKUP(AC172,Schlüssel!$A$5:$K$14,2)</f>
        <v>RW Lichtenhof 69 Stein 2</v>
      </c>
      <c r="AD173" s="344"/>
      <c r="AE173" s="343" t="str">
        <f>VLOOKUP(AE172,Schlüssel!$A$5:$K$14,2)</f>
        <v>BK München 4</v>
      </c>
      <c r="AF173" s="344"/>
      <c r="AG173" s="343" t="str">
        <f>VLOOKUP(AG172,Schlüssel!$A$5:$K$14,2)</f>
        <v>EPA München 1</v>
      </c>
      <c r="AH173" s="344"/>
      <c r="AI173" s="343" t="str">
        <f>VLOOKUP(AI172,Schlüssel!$A$5:$K$14,2)</f>
        <v>BK München 2</v>
      </c>
      <c r="AJ173" s="344"/>
      <c r="AK173" s="343" t="str">
        <f>VLOOKUP(AK172,Schlüssel!$A$5:$K$14,2)</f>
        <v>Praetoria Regensburg</v>
      </c>
      <c r="AL173" s="344"/>
      <c r="AM173" s="343" t="str">
        <f>VLOOKUP(AM172,Schlüssel!$A$5:$K$14,2)</f>
        <v>Highroller Rosenheim</v>
      </c>
      <c r="AN173" s="344"/>
      <c r="AO173" s="343" t="str">
        <f>VLOOKUP(AO172,Schlüssel!$A$5:$K$14,2)</f>
        <v xml:space="preserve">Weiß Blau Unterföhring </v>
      </c>
      <c r="AP173" s="344"/>
      <c r="AQ173" s="343" t="str">
        <f>VLOOKUP(AQ172,Schlüssel!$A$5:$K$14,2)</f>
        <v>Frankenpower Nürnberg</v>
      </c>
      <c r="AR173" s="344"/>
      <c r="AS173" s="343" t="str">
        <f>VLOOKUP(AS172,Schlüssel!$A$5:$K$14,2)</f>
        <v>BK München 3</v>
      </c>
      <c r="AT173" s="344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35">
      <c r="B174" s="90" t="str">
        <f t="shared" si="202"/>
        <v/>
      </c>
      <c r="C174" s="86" t="str">
        <f t="shared" si="202"/>
        <v/>
      </c>
      <c r="D174" s="341" t="str">
        <f t="shared" si="202"/>
        <v/>
      </c>
      <c r="E174" s="341" t="str">
        <f t="shared" si="202"/>
        <v/>
      </c>
      <c r="F174" s="341" t="str">
        <f t="shared" si="202"/>
        <v/>
      </c>
      <c r="G174" s="341" t="str">
        <f t="shared" si="202"/>
        <v/>
      </c>
      <c r="H174" s="341" t="str">
        <f t="shared" si="202"/>
        <v/>
      </c>
      <c r="I174" s="341" t="str">
        <f t="shared" si="202"/>
        <v/>
      </c>
      <c r="J174" s="341" t="str">
        <f t="shared" si="202"/>
        <v/>
      </c>
      <c r="K174" s="341" t="str">
        <f t="shared" si="202"/>
        <v/>
      </c>
      <c r="L174" s="341" t="str">
        <f t="shared" si="203"/>
        <v/>
      </c>
      <c r="M174" s="341" t="str">
        <f t="shared" si="203"/>
        <v/>
      </c>
      <c r="N174" s="341" t="str">
        <f t="shared" si="203"/>
        <v/>
      </c>
      <c r="O174" s="341" t="str">
        <f t="shared" si="203"/>
        <v/>
      </c>
      <c r="P174" s="341" t="str">
        <f t="shared" si="203"/>
        <v/>
      </c>
      <c r="Q174" s="341" t="str">
        <f t="shared" si="203"/>
        <v/>
      </c>
      <c r="R174" s="341" t="str">
        <f t="shared" si="203"/>
        <v/>
      </c>
      <c r="S174" s="341" t="str">
        <f t="shared" si="203"/>
        <v/>
      </c>
      <c r="T174" s="341" t="str">
        <f t="shared" si="203"/>
        <v/>
      </c>
      <c r="U174" s="342" t="str">
        <f t="shared" si="203"/>
        <v/>
      </c>
      <c r="V174" s="301"/>
      <c r="W174" s="301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6.05" customHeight="1" x14ac:dyDescent="0.35">
      <c r="B175" s="365" t="str">
        <f t="shared" ref="B175:C179" si="204">IF(AA175=0,"",AA175)</f>
        <v>Spieler 1</v>
      </c>
      <c r="C175" s="366" t="str">
        <f t="shared" si="204"/>
        <v/>
      </c>
      <c r="D175" s="339">
        <f>IF(AC175=301,"",AC175)</f>
        <v>167</v>
      </c>
      <c r="E175" s="339" t="str">
        <f>IF(AD175=0,"",AD175)</f>
        <v/>
      </c>
      <c r="F175" s="339">
        <f>IF(AE175=301,"",AE175)</f>
        <v>189</v>
      </c>
      <c r="G175" s="339" t="str">
        <f>IF(AF175=0,"",AF175)</f>
        <v/>
      </c>
      <c r="H175" s="339">
        <f>IF(AG175=301,"",AG175)</f>
        <v>172</v>
      </c>
      <c r="I175" s="339" t="str">
        <f>IF(AH175=0,"",AH175)</f>
        <v/>
      </c>
      <c r="J175" s="339">
        <f>IF(AI175=301,"",AI175)</f>
        <v>199</v>
      </c>
      <c r="K175" s="339" t="str">
        <f>IF(AJ175=0,"",AJ175)</f>
        <v/>
      </c>
      <c r="L175" s="339">
        <f>IF(AK175=301,"",AK175)</f>
        <v>180</v>
      </c>
      <c r="M175" s="339" t="str">
        <f>IF(AL175=0,"",AL175)</f>
        <v/>
      </c>
      <c r="N175" s="339">
        <f>IF(AM175=301,"",AM175)</f>
        <v>175</v>
      </c>
      <c r="O175" s="339" t="str">
        <f>IF(AN175=0,"",AN175)</f>
        <v/>
      </c>
      <c r="P175" s="339">
        <f>IF(AO175=301,"",AO175)</f>
        <v>160</v>
      </c>
      <c r="Q175" s="339" t="str">
        <f>IF(AP175=0,"",AP175)</f>
        <v/>
      </c>
      <c r="R175" s="339">
        <f>IF(AQ175=301,"",AQ175)</f>
        <v>170</v>
      </c>
      <c r="S175" s="339" t="str">
        <f>IF(AR175=0,"",AR175)</f>
        <v/>
      </c>
      <c r="T175" s="339">
        <f>IF(AS175=301,"",AS175)</f>
        <v>0</v>
      </c>
      <c r="U175" s="339" t="str">
        <f>IF(AT175=0,"",AT175)</f>
        <v/>
      </c>
      <c r="V175" s="340"/>
      <c r="W175" s="340"/>
      <c r="AA175" s="91" t="s">
        <v>0</v>
      </c>
      <c r="AB175" s="92"/>
      <c r="AC175" s="372">
        <f>ABS(INDEX(AC:AC,MATCH(AC172,$AA:$AA,0)+5)+INDEX(AC:AC,MATCH(AC172,$AA:$AA,0)+6)+INDEX(AC:AC,MATCH(AC172,$AA:$AA,0)+7))</f>
        <v>167</v>
      </c>
      <c r="AD175" s="373"/>
      <c r="AE175" s="372">
        <f>ABS(INDEX(AE:AE,MATCH(AE172,$AA:$AA,0)+5)+INDEX(AE:AE,MATCH(AE172,$AA:$AA,0)+6)+INDEX(AE:AE,MATCH(AE172,$AA:$AA,0)+7))</f>
        <v>189</v>
      </c>
      <c r="AF175" s="373"/>
      <c r="AG175" s="372">
        <f>ABS(INDEX(AG:AG,MATCH(AG172,$AA:$AA,0)+5)+INDEX(AG:AG,MATCH(AG172,$AA:$AA,0)+6)+INDEX(AG:AG,MATCH(AG172,$AA:$AA,0)+7))</f>
        <v>172</v>
      </c>
      <c r="AH175" s="373"/>
      <c r="AI175" s="372">
        <f>ABS(INDEX(AI:AI,MATCH(AI172,$AA:$AA,0)+5)+INDEX(AI:AI,MATCH(AI172,$AA:$AA,0)+6)+INDEX(AI:AI,MATCH(AI172,$AA:$AA,0)+7))</f>
        <v>199</v>
      </c>
      <c r="AJ175" s="373"/>
      <c r="AK175" s="372">
        <f>ABS(INDEX(AK:AK,MATCH(AK172,$AA:$AA,0)+5)+INDEX(AK:AK,MATCH(AK172,$AA:$AA,0)+6)+INDEX(AK:AK,MATCH(AK172,$AA:$AA,0)+7))</f>
        <v>180</v>
      </c>
      <c r="AL175" s="373"/>
      <c r="AM175" s="372">
        <f>ABS(INDEX(AM:AM,MATCH(AM172,$AA:$AA,0)+5)+INDEX(AM:AM,MATCH(AM172,$AA:$AA,0)+6)+INDEX(AM:AM,MATCH(AM172,$AA:$AA,0)+7))</f>
        <v>175</v>
      </c>
      <c r="AN175" s="373"/>
      <c r="AO175" s="372">
        <f>ABS(INDEX(AO:AO,MATCH(AO172,$AA:$AA,0)+5)+INDEX(AO:AO,MATCH(AO172,$AA:$AA,0)+6)+INDEX(AO:AO,MATCH(AO172,$AA:$AA,0)+7))</f>
        <v>160</v>
      </c>
      <c r="AP175" s="373"/>
      <c r="AQ175" s="372">
        <f>ABS(INDEX(AQ:AQ,MATCH(AQ172,$AA:$AA,0)+5)+INDEX(AQ:AQ,MATCH(AQ172,$AA:$AA,0)+6)+INDEX(AQ:AQ,MATCH(AQ172,$AA:$AA,0)+7))</f>
        <v>170</v>
      </c>
      <c r="AR175" s="373"/>
      <c r="AS175" s="372">
        <f>ABS(INDEX(AS:AS,MATCH(AS172,$AA:$AA,0)+5)+INDEX(AS:AS,MATCH(AS172,$AA:$AA,0)+6)+INDEX(AS:AS,MATCH(AS172,$AA:$AA,0)+7))</f>
        <v>0</v>
      </c>
      <c r="AT175" s="373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6.05" customHeight="1" x14ac:dyDescent="0.35">
      <c r="B176" s="365" t="str">
        <f t="shared" si="204"/>
        <v>Spieler 2</v>
      </c>
      <c r="C176" s="366" t="str">
        <f t="shared" si="204"/>
        <v/>
      </c>
      <c r="D176" s="339">
        <f>IF(AC176=301,"",AC176)</f>
        <v>159</v>
      </c>
      <c r="E176" s="339" t="str">
        <f>IF(AD176=0,"",AD176)</f>
        <v/>
      </c>
      <c r="F176" s="339">
        <f>IF(AE176=301,"",AE176)</f>
        <v>212</v>
      </c>
      <c r="G176" s="339" t="str">
        <f>IF(AF176=0,"",AF176)</f>
        <v/>
      </c>
      <c r="H176" s="339">
        <f>IF(AG176=301,"",AG176)</f>
        <v>172</v>
      </c>
      <c r="I176" s="339" t="str">
        <f>IF(AH176=0,"",AH176)</f>
        <v/>
      </c>
      <c r="J176" s="339">
        <f>IF(AI176=301,"",AI176)</f>
        <v>182</v>
      </c>
      <c r="K176" s="339" t="str">
        <f>IF(AJ176=0,"",AJ176)</f>
        <v/>
      </c>
      <c r="L176" s="339">
        <f>IF(AK176=301,"",AK176)</f>
        <v>181</v>
      </c>
      <c r="M176" s="339" t="str">
        <f>IF(AL176=0,"",AL176)</f>
        <v/>
      </c>
      <c r="N176" s="339">
        <f>IF(AM176=301,"",AM176)</f>
        <v>202</v>
      </c>
      <c r="O176" s="339" t="str">
        <f>IF(AN176=0,"",AN176)</f>
        <v/>
      </c>
      <c r="P176" s="339">
        <f>IF(AO176=301,"",AO176)</f>
        <v>176</v>
      </c>
      <c r="Q176" s="339" t="str">
        <f>IF(AP176=0,"",AP176)</f>
        <v/>
      </c>
      <c r="R176" s="339">
        <f>IF(AQ176=301,"",AQ176)</f>
        <v>118</v>
      </c>
      <c r="S176" s="339" t="str">
        <f>IF(AR176=0,"",AR176)</f>
        <v/>
      </c>
      <c r="T176" s="339">
        <f>IF(AS176=301,"",AS176)</f>
        <v>0</v>
      </c>
      <c r="U176" s="339" t="str">
        <f>IF(AT176=0,"",AT176)</f>
        <v/>
      </c>
      <c r="V176" s="340"/>
      <c r="W176" s="340"/>
      <c r="AA176" s="91" t="s">
        <v>2</v>
      </c>
      <c r="AB176" s="92"/>
      <c r="AC176" s="374">
        <f>ABS(INDEX(AC:AC,MATCH(AC172,$AA:$AA,0)+8)+INDEX(AC:AC,MATCH(AC172,$AA:$AA,0)+9)+INDEX(AC:AC,MATCH(AC172,$AA:$AA,0)+10))</f>
        <v>159</v>
      </c>
      <c r="AD176" s="375"/>
      <c r="AE176" s="374">
        <f>ABS(INDEX(AE:AE,MATCH(AE172,$AA:$AA,0)+8)+INDEX(AE:AE,MATCH(AE172,$AA:$AA,0)+9)+INDEX(AE:AE,MATCH(AE172,$AA:$AA,0)+10))</f>
        <v>212</v>
      </c>
      <c r="AF176" s="375"/>
      <c r="AG176" s="374">
        <f>ABS(INDEX(AG:AG,MATCH(AG172,$AA:$AA,0)+8)+INDEX(AG:AG,MATCH(AG172,$AA:$AA,0)+9)+INDEX(AG:AG,MATCH(AG172,$AA:$AA,0)+10))</f>
        <v>172</v>
      </c>
      <c r="AH176" s="375"/>
      <c r="AI176" s="374">
        <f>ABS(INDEX(AI:AI,MATCH(AI172,$AA:$AA,0)+8)+INDEX(AI:AI,MATCH(AI172,$AA:$AA,0)+9)+INDEX(AI:AI,MATCH(AI172,$AA:$AA,0)+10))</f>
        <v>182</v>
      </c>
      <c r="AJ176" s="375"/>
      <c r="AK176" s="374">
        <f>ABS(INDEX(AK:AK,MATCH(AK172,$AA:$AA,0)+8)+INDEX(AK:AK,MATCH(AK172,$AA:$AA,0)+9)+INDEX(AK:AK,MATCH(AK172,$AA:$AA,0)+10))</f>
        <v>181</v>
      </c>
      <c r="AL176" s="375"/>
      <c r="AM176" s="374">
        <f>ABS(INDEX(AM:AM,MATCH(AM172,$AA:$AA,0)+8)+INDEX(AM:AM,MATCH(AM172,$AA:$AA,0)+9)+INDEX(AM:AM,MATCH(AM172,$AA:$AA,0)+10))</f>
        <v>202</v>
      </c>
      <c r="AN176" s="375"/>
      <c r="AO176" s="374">
        <f>ABS(INDEX(AO:AO,MATCH(AO172,$AA:$AA,0)+8)+INDEX(AO:AO,MATCH(AO172,$AA:$AA,0)+9)+INDEX(AO:AO,MATCH(AO172,$AA:$AA,0)+10))</f>
        <v>176</v>
      </c>
      <c r="AP176" s="375"/>
      <c r="AQ176" s="374">
        <f>ABS(INDEX(AQ:AQ,MATCH(AQ172,$AA:$AA,0)+8)+INDEX(AQ:AQ,MATCH(AQ172,$AA:$AA,0)+9)+INDEX(AQ:AQ,MATCH(AQ172,$AA:$AA,0)+10))</f>
        <v>118</v>
      </c>
      <c r="AR176" s="375"/>
      <c r="AS176" s="374">
        <f>ABS(INDEX(AS:AS,MATCH(AS172,$AA:$AA,0)+8)+INDEX(AS:AS,MATCH(AS172,$AA:$AA,0)+9)+INDEX(AS:AS,MATCH(AS172,$AA:$AA,0)+10))</f>
        <v>0</v>
      </c>
      <c r="AT176" s="37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6.05" customHeight="1" x14ac:dyDescent="0.35">
      <c r="B177" s="365" t="str">
        <f t="shared" si="204"/>
        <v>Spieler 3</v>
      </c>
      <c r="C177" s="366" t="str">
        <f t="shared" si="204"/>
        <v/>
      </c>
      <c r="D177" s="339">
        <f>IF(AC177=301,"",AC177)</f>
        <v>171</v>
      </c>
      <c r="E177" s="339" t="str">
        <f>IF(AD177=0,"",AD177)</f>
        <v/>
      </c>
      <c r="F177" s="339">
        <f>IF(AE177=301,"",AE177)</f>
        <v>176</v>
      </c>
      <c r="G177" s="339" t="str">
        <f>IF(AF177=0,"",AF177)</f>
        <v/>
      </c>
      <c r="H177" s="339">
        <f>IF(AG177=301,"",AG177)</f>
        <v>171</v>
      </c>
      <c r="I177" s="339" t="str">
        <f>IF(AH177=0,"",AH177)</f>
        <v/>
      </c>
      <c r="J177" s="339">
        <f>IF(AI177=301,"",AI177)</f>
        <v>150</v>
      </c>
      <c r="K177" s="339" t="str">
        <f>IF(AJ177=0,"",AJ177)</f>
        <v/>
      </c>
      <c r="L177" s="339">
        <f>IF(AK177=301,"",AK177)</f>
        <v>166</v>
      </c>
      <c r="M177" s="339" t="str">
        <f>IF(AL177=0,"",AL177)</f>
        <v/>
      </c>
      <c r="N177" s="339">
        <f>IF(AM177=301,"",AM177)</f>
        <v>141</v>
      </c>
      <c r="O177" s="339" t="str">
        <f>IF(AN177=0,"",AN177)</f>
        <v/>
      </c>
      <c r="P177" s="339">
        <f>IF(AO177=301,"",AO177)</f>
        <v>151</v>
      </c>
      <c r="Q177" s="339" t="str">
        <f>IF(AP177=0,"",AP177)</f>
        <v/>
      </c>
      <c r="R177" s="339">
        <f>IF(AQ177=301,"",AQ177)</f>
        <v>147</v>
      </c>
      <c r="S177" s="339" t="str">
        <f>IF(AR177=0,"",AR177)</f>
        <v/>
      </c>
      <c r="T177" s="339">
        <f>IF(AS177=301,"",AS177)</f>
        <v>0</v>
      </c>
      <c r="U177" s="339" t="str">
        <f>IF(AT177=0,"",AT177)</f>
        <v/>
      </c>
      <c r="V177" s="340"/>
      <c r="W177" s="340"/>
      <c r="AA177" s="91" t="s">
        <v>3</v>
      </c>
      <c r="AB177" s="92"/>
      <c r="AC177" s="374">
        <f>ABS(INDEX(AC:AC,MATCH(AC172,$AA:$AA,0)+11)+INDEX(AC:AC,MATCH(AC172,$AA:$AA,0)+12)+INDEX(AC:AC,MATCH(AC172,$AA:$AA,0)+13))</f>
        <v>171</v>
      </c>
      <c r="AD177" s="375"/>
      <c r="AE177" s="374">
        <f>ABS(INDEX(AE:AE,MATCH(AE172,$AA:$AA,0)+11)+INDEX(AE:AE,MATCH(AE172,$AA:$AA,0)+12)+INDEX(AE:AE,MATCH(AE172,$AA:$AA,0)+13))</f>
        <v>176</v>
      </c>
      <c r="AF177" s="375"/>
      <c r="AG177" s="374">
        <f>ABS(INDEX(AG:AG,MATCH(AG172,$AA:$AA,0)+11)+INDEX(AG:AG,MATCH(AG172,$AA:$AA,0)+12)+INDEX(AG:AG,MATCH(AG172,$AA:$AA,0)+13))</f>
        <v>171</v>
      </c>
      <c r="AH177" s="375"/>
      <c r="AI177" s="374">
        <f>ABS(INDEX(AI:AI,MATCH(AI172,$AA:$AA,0)+11)+INDEX(AI:AI,MATCH(AI172,$AA:$AA,0)+12)+INDEX(AI:AI,MATCH(AI172,$AA:$AA,0)+13))</f>
        <v>150</v>
      </c>
      <c r="AJ177" s="375"/>
      <c r="AK177" s="374">
        <f>ABS(INDEX(AK:AK,MATCH(AK172,$AA:$AA,0)+11)+INDEX(AK:AK,MATCH(AK172,$AA:$AA,0)+12)+INDEX(AK:AK,MATCH(AK172,$AA:$AA,0)+13))</f>
        <v>166</v>
      </c>
      <c r="AL177" s="375"/>
      <c r="AM177" s="374">
        <f>ABS(INDEX(AM:AM,MATCH(AM172,$AA:$AA,0)+11)+INDEX(AM:AM,MATCH(AM172,$AA:$AA,0)+12)+INDEX(AM:AM,MATCH(AM172,$AA:$AA,0)+13))</f>
        <v>141</v>
      </c>
      <c r="AN177" s="375"/>
      <c r="AO177" s="374">
        <f>ABS(INDEX(AO:AO,MATCH(AO172,$AA:$AA,0)+11)+INDEX(AO:AO,MATCH(AO172,$AA:$AA,0)+12)+INDEX(AO:AO,MATCH(AO172,$AA:$AA,0)+13))</f>
        <v>151</v>
      </c>
      <c r="AP177" s="375"/>
      <c r="AQ177" s="374">
        <f>ABS(INDEX(AQ:AQ,MATCH(AQ172,$AA:$AA,0)+11)+INDEX(AQ:AQ,MATCH(AQ172,$AA:$AA,0)+12)+INDEX(AQ:AQ,MATCH(AQ172,$AA:$AA,0)+13))</f>
        <v>147</v>
      </c>
      <c r="AR177" s="375"/>
      <c r="AS177" s="374">
        <f>ABS(INDEX(AS:AS,MATCH(AS172,$AA:$AA,0)+11)+INDEX(AS:AS,MATCH(AS172,$AA:$AA,0)+12)+INDEX(AS:AS,MATCH(AS172,$AA:$AA,0)+13))</f>
        <v>0</v>
      </c>
      <c r="AT177" s="37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6.05" customHeight="1" x14ac:dyDescent="0.35">
      <c r="B178" s="365" t="str">
        <f t="shared" si="204"/>
        <v>Spieler 4</v>
      </c>
      <c r="C178" s="366" t="str">
        <f t="shared" si="204"/>
        <v/>
      </c>
      <c r="D178" s="339">
        <f>IF(AC178=301,"",AC178)</f>
        <v>194</v>
      </c>
      <c r="E178" s="339" t="str">
        <f>IF(AD178=0,"",AD178)</f>
        <v/>
      </c>
      <c r="F178" s="339">
        <f>IF(AE178=301,"",AE178)</f>
        <v>180</v>
      </c>
      <c r="G178" s="339" t="str">
        <f>IF(AF178=0,"",AF178)</f>
        <v/>
      </c>
      <c r="H178" s="339">
        <f>IF(AG178=301,"",AG178)</f>
        <v>161</v>
      </c>
      <c r="I178" s="339" t="str">
        <f>IF(AH178=0,"",AH178)</f>
        <v/>
      </c>
      <c r="J178" s="339">
        <f>IF(AI178=301,"",AI178)</f>
        <v>181</v>
      </c>
      <c r="K178" s="339" t="str">
        <f>IF(AJ178=0,"",AJ178)</f>
        <v/>
      </c>
      <c r="L178" s="339">
        <f>IF(AK178=301,"",AK178)</f>
        <v>191</v>
      </c>
      <c r="M178" s="339" t="str">
        <f>IF(AL178=0,"",AL178)</f>
        <v/>
      </c>
      <c r="N178" s="339">
        <f>IF(AM178=301,"",AM178)</f>
        <v>180</v>
      </c>
      <c r="O178" s="339" t="str">
        <f>IF(AN178=0,"",AN178)</f>
        <v/>
      </c>
      <c r="P178" s="339">
        <f>IF(AO178=301,"",AO178)</f>
        <v>167</v>
      </c>
      <c r="Q178" s="339" t="str">
        <f>IF(AP178=0,"",AP178)</f>
        <v/>
      </c>
      <c r="R178" s="339">
        <f>IF(AQ178=301,"",AQ178)</f>
        <v>158</v>
      </c>
      <c r="S178" s="339" t="str">
        <f>IF(AR178=0,"",AR178)</f>
        <v/>
      </c>
      <c r="T178" s="339">
        <f>IF(AS178=301,"",AS178)</f>
        <v>0</v>
      </c>
      <c r="U178" s="339" t="str">
        <f>IF(AT178=0,"",AT178)</f>
        <v/>
      </c>
      <c r="V178" s="340"/>
      <c r="W178" s="340"/>
      <c r="AA178" s="91" t="s">
        <v>11</v>
      </c>
      <c r="AB178" s="92"/>
      <c r="AC178" s="374">
        <f>ABS(INDEX(AC:AC,MATCH(AC172,$AA:$AA,0)+14)+INDEX(AC:AC,MATCH(AC172,$AA:$AA,0)+15)+INDEX(AC:AC,MATCH(AC172,$AA:$AA,0)+16))</f>
        <v>194</v>
      </c>
      <c r="AD178" s="375"/>
      <c r="AE178" s="374">
        <f>ABS(INDEX(AE:AE,MATCH(AE172,$AA:$AA,0)+14)+INDEX(AE:AE,MATCH(AE172,$AA:$AA,0)+15)+INDEX(AE:AE,MATCH(AE172,$AA:$AA,0)+16))</f>
        <v>180</v>
      </c>
      <c r="AF178" s="375"/>
      <c r="AG178" s="374">
        <f>ABS(INDEX(AG:AG,MATCH(AG172,$AA:$AA,0)+14)+INDEX(AG:AG,MATCH(AG172,$AA:$AA,0)+15)+INDEX(AG:AG,MATCH(AG172,$AA:$AA,0)+16))</f>
        <v>161</v>
      </c>
      <c r="AH178" s="375"/>
      <c r="AI178" s="374">
        <f>ABS(INDEX(AI:AI,MATCH(AI172,$AA:$AA,0)+14)+INDEX(AI:AI,MATCH(AI172,$AA:$AA,0)+15)+INDEX(AI:AI,MATCH(AI172,$AA:$AA,0)+16))</f>
        <v>181</v>
      </c>
      <c r="AJ178" s="375"/>
      <c r="AK178" s="374">
        <f>ABS(INDEX(AK:AK,MATCH(AK172,$AA:$AA,0)+14)+INDEX(AK:AK,MATCH(AK172,$AA:$AA,0)+15)+INDEX(AK:AK,MATCH(AK172,$AA:$AA,0)+16))</f>
        <v>191</v>
      </c>
      <c r="AL178" s="375"/>
      <c r="AM178" s="374">
        <f>ABS(INDEX(AM:AM,MATCH(AM172,$AA:$AA,0)+14)+INDEX(AM:AM,MATCH(AM172,$AA:$AA,0)+15)+INDEX(AM:AM,MATCH(AM172,$AA:$AA,0)+16))</f>
        <v>180</v>
      </c>
      <c r="AN178" s="375"/>
      <c r="AO178" s="374">
        <f>ABS(INDEX(AO:AO,MATCH(AO172,$AA:$AA,0)+14)+INDEX(AO:AO,MATCH(AO172,$AA:$AA,0)+15)+INDEX(AO:AO,MATCH(AO172,$AA:$AA,0)+16))</f>
        <v>167</v>
      </c>
      <c r="AP178" s="375"/>
      <c r="AQ178" s="374">
        <f>ABS(INDEX(AQ:AQ,MATCH(AQ172,$AA:$AA,0)+14)+INDEX(AQ:AQ,MATCH(AQ172,$AA:$AA,0)+15)+INDEX(AQ:AQ,MATCH(AQ172,$AA:$AA,0)+16))</f>
        <v>158</v>
      </c>
      <c r="AR178" s="375"/>
      <c r="AS178" s="374">
        <f>ABS(INDEX(AS:AS,MATCH(AS172,$AA:$AA,0)+14)+INDEX(AS:AS,MATCH(AS172,$AA:$AA,0)+15)+INDEX(AS:AS,MATCH(AS172,$AA:$AA,0)+16))</f>
        <v>0</v>
      </c>
      <c r="AT178" s="37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6.05" customHeight="1" x14ac:dyDescent="0.35">
      <c r="B179" s="354" t="str">
        <f t="shared" si="204"/>
        <v>Gesamt</v>
      </c>
      <c r="C179" s="355" t="str">
        <f t="shared" si="204"/>
        <v/>
      </c>
      <c r="D179" s="338">
        <f>IF(AC179=1505,"",AC179)</f>
        <v>691</v>
      </c>
      <c r="E179" s="338" t="str">
        <f>IF(AD179=0,"",AD179)</f>
        <v/>
      </c>
      <c r="F179" s="338">
        <f>IF(AE179=1505,"",AE179)</f>
        <v>757</v>
      </c>
      <c r="G179" s="338" t="str">
        <f>IF(AF179=0,"",AF179)</f>
        <v/>
      </c>
      <c r="H179" s="338">
        <f>IF(AG179=1505,"",AG179)</f>
        <v>676</v>
      </c>
      <c r="I179" s="338" t="str">
        <f>IF(AH179=0,"",AH179)</f>
        <v/>
      </c>
      <c r="J179" s="338">
        <f>IF(AI179=1505,"",AI179)</f>
        <v>712</v>
      </c>
      <c r="K179" s="338" t="str">
        <f>IF(AJ179=0,"",AJ179)</f>
        <v/>
      </c>
      <c r="L179" s="338">
        <f>IF(AK179=1505,"",AK179)</f>
        <v>718</v>
      </c>
      <c r="M179" s="338" t="str">
        <f>IF(AL179=0,"",AL179)</f>
        <v/>
      </c>
      <c r="N179" s="338">
        <f>IF(AM179=1505,"",AM179)</f>
        <v>698</v>
      </c>
      <c r="O179" s="338" t="str">
        <f>IF(AN179=0,"",AN179)</f>
        <v/>
      </c>
      <c r="P179" s="338">
        <f>IF(AO179=1505,"",AO179)</f>
        <v>654</v>
      </c>
      <c r="Q179" s="338" t="str">
        <f>IF(AP179=0,"",AP179)</f>
        <v/>
      </c>
      <c r="R179" s="338">
        <f>IF(AQ179=1505,"",AQ179)</f>
        <v>593</v>
      </c>
      <c r="S179" s="338" t="str">
        <f>IF(AR179=0,"",AR179)</f>
        <v/>
      </c>
      <c r="T179" s="338">
        <f>IF(AS179=1505,"",AS179)</f>
        <v>0</v>
      </c>
      <c r="U179" s="338" t="str">
        <f>IF(AT179=0,"",AT179)</f>
        <v/>
      </c>
      <c r="V179" s="290"/>
      <c r="W179" s="290"/>
      <c r="AA179" s="93" t="s">
        <v>1799</v>
      </c>
      <c r="AB179" s="94"/>
      <c r="AC179" s="354">
        <f>SUM(AC175:AC178)</f>
        <v>691</v>
      </c>
      <c r="AD179" s="355"/>
      <c r="AE179" s="354">
        <f>SUM(AE175:AE178)</f>
        <v>757</v>
      </c>
      <c r="AF179" s="355"/>
      <c r="AG179" s="354">
        <f>SUM(AG175:AG178)</f>
        <v>676</v>
      </c>
      <c r="AH179" s="355"/>
      <c r="AI179" s="354">
        <f>SUM(AI175:AI178)</f>
        <v>712</v>
      </c>
      <c r="AJ179" s="355"/>
      <c r="AK179" s="354">
        <f>SUM(AK175:AK178)</f>
        <v>718</v>
      </c>
      <c r="AL179" s="355"/>
      <c r="AM179" s="354">
        <f>SUM(AM175:AM178)</f>
        <v>698</v>
      </c>
      <c r="AN179" s="355"/>
      <c r="AO179" s="354">
        <f>SUM(AO175:AO178)</f>
        <v>654</v>
      </c>
      <c r="AP179" s="355"/>
      <c r="AQ179" s="354">
        <f>SUM(AQ175:AQ178)</f>
        <v>593</v>
      </c>
      <c r="AR179" s="355"/>
      <c r="AS179" s="354">
        <f>SUM(AS175:AS178)</f>
        <v>0</v>
      </c>
      <c r="AT179" s="35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3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7">
      <c r="B181" s="44" t="str">
        <f>AA181</f>
        <v>Team-Nr.</v>
      </c>
      <c r="C181" s="45"/>
      <c r="D181" s="44" t="str">
        <f>AC181</f>
        <v>Liga:</v>
      </c>
      <c r="E181" s="47"/>
      <c r="F181" s="359" t="str">
        <f>AE181</f>
        <v>Bayernliga Frauen</v>
      </c>
      <c r="G181" s="359"/>
      <c r="H181" s="359"/>
      <c r="I181" s="359"/>
      <c r="J181" s="359"/>
      <c r="K181" s="359"/>
      <c r="L181" s="359"/>
      <c r="M181" s="359"/>
      <c r="N181" s="359"/>
      <c r="O181" s="359"/>
      <c r="P181" s="359"/>
      <c r="Q181" s="359"/>
      <c r="R181" s="48"/>
      <c r="S181" s="49" t="s">
        <v>1794</v>
      </c>
      <c r="T181" s="50"/>
      <c r="U181" s="360" t="str">
        <f>AT181</f>
        <v>15.02./16.02.</v>
      </c>
      <c r="V181" s="361"/>
      <c r="W181" s="362"/>
      <c r="X181" s="363"/>
      <c r="Y181" s="364"/>
      <c r="Z181" s="364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0" t="str">
        <f>VLOOKUP(AS182,Spielorte!$A$1:$C$6,2)</f>
        <v>15.02./16.02.</v>
      </c>
      <c r="AU181" s="361"/>
      <c r="AV181" s="362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65">
      <c r="B182" s="53">
        <f>AA182</f>
        <v>7</v>
      </c>
      <c r="D182" s="46" t="s">
        <v>1793</v>
      </c>
      <c r="E182" s="54"/>
      <c r="F182" s="358" t="str">
        <f>AE182</f>
        <v>Nürnberg West Bowling</v>
      </c>
      <c r="G182" s="358"/>
      <c r="H182" s="358"/>
      <c r="I182" s="358"/>
      <c r="J182" s="358"/>
      <c r="K182" s="358"/>
      <c r="L182" s="358"/>
      <c r="M182" s="358"/>
      <c r="N182" s="358"/>
      <c r="O182" s="358"/>
      <c r="P182" s="55"/>
      <c r="Q182" s="55"/>
      <c r="S182" s="49" t="s">
        <v>1791</v>
      </c>
      <c r="T182" s="56">
        <f>AS182</f>
        <v>4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Nürnberg West Bowling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4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4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5" thickBot="1" x14ac:dyDescent="0.45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VLOOKUP(AA182,Schlüssel!$A$5:$DZ$14,73)</f>
        <v>11</v>
      </c>
      <c r="AE184" s="65" t="s">
        <v>10</v>
      </c>
      <c r="AF184" s="44">
        <f>VLOOKUP(AA182,Schlüssel!$A$5:$DZ$14,74)</f>
        <v>17</v>
      </c>
      <c r="AG184" s="65" t="s">
        <v>10</v>
      </c>
      <c r="AH184" s="44">
        <f>VLOOKUP(AA182,Schlüssel!$A$5:$DZ$14,75)</f>
        <v>16</v>
      </c>
      <c r="AI184" s="65" t="s">
        <v>10</v>
      </c>
      <c r="AJ184" s="44">
        <f>VLOOKUP(AA182,Schlüssel!$A$5:$DZ$14,76)</f>
        <v>13</v>
      </c>
      <c r="AK184" s="65" t="s">
        <v>10</v>
      </c>
      <c r="AL184" s="44">
        <f>VLOOKUP(AA182,Schlüssel!$A$5:$DZ$14,77)</f>
        <v>12</v>
      </c>
      <c r="AM184" s="65" t="s">
        <v>10</v>
      </c>
      <c r="AN184" s="44">
        <f>VLOOKUP(AA182,Schlüssel!$A$5:$DZ$14,78)</f>
        <v>19</v>
      </c>
      <c r="AO184" s="65" t="s">
        <v>10</v>
      </c>
      <c r="AP184" s="44">
        <f>VLOOKUP(AA182,Schlüssel!$A$5:$DZ$14,79)</f>
        <v>15</v>
      </c>
      <c r="AQ184" s="65" t="s">
        <v>10</v>
      </c>
      <c r="AR184" s="44">
        <f>VLOOKUP(AA182,Schlüssel!$A$5:$DZ$14,80)</f>
        <v>14</v>
      </c>
      <c r="AS184" s="65" t="s">
        <v>10</v>
      </c>
      <c r="AT184" s="44">
        <f>VLOOKUP(AA182,Schlüssel!$A$5:$DZ$14,81)</f>
        <v>18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35">
      <c r="B185" s="67" t="s">
        <v>1</v>
      </c>
      <c r="C185" s="68"/>
      <c r="D185" s="354" t="s">
        <v>1800</v>
      </c>
      <c r="E185" s="355"/>
      <c r="F185" s="354" t="s">
        <v>1801</v>
      </c>
      <c r="G185" s="355"/>
      <c r="H185" s="354" t="s">
        <v>1802</v>
      </c>
      <c r="I185" s="355"/>
      <c r="J185" s="354" t="s">
        <v>1803</v>
      </c>
      <c r="K185" s="355"/>
      <c r="L185" s="354" t="s">
        <v>1804</v>
      </c>
      <c r="M185" s="355"/>
      <c r="N185" s="354" t="s">
        <v>1805</v>
      </c>
      <c r="O185" s="355"/>
      <c r="P185" s="354" t="s">
        <v>1806</v>
      </c>
      <c r="Q185" s="355"/>
      <c r="R185" s="354" t="s">
        <v>1807</v>
      </c>
      <c r="S185" s="355"/>
      <c r="T185" s="354" t="s">
        <v>1808</v>
      </c>
      <c r="U185" s="355"/>
      <c r="V185" s="356" t="s">
        <v>1799</v>
      </c>
      <c r="W185" s="357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4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2" customHeight="1" x14ac:dyDescent="0.35">
      <c r="A187" s="367" t="s">
        <v>0</v>
      </c>
      <c r="B187" s="73" t="str">
        <f>IF(AA187=0,"",AA187)</f>
        <v>Deinlein, Christine</v>
      </c>
      <c r="C187" s="74">
        <f>IF(AB187=0,"",AB187)</f>
        <v>7758</v>
      </c>
      <c r="D187" s="75">
        <f>IF(AC187=0,"",AC187)</f>
        <v>147</v>
      </c>
      <c r="E187" s="348">
        <f>IF(AD187="","",AD187)</f>
        <v>0</v>
      </c>
      <c r="F187" s="75">
        <f t="shared" ref="F187:F200" si="205">IF(AE187=0,"",AE187)</f>
        <v>158</v>
      </c>
      <c r="G187" s="348">
        <f>IF(AF187="","",AF187)</f>
        <v>0</v>
      </c>
      <c r="H187" s="75">
        <f t="shared" ref="H187:H200" si="206">IF(AG187=0,"",AG187)</f>
        <v>167</v>
      </c>
      <c r="I187" s="348">
        <f>IF(AH187="","",AH187)</f>
        <v>0</v>
      </c>
      <c r="J187" s="75">
        <f t="shared" ref="J187:J200" si="207">IF(AI187=0,"",AI187)</f>
        <v>180</v>
      </c>
      <c r="K187" s="348">
        <f>IF(AJ187="","",AJ187)</f>
        <v>1</v>
      </c>
      <c r="L187" s="75">
        <f t="shared" ref="L187:L200" si="208">IF(AK187=0,"",AK187)</f>
        <v>219</v>
      </c>
      <c r="M187" s="348">
        <f>IF(AL187="","",AL187)</f>
        <v>1</v>
      </c>
      <c r="N187" s="75">
        <f>IF(AM187=0,"",AM187)</f>
        <v>160</v>
      </c>
      <c r="O187" s="348">
        <f>IF(AN187="","",AN187)</f>
        <v>1</v>
      </c>
      <c r="P187" s="75">
        <f t="shared" ref="P187:P200" si="209">IF(AO187=0,"",AO187)</f>
        <v>166</v>
      </c>
      <c r="Q187" s="348">
        <f>IF(AP187="","",AP187)</f>
        <v>0</v>
      </c>
      <c r="R187" s="75">
        <f t="shared" ref="R187:R200" si="210">IF(AQ187=0,"",AQ187)</f>
        <v>170</v>
      </c>
      <c r="S187" s="348">
        <f>IF(AR187="","",AR187)</f>
        <v>0</v>
      </c>
      <c r="T187" s="75">
        <f t="shared" ref="T187:T200" si="211">IF(AS187=0,"",AS187)</f>
        <v>192</v>
      </c>
      <c r="U187" s="348">
        <f>IF(AT187="","",AT187)</f>
        <v>1</v>
      </c>
      <c r="V187" s="75">
        <f t="shared" ref="V187:V200" si="212">IF(AU187=0,"",AU187)</f>
        <v>1559</v>
      </c>
      <c r="W187" s="348">
        <f>IF(AV187="","",AV187)</f>
        <v>4</v>
      </c>
      <c r="Z187" s="351" t="s">
        <v>0</v>
      </c>
      <c r="AA187" s="108" t="str">
        <f>IF(AB187=0,"",VLOOKUP(AB187,Starter!$A$1:$D$199,2,FALSE))</f>
        <v>Deinlein, Christine</v>
      </c>
      <c r="AB187" s="99">
        <v>7758</v>
      </c>
      <c r="AC187" s="185">
        <v>147</v>
      </c>
      <c r="AD187" s="109">
        <f>IF(SUM(AC187:AC189)+AC205=0,0,IF(SUM(AC187:AC189)=AC205,0.5,IF(SUM(AC187:AC189)&gt;AC205,1,0)))</f>
        <v>0</v>
      </c>
      <c r="AE187" s="185">
        <v>158</v>
      </c>
      <c r="AF187" s="109">
        <f>IF(SUM(AE187:AE189)+AE205=0,0,IF(SUM(AE187:AE189)=AE205,0.5,IF(SUM(AE187:AE189)&gt;AE205,1,0)))</f>
        <v>0</v>
      </c>
      <c r="AG187" s="185">
        <v>167</v>
      </c>
      <c r="AH187" s="109">
        <f>IF(SUM(AG187:AG189)+AG205=0,0,IF(SUM(AG187:AG189)=AG205,0.5,IF(SUM(AG187:AG189)&gt;AG205,1,0)))</f>
        <v>0</v>
      </c>
      <c r="AI187" s="185">
        <v>180</v>
      </c>
      <c r="AJ187" s="109">
        <f>IF(SUM(AI187:AI189)+AI205=0,0,IF(SUM(AI187:AI189)=AI205,0.5,IF(SUM(AI187:AI189)&gt;AI205,1,0)))</f>
        <v>1</v>
      </c>
      <c r="AK187" s="185">
        <v>219</v>
      </c>
      <c r="AL187" s="109">
        <f>IF(SUM(AK187:AK189)+AK205=0,0,IF(SUM(AK187:AK189)=AK205,0.5,IF(SUM(AK187:AK189)&gt;AK205,1,0)))</f>
        <v>1</v>
      </c>
      <c r="AM187" s="185">
        <v>160</v>
      </c>
      <c r="AN187" s="109">
        <f>IF(SUM(AM187:AM189)+AM205=0,0,IF(SUM(AM187:AM189)=AM205,0.5,IF(SUM(AM187:AM189)&gt;AM205,1,0)))</f>
        <v>1</v>
      </c>
      <c r="AO187" s="185">
        <v>166</v>
      </c>
      <c r="AP187" s="109">
        <f>IF(SUM(AO187:AO189)+AO205=0,0,IF(SUM(AO187:AO189)=AO205,0.5,IF(SUM(AO187:AO189)&gt;AO205,1,0)))</f>
        <v>0</v>
      </c>
      <c r="AQ187" s="185">
        <v>170</v>
      </c>
      <c r="AR187" s="109">
        <f>IF(SUM(AQ187:AQ189)+AQ205=0,0,IF(SUM(AQ187:AQ189)=AQ205,0.5,IF(SUM(AQ187:AQ189)&gt;AQ205,1,0)))</f>
        <v>0</v>
      </c>
      <c r="AS187" s="185">
        <v>192</v>
      </c>
      <c r="AT187" s="109">
        <f>IF(SUM(AS187:AS189)+AS205=0,0,IF(SUM(AS187:AS189)=AS205,0.5,IF(SUM(AS187:AS189)&gt;AS205,1,0)))</f>
        <v>1</v>
      </c>
      <c r="AU187" s="110">
        <f t="shared" ref="AU187:AU198" si="213">ABS(SUM(AC187:AC187))+ABS(SUM(AE187:AE187))+ABS(SUM(AG187:AG187))+ABS(SUM(AI187:AI187))+ABS(SUM(AK187:AK187))+ABS(SUM(AM187:AM187))+ABS(SUM(AO187:AO187))+ABS(SUM(AQ187:AQ187))+ABS(SUM(AS187:AS187))</f>
        <v>1559</v>
      </c>
      <c r="AV187" s="111">
        <f>SUM(AD187+AF187+AH187+AJ187+AL187+AN187+AP187+AR187+AT187)</f>
        <v>4</v>
      </c>
      <c r="AW187" s="101"/>
      <c r="AX187" s="102"/>
      <c r="AZ187" s="63"/>
      <c r="BA187" s="212"/>
      <c r="BB187" s="213"/>
      <c r="BC187" s="214"/>
      <c r="BD187" s="217">
        <f>+AB187</f>
        <v>7758</v>
      </c>
      <c r="BE187" s="213">
        <f>+AU187</f>
        <v>1559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4">IF(AC187=0,"",AC187)</f>
        <v>147</v>
      </c>
      <c r="BI187" s="215">
        <f t="shared" ref="BI187:BI198" si="215">IF(AE187=0,"",AE187)</f>
        <v>158</v>
      </c>
      <c r="BJ187" s="215">
        <f t="shared" ref="BJ187:BJ198" si="216">IF(AG187=0,"",AG187)</f>
        <v>167</v>
      </c>
      <c r="BK187" s="215">
        <f t="shared" ref="BK187:BK198" si="217">IF(AI187=0,"",AI187)</f>
        <v>180</v>
      </c>
      <c r="BL187" s="215">
        <f t="shared" ref="BL187:BL198" si="218">IF(AK187=0,"",AK187)</f>
        <v>219</v>
      </c>
      <c r="BM187" s="215">
        <f t="shared" ref="BM187:BM198" si="219">IF(AM187=0,"",AM187)</f>
        <v>160</v>
      </c>
      <c r="BN187" s="215">
        <f t="shared" ref="BN187:BN198" si="220">IF(AO187=0,"",AO187)</f>
        <v>166</v>
      </c>
      <c r="BO187" s="215">
        <f t="shared" ref="BO187:BO198" si="221">IF(AQ187=0,"",AQ187)</f>
        <v>170</v>
      </c>
      <c r="BP187" s="215">
        <f t="shared" ref="BP187:BP198" si="222">IF(AS187=0,"",AS187)</f>
        <v>192</v>
      </c>
      <c r="BQ187" s="216"/>
      <c r="BR187" s="214"/>
      <c r="BS187" s="215">
        <f>MAX(BH187:BP187)</f>
        <v>219</v>
      </c>
      <c r="BT187" s="215">
        <f>IF(BS187&lt;MAX(BS:BS),0,BS187+ROW()/1000000000)</f>
        <v>0</v>
      </c>
      <c r="BU187" s="215" t="str">
        <f>+AA183</f>
        <v>Frankenpower Nürnberg</v>
      </c>
      <c r="BV187" s="214">
        <f>RANK(BT187,BT:BT)</f>
        <v>2</v>
      </c>
      <c r="BW187" s="215">
        <f>SUMIF(BH187:BP187,"&gt;0")</f>
        <v>1559</v>
      </c>
      <c r="BX187" s="215">
        <f>IF(COUNTIF(BH187:BP187,"&gt;0")&lt;Spielorte!$A$23,0,BE187/Spielorte!$A$23)</f>
        <v>173.22222222222223</v>
      </c>
      <c r="BY187" s="215">
        <f>IF(BX187&lt;MAX(BX:BX),0,BX187+ROW()/1000000000)</f>
        <v>0</v>
      </c>
      <c r="BZ187" s="214">
        <f t="shared" ref="BZ187:BZ198" si="223">IF(BY187=0,0,RANK(BY187,BY:BY))</f>
        <v>0</v>
      </c>
    </row>
    <row r="188" spans="1:78" ht="17.2" customHeight="1" x14ac:dyDescent="0.35">
      <c r="A188" s="368"/>
      <c r="B188" s="76" t="str">
        <f t="shared" ref="B188:D200" si="224">IF(AA188=0,"",AA188)</f>
        <v/>
      </c>
      <c r="C188" s="77" t="str">
        <f t="shared" si="224"/>
        <v/>
      </c>
      <c r="D188" s="78" t="str">
        <f t="shared" si="224"/>
        <v/>
      </c>
      <c r="E188" s="349"/>
      <c r="F188" s="78" t="str">
        <f t="shared" si="205"/>
        <v/>
      </c>
      <c r="G188" s="349"/>
      <c r="H188" s="78" t="str">
        <f t="shared" si="206"/>
        <v/>
      </c>
      <c r="I188" s="349"/>
      <c r="J188" s="78" t="str">
        <f t="shared" si="207"/>
        <v/>
      </c>
      <c r="K188" s="349"/>
      <c r="L188" s="78" t="str">
        <f t="shared" si="208"/>
        <v/>
      </c>
      <c r="M188" s="349"/>
      <c r="N188" s="78" t="str">
        <f t="shared" ref="N188:N200" si="225">IF(AM188=0,"",AM188)</f>
        <v/>
      </c>
      <c r="O188" s="349"/>
      <c r="P188" s="78" t="str">
        <f t="shared" si="209"/>
        <v/>
      </c>
      <c r="Q188" s="349"/>
      <c r="R188" s="78" t="str">
        <f t="shared" si="210"/>
        <v/>
      </c>
      <c r="S188" s="349"/>
      <c r="T188" s="78" t="str">
        <f t="shared" si="211"/>
        <v/>
      </c>
      <c r="U188" s="349"/>
      <c r="V188" s="78" t="str">
        <f t="shared" si="212"/>
        <v/>
      </c>
      <c r="W188" s="349"/>
      <c r="Z188" s="352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3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26">+AB188</f>
        <v>0</v>
      </c>
      <c r="BE188" s="213">
        <f t="shared" ref="BE188:BE198" si="227">+AU188</f>
        <v>0</v>
      </c>
      <c r="BF188" s="215">
        <f t="shared" ref="BF188:BF198" si="228">COUNT(BH188:BP188)</f>
        <v>0</v>
      </c>
      <c r="BG188" s="215">
        <f t="shared" ref="BG188:BG198" si="229">COUNTIF(BH188:BP188,"&gt;0")</f>
        <v>0</v>
      </c>
      <c r="BH188" s="215" t="str">
        <f t="shared" si="214"/>
        <v/>
      </c>
      <c r="BI188" s="215" t="str">
        <f t="shared" si="215"/>
        <v/>
      </c>
      <c r="BJ188" s="215" t="str">
        <f t="shared" si="216"/>
        <v/>
      </c>
      <c r="BK188" s="215" t="str">
        <f t="shared" si="217"/>
        <v/>
      </c>
      <c r="BL188" s="215" t="str">
        <f t="shared" si="218"/>
        <v/>
      </c>
      <c r="BM188" s="215" t="str">
        <f t="shared" si="219"/>
        <v/>
      </c>
      <c r="BN188" s="215" t="str">
        <f t="shared" si="220"/>
        <v/>
      </c>
      <c r="BO188" s="215" t="str">
        <f t="shared" si="221"/>
        <v/>
      </c>
      <c r="BP188" s="215" t="str">
        <f t="shared" si="222"/>
        <v/>
      </c>
      <c r="BQ188" s="216"/>
      <c r="BR188" s="214"/>
      <c r="BS188" s="215">
        <f t="shared" ref="BS188:BS198" si="230">MAX(BH188:BP188)</f>
        <v>0</v>
      </c>
      <c r="BT188" s="215">
        <f t="shared" ref="BT188:BT198" si="231">IF(BS188&lt;MAX(BS:BS),0,BS188+ROW()/1000000000)</f>
        <v>0</v>
      </c>
      <c r="BU188" s="215" t="str">
        <f t="shared" ref="BU188:BU198" si="232">+BU187</f>
        <v>Frankenpower Nürnberg</v>
      </c>
      <c r="BV188" s="214">
        <f t="shared" ref="BV188:BV198" si="233">RANK(BT188,BT:BT)</f>
        <v>2</v>
      </c>
      <c r="BW188" s="215">
        <f t="shared" ref="BW188:BW198" si="234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5">IF(BX188&lt;MAX(BX:BX),0,BX188+ROW()/1000000000)</f>
        <v>0</v>
      </c>
      <c r="BZ188" s="214">
        <f t="shared" si="223"/>
        <v>0</v>
      </c>
    </row>
    <row r="189" spans="1:78" ht="17.2" customHeight="1" thickBot="1" x14ac:dyDescent="0.4">
      <c r="A189" s="369"/>
      <c r="B189" s="79" t="str">
        <f t="shared" si="224"/>
        <v/>
      </c>
      <c r="C189" s="80" t="str">
        <f t="shared" si="224"/>
        <v/>
      </c>
      <c r="D189" s="69" t="str">
        <f t="shared" si="224"/>
        <v/>
      </c>
      <c r="E189" s="350"/>
      <c r="F189" s="69" t="str">
        <f t="shared" si="205"/>
        <v/>
      </c>
      <c r="G189" s="350"/>
      <c r="H189" s="69" t="str">
        <f t="shared" si="206"/>
        <v/>
      </c>
      <c r="I189" s="350"/>
      <c r="J189" s="69" t="str">
        <f t="shared" si="207"/>
        <v/>
      </c>
      <c r="K189" s="350"/>
      <c r="L189" s="69" t="str">
        <f t="shared" si="208"/>
        <v/>
      </c>
      <c r="M189" s="350"/>
      <c r="N189" s="69" t="str">
        <f t="shared" si="225"/>
        <v/>
      </c>
      <c r="O189" s="350"/>
      <c r="P189" s="69" t="str">
        <f t="shared" si="209"/>
        <v/>
      </c>
      <c r="Q189" s="350"/>
      <c r="R189" s="69" t="str">
        <f t="shared" si="210"/>
        <v/>
      </c>
      <c r="S189" s="350"/>
      <c r="T189" s="69" t="str">
        <f t="shared" si="211"/>
        <v/>
      </c>
      <c r="U189" s="350"/>
      <c r="V189" s="69" t="str">
        <f t="shared" si="212"/>
        <v/>
      </c>
      <c r="W189" s="350"/>
      <c r="Z189" s="353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3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26"/>
        <v>0</v>
      </c>
      <c r="BE189" s="213">
        <f t="shared" si="227"/>
        <v>0</v>
      </c>
      <c r="BF189" s="215">
        <f t="shared" si="228"/>
        <v>0</v>
      </c>
      <c r="BG189" s="215">
        <f t="shared" si="229"/>
        <v>0</v>
      </c>
      <c r="BH189" s="215" t="str">
        <f t="shared" si="214"/>
        <v/>
      </c>
      <c r="BI189" s="215" t="str">
        <f t="shared" si="215"/>
        <v/>
      </c>
      <c r="BJ189" s="215" t="str">
        <f t="shared" si="216"/>
        <v/>
      </c>
      <c r="BK189" s="215" t="str">
        <f t="shared" si="217"/>
        <v/>
      </c>
      <c r="BL189" s="215" t="str">
        <f t="shared" si="218"/>
        <v/>
      </c>
      <c r="BM189" s="215" t="str">
        <f t="shared" si="219"/>
        <v/>
      </c>
      <c r="BN189" s="215" t="str">
        <f t="shared" si="220"/>
        <v/>
      </c>
      <c r="BO189" s="215" t="str">
        <f t="shared" si="221"/>
        <v/>
      </c>
      <c r="BP189" s="215" t="str">
        <f t="shared" si="222"/>
        <v/>
      </c>
      <c r="BQ189" s="216"/>
      <c r="BR189" s="214"/>
      <c r="BS189" s="215">
        <f t="shared" si="230"/>
        <v>0</v>
      </c>
      <c r="BT189" s="215">
        <f t="shared" si="231"/>
        <v>0</v>
      </c>
      <c r="BU189" s="215" t="str">
        <f t="shared" si="232"/>
        <v>Frankenpower Nürnberg</v>
      </c>
      <c r="BV189" s="214">
        <f t="shared" si="233"/>
        <v>2</v>
      </c>
      <c r="BW189" s="215">
        <f t="shared" si="234"/>
        <v>0</v>
      </c>
      <c r="BX189" s="215">
        <f>IF(COUNTIF(BH189:BP189,"&gt;0")&lt;Spielorte!$A$23,0,BE189/Spielorte!$A$23)</f>
        <v>0</v>
      </c>
      <c r="BY189" s="215">
        <f t="shared" si="235"/>
        <v>0</v>
      </c>
      <c r="BZ189" s="214">
        <f t="shared" si="223"/>
        <v>0</v>
      </c>
    </row>
    <row r="190" spans="1:78" ht="17.2" customHeight="1" x14ac:dyDescent="0.35">
      <c r="A190" s="367" t="s">
        <v>2</v>
      </c>
      <c r="B190" s="73" t="str">
        <f t="shared" si="224"/>
        <v>Legl, Renate</v>
      </c>
      <c r="C190" s="74">
        <f t="shared" si="224"/>
        <v>7757</v>
      </c>
      <c r="D190" s="75">
        <f t="shared" si="224"/>
        <v>192</v>
      </c>
      <c r="E190" s="348">
        <f>IF(AD190="","",AD190)</f>
        <v>1</v>
      </c>
      <c r="F190" s="75">
        <f t="shared" si="205"/>
        <v>165</v>
      </c>
      <c r="G190" s="348">
        <f>IF(AF190="","",AF190)</f>
        <v>1</v>
      </c>
      <c r="H190" s="75">
        <f t="shared" si="206"/>
        <v>155</v>
      </c>
      <c r="I190" s="348">
        <f>IF(AH190="","",AH190)</f>
        <v>0</v>
      </c>
      <c r="J190" s="75">
        <f t="shared" si="207"/>
        <v>182</v>
      </c>
      <c r="K190" s="348">
        <f>IF(AJ190="","",AJ190)</f>
        <v>0</v>
      </c>
      <c r="L190" s="75">
        <f t="shared" si="208"/>
        <v>143</v>
      </c>
      <c r="M190" s="348">
        <f>IF(AL190="","",AL190)</f>
        <v>1</v>
      </c>
      <c r="N190" s="75">
        <f t="shared" si="225"/>
        <v>181</v>
      </c>
      <c r="O190" s="348">
        <f>IF(AN190="","",AN190)</f>
        <v>1</v>
      </c>
      <c r="P190" s="75">
        <f t="shared" si="209"/>
        <v>153</v>
      </c>
      <c r="Q190" s="348">
        <f>IF(AP190="","",AP190)</f>
        <v>0</v>
      </c>
      <c r="R190" s="75">
        <f t="shared" si="210"/>
        <v>118</v>
      </c>
      <c r="S190" s="348">
        <f>IF(AR190="","",AR190)</f>
        <v>0</v>
      </c>
      <c r="T190" s="75">
        <f t="shared" si="211"/>
        <v>178</v>
      </c>
      <c r="U190" s="348">
        <f>IF(AT190="","",AT190)</f>
        <v>0</v>
      </c>
      <c r="V190" s="75">
        <f t="shared" si="212"/>
        <v>1467</v>
      </c>
      <c r="W190" s="348">
        <f>IF(AV190="","",AV190)</f>
        <v>4</v>
      </c>
      <c r="Z190" s="351" t="s">
        <v>2</v>
      </c>
      <c r="AA190" s="108" t="str">
        <f>IF(AB190=0,"",VLOOKUP(AB190,Starter!$A$1:$D$199,2,FALSE))</f>
        <v>Legl, Renate</v>
      </c>
      <c r="AB190" s="99">
        <v>7757</v>
      </c>
      <c r="AC190" s="188">
        <v>192</v>
      </c>
      <c r="AD190" s="109">
        <f>IF(SUM(AC190:AC192)+AC206=0,0,IF(SUM(AC190:AC192)=AC206,0.5,IF(SUM(AC190:AC192)&gt;AC206,1,0)))</f>
        <v>1</v>
      </c>
      <c r="AE190" s="188">
        <v>165</v>
      </c>
      <c r="AF190" s="109">
        <f>IF(SUM(AE190:AE192)+AE206=0,0,IF(SUM(AE190:AE192)=AE206,0.5,IF(SUM(AE190:AE192)&gt;AE206,1,0)))</f>
        <v>1</v>
      </c>
      <c r="AG190" s="188">
        <v>155</v>
      </c>
      <c r="AH190" s="109">
        <f>IF(SUM(AG190:AG192)+AG206=0,0,IF(SUM(AG190:AG192)=AG206,0.5,IF(SUM(AG190:AG192)&gt;AG206,1,0)))</f>
        <v>0</v>
      </c>
      <c r="AI190" s="188">
        <v>182</v>
      </c>
      <c r="AJ190" s="109">
        <f>IF(SUM(AI190:AI192)+AI206=0,0,IF(SUM(AI190:AI192)=AI206,0.5,IF(SUM(AI190:AI192)&gt;AI206,1,0)))</f>
        <v>0</v>
      </c>
      <c r="AK190" s="188">
        <v>143</v>
      </c>
      <c r="AL190" s="109">
        <f>IF(SUM(AK190:AK192)+AK206=0,0,IF(SUM(AK190:AK192)=AK206,0.5,IF(SUM(AK190:AK192)&gt;AK206,1,0)))</f>
        <v>1</v>
      </c>
      <c r="AM190" s="188">
        <v>181</v>
      </c>
      <c r="AN190" s="109">
        <f>IF(SUM(AM190:AM192)+AM206=0,0,IF(SUM(AM190:AM192)=AM206,0.5,IF(SUM(AM190:AM192)&gt;AM206,1,0)))</f>
        <v>1</v>
      </c>
      <c r="AO190" s="188">
        <v>153</v>
      </c>
      <c r="AP190" s="109">
        <f>IF(SUM(AO190:AO192)+AO206=0,0,IF(SUM(AO190:AO192)=AO206,0.5,IF(SUM(AO190:AO192)&gt;AO206,1,0)))</f>
        <v>0</v>
      </c>
      <c r="AQ190" s="188">
        <v>118</v>
      </c>
      <c r="AR190" s="109">
        <f>IF(SUM(AQ190:AQ192)+AQ206=0,0,IF(SUM(AQ190:AQ192)=AQ206,0.5,IF(SUM(AQ190:AQ192)&gt;AQ206,1,0)))</f>
        <v>0</v>
      </c>
      <c r="AS190" s="188">
        <v>178</v>
      </c>
      <c r="AT190" s="109">
        <f>IF(SUM(AS190:AS192)+AS206=0,0,IF(SUM(AS190:AS192)=AS206,0.5,IF(SUM(AS190:AS192)&gt;AS206,1,0)))</f>
        <v>0</v>
      </c>
      <c r="AU190" s="110">
        <f t="shared" si="213"/>
        <v>1467</v>
      </c>
      <c r="AV190" s="111">
        <f>SUM(AD190+AF190+AH190+AJ190+AL190+AN190+AP190+AR190+AT190)</f>
        <v>4</v>
      </c>
      <c r="AW190" s="101"/>
      <c r="AX190" s="102"/>
      <c r="AZ190" s="63"/>
      <c r="BA190" s="212"/>
      <c r="BB190" s="213"/>
      <c r="BC190" s="214"/>
      <c r="BD190" s="217">
        <f t="shared" si="226"/>
        <v>7757</v>
      </c>
      <c r="BE190" s="213">
        <f t="shared" si="227"/>
        <v>1467</v>
      </c>
      <c r="BF190" s="215">
        <f t="shared" si="228"/>
        <v>9</v>
      </c>
      <c r="BG190" s="215">
        <f t="shared" si="229"/>
        <v>9</v>
      </c>
      <c r="BH190" s="215">
        <f t="shared" si="214"/>
        <v>192</v>
      </c>
      <c r="BI190" s="215">
        <f t="shared" si="215"/>
        <v>165</v>
      </c>
      <c r="BJ190" s="215">
        <f t="shared" si="216"/>
        <v>155</v>
      </c>
      <c r="BK190" s="215">
        <f t="shared" si="217"/>
        <v>182</v>
      </c>
      <c r="BL190" s="215">
        <f t="shared" si="218"/>
        <v>143</v>
      </c>
      <c r="BM190" s="215">
        <f t="shared" si="219"/>
        <v>181</v>
      </c>
      <c r="BN190" s="215">
        <f t="shared" si="220"/>
        <v>153</v>
      </c>
      <c r="BO190" s="215">
        <f t="shared" si="221"/>
        <v>118</v>
      </c>
      <c r="BP190" s="215">
        <f t="shared" si="222"/>
        <v>178</v>
      </c>
      <c r="BQ190" s="216"/>
      <c r="BR190" s="214"/>
      <c r="BS190" s="215">
        <f t="shared" si="230"/>
        <v>192</v>
      </c>
      <c r="BT190" s="215">
        <f t="shared" si="231"/>
        <v>0</v>
      </c>
      <c r="BU190" s="215" t="str">
        <f t="shared" si="232"/>
        <v>Frankenpower Nürnberg</v>
      </c>
      <c r="BV190" s="214">
        <f t="shared" si="233"/>
        <v>2</v>
      </c>
      <c r="BW190" s="215">
        <f t="shared" si="234"/>
        <v>1467</v>
      </c>
      <c r="BX190" s="215">
        <f>IF(COUNTIF(BH190:BP190,"&gt;0")&lt;Spielorte!$A$23,0,BE190/Spielorte!$A$23)</f>
        <v>163</v>
      </c>
      <c r="BY190" s="215">
        <f t="shared" si="235"/>
        <v>0</v>
      </c>
      <c r="BZ190" s="214">
        <f t="shared" si="223"/>
        <v>0</v>
      </c>
    </row>
    <row r="191" spans="1:78" ht="17.2" customHeight="1" x14ac:dyDescent="0.35">
      <c r="A191" s="368"/>
      <c r="B191" s="76" t="str">
        <f t="shared" si="224"/>
        <v/>
      </c>
      <c r="C191" s="77" t="str">
        <f t="shared" si="224"/>
        <v/>
      </c>
      <c r="D191" s="78" t="str">
        <f t="shared" si="224"/>
        <v/>
      </c>
      <c r="E191" s="349"/>
      <c r="F191" s="78" t="str">
        <f t="shared" si="205"/>
        <v/>
      </c>
      <c r="G191" s="349"/>
      <c r="H191" s="78" t="str">
        <f t="shared" si="206"/>
        <v/>
      </c>
      <c r="I191" s="349"/>
      <c r="J191" s="78" t="str">
        <f t="shared" si="207"/>
        <v/>
      </c>
      <c r="K191" s="349"/>
      <c r="L191" s="78" t="str">
        <f t="shared" si="208"/>
        <v/>
      </c>
      <c r="M191" s="349"/>
      <c r="N191" s="78" t="str">
        <f t="shared" si="225"/>
        <v/>
      </c>
      <c r="O191" s="349"/>
      <c r="P191" s="78" t="str">
        <f t="shared" si="209"/>
        <v/>
      </c>
      <c r="Q191" s="349"/>
      <c r="R191" s="78" t="str">
        <f t="shared" si="210"/>
        <v/>
      </c>
      <c r="S191" s="349"/>
      <c r="T191" s="78" t="str">
        <f t="shared" si="211"/>
        <v/>
      </c>
      <c r="U191" s="349"/>
      <c r="V191" s="78" t="str">
        <f t="shared" si="212"/>
        <v/>
      </c>
      <c r="W191" s="349"/>
      <c r="Z191" s="352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3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26"/>
        <v>0</v>
      </c>
      <c r="BE191" s="213">
        <f t="shared" si="227"/>
        <v>0</v>
      </c>
      <c r="BF191" s="215">
        <f t="shared" si="228"/>
        <v>0</v>
      </c>
      <c r="BG191" s="215">
        <f t="shared" si="229"/>
        <v>0</v>
      </c>
      <c r="BH191" s="215" t="str">
        <f t="shared" si="214"/>
        <v/>
      </c>
      <c r="BI191" s="215" t="str">
        <f t="shared" si="215"/>
        <v/>
      </c>
      <c r="BJ191" s="215" t="str">
        <f t="shared" si="216"/>
        <v/>
      </c>
      <c r="BK191" s="215" t="str">
        <f t="shared" si="217"/>
        <v/>
      </c>
      <c r="BL191" s="215" t="str">
        <f t="shared" si="218"/>
        <v/>
      </c>
      <c r="BM191" s="215" t="str">
        <f t="shared" si="219"/>
        <v/>
      </c>
      <c r="BN191" s="215" t="str">
        <f t="shared" si="220"/>
        <v/>
      </c>
      <c r="BO191" s="215" t="str">
        <f t="shared" si="221"/>
        <v/>
      </c>
      <c r="BP191" s="215" t="str">
        <f t="shared" si="222"/>
        <v/>
      </c>
      <c r="BQ191" s="216"/>
      <c r="BR191" s="214"/>
      <c r="BS191" s="215">
        <f t="shared" si="230"/>
        <v>0</v>
      </c>
      <c r="BT191" s="215">
        <f t="shared" si="231"/>
        <v>0</v>
      </c>
      <c r="BU191" s="215" t="str">
        <f t="shared" si="232"/>
        <v>Frankenpower Nürnberg</v>
      </c>
      <c r="BV191" s="214">
        <f t="shared" si="233"/>
        <v>2</v>
      </c>
      <c r="BW191" s="215">
        <f t="shared" si="234"/>
        <v>0</v>
      </c>
      <c r="BX191" s="215">
        <f>IF(COUNTIF(BH191:BP191,"&gt;0")&lt;Spielorte!$A$23,0,BE191/Spielorte!$A$23)</f>
        <v>0</v>
      </c>
      <c r="BY191" s="215">
        <f t="shared" si="235"/>
        <v>0</v>
      </c>
      <c r="BZ191" s="214">
        <f t="shared" si="223"/>
        <v>0</v>
      </c>
    </row>
    <row r="192" spans="1:78" ht="17.2" customHeight="1" thickBot="1" x14ac:dyDescent="0.4">
      <c r="A192" s="369"/>
      <c r="B192" s="79" t="str">
        <f t="shared" si="224"/>
        <v/>
      </c>
      <c r="C192" s="80" t="str">
        <f t="shared" si="224"/>
        <v/>
      </c>
      <c r="D192" s="69" t="str">
        <f t="shared" si="224"/>
        <v/>
      </c>
      <c r="E192" s="350"/>
      <c r="F192" s="69" t="str">
        <f t="shared" si="205"/>
        <v/>
      </c>
      <c r="G192" s="350"/>
      <c r="H192" s="69" t="str">
        <f t="shared" si="206"/>
        <v/>
      </c>
      <c r="I192" s="350"/>
      <c r="J192" s="69" t="str">
        <f t="shared" si="207"/>
        <v/>
      </c>
      <c r="K192" s="350"/>
      <c r="L192" s="69" t="str">
        <f t="shared" si="208"/>
        <v/>
      </c>
      <c r="M192" s="350"/>
      <c r="N192" s="69" t="str">
        <f t="shared" si="225"/>
        <v/>
      </c>
      <c r="O192" s="350"/>
      <c r="P192" s="69" t="str">
        <f t="shared" si="209"/>
        <v/>
      </c>
      <c r="Q192" s="350"/>
      <c r="R192" s="69" t="str">
        <f t="shared" si="210"/>
        <v/>
      </c>
      <c r="S192" s="350"/>
      <c r="T192" s="69" t="str">
        <f t="shared" si="211"/>
        <v/>
      </c>
      <c r="U192" s="350"/>
      <c r="V192" s="69" t="str">
        <f t="shared" si="212"/>
        <v/>
      </c>
      <c r="W192" s="350"/>
      <c r="Z192" s="353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3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26"/>
        <v>0</v>
      </c>
      <c r="BE192" s="213">
        <f t="shared" si="227"/>
        <v>0</v>
      </c>
      <c r="BF192" s="215">
        <f t="shared" si="228"/>
        <v>0</v>
      </c>
      <c r="BG192" s="215">
        <f t="shared" si="229"/>
        <v>0</v>
      </c>
      <c r="BH192" s="215" t="str">
        <f t="shared" si="214"/>
        <v/>
      </c>
      <c r="BI192" s="215" t="str">
        <f t="shared" si="215"/>
        <v/>
      </c>
      <c r="BJ192" s="215" t="str">
        <f t="shared" si="216"/>
        <v/>
      </c>
      <c r="BK192" s="215" t="str">
        <f t="shared" si="217"/>
        <v/>
      </c>
      <c r="BL192" s="215" t="str">
        <f t="shared" si="218"/>
        <v/>
      </c>
      <c r="BM192" s="215" t="str">
        <f t="shared" si="219"/>
        <v/>
      </c>
      <c r="BN192" s="215" t="str">
        <f t="shared" si="220"/>
        <v/>
      </c>
      <c r="BO192" s="215" t="str">
        <f t="shared" si="221"/>
        <v/>
      </c>
      <c r="BP192" s="215" t="str">
        <f t="shared" si="222"/>
        <v/>
      </c>
      <c r="BQ192" s="216"/>
      <c r="BR192" s="214"/>
      <c r="BS192" s="215">
        <f t="shared" si="230"/>
        <v>0</v>
      </c>
      <c r="BT192" s="215">
        <f t="shared" si="231"/>
        <v>0</v>
      </c>
      <c r="BU192" s="215" t="str">
        <f t="shared" si="232"/>
        <v>Frankenpower Nürnberg</v>
      </c>
      <c r="BV192" s="214">
        <f t="shared" si="233"/>
        <v>2</v>
      </c>
      <c r="BW192" s="215">
        <f t="shared" si="234"/>
        <v>0</v>
      </c>
      <c r="BX192" s="215">
        <f>IF(COUNTIF(BH192:BP192,"&gt;0")&lt;Spielorte!$A$23,0,BE192/Spielorte!$A$23)</f>
        <v>0</v>
      </c>
      <c r="BY192" s="215">
        <f t="shared" si="235"/>
        <v>0</v>
      </c>
      <c r="BZ192" s="214">
        <f t="shared" si="223"/>
        <v>0</v>
      </c>
    </row>
    <row r="193" spans="1:78" ht="17.2" customHeight="1" x14ac:dyDescent="0.35">
      <c r="A193" s="367" t="s">
        <v>3</v>
      </c>
      <c r="B193" s="73" t="str">
        <f t="shared" si="224"/>
        <v>Krämer, Gisela</v>
      </c>
      <c r="C193" s="74">
        <f t="shared" si="224"/>
        <v>7753</v>
      </c>
      <c r="D193" s="75">
        <f t="shared" si="224"/>
        <v>154</v>
      </c>
      <c r="E193" s="348">
        <f>IF(AD193="","",AD193)</f>
        <v>0</v>
      </c>
      <c r="F193" s="75">
        <f t="shared" si="205"/>
        <v>191</v>
      </c>
      <c r="G193" s="348">
        <f>IF(AF193="","",AF193)</f>
        <v>1</v>
      </c>
      <c r="H193" s="75">
        <f t="shared" si="206"/>
        <v>203</v>
      </c>
      <c r="I193" s="348">
        <f>IF(AH193="","",AH193)</f>
        <v>0</v>
      </c>
      <c r="J193" s="75">
        <f t="shared" si="207"/>
        <v>138</v>
      </c>
      <c r="K193" s="348">
        <f>IF(AJ193="","",AJ193)</f>
        <v>0</v>
      </c>
      <c r="L193" s="75">
        <f t="shared" si="208"/>
        <v>178</v>
      </c>
      <c r="M193" s="348">
        <f>IF(AL193="","",AL193)</f>
        <v>1</v>
      </c>
      <c r="N193" s="75">
        <f t="shared" si="225"/>
        <v>195</v>
      </c>
      <c r="O193" s="348">
        <f>IF(AN193="","",AN193)</f>
        <v>1</v>
      </c>
      <c r="P193" s="75">
        <f t="shared" si="209"/>
        <v>179</v>
      </c>
      <c r="Q193" s="348">
        <f>IF(AP193="","",AP193)</f>
        <v>0.5</v>
      </c>
      <c r="R193" s="75">
        <f t="shared" si="210"/>
        <v>147</v>
      </c>
      <c r="S193" s="348">
        <f>IF(AR193="","",AR193)</f>
        <v>0</v>
      </c>
      <c r="T193" s="75">
        <f t="shared" si="211"/>
        <v>173</v>
      </c>
      <c r="U193" s="348">
        <f>IF(AT193="","",AT193)</f>
        <v>0</v>
      </c>
      <c r="V193" s="75">
        <f t="shared" si="212"/>
        <v>1558</v>
      </c>
      <c r="W193" s="348">
        <f>IF(AV193="","",AV193)</f>
        <v>3.5</v>
      </c>
      <c r="Z193" s="351" t="s">
        <v>3</v>
      </c>
      <c r="AA193" s="108" t="str">
        <f>IF(AB193=0,"",VLOOKUP(AB193,Starter!$A$1:$D$199,2,FALSE))</f>
        <v>Krämer, Gisela</v>
      </c>
      <c r="AB193" s="99">
        <v>7753</v>
      </c>
      <c r="AC193" s="188">
        <v>154</v>
      </c>
      <c r="AD193" s="109">
        <f>IF(SUM(AC193:AC195)+AC207=0,0,IF(SUM(AC193:AC195)=AC207,0.5,IF(SUM(AC193:AC195)&gt;AC207,1,0)))</f>
        <v>0</v>
      </c>
      <c r="AE193" s="188">
        <v>191</v>
      </c>
      <c r="AF193" s="109">
        <f>IF(SUM(AE193:AE195)+AE207=0,0,IF(SUM(AE193:AE195)=AE207,0.5,IF(SUM(AE193:AE195)&gt;AE207,1,0)))</f>
        <v>1</v>
      </c>
      <c r="AG193" s="188">
        <v>203</v>
      </c>
      <c r="AH193" s="109">
        <f>IF(SUM(AG193:AG195)+AG207=0,0,IF(SUM(AG193:AG195)=AG207,0.5,IF(SUM(AG193:AG195)&gt;AG207,1,0)))</f>
        <v>0</v>
      </c>
      <c r="AI193" s="188">
        <v>138</v>
      </c>
      <c r="AJ193" s="109">
        <f>IF(SUM(AI193:AI195)+AI207=0,0,IF(SUM(AI193:AI195)=AI207,0.5,IF(SUM(AI193:AI195)&gt;AI207,1,0)))</f>
        <v>0</v>
      </c>
      <c r="AK193" s="188">
        <v>178</v>
      </c>
      <c r="AL193" s="109">
        <f>IF(SUM(AK193:AK195)+AK207=0,0,IF(SUM(AK193:AK195)=AK207,0.5,IF(SUM(AK193:AK195)&gt;AK207,1,0)))</f>
        <v>1</v>
      </c>
      <c r="AM193" s="188">
        <v>195</v>
      </c>
      <c r="AN193" s="109">
        <f>IF(SUM(AM193:AM195)+AM207=0,0,IF(SUM(AM193:AM195)=AM207,0.5,IF(SUM(AM193:AM195)&gt;AM207,1,0)))</f>
        <v>1</v>
      </c>
      <c r="AO193" s="188">
        <v>179</v>
      </c>
      <c r="AP193" s="109">
        <f>IF(SUM(AO193:AO195)+AO207=0,0,IF(SUM(AO193:AO195)=AO207,0.5,IF(SUM(AO193:AO195)&gt;AO207,1,0)))</f>
        <v>0.5</v>
      </c>
      <c r="AQ193" s="188">
        <v>147</v>
      </c>
      <c r="AR193" s="109">
        <f>IF(SUM(AQ193:AQ195)+AQ207=0,0,IF(SUM(AQ193:AQ195)=AQ207,0.5,IF(SUM(AQ193:AQ195)&gt;AQ207,1,0)))</f>
        <v>0</v>
      </c>
      <c r="AS193" s="188">
        <v>173</v>
      </c>
      <c r="AT193" s="109">
        <f>IF(SUM(AS193:AS195)+AS207=0,0,IF(SUM(AS193:AS195)=AS207,0.5,IF(SUM(AS193:AS195)&gt;AS207,1,0)))</f>
        <v>0</v>
      </c>
      <c r="AU193" s="110">
        <f t="shared" si="213"/>
        <v>1558</v>
      </c>
      <c r="AV193" s="111">
        <f>SUM(AD193+AF193+AH193+AJ193+AL193+AN193+AP193+AR193+AT193)</f>
        <v>3.5</v>
      </c>
      <c r="AW193" s="101"/>
      <c r="AX193" s="102"/>
      <c r="AZ193" s="63"/>
      <c r="BA193" s="212"/>
      <c r="BB193" s="213"/>
      <c r="BC193" s="214"/>
      <c r="BD193" s="217">
        <f t="shared" si="226"/>
        <v>7753</v>
      </c>
      <c r="BE193" s="213">
        <f t="shared" si="227"/>
        <v>1558</v>
      </c>
      <c r="BF193" s="215">
        <f t="shared" si="228"/>
        <v>9</v>
      </c>
      <c r="BG193" s="215">
        <f t="shared" si="229"/>
        <v>9</v>
      </c>
      <c r="BH193" s="215">
        <f t="shared" si="214"/>
        <v>154</v>
      </c>
      <c r="BI193" s="215">
        <f t="shared" si="215"/>
        <v>191</v>
      </c>
      <c r="BJ193" s="215">
        <f t="shared" si="216"/>
        <v>203</v>
      </c>
      <c r="BK193" s="215">
        <f t="shared" si="217"/>
        <v>138</v>
      </c>
      <c r="BL193" s="215">
        <f t="shared" si="218"/>
        <v>178</v>
      </c>
      <c r="BM193" s="215">
        <f t="shared" si="219"/>
        <v>195</v>
      </c>
      <c r="BN193" s="215">
        <f t="shared" si="220"/>
        <v>179</v>
      </c>
      <c r="BO193" s="215">
        <f t="shared" si="221"/>
        <v>147</v>
      </c>
      <c r="BP193" s="215">
        <f t="shared" si="222"/>
        <v>173</v>
      </c>
      <c r="BQ193" s="216"/>
      <c r="BR193" s="214"/>
      <c r="BS193" s="215">
        <f t="shared" si="230"/>
        <v>203</v>
      </c>
      <c r="BT193" s="215">
        <f t="shared" si="231"/>
        <v>0</v>
      </c>
      <c r="BU193" s="215" t="str">
        <f t="shared" si="232"/>
        <v>Frankenpower Nürnberg</v>
      </c>
      <c r="BV193" s="214">
        <f t="shared" si="233"/>
        <v>2</v>
      </c>
      <c r="BW193" s="215">
        <f t="shared" si="234"/>
        <v>1558</v>
      </c>
      <c r="BX193" s="215">
        <f>IF(COUNTIF(BH193:BP193,"&gt;0")&lt;Spielorte!$A$23,0,BE193/Spielorte!$A$23)</f>
        <v>173.11111111111111</v>
      </c>
      <c r="BY193" s="215">
        <f t="shared" si="235"/>
        <v>0</v>
      </c>
      <c r="BZ193" s="214">
        <f t="shared" si="223"/>
        <v>0</v>
      </c>
    </row>
    <row r="194" spans="1:78" ht="17.2" customHeight="1" x14ac:dyDescent="0.35">
      <c r="A194" s="368"/>
      <c r="B194" s="76" t="str">
        <f t="shared" si="224"/>
        <v/>
      </c>
      <c r="C194" s="77" t="str">
        <f t="shared" si="224"/>
        <v/>
      </c>
      <c r="D194" s="78" t="str">
        <f t="shared" si="224"/>
        <v/>
      </c>
      <c r="E194" s="349"/>
      <c r="F194" s="78" t="str">
        <f t="shared" si="205"/>
        <v/>
      </c>
      <c r="G194" s="349"/>
      <c r="H194" s="78" t="str">
        <f t="shared" si="206"/>
        <v/>
      </c>
      <c r="I194" s="349"/>
      <c r="J194" s="78" t="str">
        <f t="shared" si="207"/>
        <v/>
      </c>
      <c r="K194" s="349"/>
      <c r="L194" s="78" t="str">
        <f t="shared" si="208"/>
        <v/>
      </c>
      <c r="M194" s="349"/>
      <c r="N194" s="78" t="str">
        <f t="shared" si="225"/>
        <v/>
      </c>
      <c r="O194" s="349"/>
      <c r="P194" s="78" t="str">
        <f t="shared" si="209"/>
        <v/>
      </c>
      <c r="Q194" s="349"/>
      <c r="R194" s="78" t="str">
        <f t="shared" si="210"/>
        <v/>
      </c>
      <c r="S194" s="349"/>
      <c r="T194" s="78" t="str">
        <f t="shared" si="211"/>
        <v/>
      </c>
      <c r="U194" s="349"/>
      <c r="V194" s="78" t="str">
        <f t="shared" si="212"/>
        <v/>
      </c>
      <c r="W194" s="349"/>
      <c r="Z194" s="352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3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26"/>
        <v>0</v>
      </c>
      <c r="BE194" s="213">
        <f t="shared" si="227"/>
        <v>0</v>
      </c>
      <c r="BF194" s="215">
        <f t="shared" si="228"/>
        <v>0</v>
      </c>
      <c r="BG194" s="215">
        <f t="shared" si="229"/>
        <v>0</v>
      </c>
      <c r="BH194" s="215" t="str">
        <f t="shared" si="214"/>
        <v/>
      </c>
      <c r="BI194" s="215" t="str">
        <f t="shared" si="215"/>
        <v/>
      </c>
      <c r="BJ194" s="215" t="str">
        <f t="shared" si="216"/>
        <v/>
      </c>
      <c r="BK194" s="215" t="str">
        <f t="shared" si="217"/>
        <v/>
      </c>
      <c r="BL194" s="215" t="str">
        <f t="shared" si="218"/>
        <v/>
      </c>
      <c r="BM194" s="215" t="str">
        <f t="shared" si="219"/>
        <v/>
      </c>
      <c r="BN194" s="215" t="str">
        <f t="shared" si="220"/>
        <v/>
      </c>
      <c r="BO194" s="215" t="str">
        <f t="shared" si="221"/>
        <v/>
      </c>
      <c r="BP194" s="215" t="str">
        <f t="shared" si="222"/>
        <v/>
      </c>
      <c r="BQ194" s="216"/>
      <c r="BR194" s="214"/>
      <c r="BS194" s="215">
        <f t="shared" si="230"/>
        <v>0</v>
      </c>
      <c r="BT194" s="215">
        <f t="shared" si="231"/>
        <v>0</v>
      </c>
      <c r="BU194" s="215" t="str">
        <f t="shared" si="232"/>
        <v>Frankenpower Nürnberg</v>
      </c>
      <c r="BV194" s="214">
        <f t="shared" si="233"/>
        <v>2</v>
      </c>
      <c r="BW194" s="215">
        <f t="shared" si="234"/>
        <v>0</v>
      </c>
      <c r="BX194" s="215">
        <f>IF(COUNTIF(BH194:BP194,"&gt;0")&lt;Spielorte!$A$23,0,BE194/Spielorte!$A$23)</f>
        <v>0</v>
      </c>
      <c r="BY194" s="215">
        <f t="shared" si="235"/>
        <v>0</v>
      </c>
      <c r="BZ194" s="214">
        <f t="shared" si="223"/>
        <v>0</v>
      </c>
    </row>
    <row r="195" spans="1:78" ht="17.2" customHeight="1" thickBot="1" x14ac:dyDescent="0.4">
      <c r="A195" s="369"/>
      <c r="B195" s="79" t="str">
        <f t="shared" si="224"/>
        <v/>
      </c>
      <c r="C195" s="80" t="str">
        <f t="shared" si="224"/>
        <v/>
      </c>
      <c r="D195" s="69" t="str">
        <f t="shared" si="224"/>
        <v/>
      </c>
      <c r="E195" s="350"/>
      <c r="F195" s="69" t="str">
        <f t="shared" si="205"/>
        <v/>
      </c>
      <c r="G195" s="350"/>
      <c r="H195" s="69" t="str">
        <f t="shared" si="206"/>
        <v/>
      </c>
      <c r="I195" s="350"/>
      <c r="J195" s="69" t="str">
        <f t="shared" si="207"/>
        <v/>
      </c>
      <c r="K195" s="350"/>
      <c r="L195" s="69" t="str">
        <f t="shared" si="208"/>
        <v/>
      </c>
      <c r="M195" s="350"/>
      <c r="N195" s="69" t="str">
        <f t="shared" si="225"/>
        <v/>
      </c>
      <c r="O195" s="350"/>
      <c r="P195" s="69" t="str">
        <f t="shared" si="209"/>
        <v/>
      </c>
      <c r="Q195" s="350"/>
      <c r="R195" s="69" t="str">
        <f t="shared" si="210"/>
        <v/>
      </c>
      <c r="S195" s="350"/>
      <c r="T195" s="69" t="str">
        <f t="shared" si="211"/>
        <v/>
      </c>
      <c r="U195" s="350"/>
      <c r="V195" s="69" t="str">
        <f t="shared" si="212"/>
        <v/>
      </c>
      <c r="W195" s="350"/>
      <c r="Z195" s="353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3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26"/>
        <v>0</v>
      </c>
      <c r="BE195" s="213">
        <f t="shared" si="227"/>
        <v>0</v>
      </c>
      <c r="BF195" s="215">
        <f t="shared" si="228"/>
        <v>0</v>
      </c>
      <c r="BG195" s="215">
        <f t="shared" si="229"/>
        <v>0</v>
      </c>
      <c r="BH195" s="215" t="str">
        <f t="shared" si="214"/>
        <v/>
      </c>
      <c r="BI195" s="215" t="str">
        <f t="shared" si="215"/>
        <v/>
      </c>
      <c r="BJ195" s="215" t="str">
        <f t="shared" si="216"/>
        <v/>
      </c>
      <c r="BK195" s="215" t="str">
        <f t="shared" si="217"/>
        <v/>
      </c>
      <c r="BL195" s="215" t="str">
        <f t="shared" si="218"/>
        <v/>
      </c>
      <c r="BM195" s="215" t="str">
        <f t="shared" si="219"/>
        <v/>
      </c>
      <c r="BN195" s="215" t="str">
        <f t="shared" si="220"/>
        <v/>
      </c>
      <c r="BO195" s="215" t="str">
        <f t="shared" si="221"/>
        <v/>
      </c>
      <c r="BP195" s="215" t="str">
        <f t="shared" si="222"/>
        <v/>
      </c>
      <c r="BQ195" s="216"/>
      <c r="BR195" s="214"/>
      <c r="BS195" s="215">
        <f t="shared" si="230"/>
        <v>0</v>
      </c>
      <c r="BT195" s="215">
        <f t="shared" si="231"/>
        <v>0</v>
      </c>
      <c r="BU195" s="215" t="str">
        <f t="shared" si="232"/>
        <v>Frankenpower Nürnberg</v>
      </c>
      <c r="BV195" s="214">
        <f t="shared" si="233"/>
        <v>2</v>
      </c>
      <c r="BW195" s="215">
        <f t="shared" si="234"/>
        <v>0</v>
      </c>
      <c r="BX195" s="215">
        <f>IF(COUNTIF(BH195:BP195,"&gt;0")&lt;Spielorte!$A$23,0,BE195/Spielorte!$A$23)</f>
        <v>0</v>
      </c>
      <c r="BY195" s="215">
        <f t="shared" si="235"/>
        <v>0</v>
      </c>
      <c r="BZ195" s="214">
        <f t="shared" si="223"/>
        <v>0</v>
      </c>
    </row>
    <row r="196" spans="1:78" ht="17.2" customHeight="1" x14ac:dyDescent="0.35">
      <c r="A196" s="367" t="s">
        <v>11</v>
      </c>
      <c r="B196" s="73" t="str">
        <f>IF(AA196=0,"",AA196)</f>
        <v>Reng, Verena</v>
      </c>
      <c r="C196" s="74">
        <f t="shared" si="224"/>
        <v>38560</v>
      </c>
      <c r="D196" s="75">
        <f t="shared" si="224"/>
        <v>146</v>
      </c>
      <c r="E196" s="348">
        <f>IF(AD196="","",AD196)</f>
        <v>0</v>
      </c>
      <c r="F196" s="75">
        <f t="shared" si="205"/>
        <v>166</v>
      </c>
      <c r="G196" s="348">
        <f>IF(AF196="","",AF196)</f>
        <v>0</v>
      </c>
      <c r="H196" s="75">
        <f t="shared" si="206"/>
        <v>223</v>
      </c>
      <c r="I196" s="348">
        <f>IF(AH196="","",AH196)</f>
        <v>1</v>
      </c>
      <c r="J196" s="75">
        <f t="shared" si="207"/>
        <v>167</v>
      </c>
      <c r="K196" s="348">
        <f>IF(AJ196="","",AJ196)</f>
        <v>0</v>
      </c>
      <c r="L196" s="75">
        <f t="shared" si="208"/>
        <v>179</v>
      </c>
      <c r="M196" s="348">
        <f>IF(AL196="","",AL196)</f>
        <v>0</v>
      </c>
      <c r="N196" s="75">
        <f t="shared" si="225"/>
        <v>123</v>
      </c>
      <c r="O196" s="348">
        <f>IF(AN196="","",AN196)</f>
        <v>1</v>
      </c>
      <c r="P196" s="75">
        <f t="shared" si="209"/>
        <v>200</v>
      </c>
      <c r="Q196" s="348">
        <f>IF(AP196="","",AP196)</f>
        <v>1</v>
      </c>
      <c r="R196" s="75">
        <f t="shared" si="210"/>
        <v>158</v>
      </c>
      <c r="S196" s="348">
        <f>IF(AR196="","",AR196)</f>
        <v>1</v>
      </c>
      <c r="T196" s="75">
        <f t="shared" si="211"/>
        <v>183</v>
      </c>
      <c r="U196" s="348">
        <f>IF(AT196="","",AT196)</f>
        <v>1</v>
      </c>
      <c r="V196" s="75">
        <f t="shared" si="212"/>
        <v>1545</v>
      </c>
      <c r="W196" s="348">
        <f>IF(AV196="","",AV196)</f>
        <v>5</v>
      </c>
      <c r="Z196" s="351" t="s">
        <v>11</v>
      </c>
      <c r="AA196" s="108" t="str">
        <f>IF(AB196=0,"",VLOOKUP(AB196,Starter!$A$1:$D$199,2,FALSE))</f>
        <v>Reng, Verena</v>
      </c>
      <c r="AB196" s="99">
        <v>38560</v>
      </c>
      <c r="AC196" s="188">
        <v>146</v>
      </c>
      <c r="AD196" s="109">
        <f>IF(SUM(AC196:AC198)+AC208=0,0,IF(SUM(AC196:AC198)=AC208,0.5,IF(SUM(AC196:AC198)&gt;AC208,1,0)))</f>
        <v>0</v>
      </c>
      <c r="AE196" s="188">
        <v>166</v>
      </c>
      <c r="AF196" s="109">
        <f>IF(SUM(AE196:AE198)+AE208=0,0,IF(SUM(AE196:AE198)=AE208,0.5,IF(SUM(AE196:AE198)&gt;AE208,1,0)))</f>
        <v>0</v>
      </c>
      <c r="AG196" s="188">
        <v>223</v>
      </c>
      <c r="AH196" s="109">
        <f>IF(SUM(AG196:AG198)+AG208=0,0,IF(SUM(AG196:AG198)=AG208,0.5,IF(SUM(AG196:AG198)&gt;AG208,1,0)))</f>
        <v>1</v>
      </c>
      <c r="AI196" s="188">
        <v>167</v>
      </c>
      <c r="AJ196" s="109">
        <f>IF(SUM(AI196:AI198)+AI208=0,0,IF(SUM(AI196:AI198)=AI208,0.5,IF(SUM(AI196:AI198)&gt;AI208,1,0)))</f>
        <v>0</v>
      </c>
      <c r="AK196" s="188">
        <v>179</v>
      </c>
      <c r="AL196" s="109">
        <f>IF(SUM(AK196:AK198)+AK208=0,0,IF(SUM(AK196:AK198)=AK208,0.5,IF(SUM(AK196:AK198)&gt;AK208,1,0)))</f>
        <v>0</v>
      </c>
      <c r="AM196" s="188">
        <v>123</v>
      </c>
      <c r="AN196" s="109">
        <f>IF(SUM(AM196:AM198)+AM208=0,0,IF(SUM(AM196:AM198)=AM208,0.5,IF(SUM(AM196:AM198)&gt;AM208,1,0)))</f>
        <v>1</v>
      </c>
      <c r="AO196" s="188">
        <v>200</v>
      </c>
      <c r="AP196" s="109">
        <f>IF(SUM(AO196:AO198)+AO208=0,0,IF(SUM(AO196:AO198)=AO208,0.5,IF(SUM(AO196:AO198)&gt;AO208,1,0)))</f>
        <v>1</v>
      </c>
      <c r="AQ196" s="188">
        <v>158</v>
      </c>
      <c r="AR196" s="109">
        <f>IF(SUM(AQ196:AQ198)+AQ208=0,0,IF(SUM(AQ196:AQ198)=AQ208,0.5,IF(SUM(AQ196:AQ198)&gt;AQ208,1,0)))</f>
        <v>1</v>
      </c>
      <c r="AS196" s="188">
        <v>183</v>
      </c>
      <c r="AT196" s="109">
        <f>IF(SUM(AS196:AS198)+AS208=0,0,IF(SUM(AS196:AS198)=AS208,0.5,IF(SUM(AS196:AS198)&gt;AS208,1,0)))</f>
        <v>1</v>
      </c>
      <c r="AU196" s="110">
        <f t="shared" si="213"/>
        <v>1545</v>
      </c>
      <c r="AV196" s="111">
        <f>SUM(AD196+AF196+AH196+AJ196+AL196+AN196+AP196+AR196+AT196)</f>
        <v>5</v>
      </c>
      <c r="AW196" s="101"/>
      <c r="AX196" s="102"/>
      <c r="AZ196" s="63"/>
      <c r="BA196" s="212"/>
      <c r="BB196" s="213"/>
      <c r="BC196" s="214"/>
      <c r="BD196" s="217">
        <f t="shared" si="226"/>
        <v>38560</v>
      </c>
      <c r="BE196" s="213">
        <f t="shared" si="227"/>
        <v>1545</v>
      </c>
      <c r="BF196" s="215">
        <f t="shared" si="228"/>
        <v>9</v>
      </c>
      <c r="BG196" s="215">
        <f t="shared" si="229"/>
        <v>9</v>
      </c>
      <c r="BH196" s="215">
        <f t="shared" si="214"/>
        <v>146</v>
      </c>
      <c r="BI196" s="215">
        <f t="shared" si="215"/>
        <v>166</v>
      </c>
      <c r="BJ196" s="215">
        <f t="shared" si="216"/>
        <v>223</v>
      </c>
      <c r="BK196" s="215">
        <f t="shared" si="217"/>
        <v>167</v>
      </c>
      <c r="BL196" s="215">
        <f t="shared" si="218"/>
        <v>179</v>
      </c>
      <c r="BM196" s="215">
        <f t="shared" si="219"/>
        <v>123</v>
      </c>
      <c r="BN196" s="215">
        <f t="shared" si="220"/>
        <v>200</v>
      </c>
      <c r="BO196" s="215">
        <f t="shared" si="221"/>
        <v>158</v>
      </c>
      <c r="BP196" s="215">
        <f t="shared" si="222"/>
        <v>183</v>
      </c>
      <c r="BQ196" s="216"/>
      <c r="BR196" s="214"/>
      <c r="BS196" s="215">
        <f t="shared" si="230"/>
        <v>223</v>
      </c>
      <c r="BT196" s="215">
        <f t="shared" si="231"/>
        <v>0</v>
      </c>
      <c r="BU196" s="215" t="str">
        <f t="shared" si="232"/>
        <v>Frankenpower Nürnberg</v>
      </c>
      <c r="BV196" s="214">
        <f t="shared" si="233"/>
        <v>2</v>
      </c>
      <c r="BW196" s="215">
        <f t="shared" si="234"/>
        <v>1545</v>
      </c>
      <c r="BX196" s="215">
        <f>IF(COUNTIF(BH196:BP196,"&gt;0")&lt;Spielorte!$A$23,0,BE196/Spielorte!$A$23)</f>
        <v>171.66666666666666</v>
      </c>
      <c r="BY196" s="215">
        <f t="shared" si="235"/>
        <v>0</v>
      </c>
      <c r="BZ196" s="214">
        <f t="shared" si="223"/>
        <v>0</v>
      </c>
    </row>
    <row r="197" spans="1:78" ht="17.2" customHeight="1" x14ac:dyDescent="0.35">
      <c r="A197" s="368"/>
      <c r="B197" s="76" t="str">
        <f>IF(AA197=0,"",AA197)</f>
        <v/>
      </c>
      <c r="C197" s="77" t="str">
        <f t="shared" si="224"/>
        <v/>
      </c>
      <c r="D197" s="78" t="str">
        <f t="shared" si="224"/>
        <v/>
      </c>
      <c r="E197" s="349"/>
      <c r="F197" s="78" t="str">
        <f t="shared" si="205"/>
        <v/>
      </c>
      <c r="G197" s="349"/>
      <c r="H197" s="78" t="str">
        <f t="shared" si="206"/>
        <v/>
      </c>
      <c r="I197" s="349"/>
      <c r="J197" s="78" t="str">
        <f t="shared" si="207"/>
        <v/>
      </c>
      <c r="K197" s="349"/>
      <c r="L197" s="78" t="str">
        <f t="shared" si="208"/>
        <v/>
      </c>
      <c r="M197" s="349"/>
      <c r="N197" s="78" t="str">
        <f t="shared" si="225"/>
        <v/>
      </c>
      <c r="O197" s="349"/>
      <c r="P197" s="78" t="str">
        <f t="shared" si="209"/>
        <v/>
      </c>
      <c r="Q197" s="349"/>
      <c r="R197" s="78" t="str">
        <f t="shared" si="210"/>
        <v/>
      </c>
      <c r="S197" s="349"/>
      <c r="T197" s="78" t="str">
        <f t="shared" si="211"/>
        <v/>
      </c>
      <c r="U197" s="349"/>
      <c r="V197" s="78" t="str">
        <f t="shared" si="212"/>
        <v/>
      </c>
      <c r="W197" s="349"/>
      <c r="Z197" s="352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3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26"/>
        <v>0</v>
      </c>
      <c r="BE197" s="213">
        <f t="shared" si="227"/>
        <v>0</v>
      </c>
      <c r="BF197" s="215">
        <f t="shared" si="228"/>
        <v>0</v>
      </c>
      <c r="BG197" s="215">
        <f t="shared" si="229"/>
        <v>0</v>
      </c>
      <c r="BH197" s="215" t="str">
        <f t="shared" si="214"/>
        <v/>
      </c>
      <c r="BI197" s="215" t="str">
        <f t="shared" si="215"/>
        <v/>
      </c>
      <c r="BJ197" s="215" t="str">
        <f t="shared" si="216"/>
        <v/>
      </c>
      <c r="BK197" s="215" t="str">
        <f t="shared" si="217"/>
        <v/>
      </c>
      <c r="BL197" s="215" t="str">
        <f t="shared" si="218"/>
        <v/>
      </c>
      <c r="BM197" s="215" t="str">
        <f t="shared" si="219"/>
        <v/>
      </c>
      <c r="BN197" s="215" t="str">
        <f t="shared" si="220"/>
        <v/>
      </c>
      <c r="BO197" s="215" t="str">
        <f t="shared" si="221"/>
        <v/>
      </c>
      <c r="BP197" s="215" t="str">
        <f t="shared" si="222"/>
        <v/>
      </c>
      <c r="BQ197" s="216"/>
      <c r="BR197" s="214"/>
      <c r="BS197" s="215">
        <f t="shared" si="230"/>
        <v>0</v>
      </c>
      <c r="BT197" s="215">
        <f t="shared" si="231"/>
        <v>0</v>
      </c>
      <c r="BU197" s="215" t="str">
        <f t="shared" si="232"/>
        <v>Frankenpower Nürnberg</v>
      </c>
      <c r="BV197" s="214">
        <f t="shared" si="233"/>
        <v>2</v>
      </c>
      <c r="BW197" s="215">
        <f t="shared" si="234"/>
        <v>0</v>
      </c>
      <c r="BX197" s="215">
        <f>IF(COUNTIF(BH197:BP197,"&gt;0")&lt;Spielorte!$A$23,0,BE197/Spielorte!$A$23)</f>
        <v>0</v>
      </c>
      <c r="BY197" s="215">
        <f t="shared" si="235"/>
        <v>0</v>
      </c>
      <c r="BZ197" s="214">
        <f t="shared" si="223"/>
        <v>0</v>
      </c>
    </row>
    <row r="198" spans="1:78" ht="17.2" customHeight="1" thickBot="1" x14ac:dyDescent="0.4">
      <c r="A198" s="369"/>
      <c r="B198" s="79" t="str">
        <f>IF(AA198=0,"",AA198)</f>
        <v/>
      </c>
      <c r="C198" s="80" t="str">
        <f t="shared" si="224"/>
        <v/>
      </c>
      <c r="D198" s="69" t="str">
        <f t="shared" si="224"/>
        <v/>
      </c>
      <c r="E198" s="350"/>
      <c r="F198" s="69" t="str">
        <f t="shared" si="205"/>
        <v/>
      </c>
      <c r="G198" s="350"/>
      <c r="H198" s="69" t="str">
        <f t="shared" si="206"/>
        <v/>
      </c>
      <c r="I198" s="350"/>
      <c r="J198" s="69" t="str">
        <f t="shared" si="207"/>
        <v/>
      </c>
      <c r="K198" s="350"/>
      <c r="L198" s="69" t="str">
        <f t="shared" si="208"/>
        <v/>
      </c>
      <c r="M198" s="350"/>
      <c r="N198" s="69" t="str">
        <f t="shared" si="225"/>
        <v/>
      </c>
      <c r="O198" s="350"/>
      <c r="P198" s="69" t="str">
        <f t="shared" si="209"/>
        <v/>
      </c>
      <c r="Q198" s="350"/>
      <c r="R198" s="69" t="str">
        <f t="shared" si="210"/>
        <v/>
      </c>
      <c r="S198" s="350"/>
      <c r="T198" s="69" t="str">
        <f t="shared" si="211"/>
        <v/>
      </c>
      <c r="U198" s="350"/>
      <c r="V198" s="69" t="str">
        <f t="shared" si="212"/>
        <v/>
      </c>
      <c r="W198" s="350"/>
      <c r="Z198" s="353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3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26"/>
        <v>0</v>
      </c>
      <c r="BE198" s="213">
        <f t="shared" si="227"/>
        <v>0</v>
      </c>
      <c r="BF198" s="215">
        <f t="shared" si="228"/>
        <v>0</v>
      </c>
      <c r="BG198" s="215">
        <f t="shared" si="229"/>
        <v>0</v>
      </c>
      <c r="BH198" s="215" t="str">
        <f t="shared" si="214"/>
        <v/>
      </c>
      <c r="BI198" s="215" t="str">
        <f t="shared" si="215"/>
        <v/>
      </c>
      <c r="BJ198" s="215" t="str">
        <f t="shared" si="216"/>
        <v/>
      </c>
      <c r="BK198" s="215" t="str">
        <f t="shared" si="217"/>
        <v/>
      </c>
      <c r="BL198" s="215" t="str">
        <f t="shared" si="218"/>
        <v/>
      </c>
      <c r="BM198" s="215" t="str">
        <f t="shared" si="219"/>
        <v/>
      </c>
      <c r="BN198" s="215" t="str">
        <f t="shared" si="220"/>
        <v/>
      </c>
      <c r="BO198" s="215" t="str">
        <f t="shared" si="221"/>
        <v/>
      </c>
      <c r="BP198" s="215" t="str">
        <f t="shared" si="222"/>
        <v/>
      </c>
      <c r="BQ198" s="216"/>
      <c r="BR198" s="214"/>
      <c r="BS198" s="215">
        <f t="shared" si="230"/>
        <v>0</v>
      </c>
      <c r="BT198" s="215">
        <f t="shared" si="231"/>
        <v>0</v>
      </c>
      <c r="BU198" s="215" t="str">
        <f t="shared" si="232"/>
        <v>Frankenpower Nürnberg</v>
      </c>
      <c r="BV198" s="214">
        <f t="shared" si="233"/>
        <v>2</v>
      </c>
      <c r="BW198" s="215">
        <f t="shared" si="234"/>
        <v>0</v>
      </c>
      <c r="BX198" s="215">
        <f>IF(COUNTIF(BH198:BP198,"&gt;0")&lt;Spielorte!$A$23,0,BE198/Spielorte!$A$23)</f>
        <v>0</v>
      </c>
      <c r="BY198" s="215">
        <f t="shared" si="235"/>
        <v>0</v>
      </c>
      <c r="BZ198" s="214">
        <f t="shared" si="223"/>
        <v>0</v>
      </c>
    </row>
    <row r="199" spans="1:78" ht="27.75" customHeight="1" thickBot="1" x14ac:dyDescent="0.4">
      <c r="B199" s="81" t="str">
        <f>IF(AA199=0,"",AA199)</f>
        <v>Gesamt</v>
      </c>
      <c r="C199" s="82" t="str">
        <f t="shared" si="224"/>
        <v/>
      </c>
      <c r="D199" s="83">
        <f t="shared" si="224"/>
        <v>639</v>
      </c>
      <c r="E199" s="84">
        <f>IF(AD199="","",AD199)</f>
        <v>0</v>
      </c>
      <c r="F199" s="83">
        <f t="shared" si="205"/>
        <v>680</v>
      </c>
      <c r="G199" s="84">
        <f>IF(AF199="","",AF199)</f>
        <v>0</v>
      </c>
      <c r="H199" s="83">
        <f t="shared" si="206"/>
        <v>748</v>
      </c>
      <c r="I199" s="84">
        <f>IF(AH199="","",AH199)</f>
        <v>0</v>
      </c>
      <c r="J199" s="83">
        <f t="shared" si="207"/>
        <v>667</v>
      </c>
      <c r="K199" s="84">
        <f>IF(AJ199="","",AJ199)</f>
        <v>0</v>
      </c>
      <c r="L199" s="83">
        <f t="shared" si="208"/>
        <v>719</v>
      </c>
      <c r="M199" s="84">
        <f>IF(AL199="","",AL199)</f>
        <v>2</v>
      </c>
      <c r="N199" s="83">
        <f t="shared" si="225"/>
        <v>659</v>
      </c>
      <c r="O199" s="84">
        <f>IF(AN199="","",AN199)</f>
        <v>2</v>
      </c>
      <c r="P199" s="83">
        <f t="shared" si="209"/>
        <v>698</v>
      </c>
      <c r="Q199" s="84">
        <f>IF(AP199="","",AP199)</f>
        <v>0</v>
      </c>
      <c r="R199" s="83">
        <f t="shared" si="210"/>
        <v>593</v>
      </c>
      <c r="S199" s="84">
        <f>IF(AR199="","",AR199)</f>
        <v>0</v>
      </c>
      <c r="T199" s="83">
        <f t="shared" si="211"/>
        <v>726</v>
      </c>
      <c r="U199" s="84">
        <f>IF(AT199="","",AT199)</f>
        <v>2</v>
      </c>
      <c r="V199" s="83">
        <f t="shared" si="212"/>
        <v>6129</v>
      </c>
      <c r="W199" s="84">
        <f>IF(AV199="","",AV199)</f>
        <v>6</v>
      </c>
      <c r="AA199" s="81" t="s">
        <v>1799</v>
      </c>
      <c r="AB199" s="120"/>
      <c r="AC199" s="211">
        <f>ABS(SUM(AC187:AC189))+ABS(SUM(AC190:AC192))+ABS(SUM(AC193:AC195))+ABS(SUM(AC196:AC198))</f>
        <v>639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680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748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667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719</v>
      </c>
      <c r="AL199" s="121">
        <f>IF(AK199+AK209=0,0,IF(AK199=AK209,1,IF(AK199&gt;AK209,2,0)))</f>
        <v>2</v>
      </c>
      <c r="AM199" s="211">
        <f>ABS(SUM(AM187:AM189))+ABS(SUM(AM190:AM192))+ABS(SUM(AM193:AM195))+ABS(SUM(AM196:AM198))</f>
        <v>659</v>
      </c>
      <c r="AN199" s="121">
        <f>IF(AM199+AM209=0,0,IF(AM199=AM209,1,IF(AM199&gt;AM209,2,0)))</f>
        <v>2</v>
      </c>
      <c r="AO199" s="211">
        <f>ABS(SUM(AO187:AO189))+ABS(SUM(AO190:AO192))+ABS(SUM(AO193:AO195))+ABS(SUM(AO196:AO198))</f>
        <v>698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593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726</v>
      </c>
      <c r="AT199" s="121">
        <f>IF(AS199+AS209=0,0,IF(AS199=AS209,1,IF(AS199&gt;AS209,2,0)))</f>
        <v>2</v>
      </c>
      <c r="AU199" s="122">
        <f>SUM(AC199+AE199+AG199+AI199+AK199+AM199+AO199+AQ199+AS199)</f>
        <v>6129</v>
      </c>
      <c r="AV199" s="123">
        <f>SUM(AD199+AF199+AH199+AJ199+AL199+AN199+AP199+AR199+AT199)</f>
        <v>6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4">
      <c r="B200" s="85" t="str">
        <f>IF(AA200=0,"",AA200)</f>
        <v>Gesamt - Punkte</v>
      </c>
      <c r="C200" s="86" t="str">
        <f t="shared" si="224"/>
        <v/>
      </c>
      <c r="D200" s="86" t="str">
        <f t="shared" si="224"/>
        <v/>
      </c>
      <c r="E200" s="87">
        <f>IF(AD200="","",AD200)</f>
        <v>1</v>
      </c>
      <c r="F200" s="86" t="str">
        <f t="shared" si="205"/>
        <v/>
      </c>
      <c r="G200" s="87">
        <f>IF(AF200="","",AF200)</f>
        <v>2</v>
      </c>
      <c r="H200" s="86" t="str">
        <f t="shared" si="206"/>
        <v/>
      </c>
      <c r="I200" s="87">
        <f>IF(AH200="","",AH200)</f>
        <v>1</v>
      </c>
      <c r="J200" s="86" t="str">
        <f t="shared" si="207"/>
        <v/>
      </c>
      <c r="K200" s="87">
        <f>IF(AJ200="","",AJ200)</f>
        <v>1</v>
      </c>
      <c r="L200" s="86" t="str">
        <f t="shared" si="208"/>
        <v/>
      </c>
      <c r="M200" s="87">
        <f>IF(AL200="","",AL200)</f>
        <v>5</v>
      </c>
      <c r="N200" s="86" t="str">
        <f t="shared" si="225"/>
        <v/>
      </c>
      <c r="O200" s="87">
        <f>IF(AN200="","",AN200)</f>
        <v>6</v>
      </c>
      <c r="P200" s="86" t="str">
        <f t="shared" si="209"/>
        <v/>
      </c>
      <c r="Q200" s="87">
        <f>IF(AP200="","",AP200)</f>
        <v>1.5</v>
      </c>
      <c r="R200" s="86" t="str">
        <f t="shared" si="210"/>
        <v/>
      </c>
      <c r="S200" s="87">
        <f>IF(AR200="","",AR200)</f>
        <v>1</v>
      </c>
      <c r="T200" s="86" t="str">
        <f t="shared" si="211"/>
        <v/>
      </c>
      <c r="U200" s="87">
        <f>IF(AT200="","",AT200)</f>
        <v>4</v>
      </c>
      <c r="V200" s="86" t="str">
        <f t="shared" si="212"/>
        <v/>
      </c>
      <c r="W200" s="87">
        <f>IF(AV200="","",AV200)</f>
        <v>22.5</v>
      </c>
      <c r="AA200" s="85" t="s">
        <v>1814</v>
      </c>
      <c r="AB200" s="86"/>
      <c r="AC200" s="86"/>
      <c r="AD200" s="124">
        <f>SUM(AD187:AD199)</f>
        <v>1</v>
      </c>
      <c r="AE200" s="86"/>
      <c r="AF200" s="124">
        <f>SUM(AF187:AF199)</f>
        <v>2</v>
      </c>
      <c r="AG200" s="86"/>
      <c r="AH200" s="124">
        <f>SUM(AH187:AH199)</f>
        <v>1</v>
      </c>
      <c r="AI200" s="86"/>
      <c r="AJ200" s="124">
        <f>SUM(AJ187:AJ199)</f>
        <v>1</v>
      </c>
      <c r="AK200" s="86"/>
      <c r="AL200" s="124">
        <f>SUM(AL187:AL199)</f>
        <v>5</v>
      </c>
      <c r="AM200" s="86"/>
      <c r="AN200" s="124">
        <f>SUM(AN187:AN199)</f>
        <v>6</v>
      </c>
      <c r="AO200" s="86"/>
      <c r="AP200" s="124">
        <f>SUM(AP187:AP199)</f>
        <v>1.5</v>
      </c>
      <c r="AQ200" s="86"/>
      <c r="AR200" s="124">
        <f>SUM(AR187:AR199)</f>
        <v>1</v>
      </c>
      <c r="AS200" s="86"/>
      <c r="AT200" s="124">
        <f>SUM(AT187:AT199)</f>
        <v>4</v>
      </c>
      <c r="AU200" s="86"/>
      <c r="AV200" s="125">
        <f>SUM(AV187:AV199)</f>
        <v>22.5</v>
      </c>
      <c r="AW200" s="101"/>
      <c r="AX200" s="102"/>
      <c r="BA200" s="212">
        <f>+AV200</f>
        <v>22.5</v>
      </c>
      <c r="BB200" s="213">
        <f>+AU199</f>
        <v>6129</v>
      </c>
      <c r="BC200" s="214">
        <f>+AA182</f>
        <v>7</v>
      </c>
      <c r="BF200" s="215">
        <f>SUM(BF181:BF199)</f>
        <v>36</v>
      </c>
      <c r="BQ200" s="212">
        <f>+BB200/1000000+BA200</f>
        <v>22.506129000000001</v>
      </c>
      <c r="BR200" s="214">
        <f>RANK(BQ200,BQ:BQ)</f>
        <v>9</v>
      </c>
      <c r="BV200" s="214"/>
      <c r="BZ200" s="214"/>
    </row>
    <row r="201" spans="1:78" ht="11.25" customHeight="1" x14ac:dyDescent="0.3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35">
      <c r="B202" s="88" t="str">
        <f t="shared" ref="B202:K204" si="236">IF(AA202=0,"",AA202)</f>
        <v>Gegner-Nr.:</v>
      </c>
      <c r="C202" s="89" t="str">
        <f t="shared" si="236"/>
        <v>&gt;&gt;&gt;&gt;</v>
      </c>
      <c r="D202" s="346">
        <f t="shared" si="236"/>
        <v>5</v>
      </c>
      <c r="E202" s="346" t="str">
        <f t="shared" si="236"/>
        <v/>
      </c>
      <c r="F202" s="346">
        <f t="shared" si="236"/>
        <v>8</v>
      </c>
      <c r="G202" s="346" t="str">
        <f t="shared" si="236"/>
        <v/>
      </c>
      <c r="H202" s="346">
        <f t="shared" si="236"/>
        <v>1</v>
      </c>
      <c r="I202" s="346" t="str">
        <f t="shared" si="236"/>
        <v/>
      </c>
      <c r="J202" s="346">
        <f t="shared" si="236"/>
        <v>3</v>
      </c>
      <c r="K202" s="346" t="str">
        <f t="shared" si="236"/>
        <v/>
      </c>
      <c r="L202" s="346">
        <f t="shared" ref="L202:U204" si="237">IF(AK202=0,"",AK202)</f>
        <v>2</v>
      </c>
      <c r="M202" s="346" t="str">
        <f t="shared" si="237"/>
        <v/>
      </c>
      <c r="N202" s="346">
        <f t="shared" si="237"/>
        <v>4</v>
      </c>
      <c r="O202" s="346" t="str">
        <f t="shared" si="237"/>
        <v/>
      </c>
      <c r="P202" s="346">
        <f t="shared" si="237"/>
        <v>10</v>
      </c>
      <c r="Q202" s="346" t="str">
        <f t="shared" si="237"/>
        <v/>
      </c>
      <c r="R202" s="346">
        <f t="shared" si="237"/>
        <v>6</v>
      </c>
      <c r="S202" s="346" t="str">
        <f t="shared" si="237"/>
        <v/>
      </c>
      <c r="T202" s="346">
        <f t="shared" si="237"/>
        <v>9</v>
      </c>
      <c r="U202" s="346" t="str">
        <f t="shared" si="237"/>
        <v/>
      </c>
      <c r="V202" s="347"/>
      <c r="W202" s="347"/>
      <c r="AA202" s="88" t="s">
        <v>1797</v>
      </c>
      <c r="AB202" s="89" t="s">
        <v>1798</v>
      </c>
      <c r="AC202" s="370">
        <f>VLOOKUP($AA182,Schlüssel!$A$5:$DG$14,63)</f>
        <v>5</v>
      </c>
      <c r="AD202" s="371"/>
      <c r="AE202" s="370">
        <f>VLOOKUP($AA182,Schlüssel!$A$5:$EK$14,64)</f>
        <v>8</v>
      </c>
      <c r="AF202" s="371"/>
      <c r="AG202" s="370">
        <f>VLOOKUP($AA182,Schlüssel!$A$5:$EK$14,65)</f>
        <v>1</v>
      </c>
      <c r="AH202" s="371"/>
      <c r="AI202" s="370">
        <f>VLOOKUP($AA182,Schlüssel!$A$5:$EK$14,66)</f>
        <v>3</v>
      </c>
      <c r="AJ202" s="371"/>
      <c r="AK202" s="370">
        <f>VLOOKUP($AA182,Schlüssel!$A$5:$EK$14,67)</f>
        <v>2</v>
      </c>
      <c r="AL202" s="371"/>
      <c r="AM202" s="370">
        <f>VLOOKUP($AA182,Schlüssel!$A$5:$EK$14,68)</f>
        <v>4</v>
      </c>
      <c r="AN202" s="371"/>
      <c r="AO202" s="370">
        <f>VLOOKUP($AA182,Schlüssel!$A$5:$EK$14,69)</f>
        <v>10</v>
      </c>
      <c r="AP202" s="371"/>
      <c r="AQ202" s="370">
        <f>VLOOKUP($AA182,Schlüssel!$A$5:$EK$14,70)</f>
        <v>6</v>
      </c>
      <c r="AR202" s="371"/>
      <c r="AS202" s="370">
        <f>VLOOKUP($AA182,Schlüssel!$A$5:$EK$14,71)</f>
        <v>9</v>
      </c>
      <c r="AT202" s="371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35">
      <c r="B203" s="90" t="str">
        <f t="shared" si="236"/>
        <v/>
      </c>
      <c r="C203" s="86" t="str">
        <f t="shared" si="236"/>
        <v/>
      </c>
      <c r="D203" s="343" t="str">
        <f t="shared" si="236"/>
        <v xml:space="preserve">Weiß Blau Unterföhring </v>
      </c>
      <c r="E203" s="344" t="str">
        <f t="shared" si="236"/>
        <v/>
      </c>
      <c r="F203" s="343" t="str">
        <f t="shared" si="236"/>
        <v>EPA München 1</v>
      </c>
      <c r="G203" s="344" t="str">
        <f t="shared" si="236"/>
        <v/>
      </c>
      <c r="H203" s="343" t="str">
        <f t="shared" si="236"/>
        <v>Praetoria Regensburg</v>
      </c>
      <c r="I203" s="344" t="str">
        <f t="shared" si="236"/>
        <v/>
      </c>
      <c r="J203" s="343" t="str">
        <f t="shared" si="236"/>
        <v>Highroller Rosenheim</v>
      </c>
      <c r="K203" s="344" t="str">
        <f t="shared" si="236"/>
        <v/>
      </c>
      <c r="L203" s="343" t="str">
        <f t="shared" si="237"/>
        <v>BK München 2</v>
      </c>
      <c r="M203" s="344" t="str">
        <f t="shared" si="237"/>
        <v/>
      </c>
      <c r="N203" s="343" t="str">
        <f t="shared" si="237"/>
        <v>BK München 3</v>
      </c>
      <c r="O203" s="344" t="str">
        <f t="shared" si="237"/>
        <v/>
      </c>
      <c r="P203" s="343" t="str">
        <f t="shared" si="237"/>
        <v>BK München 4</v>
      </c>
      <c r="Q203" s="344" t="str">
        <f t="shared" si="237"/>
        <v/>
      </c>
      <c r="R203" s="343" t="str">
        <f t="shared" si="237"/>
        <v>Phönix 03 Lauf</v>
      </c>
      <c r="S203" s="344" t="str">
        <f t="shared" si="237"/>
        <v/>
      </c>
      <c r="T203" s="343" t="str">
        <f t="shared" si="237"/>
        <v>RW Lichtenhof 69 Stein 2</v>
      </c>
      <c r="U203" s="344" t="str">
        <f t="shared" si="237"/>
        <v/>
      </c>
      <c r="V203" s="345"/>
      <c r="W203" s="345"/>
      <c r="AA203" s="90"/>
      <c r="AB203" s="86"/>
      <c r="AC203" s="343" t="str">
        <f>VLOOKUP(AC202,Schlüssel!$A$5:$K$14,2)</f>
        <v xml:space="preserve">Weiß Blau Unterföhring </v>
      </c>
      <c r="AD203" s="344"/>
      <c r="AE203" s="343" t="str">
        <f>VLOOKUP(AE202,Schlüssel!$A$5:$K$14,2)</f>
        <v>EPA München 1</v>
      </c>
      <c r="AF203" s="344"/>
      <c r="AG203" s="343" t="str">
        <f>VLOOKUP(AG202,Schlüssel!$A$5:$K$14,2)</f>
        <v>Praetoria Regensburg</v>
      </c>
      <c r="AH203" s="344"/>
      <c r="AI203" s="343" t="str">
        <f>VLOOKUP(AI202,Schlüssel!$A$5:$K$14,2)</f>
        <v>Highroller Rosenheim</v>
      </c>
      <c r="AJ203" s="344"/>
      <c r="AK203" s="343" t="str">
        <f>VLOOKUP(AK202,Schlüssel!$A$5:$K$14,2)</f>
        <v>BK München 2</v>
      </c>
      <c r="AL203" s="344"/>
      <c r="AM203" s="343" t="str">
        <f>VLOOKUP(AM202,Schlüssel!$A$5:$K$14,2)</f>
        <v>BK München 3</v>
      </c>
      <c r="AN203" s="344"/>
      <c r="AO203" s="343" t="str">
        <f>VLOOKUP(AO202,Schlüssel!$A$5:$K$14,2)</f>
        <v>BK München 4</v>
      </c>
      <c r="AP203" s="344"/>
      <c r="AQ203" s="343" t="str">
        <f>VLOOKUP(AQ202,Schlüssel!$A$5:$K$14,2)</f>
        <v>Phönix 03 Lauf</v>
      </c>
      <c r="AR203" s="344"/>
      <c r="AS203" s="343" t="str">
        <f>VLOOKUP(AS202,Schlüssel!$A$5:$K$14,2)</f>
        <v>RW Lichtenhof 69 Stein 2</v>
      </c>
      <c r="AT203" s="344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35">
      <c r="B204" s="90" t="str">
        <f t="shared" si="236"/>
        <v/>
      </c>
      <c r="C204" s="86" t="str">
        <f t="shared" si="236"/>
        <v/>
      </c>
      <c r="D204" s="341" t="str">
        <f t="shared" si="236"/>
        <v/>
      </c>
      <c r="E204" s="341" t="str">
        <f t="shared" si="236"/>
        <v/>
      </c>
      <c r="F204" s="341" t="str">
        <f t="shared" si="236"/>
        <v/>
      </c>
      <c r="G204" s="341" t="str">
        <f t="shared" si="236"/>
        <v/>
      </c>
      <c r="H204" s="341" t="str">
        <f t="shared" si="236"/>
        <v/>
      </c>
      <c r="I204" s="341" t="str">
        <f t="shared" si="236"/>
        <v/>
      </c>
      <c r="J204" s="341" t="str">
        <f t="shared" si="236"/>
        <v/>
      </c>
      <c r="K204" s="341" t="str">
        <f t="shared" si="236"/>
        <v/>
      </c>
      <c r="L204" s="341" t="str">
        <f t="shared" si="237"/>
        <v/>
      </c>
      <c r="M204" s="341" t="str">
        <f t="shared" si="237"/>
        <v/>
      </c>
      <c r="N204" s="341" t="str">
        <f t="shared" si="237"/>
        <v/>
      </c>
      <c r="O204" s="341" t="str">
        <f t="shared" si="237"/>
        <v/>
      </c>
      <c r="P204" s="341" t="str">
        <f t="shared" si="237"/>
        <v/>
      </c>
      <c r="Q204" s="341" t="str">
        <f t="shared" si="237"/>
        <v/>
      </c>
      <c r="R204" s="341" t="str">
        <f t="shared" si="237"/>
        <v/>
      </c>
      <c r="S204" s="341" t="str">
        <f t="shared" si="237"/>
        <v/>
      </c>
      <c r="T204" s="341" t="str">
        <f t="shared" si="237"/>
        <v/>
      </c>
      <c r="U204" s="342" t="str">
        <f t="shared" si="237"/>
        <v/>
      </c>
      <c r="V204" s="301"/>
      <c r="W204" s="301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6.05" customHeight="1" x14ac:dyDescent="0.35">
      <c r="B205" s="365" t="str">
        <f t="shared" ref="B205:C209" si="238">IF(AA205=0,"",AA205)</f>
        <v>Spieler 1</v>
      </c>
      <c r="C205" s="366" t="str">
        <f t="shared" si="238"/>
        <v/>
      </c>
      <c r="D205" s="339">
        <f>IF(AC205=301,"",AC205)</f>
        <v>155</v>
      </c>
      <c r="E205" s="339" t="str">
        <f>IF(AD205=0,"",AD205)</f>
        <v/>
      </c>
      <c r="F205" s="339">
        <f>IF(AE205=301,"",AE205)</f>
        <v>184</v>
      </c>
      <c r="G205" s="339" t="str">
        <f>IF(AF205=0,"",AF205)</f>
        <v/>
      </c>
      <c r="H205" s="339">
        <f>IF(AG205=301,"",AG205)</f>
        <v>196</v>
      </c>
      <c r="I205" s="339" t="str">
        <f>IF(AH205=0,"",AH205)</f>
        <v/>
      </c>
      <c r="J205" s="339">
        <f>IF(AI205=301,"",AI205)</f>
        <v>149</v>
      </c>
      <c r="K205" s="339" t="str">
        <f>IF(AJ205=0,"",AJ205)</f>
        <v/>
      </c>
      <c r="L205" s="339">
        <f>IF(AK205=301,"",AK205)</f>
        <v>148</v>
      </c>
      <c r="M205" s="339" t="str">
        <f>IF(AL205=0,"",AL205)</f>
        <v/>
      </c>
      <c r="N205" s="339">
        <f>IF(AM205=301,"",AM205)</f>
        <v>0</v>
      </c>
      <c r="O205" s="339" t="str">
        <f>IF(AN205=0,"",AN205)</f>
        <v/>
      </c>
      <c r="P205" s="339">
        <f>IF(AO205=301,"",AO205)</f>
        <v>204</v>
      </c>
      <c r="Q205" s="339" t="str">
        <f>IF(AP205=0,"",AP205)</f>
        <v/>
      </c>
      <c r="R205" s="339">
        <f>IF(AQ205=301,"",AQ205)</f>
        <v>207</v>
      </c>
      <c r="S205" s="339" t="str">
        <f>IF(AR205=0,"",AR205)</f>
        <v/>
      </c>
      <c r="T205" s="339">
        <f>IF(AS205=301,"",AS205)</f>
        <v>156</v>
      </c>
      <c r="U205" s="339" t="str">
        <f>IF(AT205=0,"",AT205)</f>
        <v/>
      </c>
      <c r="V205" s="340"/>
      <c r="W205" s="340"/>
      <c r="AA205" s="91" t="s">
        <v>0</v>
      </c>
      <c r="AB205" s="92"/>
      <c r="AC205" s="372">
        <f>ABS(INDEX(AC:AC,MATCH(AC202,$AA:$AA,0)+5)+INDEX(AC:AC,MATCH(AC202,$AA:$AA,0)+6)+INDEX(AC:AC,MATCH(AC202,$AA:$AA,0)+7))</f>
        <v>155</v>
      </c>
      <c r="AD205" s="373"/>
      <c r="AE205" s="372">
        <f>ABS(INDEX(AE:AE,MATCH(AE202,$AA:$AA,0)+5)+INDEX(AE:AE,MATCH(AE202,$AA:$AA,0)+6)+INDEX(AE:AE,MATCH(AE202,$AA:$AA,0)+7))</f>
        <v>184</v>
      </c>
      <c r="AF205" s="373"/>
      <c r="AG205" s="372">
        <f>ABS(INDEX(AG:AG,MATCH(AG202,$AA:$AA,0)+5)+INDEX(AG:AG,MATCH(AG202,$AA:$AA,0)+6)+INDEX(AG:AG,MATCH(AG202,$AA:$AA,0)+7))</f>
        <v>196</v>
      </c>
      <c r="AH205" s="373"/>
      <c r="AI205" s="372">
        <f>ABS(INDEX(AI:AI,MATCH(AI202,$AA:$AA,0)+5)+INDEX(AI:AI,MATCH(AI202,$AA:$AA,0)+6)+INDEX(AI:AI,MATCH(AI202,$AA:$AA,0)+7))</f>
        <v>149</v>
      </c>
      <c r="AJ205" s="373"/>
      <c r="AK205" s="372">
        <f>ABS(INDEX(AK:AK,MATCH(AK202,$AA:$AA,0)+5)+INDEX(AK:AK,MATCH(AK202,$AA:$AA,0)+6)+INDEX(AK:AK,MATCH(AK202,$AA:$AA,0)+7))</f>
        <v>148</v>
      </c>
      <c r="AL205" s="373"/>
      <c r="AM205" s="372">
        <f>ABS(INDEX(AM:AM,MATCH(AM202,$AA:$AA,0)+5)+INDEX(AM:AM,MATCH(AM202,$AA:$AA,0)+6)+INDEX(AM:AM,MATCH(AM202,$AA:$AA,0)+7))</f>
        <v>0</v>
      </c>
      <c r="AN205" s="373"/>
      <c r="AO205" s="372">
        <f>ABS(INDEX(AO:AO,MATCH(AO202,$AA:$AA,0)+5)+INDEX(AO:AO,MATCH(AO202,$AA:$AA,0)+6)+INDEX(AO:AO,MATCH(AO202,$AA:$AA,0)+7))</f>
        <v>204</v>
      </c>
      <c r="AP205" s="373"/>
      <c r="AQ205" s="372">
        <f>ABS(INDEX(AQ:AQ,MATCH(AQ202,$AA:$AA,0)+5)+INDEX(AQ:AQ,MATCH(AQ202,$AA:$AA,0)+6)+INDEX(AQ:AQ,MATCH(AQ202,$AA:$AA,0)+7))</f>
        <v>207</v>
      </c>
      <c r="AR205" s="373"/>
      <c r="AS205" s="372">
        <f>ABS(INDEX(AS:AS,MATCH(AS202,$AA:$AA,0)+5)+INDEX(AS:AS,MATCH(AS202,$AA:$AA,0)+6)+INDEX(AS:AS,MATCH(AS202,$AA:$AA,0)+7))</f>
        <v>156</v>
      </c>
      <c r="AT205" s="373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6.05" customHeight="1" x14ac:dyDescent="0.35">
      <c r="B206" s="365" t="str">
        <f t="shared" si="238"/>
        <v>Spieler 2</v>
      </c>
      <c r="C206" s="366" t="str">
        <f t="shared" si="238"/>
        <v/>
      </c>
      <c r="D206" s="339">
        <f>IF(AC206=301,"",AC206)</f>
        <v>164</v>
      </c>
      <c r="E206" s="339" t="str">
        <f>IF(AD206=0,"",AD206)</f>
        <v/>
      </c>
      <c r="F206" s="339">
        <f>IF(AE206=301,"",AE206)</f>
        <v>153</v>
      </c>
      <c r="G206" s="339" t="str">
        <f>IF(AF206=0,"",AF206)</f>
        <v/>
      </c>
      <c r="H206" s="339">
        <f>IF(AG206=301,"",AG206)</f>
        <v>165</v>
      </c>
      <c r="I206" s="339" t="str">
        <f>IF(AH206=0,"",AH206)</f>
        <v/>
      </c>
      <c r="J206" s="339">
        <f>IF(AI206=301,"",AI206)</f>
        <v>189</v>
      </c>
      <c r="K206" s="339" t="str">
        <f>IF(AJ206=0,"",AJ206)</f>
        <v/>
      </c>
      <c r="L206" s="339">
        <f>IF(AK206=301,"",AK206)</f>
        <v>140</v>
      </c>
      <c r="M206" s="339" t="str">
        <f>IF(AL206=0,"",AL206)</f>
        <v/>
      </c>
      <c r="N206" s="339">
        <f>IF(AM206=301,"",AM206)</f>
        <v>0</v>
      </c>
      <c r="O206" s="339" t="str">
        <f>IF(AN206=0,"",AN206)</f>
        <v/>
      </c>
      <c r="P206" s="339">
        <f>IF(AO206=301,"",AO206)</f>
        <v>177</v>
      </c>
      <c r="Q206" s="339" t="str">
        <f>IF(AP206=0,"",AP206)</f>
        <v/>
      </c>
      <c r="R206" s="339">
        <f>IF(AQ206=301,"",AQ206)</f>
        <v>167</v>
      </c>
      <c r="S206" s="339" t="str">
        <f>IF(AR206=0,"",AR206)</f>
        <v/>
      </c>
      <c r="T206" s="339">
        <f>IF(AS206=301,"",AS206)</f>
        <v>183</v>
      </c>
      <c r="U206" s="339" t="str">
        <f>IF(AT206=0,"",AT206)</f>
        <v/>
      </c>
      <c r="V206" s="340"/>
      <c r="W206" s="340"/>
      <c r="AA206" s="91" t="s">
        <v>2</v>
      </c>
      <c r="AB206" s="92"/>
      <c r="AC206" s="374">
        <f>ABS(INDEX(AC:AC,MATCH(AC202,$AA:$AA,0)+8)+INDEX(AC:AC,MATCH(AC202,$AA:$AA,0)+9)+INDEX(AC:AC,MATCH(AC202,$AA:$AA,0)+10))</f>
        <v>164</v>
      </c>
      <c r="AD206" s="375"/>
      <c r="AE206" s="374">
        <f>ABS(INDEX(AE:AE,MATCH(AE202,$AA:$AA,0)+8)+INDEX(AE:AE,MATCH(AE202,$AA:$AA,0)+9)+INDEX(AE:AE,MATCH(AE202,$AA:$AA,0)+10))</f>
        <v>153</v>
      </c>
      <c r="AF206" s="375"/>
      <c r="AG206" s="374">
        <f>ABS(INDEX(AG:AG,MATCH(AG202,$AA:$AA,0)+8)+INDEX(AG:AG,MATCH(AG202,$AA:$AA,0)+9)+INDEX(AG:AG,MATCH(AG202,$AA:$AA,0)+10))</f>
        <v>165</v>
      </c>
      <c r="AH206" s="375"/>
      <c r="AI206" s="374">
        <f>ABS(INDEX(AI:AI,MATCH(AI202,$AA:$AA,0)+8)+INDEX(AI:AI,MATCH(AI202,$AA:$AA,0)+9)+INDEX(AI:AI,MATCH(AI202,$AA:$AA,0)+10))</f>
        <v>189</v>
      </c>
      <c r="AJ206" s="375"/>
      <c r="AK206" s="374">
        <f>ABS(INDEX(AK:AK,MATCH(AK202,$AA:$AA,0)+8)+INDEX(AK:AK,MATCH(AK202,$AA:$AA,0)+9)+INDEX(AK:AK,MATCH(AK202,$AA:$AA,0)+10))</f>
        <v>140</v>
      </c>
      <c r="AL206" s="375"/>
      <c r="AM206" s="374">
        <f>ABS(INDEX(AM:AM,MATCH(AM202,$AA:$AA,0)+8)+INDEX(AM:AM,MATCH(AM202,$AA:$AA,0)+9)+INDEX(AM:AM,MATCH(AM202,$AA:$AA,0)+10))</f>
        <v>0</v>
      </c>
      <c r="AN206" s="375"/>
      <c r="AO206" s="374">
        <f>ABS(INDEX(AO:AO,MATCH(AO202,$AA:$AA,0)+8)+INDEX(AO:AO,MATCH(AO202,$AA:$AA,0)+9)+INDEX(AO:AO,MATCH(AO202,$AA:$AA,0)+10))</f>
        <v>177</v>
      </c>
      <c r="AP206" s="375"/>
      <c r="AQ206" s="374">
        <f>ABS(INDEX(AQ:AQ,MATCH(AQ202,$AA:$AA,0)+8)+INDEX(AQ:AQ,MATCH(AQ202,$AA:$AA,0)+9)+INDEX(AQ:AQ,MATCH(AQ202,$AA:$AA,0)+10))</f>
        <v>167</v>
      </c>
      <c r="AR206" s="375"/>
      <c r="AS206" s="374">
        <f>ABS(INDEX(AS:AS,MATCH(AS202,$AA:$AA,0)+8)+INDEX(AS:AS,MATCH(AS202,$AA:$AA,0)+9)+INDEX(AS:AS,MATCH(AS202,$AA:$AA,0)+10))</f>
        <v>183</v>
      </c>
      <c r="AT206" s="37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6.05" customHeight="1" x14ac:dyDescent="0.35">
      <c r="B207" s="365" t="str">
        <f t="shared" si="238"/>
        <v>Spieler 3</v>
      </c>
      <c r="C207" s="366" t="str">
        <f t="shared" si="238"/>
        <v/>
      </c>
      <c r="D207" s="339">
        <f>IF(AC207=301,"",AC207)</f>
        <v>156</v>
      </c>
      <c r="E207" s="339" t="str">
        <f>IF(AD207=0,"",AD207)</f>
        <v/>
      </c>
      <c r="F207" s="339">
        <f>IF(AE207=301,"",AE207)</f>
        <v>167</v>
      </c>
      <c r="G207" s="339" t="str">
        <f>IF(AF207=0,"",AF207)</f>
        <v/>
      </c>
      <c r="H207" s="339">
        <f>IF(AG207=301,"",AG207)</f>
        <v>205</v>
      </c>
      <c r="I207" s="339" t="str">
        <f>IF(AH207=0,"",AH207)</f>
        <v/>
      </c>
      <c r="J207" s="339">
        <f>IF(AI207=301,"",AI207)</f>
        <v>186</v>
      </c>
      <c r="K207" s="339" t="str">
        <f>IF(AJ207=0,"",AJ207)</f>
        <v/>
      </c>
      <c r="L207" s="339">
        <f>IF(AK207=301,"",AK207)</f>
        <v>177</v>
      </c>
      <c r="M207" s="339" t="str">
        <f>IF(AL207=0,"",AL207)</f>
        <v/>
      </c>
      <c r="N207" s="339">
        <f>IF(AM207=301,"",AM207)</f>
        <v>0</v>
      </c>
      <c r="O207" s="339" t="str">
        <f>IF(AN207=0,"",AN207)</f>
        <v/>
      </c>
      <c r="P207" s="339">
        <f>IF(AO207=301,"",AO207)</f>
        <v>179</v>
      </c>
      <c r="Q207" s="339" t="str">
        <f>IF(AP207=0,"",AP207)</f>
        <v/>
      </c>
      <c r="R207" s="339">
        <f>IF(AQ207=301,"",AQ207)</f>
        <v>175</v>
      </c>
      <c r="S207" s="339" t="str">
        <f>IF(AR207=0,"",AR207)</f>
        <v/>
      </c>
      <c r="T207" s="339">
        <f>IF(AS207=301,"",AS207)</f>
        <v>203</v>
      </c>
      <c r="U207" s="339" t="str">
        <f>IF(AT207=0,"",AT207)</f>
        <v/>
      </c>
      <c r="V207" s="340"/>
      <c r="W207" s="340"/>
      <c r="AA207" s="91" t="s">
        <v>3</v>
      </c>
      <c r="AB207" s="92"/>
      <c r="AC207" s="374">
        <f>ABS(INDEX(AC:AC,MATCH(AC202,$AA:$AA,0)+11)+INDEX(AC:AC,MATCH(AC202,$AA:$AA,0)+12)+INDEX(AC:AC,MATCH(AC202,$AA:$AA,0)+13))</f>
        <v>156</v>
      </c>
      <c r="AD207" s="375"/>
      <c r="AE207" s="374">
        <f>ABS(INDEX(AE:AE,MATCH(AE202,$AA:$AA,0)+11)+INDEX(AE:AE,MATCH(AE202,$AA:$AA,0)+12)+INDEX(AE:AE,MATCH(AE202,$AA:$AA,0)+13))</f>
        <v>167</v>
      </c>
      <c r="AF207" s="375"/>
      <c r="AG207" s="374">
        <f>ABS(INDEX(AG:AG,MATCH(AG202,$AA:$AA,0)+11)+INDEX(AG:AG,MATCH(AG202,$AA:$AA,0)+12)+INDEX(AG:AG,MATCH(AG202,$AA:$AA,0)+13))</f>
        <v>205</v>
      </c>
      <c r="AH207" s="375"/>
      <c r="AI207" s="374">
        <f>ABS(INDEX(AI:AI,MATCH(AI202,$AA:$AA,0)+11)+INDEX(AI:AI,MATCH(AI202,$AA:$AA,0)+12)+INDEX(AI:AI,MATCH(AI202,$AA:$AA,0)+13))</f>
        <v>186</v>
      </c>
      <c r="AJ207" s="375"/>
      <c r="AK207" s="374">
        <f>ABS(INDEX(AK:AK,MATCH(AK202,$AA:$AA,0)+11)+INDEX(AK:AK,MATCH(AK202,$AA:$AA,0)+12)+INDEX(AK:AK,MATCH(AK202,$AA:$AA,0)+13))</f>
        <v>177</v>
      </c>
      <c r="AL207" s="375"/>
      <c r="AM207" s="374">
        <f>ABS(INDEX(AM:AM,MATCH(AM202,$AA:$AA,0)+11)+INDEX(AM:AM,MATCH(AM202,$AA:$AA,0)+12)+INDEX(AM:AM,MATCH(AM202,$AA:$AA,0)+13))</f>
        <v>0</v>
      </c>
      <c r="AN207" s="375"/>
      <c r="AO207" s="374">
        <f>ABS(INDEX(AO:AO,MATCH(AO202,$AA:$AA,0)+11)+INDEX(AO:AO,MATCH(AO202,$AA:$AA,0)+12)+INDEX(AO:AO,MATCH(AO202,$AA:$AA,0)+13))</f>
        <v>179</v>
      </c>
      <c r="AP207" s="375"/>
      <c r="AQ207" s="374">
        <f>ABS(INDEX(AQ:AQ,MATCH(AQ202,$AA:$AA,0)+11)+INDEX(AQ:AQ,MATCH(AQ202,$AA:$AA,0)+12)+INDEX(AQ:AQ,MATCH(AQ202,$AA:$AA,0)+13))</f>
        <v>175</v>
      </c>
      <c r="AR207" s="375"/>
      <c r="AS207" s="374">
        <f>ABS(INDEX(AS:AS,MATCH(AS202,$AA:$AA,0)+11)+INDEX(AS:AS,MATCH(AS202,$AA:$AA,0)+12)+INDEX(AS:AS,MATCH(AS202,$AA:$AA,0)+13))</f>
        <v>203</v>
      </c>
      <c r="AT207" s="37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6.05" customHeight="1" x14ac:dyDescent="0.35">
      <c r="B208" s="365" t="str">
        <f t="shared" si="238"/>
        <v>Spieler 4</v>
      </c>
      <c r="C208" s="366" t="str">
        <f t="shared" si="238"/>
        <v/>
      </c>
      <c r="D208" s="339">
        <f>IF(AC208=301,"",AC208)</f>
        <v>168</v>
      </c>
      <c r="E208" s="339" t="str">
        <f>IF(AD208=0,"",AD208)</f>
        <v/>
      </c>
      <c r="F208" s="339">
        <f>IF(AE208=301,"",AE208)</f>
        <v>189</v>
      </c>
      <c r="G208" s="339" t="str">
        <f>IF(AF208=0,"",AF208)</f>
        <v/>
      </c>
      <c r="H208" s="339">
        <f>IF(AG208=301,"",AG208)</f>
        <v>215</v>
      </c>
      <c r="I208" s="339" t="str">
        <f>IF(AH208=0,"",AH208)</f>
        <v/>
      </c>
      <c r="J208" s="339">
        <f>IF(AI208=301,"",AI208)</f>
        <v>183</v>
      </c>
      <c r="K208" s="339" t="str">
        <f>IF(AJ208=0,"",AJ208)</f>
        <v/>
      </c>
      <c r="L208" s="339">
        <f>IF(AK208=301,"",AK208)</f>
        <v>204</v>
      </c>
      <c r="M208" s="339" t="str">
        <f>IF(AL208=0,"",AL208)</f>
        <v/>
      </c>
      <c r="N208" s="339">
        <f>IF(AM208=301,"",AM208)</f>
        <v>0</v>
      </c>
      <c r="O208" s="339" t="str">
        <f>IF(AN208=0,"",AN208)</f>
        <v/>
      </c>
      <c r="P208" s="339">
        <f>IF(AO208=301,"",AO208)</f>
        <v>158</v>
      </c>
      <c r="Q208" s="339" t="str">
        <f>IF(AP208=0,"",AP208)</f>
        <v/>
      </c>
      <c r="R208" s="339">
        <f>IF(AQ208=301,"",AQ208)</f>
        <v>153</v>
      </c>
      <c r="S208" s="339" t="str">
        <f>IF(AR208=0,"",AR208)</f>
        <v/>
      </c>
      <c r="T208" s="339">
        <f>IF(AS208=301,"",AS208)</f>
        <v>180</v>
      </c>
      <c r="U208" s="339" t="str">
        <f>IF(AT208=0,"",AT208)</f>
        <v/>
      </c>
      <c r="V208" s="340"/>
      <c r="W208" s="340"/>
      <c r="AA208" s="91" t="s">
        <v>11</v>
      </c>
      <c r="AB208" s="92"/>
      <c r="AC208" s="374">
        <f>ABS(INDEX(AC:AC,MATCH(AC202,$AA:$AA,0)+14)+INDEX(AC:AC,MATCH(AC202,$AA:$AA,0)+15)+INDEX(AC:AC,MATCH(AC202,$AA:$AA,0)+16))</f>
        <v>168</v>
      </c>
      <c r="AD208" s="375"/>
      <c r="AE208" s="374">
        <f>ABS(INDEX(AE:AE,MATCH(AE202,$AA:$AA,0)+14)+INDEX(AE:AE,MATCH(AE202,$AA:$AA,0)+15)+INDEX(AE:AE,MATCH(AE202,$AA:$AA,0)+16))</f>
        <v>189</v>
      </c>
      <c r="AF208" s="375"/>
      <c r="AG208" s="374">
        <f>ABS(INDEX(AG:AG,MATCH(AG202,$AA:$AA,0)+14)+INDEX(AG:AG,MATCH(AG202,$AA:$AA,0)+15)+INDEX(AG:AG,MATCH(AG202,$AA:$AA,0)+16))</f>
        <v>215</v>
      </c>
      <c r="AH208" s="375"/>
      <c r="AI208" s="374">
        <f>ABS(INDEX(AI:AI,MATCH(AI202,$AA:$AA,0)+14)+INDEX(AI:AI,MATCH(AI202,$AA:$AA,0)+15)+INDEX(AI:AI,MATCH(AI202,$AA:$AA,0)+16))</f>
        <v>183</v>
      </c>
      <c r="AJ208" s="375"/>
      <c r="AK208" s="374">
        <f>ABS(INDEX(AK:AK,MATCH(AK202,$AA:$AA,0)+14)+INDEX(AK:AK,MATCH(AK202,$AA:$AA,0)+15)+INDEX(AK:AK,MATCH(AK202,$AA:$AA,0)+16))</f>
        <v>204</v>
      </c>
      <c r="AL208" s="375"/>
      <c r="AM208" s="374">
        <f>ABS(INDEX(AM:AM,MATCH(AM202,$AA:$AA,0)+14)+INDEX(AM:AM,MATCH(AM202,$AA:$AA,0)+15)+INDEX(AM:AM,MATCH(AM202,$AA:$AA,0)+16))</f>
        <v>0</v>
      </c>
      <c r="AN208" s="375"/>
      <c r="AO208" s="374">
        <f>ABS(INDEX(AO:AO,MATCH(AO202,$AA:$AA,0)+14)+INDEX(AO:AO,MATCH(AO202,$AA:$AA,0)+15)+INDEX(AO:AO,MATCH(AO202,$AA:$AA,0)+16))</f>
        <v>158</v>
      </c>
      <c r="AP208" s="375"/>
      <c r="AQ208" s="374">
        <f>ABS(INDEX(AQ:AQ,MATCH(AQ202,$AA:$AA,0)+14)+INDEX(AQ:AQ,MATCH(AQ202,$AA:$AA,0)+15)+INDEX(AQ:AQ,MATCH(AQ202,$AA:$AA,0)+16))</f>
        <v>153</v>
      </c>
      <c r="AR208" s="375"/>
      <c r="AS208" s="374">
        <f>ABS(INDEX(AS:AS,MATCH(AS202,$AA:$AA,0)+14)+INDEX(AS:AS,MATCH(AS202,$AA:$AA,0)+15)+INDEX(AS:AS,MATCH(AS202,$AA:$AA,0)+16))</f>
        <v>180</v>
      </c>
      <c r="AT208" s="37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6.05" customHeight="1" x14ac:dyDescent="0.35">
      <c r="B209" s="354" t="str">
        <f t="shared" si="238"/>
        <v>Gesamt</v>
      </c>
      <c r="C209" s="355" t="str">
        <f t="shared" si="238"/>
        <v/>
      </c>
      <c r="D209" s="338">
        <f>IF(AC209=1505,"",AC209)</f>
        <v>643</v>
      </c>
      <c r="E209" s="338" t="str">
        <f>IF(AD209=0,"",AD209)</f>
        <v/>
      </c>
      <c r="F209" s="338">
        <f>IF(AE209=1505,"",AE209)</f>
        <v>693</v>
      </c>
      <c r="G209" s="338" t="str">
        <f>IF(AF209=0,"",AF209)</f>
        <v/>
      </c>
      <c r="H209" s="338">
        <f>IF(AG209=1505,"",AG209)</f>
        <v>781</v>
      </c>
      <c r="I209" s="338" t="str">
        <f>IF(AH209=0,"",AH209)</f>
        <v/>
      </c>
      <c r="J209" s="338">
        <f>IF(AI209=1505,"",AI209)</f>
        <v>707</v>
      </c>
      <c r="K209" s="338" t="str">
        <f>IF(AJ209=0,"",AJ209)</f>
        <v/>
      </c>
      <c r="L209" s="338">
        <f>IF(AK209=1505,"",AK209)</f>
        <v>669</v>
      </c>
      <c r="M209" s="338" t="str">
        <f>IF(AL209=0,"",AL209)</f>
        <v/>
      </c>
      <c r="N209" s="338">
        <f>IF(AM209=1505,"",AM209)</f>
        <v>0</v>
      </c>
      <c r="O209" s="338" t="str">
        <f>IF(AN209=0,"",AN209)</f>
        <v/>
      </c>
      <c r="P209" s="338">
        <f>IF(AO209=1505,"",AO209)</f>
        <v>718</v>
      </c>
      <c r="Q209" s="338" t="str">
        <f>IF(AP209=0,"",AP209)</f>
        <v/>
      </c>
      <c r="R209" s="338">
        <f>IF(AQ209=1505,"",AQ209)</f>
        <v>702</v>
      </c>
      <c r="S209" s="338" t="str">
        <f>IF(AR209=0,"",AR209)</f>
        <v/>
      </c>
      <c r="T209" s="338">
        <f>IF(AS209=1505,"",AS209)</f>
        <v>722</v>
      </c>
      <c r="U209" s="338" t="str">
        <f>IF(AT209=0,"",AT209)</f>
        <v/>
      </c>
      <c r="V209" s="290"/>
      <c r="W209" s="290"/>
      <c r="AA209" s="93" t="s">
        <v>1799</v>
      </c>
      <c r="AB209" s="94"/>
      <c r="AC209" s="354">
        <f>SUM(AC205:AC208)</f>
        <v>643</v>
      </c>
      <c r="AD209" s="355"/>
      <c r="AE209" s="354">
        <f>SUM(AE205:AE208)</f>
        <v>693</v>
      </c>
      <c r="AF209" s="355"/>
      <c r="AG209" s="354">
        <f>SUM(AG205:AG208)</f>
        <v>781</v>
      </c>
      <c r="AH209" s="355"/>
      <c r="AI209" s="354">
        <f>SUM(AI205:AI208)</f>
        <v>707</v>
      </c>
      <c r="AJ209" s="355"/>
      <c r="AK209" s="354">
        <f>SUM(AK205:AK208)</f>
        <v>669</v>
      </c>
      <c r="AL209" s="355"/>
      <c r="AM209" s="354">
        <f>SUM(AM205:AM208)</f>
        <v>0</v>
      </c>
      <c r="AN209" s="355"/>
      <c r="AO209" s="354">
        <f>SUM(AO205:AO208)</f>
        <v>718</v>
      </c>
      <c r="AP209" s="355"/>
      <c r="AQ209" s="354">
        <f>SUM(AQ205:AQ208)</f>
        <v>702</v>
      </c>
      <c r="AR209" s="355"/>
      <c r="AS209" s="354">
        <f>SUM(AS205:AS208)</f>
        <v>722</v>
      </c>
      <c r="AT209" s="35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3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7">
      <c r="B211" s="44" t="str">
        <f>AA211</f>
        <v>Team-Nr.</v>
      </c>
      <c r="C211" s="45"/>
      <c r="D211" s="44" t="str">
        <f>AC211</f>
        <v>Liga:</v>
      </c>
      <c r="E211" s="47"/>
      <c r="F211" s="359" t="str">
        <f>AE211</f>
        <v>Bayernliga Frauen</v>
      </c>
      <c r="G211" s="359"/>
      <c r="H211" s="359"/>
      <c r="I211" s="359"/>
      <c r="J211" s="359"/>
      <c r="K211" s="359"/>
      <c r="L211" s="359"/>
      <c r="M211" s="359"/>
      <c r="N211" s="359"/>
      <c r="O211" s="359"/>
      <c r="P211" s="359"/>
      <c r="Q211" s="359"/>
      <c r="R211" s="48"/>
      <c r="S211" s="49" t="s">
        <v>1794</v>
      </c>
      <c r="T211" s="50"/>
      <c r="U211" s="360" t="str">
        <f>AT211</f>
        <v>15.02./16.02.</v>
      </c>
      <c r="V211" s="361"/>
      <c r="W211" s="362"/>
      <c r="X211" s="363"/>
      <c r="Y211" s="364"/>
      <c r="Z211" s="364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0" t="str">
        <f>VLOOKUP(AS212,Spielorte!$A$1:$C$6,2)</f>
        <v>15.02./16.02.</v>
      </c>
      <c r="AU211" s="361"/>
      <c r="AV211" s="362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65">
      <c r="B212" s="53">
        <f>AA212</f>
        <v>8</v>
      </c>
      <c r="D212" s="46" t="s">
        <v>1793</v>
      </c>
      <c r="E212" s="54"/>
      <c r="F212" s="358" t="str">
        <f>AE212</f>
        <v>Nürnberg West Bowling</v>
      </c>
      <c r="G212" s="358"/>
      <c r="H212" s="358"/>
      <c r="I212" s="358"/>
      <c r="J212" s="358"/>
      <c r="K212" s="358"/>
      <c r="L212" s="358"/>
      <c r="M212" s="358"/>
      <c r="N212" s="358"/>
      <c r="O212" s="358"/>
      <c r="P212" s="55"/>
      <c r="Q212" s="55"/>
      <c r="S212" s="49" t="s">
        <v>1791</v>
      </c>
      <c r="T212" s="56">
        <f>AS212</f>
        <v>4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Nürnberg West Bowling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4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4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5" thickBot="1" x14ac:dyDescent="0.45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VLOOKUP(AA212,Schlüssel!$A$5:$DZ$14,73)</f>
        <v>14</v>
      </c>
      <c r="AE214" s="65" t="s">
        <v>10</v>
      </c>
      <c r="AF214" s="44">
        <f>VLOOKUP(AA212,Schlüssel!$A$5:$DZ$14,74)</f>
        <v>18</v>
      </c>
      <c r="AG214" s="65" t="s">
        <v>10</v>
      </c>
      <c r="AH214" s="44">
        <f>VLOOKUP(AA212,Schlüssel!$A$5:$DZ$14,75)</f>
        <v>19</v>
      </c>
      <c r="AI214" s="65" t="s">
        <v>10</v>
      </c>
      <c r="AJ214" s="44">
        <f>VLOOKUP(AA212,Schlüssel!$A$5:$DZ$14,76)</f>
        <v>12</v>
      </c>
      <c r="AK214" s="65" t="s">
        <v>10</v>
      </c>
      <c r="AL214" s="44">
        <f>VLOOKUP(AA212,Schlüssel!$A$5:$DZ$14,77)</f>
        <v>15</v>
      </c>
      <c r="AM214" s="65" t="s">
        <v>10</v>
      </c>
      <c r="AN214" s="44">
        <f>VLOOKUP(AA212,Schlüssel!$A$5:$DZ$14,78)</f>
        <v>17</v>
      </c>
      <c r="AO214" s="65" t="s">
        <v>10</v>
      </c>
      <c r="AP214" s="44">
        <f>VLOOKUP(AA212,Schlüssel!$A$5:$DZ$14,79)</f>
        <v>11</v>
      </c>
      <c r="AQ214" s="65" t="s">
        <v>10</v>
      </c>
      <c r="AR214" s="44">
        <f>VLOOKUP(AA212,Schlüssel!$A$5:$DZ$14,80)</f>
        <v>20</v>
      </c>
      <c r="AS214" s="65" t="s">
        <v>10</v>
      </c>
      <c r="AT214" s="44">
        <f>VLOOKUP(AA212,Schlüssel!$A$5:$DZ$14,81)</f>
        <v>16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35">
      <c r="B215" s="67" t="s">
        <v>1</v>
      </c>
      <c r="C215" s="68"/>
      <c r="D215" s="354" t="s">
        <v>1800</v>
      </c>
      <c r="E215" s="355"/>
      <c r="F215" s="354" t="s">
        <v>1801</v>
      </c>
      <c r="G215" s="355"/>
      <c r="H215" s="354" t="s">
        <v>1802</v>
      </c>
      <c r="I215" s="355"/>
      <c r="J215" s="354" t="s">
        <v>1803</v>
      </c>
      <c r="K215" s="355"/>
      <c r="L215" s="354" t="s">
        <v>1804</v>
      </c>
      <c r="M215" s="355"/>
      <c r="N215" s="354" t="s">
        <v>1805</v>
      </c>
      <c r="O215" s="355"/>
      <c r="P215" s="354" t="s">
        <v>1806</v>
      </c>
      <c r="Q215" s="355"/>
      <c r="R215" s="354" t="s">
        <v>1807</v>
      </c>
      <c r="S215" s="355"/>
      <c r="T215" s="354" t="s">
        <v>1808</v>
      </c>
      <c r="U215" s="355"/>
      <c r="V215" s="356" t="s">
        <v>1799</v>
      </c>
      <c r="W215" s="357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4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2" customHeight="1" x14ac:dyDescent="0.35">
      <c r="A217" s="367" t="s">
        <v>0</v>
      </c>
      <c r="B217" s="73" t="str">
        <f>IF(AA217=0,"",AA217)</f>
        <v>Bess, Vanessa</v>
      </c>
      <c r="C217" s="74">
        <f>IF(AB217=0,"",AB217)</f>
        <v>25192</v>
      </c>
      <c r="D217" s="75">
        <f>IF(AC217=0,"",AC217)</f>
        <v>183</v>
      </c>
      <c r="E217" s="348">
        <f>IF(AD217="","",AD217)</f>
        <v>0</v>
      </c>
      <c r="F217" s="75">
        <f t="shared" ref="F217:F230" si="239">IF(AE217=0,"",AE217)</f>
        <v>184</v>
      </c>
      <c r="G217" s="348">
        <f>IF(AF217="","",AF217)</f>
        <v>1</v>
      </c>
      <c r="H217" s="75">
        <f t="shared" ref="H217:H230" si="240">IF(AG217=0,"",AG217)</f>
        <v>172</v>
      </c>
      <c r="I217" s="348">
        <f>IF(AH217="","",AH217)</f>
        <v>1</v>
      </c>
      <c r="J217" s="75">
        <f t="shared" ref="J217:J230" si="241">IF(AI217=0,"",AI217)</f>
        <v>203</v>
      </c>
      <c r="K217" s="348">
        <f>IF(AJ217="","",AJ217)</f>
        <v>1</v>
      </c>
      <c r="L217" s="75" t="str">
        <f t="shared" ref="L217:L230" si="242">IF(AK217=0,"",AK217)</f>
        <v/>
      </c>
      <c r="M217" s="348">
        <f>IF(AL217="","",AL217)</f>
        <v>1</v>
      </c>
      <c r="N217" s="75" t="str">
        <f>IF(AM217=0,"",AM217)</f>
        <v/>
      </c>
      <c r="O217" s="348">
        <f>IF(AN217="","",AN217)</f>
        <v>0</v>
      </c>
      <c r="P217" s="75" t="str">
        <f t="shared" ref="P217:P230" si="243">IF(AO217=0,"",AO217)</f>
        <v/>
      </c>
      <c r="Q217" s="348">
        <f>IF(AP217="","",AP217)</f>
        <v>0</v>
      </c>
      <c r="R217" s="75" t="str">
        <f t="shared" ref="R217:R230" si="244">IF(AQ217=0,"",AQ217)</f>
        <v/>
      </c>
      <c r="S217" s="348">
        <f>IF(AR217="","",AR217)</f>
        <v>0</v>
      </c>
      <c r="T217" s="75" t="str">
        <f t="shared" ref="T217:T230" si="245">IF(AS217=0,"",AS217)</f>
        <v/>
      </c>
      <c r="U217" s="348">
        <f>IF(AT217="","",AT217)</f>
        <v>0</v>
      </c>
      <c r="V217" s="75">
        <f t="shared" ref="V217:V230" si="246">IF(AU217=0,"",AU217)</f>
        <v>742</v>
      </c>
      <c r="W217" s="348">
        <f>IF(AV217="","",AV217)</f>
        <v>4</v>
      </c>
      <c r="Z217" s="351" t="s">
        <v>0</v>
      </c>
      <c r="AA217" s="108" t="str">
        <f>IF(AB217=0,"",VLOOKUP(AB217,Starter!$A$1:$D$199,2,FALSE))</f>
        <v>Bess, Vanessa</v>
      </c>
      <c r="AB217" s="99">
        <v>25192</v>
      </c>
      <c r="AC217" s="185">
        <v>183</v>
      </c>
      <c r="AD217" s="109">
        <f>IF(SUM(AC217:AC219)+AC235=0,0,IF(SUM(AC217:AC219)=AC235,0.5,IF(SUM(AC217:AC219)&gt;AC235,1,0)))</f>
        <v>0</v>
      </c>
      <c r="AE217" s="185">
        <v>184</v>
      </c>
      <c r="AF217" s="109">
        <f>IF(SUM(AE217:AE219)+AE235=0,0,IF(SUM(AE217:AE219)=AE235,0.5,IF(SUM(AE217:AE219)&gt;AE235,1,0)))</f>
        <v>1</v>
      </c>
      <c r="AG217" s="185">
        <v>172</v>
      </c>
      <c r="AH217" s="109">
        <f>IF(SUM(AG217:AG219)+AG235=0,0,IF(SUM(AG217:AG219)=AG235,0.5,IF(SUM(AG217:AG219)&gt;AG235,1,0)))</f>
        <v>1</v>
      </c>
      <c r="AI217" s="185">
        <v>203</v>
      </c>
      <c r="AJ217" s="109">
        <f>IF(SUM(AI217:AI219)+AI235=0,0,IF(SUM(AI217:AI219)=AI235,0.5,IF(SUM(AI217:AI219)&gt;AI235,1,0)))</f>
        <v>1</v>
      </c>
      <c r="AK217" s="185"/>
      <c r="AL217" s="109">
        <f>IF(SUM(AK217:AK219)+AK235=0,0,IF(SUM(AK217:AK219)=AK235,0.5,IF(SUM(AK217:AK219)&gt;AK235,1,0)))</f>
        <v>1</v>
      </c>
      <c r="AM217" s="185"/>
      <c r="AN217" s="109">
        <f>IF(SUM(AM217:AM219)+AM235=0,0,IF(SUM(AM217:AM219)=AM235,0.5,IF(SUM(AM217:AM219)&gt;AM235,1,0)))</f>
        <v>0</v>
      </c>
      <c r="AO217" s="185"/>
      <c r="AP217" s="109">
        <f>IF(SUM(AO217:AO219)+AO235=0,0,IF(SUM(AO217:AO219)=AO235,0.5,IF(SUM(AO217:AO219)&gt;AO235,1,0)))</f>
        <v>0</v>
      </c>
      <c r="AQ217" s="185"/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47">ABS(SUM(AC217:AC217))+ABS(SUM(AE217:AE217))+ABS(SUM(AG217:AG217))+ABS(SUM(AI217:AI217))+ABS(SUM(AK217:AK217))+ABS(SUM(AM217:AM217))+ABS(SUM(AO217:AO217))+ABS(SUM(AQ217:AQ217))+ABS(SUM(AS217:AS217))</f>
        <v>742</v>
      </c>
      <c r="AV217" s="111">
        <f>SUM(AD217+AF217+AH217+AJ217+AL217+AN217+AP217+AR217+AT217)</f>
        <v>4</v>
      </c>
      <c r="AW217" s="101"/>
      <c r="AX217" s="102"/>
      <c r="AZ217" s="63"/>
      <c r="BA217" s="212"/>
      <c r="BB217" s="213"/>
      <c r="BC217" s="214"/>
      <c r="BD217" s="217">
        <f>+AB217</f>
        <v>25192</v>
      </c>
      <c r="BE217" s="213">
        <f>+AU217</f>
        <v>742</v>
      </c>
      <c r="BF217" s="215">
        <f>COUNT(BH217:BP217)</f>
        <v>4</v>
      </c>
      <c r="BG217" s="215">
        <f>COUNTIF(BH217:BP217,"&gt;0")</f>
        <v>4</v>
      </c>
      <c r="BH217" s="215">
        <f t="shared" ref="BH217:BH228" si="248">IF(AC217=0,"",AC217)</f>
        <v>183</v>
      </c>
      <c r="BI217" s="215">
        <f t="shared" ref="BI217:BI228" si="249">IF(AE217=0,"",AE217)</f>
        <v>184</v>
      </c>
      <c r="BJ217" s="215">
        <f t="shared" ref="BJ217:BJ228" si="250">IF(AG217=0,"",AG217)</f>
        <v>172</v>
      </c>
      <c r="BK217" s="215">
        <f t="shared" ref="BK217:BK228" si="251">IF(AI217=0,"",AI217)</f>
        <v>203</v>
      </c>
      <c r="BL217" s="215" t="str">
        <f t="shared" ref="BL217:BL228" si="252">IF(AK217=0,"",AK217)</f>
        <v/>
      </c>
      <c r="BM217" s="215" t="str">
        <f t="shared" ref="BM217:BM228" si="253">IF(AM217=0,"",AM217)</f>
        <v/>
      </c>
      <c r="BN217" s="215" t="str">
        <f t="shared" ref="BN217:BN228" si="254">IF(AO217=0,"",AO217)</f>
        <v/>
      </c>
      <c r="BO217" s="215" t="str">
        <f t="shared" ref="BO217:BO228" si="255">IF(AQ217=0,"",AQ217)</f>
        <v/>
      </c>
      <c r="BP217" s="215" t="str">
        <f t="shared" ref="BP217:BP228" si="256">IF(AS217=0,"",AS217)</f>
        <v/>
      </c>
      <c r="BQ217" s="216"/>
      <c r="BR217" s="214"/>
      <c r="BS217" s="215">
        <f>MAX(BH217:BP217)</f>
        <v>203</v>
      </c>
      <c r="BT217" s="215">
        <f>IF(BS217&lt;MAX(BS:BS),0,BS217+ROW()/1000000000)</f>
        <v>0</v>
      </c>
      <c r="BU217" s="215" t="str">
        <f>+AA213</f>
        <v>EPA München 1</v>
      </c>
      <c r="BV217" s="214">
        <f>RANK(BT217,BT:BT)</f>
        <v>2</v>
      </c>
      <c r="BW217" s="215">
        <f>SUMIF(BH217:BP217,"&gt;0")</f>
        <v>742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57">IF(BY217=0,0,RANK(BY217,BY:BY))</f>
        <v>0</v>
      </c>
    </row>
    <row r="218" spans="1:78" ht="17.2" customHeight="1" x14ac:dyDescent="0.35">
      <c r="A218" s="368"/>
      <c r="B218" s="76" t="str">
        <f t="shared" ref="B218:D230" si="258">IF(AA218=0,"",AA218)</f>
        <v>Weninger, Diana</v>
      </c>
      <c r="C218" s="77">
        <f t="shared" si="258"/>
        <v>25397</v>
      </c>
      <c r="D218" s="78" t="str">
        <f t="shared" si="258"/>
        <v/>
      </c>
      <c r="E218" s="349"/>
      <c r="F218" s="78" t="str">
        <f t="shared" si="239"/>
        <v/>
      </c>
      <c r="G218" s="349"/>
      <c r="H218" s="78" t="str">
        <f t="shared" si="240"/>
        <v/>
      </c>
      <c r="I218" s="349"/>
      <c r="J218" s="78" t="str">
        <f t="shared" si="241"/>
        <v/>
      </c>
      <c r="K218" s="349"/>
      <c r="L218" s="78">
        <f t="shared" si="242"/>
        <v>138</v>
      </c>
      <c r="M218" s="349"/>
      <c r="N218" s="78">
        <f t="shared" ref="N218:N230" si="259">IF(AM218=0,"",AM218)</f>
        <v>157</v>
      </c>
      <c r="O218" s="349"/>
      <c r="P218" s="78">
        <f t="shared" si="243"/>
        <v>161</v>
      </c>
      <c r="Q218" s="349"/>
      <c r="R218" s="78">
        <f t="shared" si="244"/>
        <v>146</v>
      </c>
      <c r="S218" s="349"/>
      <c r="T218" s="78">
        <f t="shared" si="245"/>
        <v>158</v>
      </c>
      <c r="U218" s="349"/>
      <c r="V218" s="78">
        <f t="shared" si="246"/>
        <v>760</v>
      </c>
      <c r="W218" s="349"/>
      <c r="Z218" s="352"/>
      <c r="AA218" s="108" t="str">
        <f>IF(AB218=0,"",VLOOKUP(AB218,Starter!$A$1:$D$199,2,FALSE))</f>
        <v>Weninger, Diana</v>
      </c>
      <c r="AB218" s="98">
        <v>25397</v>
      </c>
      <c r="AC218" s="186"/>
      <c r="AD218" s="112"/>
      <c r="AE218" s="186"/>
      <c r="AF218" s="112"/>
      <c r="AG218" s="186"/>
      <c r="AH218" s="112"/>
      <c r="AI218" s="186"/>
      <c r="AJ218" s="112"/>
      <c r="AK218" s="186">
        <v>138</v>
      </c>
      <c r="AL218" s="112"/>
      <c r="AM218" s="186">
        <v>157</v>
      </c>
      <c r="AN218" s="112"/>
      <c r="AO218" s="186">
        <v>161</v>
      </c>
      <c r="AP218" s="112"/>
      <c r="AQ218" s="186">
        <v>146</v>
      </c>
      <c r="AR218" s="112"/>
      <c r="AS218" s="186">
        <v>158</v>
      </c>
      <c r="AT218" s="112"/>
      <c r="AU218" s="113">
        <f t="shared" si="247"/>
        <v>760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0">+AB218</f>
        <v>25397</v>
      </c>
      <c r="BE218" s="213">
        <f t="shared" ref="BE218:BE228" si="261">+AU218</f>
        <v>760</v>
      </c>
      <c r="BF218" s="215">
        <f t="shared" ref="BF218:BF228" si="262">COUNT(BH218:BP218)</f>
        <v>5</v>
      </c>
      <c r="BG218" s="215">
        <f t="shared" ref="BG218:BG228" si="263">COUNTIF(BH218:BP218,"&gt;0")</f>
        <v>5</v>
      </c>
      <c r="BH218" s="215" t="str">
        <f t="shared" si="248"/>
        <v/>
      </c>
      <c r="BI218" s="215" t="str">
        <f t="shared" si="249"/>
        <v/>
      </c>
      <c r="BJ218" s="215" t="str">
        <f t="shared" si="250"/>
        <v/>
      </c>
      <c r="BK218" s="215" t="str">
        <f t="shared" si="251"/>
        <v/>
      </c>
      <c r="BL218" s="215">
        <f t="shared" si="252"/>
        <v>138</v>
      </c>
      <c r="BM218" s="215">
        <f t="shared" si="253"/>
        <v>157</v>
      </c>
      <c r="BN218" s="215">
        <f t="shared" si="254"/>
        <v>161</v>
      </c>
      <c r="BO218" s="215">
        <f t="shared" si="255"/>
        <v>146</v>
      </c>
      <c r="BP218" s="215">
        <f t="shared" si="256"/>
        <v>158</v>
      </c>
      <c r="BQ218" s="216"/>
      <c r="BR218" s="214"/>
      <c r="BS218" s="215">
        <f t="shared" ref="BS218:BS228" si="264">MAX(BH218:BP218)</f>
        <v>161</v>
      </c>
      <c r="BT218" s="215">
        <f t="shared" ref="BT218:BT228" si="265">IF(BS218&lt;MAX(BS:BS),0,BS218+ROW()/1000000000)</f>
        <v>0</v>
      </c>
      <c r="BU218" s="215" t="str">
        <f t="shared" ref="BU218:BU228" si="266">+BU217</f>
        <v>EPA München 1</v>
      </c>
      <c r="BV218" s="214">
        <f t="shared" ref="BV218:BV228" si="267">RANK(BT218,BT:BT)</f>
        <v>2</v>
      </c>
      <c r="BW218" s="215">
        <f t="shared" ref="BW218:BW228" si="268">SUMIF(BH218:BP218,"&gt;0")</f>
        <v>760</v>
      </c>
      <c r="BX218" s="215">
        <f>IF(COUNTIF(BH218:BP218,"&gt;0")&lt;Spielorte!$A$23,0,BE218/Spielorte!$A$23)</f>
        <v>0</v>
      </c>
      <c r="BY218" s="215">
        <f t="shared" ref="BY218:BY228" si="269">IF(BX218&lt;MAX(BX:BX),0,BX218+ROW()/1000000000)</f>
        <v>0</v>
      </c>
      <c r="BZ218" s="214">
        <f t="shared" si="257"/>
        <v>0</v>
      </c>
    </row>
    <row r="219" spans="1:78" ht="17.2" customHeight="1" thickBot="1" x14ac:dyDescent="0.4">
      <c r="A219" s="369"/>
      <c r="B219" s="79" t="str">
        <f t="shared" si="258"/>
        <v/>
      </c>
      <c r="C219" s="80" t="str">
        <f t="shared" si="258"/>
        <v/>
      </c>
      <c r="D219" s="69" t="str">
        <f t="shared" si="258"/>
        <v/>
      </c>
      <c r="E219" s="350"/>
      <c r="F219" s="69" t="str">
        <f t="shared" si="239"/>
        <v/>
      </c>
      <c r="G219" s="350"/>
      <c r="H219" s="69" t="str">
        <f t="shared" si="240"/>
        <v/>
      </c>
      <c r="I219" s="350"/>
      <c r="J219" s="69" t="str">
        <f t="shared" si="241"/>
        <v/>
      </c>
      <c r="K219" s="350"/>
      <c r="L219" s="69" t="str">
        <f t="shared" si="242"/>
        <v/>
      </c>
      <c r="M219" s="350"/>
      <c r="N219" s="69" t="str">
        <f t="shared" si="259"/>
        <v/>
      </c>
      <c r="O219" s="350"/>
      <c r="P219" s="69" t="str">
        <f t="shared" si="243"/>
        <v/>
      </c>
      <c r="Q219" s="350"/>
      <c r="R219" s="69" t="str">
        <f t="shared" si="244"/>
        <v/>
      </c>
      <c r="S219" s="350"/>
      <c r="T219" s="69" t="str">
        <f t="shared" si="245"/>
        <v/>
      </c>
      <c r="U219" s="350"/>
      <c r="V219" s="69" t="str">
        <f t="shared" si="246"/>
        <v/>
      </c>
      <c r="W219" s="350"/>
      <c r="Z219" s="353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47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0"/>
        <v>0</v>
      </c>
      <c r="BE219" s="213">
        <f t="shared" si="261"/>
        <v>0</v>
      </c>
      <c r="BF219" s="215">
        <f t="shared" si="262"/>
        <v>0</v>
      </c>
      <c r="BG219" s="215">
        <f t="shared" si="263"/>
        <v>0</v>
      </c>
      <c r="BH219" s="215" t="str">
        <f t="shared" si="248"/>
        <v/>
      </c>
      <c r="BI219" s="215" t="str">
        <f t="shared" si="249"/>
        <v/>
      </c>
      <c r="BJ219" s="215" t="str">
        <f t="shared" si="250"/>
        <v/>
      </c>
      <c r="BK219" s="215" t="str">
        <f t="shared" si="251"/>
        <v/>
      </c>
      <c r="BL219" s="215" t="str">
        <f t="shared" si="252"/>
        <v/>
      </c>
      <c r="BM219" s="215" t="str">
        <f t="shared" si="253"/>
        <v/>
      </c>
      <c r="BN219" s="215" t="str">
        <f t="shared" si="254"/>
        <v/>
      </c>
      <c r="BO219" s="215" t="str">
        <f t="shared" si="255"/>
        <v/>
      </c>
      <c r="BP219" s="215" t="str">
        <f t="shared" si="256"/>
        <v/>
      </c>
      <c r="BQ219" s="216"/>
      <c r="BR219" s="214"/>
      <c r="BS219" s="215">
        <f t="shared" si="264"/>
        <v>0</v>
      </c>
      <c r="BT219" s="215">
        <f t="shared" si="265"/>
        <v>0</v>
      </c>
      <c r="BU219" s="215" t="str">
        <f t="shared" si="266"/>
        <v>EPA München 1</v>
      </c>
      <c r="BV219" s="214">
        <f t="shared" si="267"/>
        <v>2</v>
      </c>
      <c r="BW219" s="215">
        <f t="shared" si="268"/>
        <v>0</v>
      </c>
      <c r="BX219" s="215">
        <f>IF(COUNTIF(BH219:BP219,"&gt;0")&lt;Spielorte!$A$23,0,BE219/Spielorte!$A$23)</f>
        <v>0</v>
      </c>
      <c r="BY219" s="215">
        <f t="shared" si="269"/>
        <v>0</v>
      </c>
      <c r="BZ219" s="214">
        <f t="shared" si="257"/>
        <v>0</v>
      </c>
    </row>
    <row r="220" spans="1:78" ht="17.2" customHeight="1" x14ac:dyDescent="0.35">
      <c r="A220" s="367" t="s">
        <v>2</v>
      </c>
      <c r="B220" s="73" t="str">
        <f t="shared" si="258"/>
        <v>Weninger, Diana</v>
      </c>
      <c r="C220" s="74">
        <f t="shared" si="258"/>
        <v>25397</v>
      </c>
      <c r="D220" s="75">
        <f t="shared" si="258"/>
        <v>161</v>
      </c>
      <c r="E220" s="348">
        <f>IF(AD220="","",AD220)</f>
        <v>1</v>
      </c>
      <c r="F220" s="75">
        <f t="shared" si="239"/>
        <v>153</v>
      </c>
      <c r="G220" s="348">
        <f>IF(AF220="","",AF220)</f>
        <v>0</v>
      </c>
      <c r="H220" s="75" t="str">
        <f t="shared" si="240"/>
        <v/>
      </c>
      <c r="I220" s="348">
        <f>IF(AH220="","",AH220)</f>
        <v>1</v>
      </c>
      <c r="J220" s="75" t="str">
        <f t="shared" si="241"/>
        <v/>
      </c>
      <c r="K220" s="348">
        <f>IF(AJ220="","",AJ220)</f>
        <v>1</v>
      </c>
      <c r="L220" s="75" t="str">
        <f t="shared" si="242"/>
        <v/>
      </c>
      <c r="M220" s="348">
        <f>IF(AL220="","",AL220)</f>
        <v>1</v>
      </c>
      <c r="N220" s="75" t="str">
        <f t="shared" si="259"/>
        <v/>
      </c>
      <c r="O220" s="348">
        <f>IF(AN220="","",AN220)</f>
        <v>0</v>
      </c>
      <c r="P220" s="75" t="str">
        <f t="shared" si="243"/>
        <v/>
      </c>
      <c r="Q220" s="348">
        <f>IF(AP220="","",AP220)</f>
        <v>1</v>
      </c>
      <c r="R220" s="75" t="str">
        <f t="shared" si="244"/>
        <v/>
      </c>
      <c r="S220" s="348">
        <f>IF(AR220="","",AR220)</f>
        <v>0</v>
      </c>
      <c r="T220" s="75" t="str">
        <f t="shared" si="245"/>
        <v/>
      </c>
      <c r="U220" s="348">
        <f>IF(AT220="","",AT220)</f>
        <v>1</v>
      </c>
      <c r="V220" s="75">
        <f t="shared" si="246"/>
        <v>314</v>
      </c>
      <c r="W220" s="348">
        <f>IF(AV220="","",AV220)</f>
        <v>6</v>
      </c>
      <c r="Z220" s="351" t="s">
        <v>2</v>
      </c>
      <c r="AA220" s="108" t="str">
        <f>IF(AB220=0,"",VLOOKUP(AB220,Starter!$A$1:$D$199,2,FALSE))</f>
        <v>Weninger, Diana</v>
      </c>
      <c r="AB220" s="99">
        <v>25397</v>
      </c>
      <c r="AC220" s="188">
        <v>161</v>
      </c>
      <c r="AD220" s="109">
        <f>IF(SUM(AC220:AC222)+AC236=0,0,IF(SUM(AC220:AC222)=AC236,0.5,IF(SUM(AC220:AC222)&gt;AC236,1,0)))</f>
        <v>1</v>
      </c>
      <c r="AE220" s="188">
        <v>153</v>
      </c>
      <c r="AF220" s="109">
        <f>IF(SUM(AE220:AE222)+AE236=0,0,IF(SUM(AE220:AE222)=AE236,0.5,IF(SUM(AE220:AE222)&gt;AE236,1,0)))</f>
        <v>0</v>
      </c>
      <c r="AG220" s="188"/>
      <c r="AH220" s="109">
        <f>IF(SUM(AG220:AG222)+AG236=0,0,IF(SUM(AG220:AG222)=AG236,0.5,IF(SUM(AG220:AG222)&gt;AG236,1,0)))</f>
        <v>1</v>
      </c>
      <c r="AI220" s="188"/>
      <c r="AJ220" s="109">
        <f>IF(SUM(AI220:AI222)+AI236=0,0,IF(SUM(AI220:AI222)=AI236,0.5,IF(SUM(AI220:AI222)&gt;AI236,1,0)))</f>
        <v>1</v>
      </c>
      <c r="AK220" s="188"/>
      <c r="AL220" s="109">
        <f>IF(SUM(AK220:AK222)+AK236=0,0,IF(SUM(AK220:AK222)=AK236,0.5,IF(SUM(AK220:AK222)&gt;AK236,1,0)))</f>
        <v>1</v>
      </c>
      <c r="AM220" s="188"/>
      <c r="AN220" s="109">
        <f>IF(SUM(AM220:AM222)+AM236=0,0,IF(SUM(AM220:AM222)=AM236,0.5,IF(SUM(AM220:AM222)&gt;AM236,1,0)))</f>
        <v>0</v>
      </c>
      <c r="AO220" s="188"/>
      <c r="AP220" s="109">
        <f>IF(SUM(AO220:AO222)+AO236=0,0,IF(SUM(AO220:AO222)=AO236,0.5,IF(SUM(AO220:AO222)&gt;AO236,1,0)))</f>
        <v>1</v>
      </c>
      <c r="AQ220" s="188"/>
      <c r="AR220" s="109">
        <f>IF(SUM(AQ220:AQ222)+AQ236=0,0,IF(SUM(AQ220:AQ222)=AQ236,0.5,IF(SUM(AQ220:AQ222)&gt;AQ236,1,0)))</f>
        <v>0</v>
      </c>
      <c r="AS220" s="188"/>
      <c r="AT220" s="109">
        <f>IF(SUM(AS220:AS222)+AS236=0,0,IF(SUM(AS220:AS222)=AS236,0.5,IF(SUM(AS220:AS222)&gt;AS236,1,0)))</f>
        <v>1</v>
      </c>
      <c r="AU220" s="110">
        <f t="shared" si="247"/>
        <v>314</v>
      </c>
      <c r="AV220" s="111">
        <f>SUM(AD220+AF220+AH220+AJ220+AL220+AN220+AP220+AR220+AT220)</f>
        <v>6</v>
      </c>
      <c r="AW220" s="101"/>
      <c r="AX220" s="102"/>
      <c r="AZ220" s="63"/>
      <c r="BA220" s="212"/>
      <c r="BB220" s="213"/>
      <c r="BC220" s="214"/>
      <c r="BD220" s="217">
        <f t="shared" si="260"/>
        <v>25397</v>
      </c>
      <c r="BE220" s="213">
        <f t="shared" si="261"/>
        <v>314</v>
      </c>
      <c r="BF220" s="215">
        <f t="shared" si="262"/>
        <v>2</v>
      </c>
      <c r="BG220" s="215">
        <f t="shared" si="263"/>
        <v>2</v>
      </c>
      <c r="BH220" s="215">
        <f t="shared" si="248"/>
        <v>161</v>
      </c>
      <c r="BI220" s="215">
        <f t="shared" si="249"/>
        <v>153</v>
      </c>
      <c r="BJ220" s="215" t="str">
        <f t="shared" si="250"/>
        <v/>
      </c>
      <c r="BK220" s="215" t="str">
        <f t="shared" si="251"/>
        <v/>
      </c>
      <c r="BL220" s="215" t="str">
        <f t="shared" si="252"/>
        <v/>
      </c>
      <c r="BM220" s="215" t="str">
        <f t="shared" si="253"/>
        <v/>
      </c>
      <c r="BN220" s="215" t="str">
        <f t="shared" si="254"/>
        <v/>
      </c>
      <c r="BO220" s="215" t="str">
        <f t="shared" si="255"/>
        <v/>
      </c>
      <c r="BP220" s="215" t="str">
        <f t="shared" si="256"/>
        <v/>
      </c>
      <c r="BQ220" s="216"/>
      <c r="BR220" s="214"/>
      <c r="BS220" s="215">
        <f t="shared" si="264"/>
        <v>161</v>
      </c>
      <c r="BT220" s="215">
        <f t="shared" si="265"/>
        <v>0</v>
      </c>
      <c r="BU220" s="215" t="str">
        <f t="shared" si="266"/>
        <v>EPA München 1</v>
      </c>
      <c r="BV220" s="214">
        <f t="shared" si="267"/>
        <v>2</v>
      </c>
      <c r="BW220" s="215">
        <f t="shared" si="268"/>
        <v>314</v>
      </c>
      <c r="BX220" s="215">
        <f>IF(COUNTIF(BH220:BP220,"&gt;0")&lt;Spielorte!$A$23,0,BE220/Spielorte!$A$23)</f>
        <v>0</v>
      </c>
      <c r="BY220" s="215">
        <f t="shared" si="269"/>
        <v>0</v>
      </c>
      <c r="BZ220" s="214">
        <f t="shared" si="257"/>
        <v>0</v>
      </c>
    </row>
    <row r="221" spans="1:78" ht="17.2" customHeight="1" x14ac:dyDescent="0.35">
      <c r="A221" s="368"/>
      <c r="B221" s="76" t="str">
        <f t="shared" si="258"/>
        <v>Schulz, Carolin</v>
      </c>
      <c r="C221" s="77">
        <f t="shared" si="258"/>
        <v>25714</v>
      </c>
      <c r="D221" s="78" t="str">
        <f t="shared" si="258"/>
        <v/>
      </c>
      <c r="E221" s="349"/>
      <c r="F221" s="78" t="str">
        <f t="shared" si="239"/>
        <v/>
      </c>
      <c r="G221" s="349"/>
      <c r="H221" s="78">
        <f t="shared" si="240"/>
        <v>172</v>
      </c>
      <c r="I221" s="349"/>
      <c r="J221" s="78">
        <f t="shared" si="241"/>
        <v>190</v>
      </c>
      <c r="K221" s="349"/>
      <c r="L221" s="78">
        <f t="shared" si="242"/>
        <v>169</v>
      </c>
      <c r="M221" s="349"/>
      <c r="N221" s="78">
        <f t="shared" si="259"/>
        <v>170</v>
      </c>
      <c r="O221" s="349"/>
      <c r="P221" s="78">
        <f t="shared" si="243"/>
        <v>237</v>
      </c>
      <c r="Q221" s="349"/>
      <c r="R221" s="78">
        <f t="shared" si="244"/>
        <v>194</v>
      </c>
      <c r="S221" s="349"/>
      <c r="T221" s="78">
        <f t="shared" si="245"/>
        <v>223</v>
      </c>
      <c r="U221" s="349"/>
      <c r="V221" s="78">
        <f t="shared" si="246"/>
        <v>1355</v>
      </c>
      <c r="W221" s="349"/>
      <c r="Z221" s="352"/>
      <c r="AA221" s="108" t="str">
        <f>IF(AB221=0,"",VLOOKUP(AB221,Starter!$A$1:$D$199,2,FALSE))</f>
        <v>Schulz, Carolin</v>
      </c>
      <c r="AB221" s="98">
        <v>25714</v>
      </c>
      <c r="AC221" s="186"/>
      <c r="AD221" s="112"/>
      <c r="AE221" s="186"/>
      <c r="AF221" s="112"/>
      <c r="AG221" s="186">
        <v>172</v>
      </c>
      <c r="AH221" s="112"/>
      <c r="AI221" s="186">
        <v>190</v>
      </c>
      <c r="AJ221" s="112"/>
      <c r="AK221" s="186">
        <v>169</v>
      </c>
      <c r="AL221" s="112"/>
      <c r="AM221" s="186">
        <v>170</v>
      </c>
      <c r="AN221" s="112"/>
      <c r="AO221" s="190">
        <v>237</v>
      </c>
      <c r="AP221" s="112"/>
      <c r="AQ221" s="190">
        <v>194</v>
      </c>
      <c r="AR221" s="112"/>
      <c r="AS221" s="190">
        <v>223</v>
      </c>
      <c r="AT221" s="112"/>
      <c r="AU221" s="113">
        <f t="shared" si="247"/>
        <v>1355</v>
      </c>
      <c r="AV221" s="114"/>
      <c r="AW221" s="101"/>
      <c r="AX221" s="102"/>
      <c r="AZ221" s="63"/>
      <c r="BA221" s="212"/>
      <c r="BB221" s="213"/>
      <c r="BC221" s="214"/>
      <c r="BD221" s="217">
        <f t="shared" si="260"/>
        <v>25714</v>
      </c>
      <c r="BE221" s="213">
        <f t="shared" si="261"/>
        <v>1355</v>
      </c>
      <c r="BF221" s="215">
        <f t="shared" si="262"/>
        <v>7</v>
      </c>
      <c r="BG221" s="215">
        <f t="shared" si="263"/>
        <v>7</v>
      </c>
      <c r="BH221" s="215" t="str">
        <f t="shared" si="248"/>
        <v/>
      </c>
      <c r="BI221" s="215" t="str">
        <f t="shared" si="249"/>
        <v/>
      </c>
      <c r="BJ221" s="215">
        <f t="shared" si="250"/>
        <v>172</v>
      </c>
      <c r="BK221" s="215">
        <f t="shared" si="251"/>
        <v>190</v>
      </c>
      <c r="BL221" s="215">
        <f t="shared" si="252"/>
        <v>169</v>
      </c>
      <c r="BM221" s="215">
        <f t="shared" si="253"/>
        <v>170</v>
      </c>
      <c r="BN221" s="215">
        <f t="shared" si="254"/>
        <v>237</v>
      </c>
      <c r="BO221" s="215">
        <f t="shared" si="255"/>
        <v>194</v>
      </c>
      <c r="BP221" s="215">
        <f t="shared" si="256"/>
        <v>223</v>
      </c>
      <c r="BQ221" s="216"/>
      <c r="BR221" s="214"/>
      <c r="BS221" s="215">
        <f t="shared" si="264"/>
        <v>237</v>
      </c>
      <c r="BT221" s="215">
        <f t="shared" si="265"/>
        <v>237.00000022099999</v>
      </c>
      <c r="BU221" s="215" t="str">
        <f t="shared" si="266"/>
        <v>EPA München 1</v>
      </c>
      <c r="BV221" s="214">
        <f t="shared" si="267"/>
        <v>1</v>
      </c>
      <c r="BW221" s="215">
        <f t="shared" si="268"/>
        <v>1355</v>
      </c>
      <c r="BX221" s="215">
        <f>IF(COUNTIF(BH221:BP221,"&gt;0")&lt;Spielorte!$A$23,0,BE221/Spielorte!$A$23)</f>
        <v>0</v>
      </c>
      <c r="BY221" s="215">
        <f t="shared" si="269"/>
        <v>0</v>
      </c>
      <c r="BZ221" s="214">
        <f t="shared" si="257"/>
        <v>0</v>
      </c>
    </row>
    <row r="222" spans="1:78" ht="17.2" customHeight="1" thickBot="1" x14ac:dyDescent="0.4">
      <c r="A222" s="369"/>
      <c r="B222" s="79" t="str">
        <f t="shared" si="258"/>
        <v/>
      </c>
      <c r="C222" s="80" t="str">
        <f t="shared" si="258"/>
        <v/>
      </c>
      <c r="D222" s="69" t="str">
        <f t="shared" si="258"/>
        <v/>
      </c>
      <c r="E222" s="350"/>
      <c r="F222" s="69" t="str">
        <f t="shared" si="239"/>
        <v/>
      </c>
      <c r="G222" s="350"/>
      <c r="H222" s="69" t="str">
        <f t="shared" si="240"/>
        <v/>
      </c>
      <c r="I222" s="350"/>
      <c r="J222" s="69" t="str">
        <f t="shared" si="241"/>
        <v/>
      </c>
      <c r="K222" s="350"/>
      <c r="L222" s="69" t="str">
        <f t="shared" si="242"/>
        <v/>
      </c>
      <c r="M222" s="350"/>
      <c r="N222" s="69" t="str">
        <f t="shared" si="259"/>
        <v/>
      </c>
      <c r="O222" s="350"/>
      <c r="P222" s="69" t="str">
        <f t="shared" si="243"/>
        <v/>
      </c>
      <c r="Q222" s="350"/>
      <c r="R222" s="69" t="str">
        <f t="shared" si="244"/>
        <v/>
      </c>
      <c r="S222" s="350"/>
      <c r="T222" s="69" t="str">
        <f t="shared" si="245"/>
        <v/>
      </c>
      <c r="U222" s="350"/>
      <c r="V222" s="69" t="str">
        <f t="shared" si="246"/>
        <v/>
      </c>
      <c r="W222" s="350"/>
      <c r="Z222" s="353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47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0"/>
        <v>0</v>
      </c>
      <c r="BE222" s="213">
        <f t="shared" si="261"/>
        <v>0</v>
      </c>
      <c r="BF222" s="215">
        <f t="shared" si="262"/>
        <v>0</v>
      </c>
      <c r="BG222" s="215">
        <f t="shared" si="263"/>
        <v>0</v>
      </c>
      <c r="BH222" s="215" t="str">
        <f t="shared" si="248"/>
        <v/>
      </c>
      <c r="BI222" s="215" t="str">
        <f t="shared" si="249"/>
        <v/>
      </c>
      <c r="BJ222" s="215" t="str">
        <f t="shared" si="250"/>
        <v/>
      </c>
      <c r="BK222" s="215" t="str">
        <f t="shared" si="251"/>
        <v/>
      </c>
      <c r="BL222" s="215" t="str">
        <f t="shared" si="252"/>
        <v/>
      </c>
      <c r="BM222" s="215" t="str">
        <f t="shared" si="253"/>
        <v/>
      </c>
      <c r="BN222" s="215" t="str">
        <f t="shared" si="254"/>
        <v/>
      </c>
      <c r="BO222" s="215" t="str">
        <f t="shared" si="255"/>
        <v/>
      </c>
      <c r="BP222" s="215" t="str">
        <f t="shared" si="256"/>
        <v/>
      </c>
      <c r="BQ222" s="216"/>
      <c r="BR222" s="214"/>
      <c r="BS222" s="215">
        <f t="shared" si="264"/>
        <v>0</v>
      </c>
      <c r="BT222" s="215">
        <f t="shared" si="265"/>
        <v>0</v>
      </c>
      <c r="BU222" s="215" t="str">
        <f t="shared" si="266"/>
        <v>EPA München 1</v>
      </c>
      <c r="BV222" s="214">
        <f t="shared" si="267"/>
        <v>2</v>
      </c>
      <c r="BW222" s="215">
        <f t="shared" si="268"/>
        <v>0</v>
      </c>
      <c r="BX222" s="215">
        <f>IF(COUNTIF(BH222:BP222,"&gt;0")&lt;Spielorte!$A$23,0,BE222/Spielorte!$A$23)</f>
        <v>0</v>
      </c>
      <c r="BY222" s="215">
        <f t="shared" si="269"/>
        <v>0</v>
      </c>
      <c r="BZ222" s="214">
        <f t="shared" si="257"/>
        <v>0</v>
      </c>
    </row>
    <row r="223" spans="1:78" ht="17.2" customHeight="1" x14ac:dyDescent="0.35">
      <c r="A223" s="367" t="s">
        <v>3</v>
      </c>
      <c r="B223" s="73" t="str">
        <f t="shared" si="258"/>
        <v>Hernitschek, Angelika</v>
      </c>
      <c r="C223" s="74">
        <f t="shared" si="258"/>
        <v>7549</v>
      </c>
      <c r="D223" s="75">
        <f t="shared" si="258"/>
        <v>202</v>
      </c>
      <c r="E223" s="348">
        <f>IF(AD223="","",AD223)</f>
        <v>1</v>
      </c>
      <c r="F223" s="75">
        <f t="shared" si="239"/>
        <v>167</v>
      </c>
      <c r="G223" s="348">
        <f>IF(AF223="","",AF223)</f>
        <v>0</v>
      </c>
      <c r="H223" s="75">
        <f t="shared" si="240"/>
        <v>171</v>
      </c>
      <c r="I223" s="348">
        <f>IF(AH223="","",AH223)</f>
        <v>1</v>
      </c>
      <c r="J223" s="75">
        <f t="shared" si="241"/>
        <v>180</v>
      </c>
      <c r="K223" s="348">
        <f>IF(AJ223="","",AJ223)</f>
        <v>0</v>
      </c>
      <c r="L223" s="75">
        <f t="shared" si="242"/>
        <v>172</v>
      </c>
      <c r="M223" s="348">
        <f>IF(AL223="","",AL223)</f>
        <v>1</v>
      </c>
      <c r="N223" s="75">
        <f t="shared" si="259"/>
        <v>172</v>
      </c>
      <c r="O223" s="348">
        <f>IF(AN223="","",AN223)</f>
        <v>1</v>
      </c>
      <c r="P223" s="75">
        <f t="shared" si="243"/>
        <v>196</v>
      </c>
      <c r="Q223" s="348">
        <f>IF(AP223="","",AP223)</f>
        <v>1</v>
      </c>
      <c r="R223" s="75">
        <f t="shared" si="244"/>
        <v>194</v>
      </c>
      <c r="S223" s="348">
        <f>IF(AR223="","",AR223)</f>
        <v>1</v>
      </c>
      <c r="T223" s="75">
        <f t="shared" si="245"/>
        <v>182</v>
      </c>
      <c r="U223" s="348">
        <f>IF(AT223="","",AT223)</f>
        <v>1</v>
      </c>
      <c r="V223" s="75">
        <f t="shared" si="246"/>
        <v>1636</v>
      </c>
      <c r="W223" s="348">
        <f>IF(AV223="","",AV223)</f>
        <v>7</v>
      </c>
      <c r="Z223" s="351" t="s">
        <v>3</v>
      </c>
      <c r="AA223" s="108" t="str">
        <f>IF(AB223=0,"",VLOOKUP(AB223,Starter!$A$1:$D$199,2,FALSE))</f>
        <v>Hernitschek, Angelika</v>
      </c>
      <c r="AB223" s="99">
        <v>7549</v>
      </c>
      <c r="AC223" s="188">
        <v>202</v>
      </c>
      <c r="AD223" s="109">
        <f>IF(SUM(AC223:AC225)+AC237=0,0,IF(SUM(AC223:AC225)=AC237,0.5,IF(SUM(AC223:AC225)&gt;AC237,1,0)))</f>
        <v>1</v>
      </c>
      <c r="AE223" s="188">
        <v>167</v>
      </c>
      <c r="AF223" s="109">
        <f>IF(SUM(AE223:AE225)+AE237=0,0,IF(SUM(AE223:AE225)=AE237,0.5,IF(SUM(AE223:AE225)&gt;AE237,1,0)))</f>
        <v>0</v>
      </c>
      <c r="AG223" s="188">
        <v>171</v>
      </c>
      <c r="AH223" s="109">
        <f>IF(SUM(AG223:AG225)+AG237=0,0,IF(SUM(AG223:AG225)=AG237,0.5,IF(SUM(AG223:AG225)&gt;AG237,1,0)))</f>
        <v>1</v>
      </c>
      <c r="AI223" s="188">
        <v>180</v>
      </c>
      <c r="AJ223" s="109">
        <f>IF(SUM(AI223:AI225)+AI237=0,0,IF(SUM(AI223:AI225)=AI237,0.5,IF(SUM(AI223:AI225)&gt;AI237,1,0)))</f>
        <v>0</v>
      </c>
      <c r="AK223" s="188">
        <v>172</v>
      </c>
      <c r="AL223" s="109">
        <f>IF(SUM(AK223:AK225)+AK237=0,0,IF(SUM(AK223:AK225)=AK237,0.5,IF(SUM(AK223:AK225)&gt;AK237,1,0)))</f>
        <v>1</v>
      </c>
      <c r="AM223" s="188">
        <v>172</v>
      </c>
      <c r="AN223" s="109">
        <f>IF(SUM(AM223:AM225)+AM237=0,0,IF(SUM(AM223:AM225)=AM237,0.5,IF(SUM(AM223:AM225)&gt;AM237,1,0)))</f>
        <v>1</v>
      </c>
      <c r="AO223" s="188">
        <v>196</v>
      </c>
      <c r="AP223" s="109">
        <f>IF(SUM(AO223:AO225)+AO237=0,0,IF(SUM(AO223:AO225)=AO237,0.5,IF(SUM(AO223:AO225)&gt;AO237,1,0)))</f>
        <v>1</v>
      </c>
      <c r="AQ223" s="188">
        <v>194</v>
      </c>
      <c r="AR223" s="109">
        <f>IF(SUM(AQ223:AQ225)+AQ237=0,0,IF(SUM(AQ223:AQ225)=AQ237,0.5,IF(SUM(AQ223:AQ225)&gt;AQ237,1,0)))</f>
        <v>1</v>
      </c>
      <c r="AS223" s="188">
        <v>182</v>
      </c>
      <c r="AT223" s="109">
        <f>IF(SUM(AS223:AS225)+AS237=0,0,IF(SUM(AS223:AS225)=AS237,0.5,IF(SUM(AS223:AS225)&gt;AS237,1,0)))</f>
        <v>1</v>
      </c>
      <c r="AU223" s="110">
        <f t="shared" si="247"/>
        <v>1636</v>
      </c>
      <c r="AV223" s="111">
        <f>SUM(AD223+AF223+AH223+AJ223+AL223+AN223+AP223+AR223+AT223)</f>
        <v>7</v>
      </c>
      <c r="AW223" s="101"/>
      <c r="AX223" s="102"/>
      <c r="AZ223" s="63"/>
      <c r="BA223" s="212"/>
      <c r="BB223" s="213"/>
      <c r="BC223" s="214"/>
      <c r="BD223" s="217">
        <f t="shared" si="260"/>
        <v>7549</v>
      </c>
      <c r="BE223" s="213">
        <f t="shared" si="261"/>
        <v>1636</v>
      </c>
      <c r="BF223" s="215">
        <f t="shared" si="262"/>
        <v>9</v>
      </c>
      <c r="BG223" s="215">
        <f t="shared" si="263"/>
        <v>9</v>
      </c>
      <c r="BH223" s="215">
        <f t="shared" si="248"/>
        <v>202</v>
      </c>
      <c r="BI223" s="215">
        <f t="shared" si="249"/>
        <v>167</v>
      </c>
      <c r="BJ223" s="215">
        <f t="shared" si="250"/>
        <v>171</v>
      </c>
      <c r="BK223" s="215">
        <f t="shared" si="251"/>
        <v>180</v>
      </c>
      <c r="BL223" s="215">
        <f t="shared" si="252"/>
        <v>172</v>
      </c>
      <c r="BM223" s="215">
        <f t="shared" si="253"/>
        <v>172</v>
      </c>
      <c r="BN223" s="215">
        <f t="shared" si="254"/>
        <v>196</v>
      </c>
      <c r="BO223" s="215">
        <f t="shared" si="255"/>
        <v>194</v>
      </c>
      <c r="BP223" s="215">
        <f t="shared" si="256"/>
        <v>182</v>
      </c>
      <c r="BQ223" s="216"/>
      <c r="BR223" s="214"/>
      <c r="BS223" s="215">
        <f t="shared" si="264"/>
        <v>202</v>
      </c>
      <c r="BT223" s="215">
        <f t="shared" si="265"/>
        <v>0</v>
      </c>
      <c r="BU223" s="215" t="str">
        <f t="shared" si="266"/>
        <v>EPA München 1</v>
      </c>
      <c r="BV223" s="214">
        <f t="shared" si="267"/>
        <v>2</v>
      </c>
      <c r="BW223" s="215">
        <f t="shared" si="268"/>
        <v>1636</v>
      </c>
      <c r="BX223" s="215">
        <f>IF(COUNTIF(BH223:BP223,"&gt;0")&lt;Spielorte!$A$23,0,BE223/Spielorte!$A$23)</f>
        <v>181.77777777777777</v>
      </c>
      <c r="BY223" s="215">
        <f t="shared" si="269"/>
        <v>0</v>
      </c>
      <c r="BZ223" s="214">
        <f t="shared" si="257"/>
        <v>0</v>
      </c>
    </row>
    <row r="224" spans="1:78" ht="17.2" customHeight="1" x14ac:dyDescent="0.35">
      <c r="A224" s="368"/>
      <c r="B224" s="76" t="str">
        <f t="shared" si="258"/>
        <v/>
      </c>
      <c r="C224" s="77" t="str">
        <f t="shared" si="258"/>
        <v/>
      </c>
      <c r="D224" s="78" t="str">
        <f t="shared" si="258"/>
        <v/>
      </c>
      <c r="E224" s="349"/>
      <c r="F224" s="78" t="str">
        <f t="shared" si="239"/>
        <v/>
      </c>
      <c r="G224" s="349"/>
      <c r="H224" s="78" t="str">
        <f t="shared" si="240"/>
        <v/>
      </c>
      <c r="I224" s="349"/>
      <c r="J224" s="78" t="str">
        <f t="shared" si="241"/>
        <v/>
      </c>
      <c r="K224" s="349"/>
      <c r="L224" s="78" t="str">
        <f t="shared" si="242"/>
        <v/>
      </c>
      <c r="M224" s="349"/>
      <c r="N224" s="78" t="str">
        <f t="shared" si="259"/>
        <v/>
      </c>
      <c r="O224" s="349"/>
      <c r="P224" s="78" t="str">
        <f t="shared" si="243"/>
        <v/>
      </c>
      <c r="Q224" s="349"/>
      <c r="R224" s="78" t="str">
        <f t="shared" si="244"/>
        <v/>
      </c>
      <c r="S224" s="349"/>
      <c r="T224" s="78" t="str">
        <f t="shared" si="245"/>
        <v/>
      </c>
      <c r="U224" s="349"/>
      <c r="V224" s="78" t="str">
        <f t="shared" si="246"/>
        <v/>
      </c>
      <c r="W224" s="349"/>
      <c r="Z224" s="352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47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0"/>
        <v>0</v>
      </c>
      <c r="BE224" s="213">
        <f t="shared" si="261"/>
        <v>0</v>
      </c>
      <c r="BF224" s="215">
        <f t="shared" si="262"/>
        <v>0</v>
      </c>
      <c r="BG224" s="215">
        <f t="shared" si="263"/>
        <v>0</v>
      </c>
      <c r="BH224" s="215" t="str">
        <f t="shared" si="248"/>
        <v/>
      </c>
      <c r="BI224" s="215" t="str">
        <f t="shared" si="249"/>
        <v/>
      </c>
      <c r="BJ224" s="215" t="str">
        <f t="shared" si="250"/>
        <v/>
      </c>
      <c r="BK224" s="215" t="str">
        <f t="shared" si="251"/>
        <v/>
      </c>
      <c r="BL224" s="215" t="str">
        <f t="shared" si="252"/>
        <v/>
      </c>
      <c r="BM224" s="215" t="str">
        <f t="shared" si="253"/>
        <v/>
      </c>
      <c r="BN224" s="215" t="str">
        <f t="shared" si="254"/>
        <v/>
      </c>
      <c r="BO224" s="215" t="str">
        <f t="shared" si="255"/>
        <v/>
      </c>
      <c r="BP224" s="215" t="str">
        <f t="shared" si="256"/>
        <v/>
      </c>
      <c r="BQ224" s="216"/>
      <c r="BR224" s="214"/>
      <c r="BS224" s="215">
        <f t="shared" si="264"/>
        <v>0</v>
      </c>
      <c r="BT224" s="215">
        <f t="shared" si="265"/>
        <v>0</v>
      </c>
      <c r="BU224" s="215" t="str">
        <f t="shared" si="266"/>
        <v>EPA München 1</v>
      </c>
      <c r="BV224" s="214">
        <f t="shared" si="267"/>
        <v>2</v>
      </c>
      <c r="BW224" s="215">
        <f t="shared" si="268"/>
        <v>0</v>
      </c>
      <c r="BX224" s="215">
        <f>IF(COUNTIF(BH224:BP224,"&gt;0")&lt;Spielorte!$A$23,0,BE224/Spielorte!$A$23)</f>
        <v>0</v>
      </c>
      <c r="BY224" s="215">
        <f t="shared" si="269"/>
        <v>0</v>
      </c>
      <c r="BZ224" s="214">
        <f t="shared" si="257"/>
        <v>0</v>
      </c>
    </row>
    <row r="225" spans="1:78" ht="17.2" customHeight="1" thickBot="1" x14ac:dyDescent="0.4">
      <c r="A225" s="369"/>
      <c r="B225" s="79" t="str">
        <f t="shared" si="258"/>
        <v/>
      </c>
      <c r="C225" s="80" t="str">
        <f t="shared" si="258"/>
        <v/>
      </c>
      <c r="D225" s="69" t="str">
        <f t="shared" si="258"/>
        <v/>
      </c>
      <c r="E225" s="350"/>
      <c r="F225" s="69" t="str">
        <f t="shared" si="239"/>
        <v/>
      </c>
      <c r="G225" s="350"/>
      <c r="H225" s="69" t="str">
        <f t="shared" si="240"/>
        <v/>
      </c>
      <c r="I225" s="350"/>
      <c r="J225" s="69" t="str">
        <f t="shared" si="241"/>
        <v/>
      </c>
      <c r="K225" s="350"/>
      <c r="L225" s="69" t="str">
        <f t="shared" si="242"/>
        <v/>
      </c>
      <c r="M225" s="350"/>
      <c r="N225" s="69" t="str">
        <f t="shared" si="259"/>
        <v/>
      </c>
      <c r="O225" s="350"/>
      <c r="P225" s="69" t="str">
        <f t="shared" si="243"/>
        <v/>
      </c>
      <c r="Q225" s="350"/>
      <c r="R225" s="69" t="str">
        <f t="shared" si="244"/>
        <v/>
      </c>
      <c r="S225" s="350"/>
      <c r="T225" s="69" t="str">
        <f t="shared" si="245"/>
        <v/>
      </c>
      <c r="U225" s="350"/>
      <c r="V225" s="69" t="str">
        <f t="shared" si="246"/>
        <v/>
      </c>
      <c r="W225" s="350"/>
      <c r="Z225" s="353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47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0"/>
        <v>0</v>
      </c>
      <c r="BE225" s="213">
        <f t="shared" si="261"/>
        <v>0</v>
      </c>
      <c r="BF225" s="215">
        <f t="shared" si="262"/>
        <v>0</v>
      </c>
      <c r="BG225" s="215">
        <f t="shared" si="263"/>
        <v>0</v>
      </c>
      <c r="BH225" s="215" t="str">
        <f t="shared" si="248"/>
        <v/>
      </c>
      <c r="BI225" s="215" t="str">
        <f t="shared" si="249"/>
        <v/>
      </c>
      <c r="BJ225" s="215" t="str">
        <f t="shared" si="250"/>
        <v/>
      </c>
      <c r="BK225" s="215" t="str">
        <f t="shared" si="251"/>
        <v/>
      </c>
      <c r="BL225" s="215" t="str">
        <f t="shared" si="252"/>
        <v/>
      </c>
      <c r="BM225" s="215" t="str">
        <f t="shared" si="253"/>
        <v/>
      </c>
      <c r="BN225" s="215" t="str">
        <f t="shared" si="254"/>
        <v/>
      </c>
      <c r="BO225" s="215" t="str">
        <f t="shared" si="255"/>
        <v/>
      </c>
      <c r="BP225" s="215" t="str">
        <f t="shared" si="256"/>
        <v/>
      </c>
      <c r="BQ225" s="216"/>
      <c r="BR225" s="214"/>
      <c r="BS225" s="215">
        <f t="shared" si="264"/>
        <v>0</v>
      </c>
      <c r="BT225" s="215">
        <f t="shared" si="265"/>
        <v>0</v>
      </c>
      <c r="BU225" s="215" t="str">
        <f t="shared" si="266"/>
        <v>EPA München 1</v>
      </c>
      <c r="BV225" s="214">
        <f t="shared" si="267"/>
        <v>2</v>
      </c>
      <c r="BW225" s="215">
        <f t="shared" si="268"/>
        <v>0</v>
      </c>
      <c r="BX225" s="215">
        <f>IF(COUNTIF(BH225:BP225,"&gt;0")&lt;Spielorte!$A$23,0,BE225/Spielorte!$A$23)</f>
        <v>0</v>
      </c>
      <c r="BY225" s="215">
        <f t="shared" si="269"/>
        <v>0</v>
      </c>
      <c r="BZ225" s="214">
        <f t="shared" si="257"/>
        <v>0</v>
      </c>
    </row>
    <row r="226" spans="1:78" ht="17.2" customHeight="1" x14ac:dyDescent="0.35">
      <c r="A226" s="367" t="s">
        <v>11</v>
      </c>
      <c r="B226" s="73" t="str">
        <f>IF(AA226=0,"",AA226)</f>
        <v>Lieb, Anja</v>
      </c>
      <c r="C226" s="74">
        <f t="shared" si="258"/>
        <v>7534</v>
      </c>
      <c r="D226" s="75">
        <f t="shared" si="258"/>
        <v>181</v>
      </c>
      <c r="E226" s="348">
        <f>IF(AD226="","",AD226)</f>
        <v>1</v>
      </c>
      <c r="F226" s="75">
        <f t="shared" si="239"/>
        <v>189</v>
      </c>
      <c r="G226" s="348">
        <f>IF(AF226="","",AF226)</f>
        <v>1</v>
      </c>
      <c r="H226" s="75">
        <f t="shared" si="240"/>
        <v>161</v>
      </c>
      <c r="I226" s="348">
        <f>IF(AH226="","",AH226)</f>
        <v>0</v>
      </c>
      <c r="J226" s="75">
        <f t="shared" si="241"/>
        <v>169</v>
      </c>
      <c r="K226" s="348">
        <f>IF(AJ226="","",AJ226)</f>
        <v>0</v>
      </c>
      <c r="L226" s="75">
        <f t="shared" si="242"/>
        <v>208</v>
      </c>
      <c r="M226" s="348">
        <f>IF(AL226="","",AL226)</f>
        <v>1</v>
      </c>
      <c r="N226" s="75">
        <f t="shared" si="259"/>
        <v>223</v>
      </c>
      <c r="O226" s="348">
        <f>IF(AN226="","",AN226)</f>
        <v>1</v>
      </c>
      <c r="P226" s="75">
        <f t="shared" si="243"/>
        <v>187</v>
      </c>
      <c r="Q226" s="348">
        <f>IF(AP226="","",AP226)</f>
        <v>0</v>
      </c>
      <c r="R226" s="75">
        <f t="shared" si="244"/>
        <v>209</v>
      </c>
      <c r="S226" s="348">
        <f>IF(AR226="","",AR226)</f>
        <v>1</v>
      </c>
      <c r="T226" s="75">
        <f t="shared" si="245"/>
        <v>179</v>
      </c>
      <c r="U226" s="348">
        <f>IF(AT226="","",AT226)</f>
        <v>1</v>
      </c>
      <c r="V226" s="75">
        <f t="shared" si="246"/>
        <v>1706</v>
      </c>
      <c r="W226" s="348">
        <f>IF(AV226="","",AV226)</f>
        <v>6</v>
      </c>
      <c r="Z226" s="351" t="s">
        <v>11</v>
      </c>
      <c r="AA226" s="108" t="str">
        <f>IF(AB226=0,"",VLOOKUP(AB226,Starter!$A$1:$D$199,2,FALSE))</f>
        <v>Lieb, Anja</v>
      </c>
      <c r="AB226" s="99">
        <v>7534</v>
      </c>
      <c r="AC226" s="188">
        <v>181</v>
      </c>
      <c r="AD226" s="109">
        <f>IF(SUM(AC226:AC228)+AC238=0,0,IF(SUM(AC226:AC228)=AC238,0.5,IF(SUM(AC226:AC228)&gt;AC238,1,0)))</f>
        <v>1</v>
      </c>
      <c r="AE226" s="188">
        <v>189</v>
      </c>
      <c r="AF226" s="109">
        <f>IF(SUM(AE226:AE228)+AE238=0,0,IF(SUM(AE226:AE228)=AE238,0.5,IF(SUM(AE226:AE228)&gt;AE238,1,0)))</f>
        <v>1</v>
      </c>
      <c r="AG226" s="188">
        <v>161</v>
      </c>
      <c r="AH226" s="109">
        <f>IF(SUM(AG226:AG228)+AG238=0,0,IF(SUM(AG226:AG228)=AG238,0.5,IF(SUM(AG226:AG228)&gt;AG238,1,0)))</f>
        <v>0</v>
      </c>
      <c r="AI226" s="188">
        <v>169</v>
      </c>
      <c r="AJ226" s="109">
        <f>IF(SUM(AI226:AI228)+AI238=0,0,IF(SUM(AI226:AI228)=AI238,0.5,IF(SUM(AI226:AI228)&gt;AI238,1,0)))</f>
        <v>0</v>
      </c>
      <c r="AK226" s="188">
        <v>208</v>
      </c>
      <c r="AL226" s="109">
        <f>IF(SUM(AK226:AK228)+AK238=0,0,IF(SUM(AK226:AK228)=AK238,0.5,IF(SUM(AK226:AK228)&gt;AK238,1,0)))</f>
        <v>1</v>
      </c>
      <c r="AM226" s="188">
        <v>223</v>
      </c>
      <c r="AN226" s="109">
        <f>IF(SUM(AM226:AM228)+AM238=0,0,IF(SUM(AM226:AM228)=AM238,0.5,IF(SUM(AM226:AM228)&gt;AM238,1,0)))</f>
        <v>1</v>
      </c>
      <c r="AO226" s="188">
        <v>187</v>
      </c>
      <c r="AP226" s="109">
        <f>IF(SUM(AO226:AO228)+AO238=0,0,IF(SUM(AO226:AO228)=AO238,0.5,IF(SUM(AO226:AO228)&gt;AO238,1,0)))</f>
        <v>0</v>
      </c>
      <c r="AQ226" s="188">
        <v>209</v>
      </c>
      <c r="AR226" s="109">
        <f>IF(SUM(AQ226:AQ228)+AQ238=0,0,IF(SUM(AQ226:AQ228)=AQ238,0.5,IF(SUM(AQ226:AQ228)&gt;AQ238,1,0)))</f>
        <v>1</v>
      </c>
      <c r="AS226" s="188">
        <v>179</v>
      </c>
      <c r="AT226" s="109">
        <f>IF(SUM(AS226:AS228)+AS238=0,0,IF(SUM(AS226:AS228)=AS238,0.5,IF(SUM(AS226:AS228)&gt;AS238,1,0)))</f>
        <v>1</v>
      </c>
      <c r="AU226" s="110">
        <f t="shared" si="247"/>
        <v>1706</v>
      </c>
      <c r="AV226" s="111">
        <f>SUM(AD226+AF226+AH226+AJ226+AL226+AN226+AP226+AR226+AT226)</f>
        <v>6</v>
      </c>
      <c r="AW226" s="101"/>
      <c r="AX226" s="102"/>
      <c r="AZ226" s="63"/>
      <c r="BA226" s="212"/>
      <c r="BB226" s="213"/>
      <c r="BC226" s="214"/>
      <c r="BD226" s="217">
        <f t="shared" si="260"/>
        <v>7534</v>
      </c>
      <c r="BE226" s="213">
        <f t="shared" si="261"/>
        <v>1706</v>
      </c>
      <c r="BF226" s="215">
        <f t="shared" si="262"/>
        <v>9</v>
      </c>
      <c r="BG226" s="215">
        <f t="shared" si="263"/>
        <v>9</v>
      </c>
      <c r="BH226" s="215">
        <f t="shared" si="248"/>
        <v>181</v>
      </c>
      <c r="BI226" s="215">
        <f t="shared" si="249"/>
        <v>189</v>
      </c>
      <c r="BJ226" s="215">
        <f t="shared" si="250"/>
        <v>161</v>
      </c>
      <c r="BK226" s="215">
        <f t="shared" si="251"/>
        <v>169</v>
      </c>
      <c r="BL226" s="215">
        <f t="shared" si="252"/>
        <v>208</v>
      </c>
      <c r="BM226" s="215">
        <f t="shared" si="253"/>
        <v>223</v>
      </c>
      <c r="BN226" s="215">
        <f t="shared" si="254"/>
        <v>187</v>
      </c>
      <c r="BO226" s="215">
        <f t="shared" si="255"/>
        <v>209</v>
      </c>
      <c r="BP226" s="215">
        <f t="shared" si="256"/>
        <v>179</v>
      </c>
      <c r="BQ226" s="216"/>
      <c r="BR226" s="214"/>
      <c r="BS226" s="215">
        <f t="shared" si="264"/>
        <v>223</v>
      </c>
      <c r="BT226" s="215">
        <f t="shared" si="265"/>
        <v>0</v>
      </c>
      <c r="BU226" s="215" t="str">
        <f t="shared" si="266"/>
        <v>EPA München 1</v>
      </c>
      <c r="BV226" s="214">
        <f t="shared" si="267"/>
        <v>2</v>
      </c>
      <c r="BW226" s="215">
        <f t="shared" si="268"/>
        <v>1706</v>
      </c>
      <c r="BX226" s="215">
        <f>IF(COUNTIF(BH226:BP226,"&gt;0")&lt;Spielorte!$A$23,0,BE226/Spielorte!$A$23)</f>
        <v>189.55555555555554</v>
      </c>
      <c r="BY226" s="215">
        <f t="shared" si="269"/>
        <v>0</v>
      </c>
      <c r="BZ226" s="214">
        <f t="shared" si="257"/>
        <v>0</v>
      </c>
    </row>
    <row r="227" spans="1:78" ht="17.2" customHeight="1" x14ac:dyDescent="0.35">
      <c r="A227" s="368"/>
      <c r="B227" s="76" t="str">
        <f>IF(AA227=0,"",AA227)</f>
        <v/>
      </c>
      <c r="C227" s="77" t="str">
        <f t="shared" si="258"/>
        <v/>
      </c>
      <c r="D227" s="78" t="str">
        <f t="shared" si="258"/>
        <v/>
      </c>
      <c r="E227" s="349"/>
      <c r="F227" s="78" t="str">
        <f t="shared" si="239"/>
        <v/>
      </c>
      <c r="G227" s="349"/>
      <c r="H227" s="78" t="str">
        <f t="shared" si="240"/>
        <v/>
      </c>
      <c r="I227" s="349"/>
      <c r="J227" s="78" t="str">
        <f t="shared" si="241"/>
        <v/>
      </c>
      <c r="K227" s="349"/>
      <c r="L227" s="78" t="str">
        <f t="shared" si="242"/>
        <v/>
      </c>
      <c r="M227" s="349"/>
      <c r="N227" s="78" t="str">
        <f t="shared" si="259"/>
        <v/>
      </c>
      <c r="O227" s="349"/>
      <c r="P227" s="78" t="str">
        <f t="shared" si="243"/>
        <v/>
      </c>
      <c r="Q227" s="349"/>
      <c r="R227" s="78" t="str">
        <f t="shared" si="244"/>
        <v/>
      </c>
      <c r="S227" s="349"/>
      <c r="T227" s="78" t="str">
        <f t="shared" si="245"/>
        <v/>
      </c>
      <c r="U227" s="349"/>
      <c r="V227" s="78" t="str">
        <f t="shared" si="246"/>
        <v/>
      </c>
      <c r="W227" s="349"/>
      <c r="Z227" s="352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47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0"/>
        <v>0</v>
      </c>
      <c r="BE227" s="213">
        <f t="shared" si="261"/>
        <v>0</v>
      </c>
      <c r="BF227" s="215">
        <f t="shared" si="262"/>
        <v>0</v>
      </c>
      <c r="BG227" s="215">
        <f t="shared" si="263"/>
        <v>0</v>
      </c>
      <c r="BH227" s="215" t="str">
        <f t="shared" si="248"/>
        <v/>
      </c>
      <c r="BI227" s="215" t="str">
        <f t="shared" si="249"/>
        <v/>
      </c>
      <c r="BJ227" s="215" t="str">
        <f t="shared" si="250"/>
        <v/>
      </c>
      <c r="BK227" s="215" t="str">
        <f t="shared" si="251"/>
        <v/>
      </c>
      <c r="BL227" s="215" t="str">
        <f t="shared" si="252"/>
        <v/>
      </c>
      <c r="BM227" s="215" t="str">
        <f t="shared" si="253"/>
        <v/>
      </c>
      <c r="BN227" s="215" t="str">
        <f t="shared" si="254"/>
        <v/>
      </c>
      <c r="BO227" s="215" t="str">
        <f t="shared" si="255"/>
        <v/>
      </c>
      <c r="BP227" s="215" t="str">
        <f t="shared" si="256"/>
        <v/>
      </c>
      <c r="BQ227" s="216"/>
      <c r="BR227" s="214"/>
      <c r="BS227" s="215">
        <f t="shared" si="264"/>
        <v>0</v>
      </c>
      <c r="BT227" s="215">
        <f t="shared" si="265"/>
        <v>0</v>
      </c>
      <c r="BU227" s="215" t="str">
        <f t="shared" si="266"/>
        <v>EPA München 1</v>
      </c>
      <c r="BV227" s="214">
        <f t="shared" si="267"/>
        <v>2</v>
      </c>
      <c r="BW227" s="215">
        <f t="shared" si="268"/>
        <v>0</v>
      </c>
      <c r="BX227" s="215">
        <f>IF(COUNTIF(BH227:BP227,"&gt;0")&lt;Spielorte!$A$23,0,BE227/Spielorte!$A$23)</f>
        <v>0</v>
      </c>
      <c r="BY227" s="215">
        <f t="shared" si="269"/>
        <v>0</v>
      </c>
      <c r="BZ227" s="214">
        <f t="shared" si="257"/>
        <v>0</v>
      </c>
    </row>
    <row r="228" spans="1:78" ht="17.2" customHeight="1" thickBot="1" x14ac:dyDescent="0.4">
      <c r="A228" s="369"/>
      <c r="B228" s="79" t="str">
        <f>IF(AA228=0,"",AA228)</f>
        <v/>
      </c>
      <c r="C228" s="80" t="str">
        <f t="shared" si="258"/>
        <v/>
      </c>
      <c r="D228" s="69" t="str">
        <f t="shared" si="258"/>
        <v/>
      </c>
      <c r="E228" s="350"/>
      <c r="F228" s="69" t="str">
        <f t="shared" si="239"/>
        <v/>
      </c>
      <c r="G228" s="350"/>
      <c r="H228" s="69" t="str">
        <f t="shared" si="240"/>
        <v/>
      </c>
      <c r="I228" s="350"/>
      <c r="J228" s="69" t="str">
        <f t="shared" si="241"/>
        <v/>
      </c>
      <c r="K228" s="350"/>
      <c r="L228" s="69" t="str">
        <f t="shared" si="242"/>
        <v/>
      </c>
      <c r="M228" s="350"/>
      <c r="N228" s="69" t="str">
        <f t="shared" si="259"/>
        <v/>
      </c>
      <c r="O228" s="350"/>
      <c r="P228" s="69" t="str">
        <f t="shared" si="243"/>
        <v/>
      </c>
      <c r="Q228" s="350"/>
      <c r="R228" s="69" t="str">
        <f t="shared" si="244"/>
        <v/>
      </c>
      <c r="S228" s="350"/>
      <c r="T228" s="69" t="str">
        <f t="shared" si="245"/>
        <v/>
      </c>
      <c r="U228" s="350"/>
      <c r="V228" s="69" t="str">
        <f t="shared" si="246"/>
        <v/>
      </c>
      <c r="W228" s="350"/>
      <c r="Z228" s="353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47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0"/>
        <v>0</v>
      </c>
      <c r="BE228" s="213">
        <f t="shared" si="261"/>
        <v>0</v>
      </c>
      <c r="BF228" s="215">
        <f t="shared" si="262"/>
        <v>0</v>
      </c>
      <c r="BG228" s="215">
        <f t="shared" si="263"/>
        <v>0</v>
      </c>
      <c r="BH228" s="215" t="str">
        <f t="shared" si="248"/>
        <v/>
      </c>
      <c r="BI228" s="215" t="str">
        <f t="shared" si="249"/>
        <v/>
      </c>
      <c r="BJ228" s="215" t="str">
        <f t="shared" si="250"/>
        <v/>
      </c>
      <c r="BK228" s="215" t="str">
        <f t="shared" si="251"/>
        <v/>
      </c>
      <c r="BL228" s="215" t="str">
        <f t="shared" si="252"/>
        <v/>
      </c>
      <c r="BM228" s="215" t="str">
        <f t="shared" si="253"/>
        <v/>
      </c>
      <c r="BN228" s="215" t="str">
        <f t="shared" si="254"/>
        <v/>
      </c>
      <c r="BO228" s="215" t="str">
        <f t="shared" si="255"/>
        <v/>
      </c>
      <c r="BP228" s="215" t="str">
        <f t="shared" si="256"/>
        <v/>
      </c>
      <c r="BQ228" s="216"/>
      <c r="BR228" s="214"/>
      <c r="BS228" s="215">
        <f t="shared" si="264"/>
        <v>0</v>
      </c>
      <c r="BT228" s="215">
        <f t="shared" si="265"/>
        <v>0</v>
      </c>
      <c r="BU228" s="215" t="str">
        <f t="shared" si="266"/>
        <v>EPA München 1</v>
      </c>
      <c r="BV228" s="214">
        <f t="shared" si="267"/>
        <v>2</v>
      </c>
      <c r="BW228" s="215">
        <f t="shared" si="268"/>
        <v>0</v>
      </c>
      <c r="BX228" s="215">
        <f>IF(COUNTIF(BH228:BP228,"&gt;0")&lt;Spielorte!$A$23,0,BE228/Spielorte!$A$23)</f>
        <v>0</v>
      </c>
      <c r="BY228" s="215">
        <f t="shared" si="269"/>
        <v>0</v>
      </c>
      <c r="BZ228" s="214">
        <f t="shared" si="257"/>
        <v>0</v>
      </c>
    </row>
    <row r="229" spans="1:78" ht="27.75" customHeight="1" thickBot="1" x14ac:dyDescent="0.4">
      <c r="B229" s="81" t="str">
        <f>IF(AA229=0,"",AA229)</f>
        <v>Gesamt</v>
      </c>
      <c r="C229" s="82" t="str">
        <f t="shared" si="258"/>
        <v/>
      </c>
      <c r="D229" s="83">
        <f t="shared" si="258"/>
        <v>727</v>
      </c>
      <c r="E229" s="84">
        <f>IF(AD229="","",AD229)</f>
        <v>2</v>
      </c>
      <c r="F229" s="83">
        <f t="shared" si="239"/>
        <v>693</v>
      </c>
      <c r="G229" s="84">
        <f>IF(AF229="","",AF229)</f>
        <v>2</v>
      </c>
      <c r="H229" s="83">
        <f t="shared" si="240"/>
        <v>676</v>
      </c>
      <c r="I229" s="84">
        <f>IF(AH229="","",AH229)</f>
        <v>2</v>
      </c>
      <c r="J229" s="83">
        <f t="shared" si="241"/>
        <v>742</v>
      </c>
      <c r="K229" s="84">
        <f>IF(AJ229="","",AJ229)</f>
        <v>2</v>
      </c>
      <c r="L229" s="83">
        <f t="shared" si="242"/>
        <v>687</v>
      </c>
      <c r="M229" s="84">
        <f>IF(AL229="","",AL229)</f>
        <v>2</v>
      </c>
      <c r="N229" s="83">
        <f t="shared" si="259"/>
        <v>722</v>
      </c>
      <c r="O229" s="84">
        <f>IF(AN229="","",AN229)</f>
        <v>2</v>
      </c>
      <c r="P229" s="83">
        <f t="shared" si="243"/>
        <v>781</v>
      </c>
      <c r="Q229" s="84">
        <f>IF(AP229="","",AP229)</f>
        <v>2</v>
      </c>
      <c r="R229" s="83">
        <f t="shared" si="244"/>
        <v>743</v>
      </c>
      <c r="S229" s="84">
        <f>IF(AR229="","",AR229)</f>
        <v>0</v>
      </c>
      <c r="T229" s="83">
        <f t="shared" si="245"/>
        <v>742</v>
      </c>
      <c r="U229" s="84">
        <f>IF(AT229="","",AT229)</f>
        <v>2</v>
      </c>
      <c r="V229" s="83">
        <f t="shared" si="246"/>
        <v>6513</v>
      </c>
      <c r="W229" s="84">
        <f>IF(AV229="","",AV229)</f>
        <v>16</v>
      </c>
      <c r="AA229" s="81" t="s">
        <v>1799</v>
      </c>
      <c r="AB229" s="120"/>
      <c r="AC229" s="211">
        <f>ABS(SUM(AC217:AC219))+ABS(SUM(AC220:AC222))+ABS(SUM(AC223:AC225))+ABS(SUM(AC226:AC228))</f>
        <v>727</v>
      </c>
      <c r="AD229" s="121">
        <f>IF(AC229+AC239=0,0,IF(AC229=AC239,1,IF(AC229&gt;AC239,2,0)))</f>
        <v>2</v>
      </c>
      <c r="AE229" s="211">
        <f>ABS(SUM(AE217:AE219))+ABS(SUM(AE220:AE222))+ABS(SUM(AE223:AE225))+ABS(SUM(AE226:AE228))</f>
        <v>693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676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742</v>
      </c>
      <c r="AJ229" s="121">
        <f>IF(AI229+AI239=0,0,IF(AI229=AI239,1,IF(AI229&gt;AI239,2,0)))</f>
        <v>2</v>
      </c>
      <c r="AK229" s="211">
        <f>ABS(SUM(AK217:AK219))+ABS(SUM(AK220:AK222))+ABS(SUM(AK223:AK225))+ABS(SUM(AK226:AK228))</f>
        <v>687</v>
      </c>
      <c r="AL229" s="121">
        <f>IF(AK229+AK239=0,0,IF(AK229=AK239,1,IF(AK229&gt;AK239,2,0)))</f>
        <v>2</v>
      </c>
      <c r="AM229" s="211">
        <f>ABS(SUM(AM217:AM219))+ABS(SUM(AM220:AM222))+ABS(SUM(AM223:AM225))+ABS(SUM(AM226:AM228))</f>
        <v>722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781</v>
      </c>
      <c r="AP229" s="121">
        <f>IF(AO229+AO239=0,0,IF(AO229=AO239,1,IF(AO229&gt;AO239,2,0)))</f>
        <v>2</v>
      </c>
      <c r="AQ229" s="211">
        <f>ABS(SUM(AQ217:AQ219))+ABS(SUM(AQ220:AQ222))+ABS(SUM(AQ223:AQ225))+ABS(SUM(AQ226:AQ228))</f>
        <v>743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742</v>
      </c>
      <c r="AT229" s="121">
        <f>IF(AS229+AS239=0,0,IF(AS229=AS239,1,IF(AS229&gt;AS239,2,0)))</f>
        <v>2</v>
      </c>
      <c r="AU229" s="122">
        <f>SUM(AC229+AE229+AG229+AI229+AK229+AM229+AO229+AQ229+AS229)</f>
        <v>6513</v>
      </c>
      <c r="AV229" s="123">
        <f>SUM(AD229+AF229+AH229+AJ229+AL229+AN229+AP229+AR229+AT229)</f>
        <v>16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4">
      <c r="B230" s="85" t="str">
        <f>IF(AA230=0,"",AA230)</f>
        <v>Gesamt - Punkte</v>
      </c>
      <c r="C230" s="86" t="str">
        <f t="shared" si="258"/>
        <v/>
      </c>
      <c r="D230" s="86" t="str">
        <f t="shared" si="258"/>
        <v/>
      </c>
      <c r="E230" s="87">
        <f>IF(AD230="","",AD230)</f>
        <v>5</v>
      </c>
      <c r="F230" s="86" t="str">
        <f t="shared" si="239"/>
        <v/>
      </c>
      <c r="G230" s="87">
        <f>IF(AF230="","",AF230)</f>
        <v>4</v>
      </c>
      <c r="H230" s="86" t="str">
        <f t="shared" si="240"/>
        <v/>
      </c>
      <c r="I230" s="87">
        <f>IF(AH230="","",AH230)</f>
        <v>5</v>
      </c>
      <c r="J230" s="86" t="str">
        <f t="shared" si="241"/>
        <v/>
      </c>
      <c r="K230" s="87">
        <f>IF(AJ230="","",AJ230)</f>
        <v>4</v>
      </c>
      <c r="L230" s="86" t="str">
        <f t="shared" si="242"/>
        <v/>
      </c>
      <c r="M230" s="87">
        <f>IF(AL230="","",AL230)</f>
        <v>6</v>
      </c>
      <c r="N230" s="86" t="str">
        <f t="shared" si="259"/>
        <v/>
      </c>
      <c r="O230" s="87">
        <f>IF(AN230="","",AN230)</f>
        <v>4</v>
      </c>
      <c r="P230" s="86" t="str">
        <f t="shared" si="243"/>
        <v/>
      </c>
      <c r="Q230" s="87">
        <f>IF(AP230="","",AP230)</f>
        <v>4</v>
      </c>
      <c r="R230" s="86" t="str">
        <f t="shared" si="244"/>
        <v/>
      </c>
      <c r="S230" s="87">
        <f>IF(AR230="","",AR230)</f>
        <v>2</v>
      </c>
      <c r="T230" s="86" t="str">
        <f t="shared" si="245"/>
        <v/>
      </c>
      <c r="U230" s="87">
        <f>IF(AT230="","",AT230)</f>
        <v>5</v>
      </c>
      <c r="V230" s="86" t="str">
        <f t="shared" si="246"/>
        <v/>
      </c>
      <c r="W230" s="87">
        <f>IF(AV230="","",AV230)</f>
        <v>39</v>
      </c>
      <c r="AA230" s="85" t="s">
        <v>1814</v>
      </c>
      <c r="AB230" s="86"/>
      <c r="AC230" s="86"/>
      <c r="AD230" s="124">
        <f>SUM(AD217:AD229)</f>
        <v>5</v>
      </c>
      <c r="AE230" s="86"/>
      <c r="AF230" s="124">
        <f>SUM(AF217:AF229)</f>
        <v>4</v>
      </c>
      <c r="AG230" s="86"/>
      <c r="AH230" s="124">
        <f>SUM(AH217:AH229)</f>
        <v>5</v>
      </c>
      <c r="AI230" s="86"/>
      <c r="AJ230" s="124">
        <f>SUM(AJ217:AJ229)</f>
        <v>4</v>
      </c>
      <c r="AK230" s="86"/>
      <c r="AL230" s="124">
        <f>SUM(AL217:AL229)</f>
        <v>6</v>
      </c>
      <c r="AM230" s="86"/>
      <c r="AN230" s="124">
        <f>SUM(AN217:AN229)</f>
        <v>4</v>
      </c>
      <c r="AO230" s="86"/>
      <c r="AP230" s="124">
        <f>SUM(AP217:AP229)</f>
        <v>4</v>
      </c>
      <c r="AQ230" s="86"/>
      <c r="AR230" s="124">
        <f>SUM(AR217:AR229)</f>
        <v>2</v>
      </c>
      <c r="AS230" s="86"/>
      <c r="AT230" s="124">
        <f>SUM(AT217:AT229)</f>
        <v>5</v>
      </c>
      <c r="AU230" s="86"/>
      <c r="AV230" s="125">
        <f>SUM(AV217:AV229)</f>
        <v>39</v>
      </c>
      <c r="AW230" s="101"/>
      <c r="AX230" s="102"/>
      <c r="BA230" s="212">
        <f>+AV230</f>
        <v>39</v>
      </c>
      <c r="BB230" s="213">
        <f>+AU229</f>
        <v>6513</v>
      </c>
      <c r="BC230" s="214">
        <f>+AA212</f>
        <v>8</v>
      </c>
      <c r="BF230" s="215">
        <f>SUM(BF211:BF229)</f>
        <v>36</v>
      </c>
      <c r="BQ230" s="212">
        <f>+BB230/1000000+BA230</f>
        <v>39.006512999999998</v>
      </c>
      <c r="BR230" s="214">
        <f>RANK(BQ230,BQ:BQ)</f>
        <v>2</v>
      </c>
      <c r="BV230" s="214"/>
      <c r="BZ230" s="214"/>
    </row>
    <row r="231" spans="1:78" ht="11.25" customHeight="1" x14ac:dyDescent="0.3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35">
      <c r="B232" s="88" t="str">
        <f t="shared" ref="B232:K234" si="270">IF(AA232=0,"",AA232)</f>
        <v>Gegner-Nr.:</v>
      </c>
      <c r="C232" s="89" t="str">
        <f t="shared" si="270"/>
        <v>&gt;&gt;&gt;&gt;</v>
      </c>
      <c r="D232" s="346">
        <f t="shared" si="270"/>
        <v>3</v>
      </c>
      <c r="E232" s="346" t="str">
        <f t="shared" si="270"/>
        <v/>
      </c>
      <c r="F232" s="346">
        <f t="shared" si="270"/>
        <v>7</v>
      </c>
      <c r="G232" s="346" t="str">
        <f t="shared" si="270"/>
        <v/>
      </c>
      <c r="H232" s="346">
        <f t="shared" si="270"/>
        <v>6</v>
      </c>
      <c r="I232" s="346" t="str">
        <f t="shared" si="270"/>
        <v/>
      </c>
      <c r="J232" s="346">
        <f t="shared" si="270"/>
        <v>5</v>
      </c>
      <c r="K232" s="346" t="str">
        <f t="shared" si="270"/>
        <v/>
      </c>
      <c r="L232" s="346">
        <f t="shared" ref="L232:U234" si="271">IF(AK232=0,"",AK232)</f>
        <v>4</v>
      </c>
      <c r="M232" s="346" t="str">
        <f t="shared" si="271"/>
        <v/>
      </c>
      <c r="N232" s="346">
        <f t="shared" si="271"/>
        <v>10</v>
      </c>
      <c r="O232" s="346" t="str">
        <f t="shared" si="271"/>
        <v/>
      </c>
      <c r="P232" s="346">
        <f t="shared" si="271"/>
        <v>1</v>
      </c>
      <c r="Q232" s="346" t="str">
        <f t="shared" si="271"/>
        <v/>
      </c>
      <c r="R232" s="346">
        <f t="shared" si="271"/>
        <v>9</v>
      </c>
      <c r="S232" s="346" t="str">
        <f t="shared" si="271"/>
        <v/>
      </c>
      <c r="T232" s="346">
        <f t="shared" si="271"/>
        <v>2</v>
      </c>
      <c r="U232" s="346" t="str">
        <f t="shared" si="271"/>
        <v/>
      </c>
      <c r="V232" s="347"/>
      <c r="W232" s="347"/>
      <c r="AA232" s="88" t="s">
        <v>1797</v>
      </c>
      <c r="AB232" s="89" t="s">
        <v>1798</v>
      </c>
      <c r="AC232" s="370">
        <f>VLOOKUP($AA212,Schlüssel!$A$5:$DG$14,63)</f>
        <v>3</v>
      </c>
      <c r="AD232" s="371"/>
      <c r="AE232" s="370">
        <f>VLOOKUP($AA212,Schlüssel!$A$5:$EK$14,64)</f>
        <v>7</v>
      </c>
      <c r="AF232" s="371"/>
      <c r="AG232" s="370">
        <f>VLOOKUP($AA212,Schlüssel!$A$5:$EK$14,65)</f>
        <v>6</v>
      </c>
      <c r="AH232" s="371"/>
      <c r="AI232" s="370">
        <f>VLOOKUP($AA212,Schlüssel!$A$5:$EK$14,66)</f>
        <v>5</v>
      </c>
      <c r="AJ232" s="371"/>
      <c r="AK232" s="370">
        <f>VLOOKUP($AA212,Schlüssel!$A$5:$EK$14,67)</f>
        <v>4</v>
      </c>
      <c r="AL232" s="371"/>
      <c r="AM232" s="370">
        <f>VLOOKUP($AA212,Schlüssel!$A$5:$EK$14,68)</f>
        <v>10</v>
      </c>
      <c r="AN232" s="371"/>
      <c r="AO232" s="370">
        <f>VLOOKUP($AA212,Schlüssel!$A$5:$EK$14,69)</f>
        <v>1</v>
      </c>
      <c r="AP232" s="371"/>
      <c r="AQ232" s="370">
        <f>VLOOKUP($AA212,Schlüssel!$A$5:$EK$14,70)</f>
        <v>9</v>
      </c>
      <c r="AR232" s="371"/>
      <c r="AS232" s="370">
        <f>VLOOKUP($AA212,Schlüssel!$A$5:$EK$14,71)</f>
        <v>2</v>
      </c>
      <c r="AT232" s="371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35">
      <c r="B233" s="90" t="str">
        <f t="shared" si="270"/>
        <v/>
      </c>
      <c r="C233" s="86" t="str">
        <f t="shared" si="270"/>
        <v/>
      </c>
      <c r="D233" s="343" t="str">
        <f t="shared" si="270"/>
        <v>Highroller Rosenheim</v>
      </c>
      <c r="E233" s="344" t="str">
        <f t="shared" si="270"/>
        <v/>
      </c>
      <c r="F233" s="343" t="str">
        <f t="shared" si="270"/>
        <v>Frankenpower Nürnberg</v>
      </c>
      <c r="G233" s="344" t="str">
        <f t="shared" si="270"/>
        <v/>
      </c>
      <c r="H233" s="343" t="str">
        <f t="shared" si="270"/>
        <v>Phönix 03 Lauf</v>
      </c>
      <c r="I233" s="344" t="str">
        <f t="shared" si="270"/>
        <v/>
      </c>
      <c r="J233" s="343" t="str">
        <f t="shared" si="270"/>
        <v xml:space="preserve">Weiß Blau Unterföhring </v>
      </c>
      <c r="K233" s="344" t="str">
        <f t="shared" si="270"/>
        <v/>
      </c>
      <c r="L233" s="343" t="str">
        <f t="shared" si="271"/>
        <v>BK München 3</v>
      </c>
      <c r="M233" s="344" t="str">
        <f t="shared" si="271"/>
        <v/>
      </c>
      <c r="N233" s="343" t="str">
        <f t="shared" si="271"/>
        <v>BK München 4</v>
      </c>
      <c r="O233" s="344" t="str">
        <f t="shared" si="271"/>
        <v/>
      </c>
      <c r="P233" s="343" t="str">
        <f t="shared" si="271"/>
        <v>Praetoria Regensburg</v>
      </c>
      <c r="Q233" s="344" t="str">
        <f t="shared" si="271"/>
        <v/>
      </c>
      <c r="R233" s="343" t="str">
        <f t="shared" si="271"/>
        <v>RW Lichtenhof 69 Stein 2</v>
      </c>
      <c r="S233" s="344" t="str">
        <f t="shared" si="271"/>
        <v/>
      </c>
      <c r="T233" s="343" t="str">
        <f t="shared" si="271"/>
        <v>BK München 2</v>
      </c>
      <c r="U233" s="344" t="str">
        <f t="shared" si="271"/>
        <v/>
      </c>
      <c r="V233" s="345"/>
      <c r="W233" s="345"/>
      <c r="AA233" s="90"/>
      <c r="AB233" s="86"/>
      <c r="AC233" s="343" t="str">
        <f>VLOOKUP(AC232,Schlüssel!$A$5:$K$14,2)</f>
        <v>Highroller Rosenheim</v>
      </c>
      <c r="AD233" s="344"/>
      <c r="AE233" s="343" t="str">
        <f>VLOOKUP(AE232,Schlüssel!$A$5:$K$14,2)</f>
        <v>Frankenpower Nürnberg</v>
      </c>
      <c r="AF233" s="344"/>
      <c r="AG233" s="343" t="str">
        <f>VLOOKUP(AG232,Schlüssel!$A$5:$K$14,2)</f>
        <v>Phönix 03 Lauf</v>
      </c>
      <c r="AH233" s="344"/>
      <c r="AI233" s="343" t="str">
        <f>VLOOKUP(AI232,Schlüssel!$A$5:$K$14,2)</f>
        <v xml:space="preserve">Weiß Blau Unterföhring </v>
      </c>
      <c r="AJ233" s="344"/>
      <c r="AK233" s="343" t="str">
        <f>VLOOKUP(AK232,Schlüssel!$A$5:$K$14,2)</f>
        <v>BK München 3</v>
      </c>
      <c r="AL233" s="344"/>
      <c r="AM233" s="343" t="str">
        <f>VLOOKUP(AM232,Schlüssel!$A$5:$K$14,2)</f>
        <v>BK München 4</v>
      </c>
      <c r="AN233" s="344"/>
      <c r="AO233" s="343" t="str">
        <f>VLOOKUP(AO232,Schlüssel!$A$5:$K$14,2)</f>
        <v>Praetoria Regensburg</v>
      </c>
      <c r="AP233" s="344"/>
      <c r="AQ233" s="343" t="str">
        <f>VLOOKUP(AQ232,Schlüssel!$A$5:$K$14,2)</f>
        <v>RW Lichtenhof 69 Stein 2</v>
      </c>
      <c r="AR233" s="344"/>
      <c r="AS233" s="343" t="str">
        <f>VLOOKUP(AS232,Schlüssel!$A$5:$K$14,2)</f>
        <v>BK München 2</v>
      </c>
      <c r="AT233" s="344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35">
      <c r="B234" s="90" t="str">
        <f t="shared" si="270"/>
        <v/>
      </c>
      <c r="C234" s="86" t="str">
        <f t="shared" si="270"/>
        <v/>
      </c>
      <c r="D234" s="341" t="str">
        <f t="shared" si="270"/>
        <v/>
      </c>
      <c r="E234" s="341" t="str">
        <f t="shared" si="270"/>
        <v/>
      </c>
      <c r="F234" s="341" t="str">
        <f t="shared" si="270"/>
        <v/>
      </c>
      <c r="G234" s="341" t="str">
        <f t="shared" si="270"/>
        <v/>
      </c>
      <c r="H234" s="341" t="str">
        <f t="shared" si="270"/>
        <v/>
      </c>
      <c r="I234" s="341" t="str">
        <f t="shared" si="270"/>
        <v/>
      </c>
      <c r="J234" s="341" t="str">
        <f t="shared" si="270"/>
        <v/>
      </c>
      <c r="K234" s="341" t="str">
        <f t="shared" si="270"/>
        <v/>
      </c>
      <c r="L234" s="341" t="str">
        <f t="shared" si="271"/>
        <v/>
      </c>
      <c r="M234" s="341" t="str">
        <f t="shared" si="271"/>
        <v/>
      </c>
      <c r="N234" s="341" t="str">
        <f t="shared" si="271"/>
        <v/>
      </c>
      <c r="O234" s="341" t="str">
        <f t="shared" si="271"/>
        <v/>
      </c>
      <c r="P234" s="341" t="str">
        <f t="shared" si="271"/>
        <v/>
      </c>
      <c r="Q234" s="341" t="str">
        <f t="shared" si="271"/>
        <v/>
      </c>
      <c r="R234" s="341" t="str">
        <f t="shared" si="271"/>
        <v/>
      </c>
      <c r="S234" s="341" t="str">
        <f t="shared" si="271"/>
        <v/>
      </c>
      <c r="T234" s="341" t="str">
        <f t="shared" si="271"/>
        <v/>
      </c>
      <c r="U234" s="342" t="str">
        <f t="shared" si="271"/>
        <v/>
      </c>
      <c r="V234" s="301"/>
      <c r="W234" s="301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6.05" customHeight="1" x14ac:dyDescent="0.35">
      <c r="B235" s="365" t="str">
        <f t="shared" ref="B235:C239" si="272">IF(AA235=0,"",AA235)</f>
        <v>Spieler 1</v>
      </c>
      <c r="C235" s="366" t="str">
        <f t="shared" si="272"/>
        <v/>
      </c>
      <c r="D235" s="339">
        <f>IF(AC235=301,"",AC235)</f>
        <v>208</v>
      </c>
      <c r="E235" s="339" t="str">
        <f>IF(AD235=0,"",AD235)</f>
        <v/>
      </c>
      <c r="F235" s="339">
        <f>IF(AE235=301,"",AE235)</f>
        <v>158</v>
      </c>
      <c r="G235" s="339" t="str">
        <f>IF(AF235=0,"",AF235)</f>
        <v/>
      </c>
      <c r="H235" s="339">
        <f>IF(AG235=301,"",AG235)</f>
        <v>145</v>
      </c>
      <c r="I235" s="339" t="str">
        <f>IF(AH235=0,"",AH235)</f>
        <v/>
      </c>
      <c r="J235" s="339">
        <f>IF(AI235=301,"",AI235)</f>
        <v>148</v>
      </c>
      <c r="K235" s="339" t="str">
        <f>IF(AJ235=0,"",AJ235)</f>
        <v/>
      </c>
      <c r="L235" s="339">
        <f>IF(AK235=301,"",AK235)</f>
        <v>0</v>
      </c>
      <c r="M235" s="339" t="str">
        <f>IF(AL235=0,"",AL235)</f>
        <v/>
      </c>
      <c r="N235" s="339">
        <f>IF(AM235=301,"",AM235)</f>
        <v>169</v>
      </c>
      <c r="O235" s="339" t="str">
        <f>IF(AN235=0,"",AN235)</f>
        <v/>
      </c>
      <c r="P235" s="339">
        <f>IF(AO235=301,"",AO235)</f>
        <v>190</v>
      </c>
      <c r="Q235" s="339" t="str">
        <f>IF(AP235=0,"",AP235)</f>
        <v/>
      </c>
      <c r="R235" s="339">
        <f>IF(AQ235=301,"",AQ235)</f>
        <v>192</v>
      </c>
      <c r="S235" s="339" t="str">
        <f>IF(AR235=0,"",AR235)</f>
        <v/>
      </c>
      <c r="T235" s="339">
        <f>IF(AS235=301,"",AS235)</f>
        <v>169</v>
      </c>
      <c r="U235" s="339" t="str">
        <f>IF(AT235=0,"",AT235)</f>
        <v/>
      </c>
      <c r="V235" s="340"/>
      <c r="W235" s="340"/>
      <c r="AA235" s="91" t="s">
        <v>0</v>
      </c>
      <c r="AB235" s="92"/>
      <c r="AC235" s="372">
        <f>ABS(INDEX(AC:AC,MATCH(AC232,$AA:$AA,0)+5)+INDEX(AC:AC,MATCH(AC232,$AA:$AA,0)+6)+INDEX(AC:AC,MATCH(AC232,$AA:$AA,0)+7))</f>
        <v>208</v>
      </c>
      <c r="AD235" s="373"/>
      <c r="AE235" s="372">
        <f>ABS(INDEX(AE:AE,MATCH(AE232,$AA:$AA,0)+5)+INDEX(AE:AE,MATCH(AE232,$AA:$AA,0)+6)+INDEX(AE:AE,MATCH(AE232,$AA:$AA,0)+7))</f>
        <v>158</v>
      </c>
      <c r="AF235" s="373"/>
      <c r="AG235" s="372">
        <f>ABS(INDEX(AG:AG,MATCH(AG232,$AA:$AA,0)+5)+INDEX(AG:AG,MATCH(AG232,$AA:$AA,0)+6)+INDEX(AG:AG,MATCH(AG232,$AA:$AA,0)+7))</f>
        <v>145</v>
      </c>
      <c r="AH235" s="373"/>
      <c r="AI235" s="372">
        <f>ABS(INDEX(AI:AI,MATCH(AI232,$AA:$AA,0)+5)+INDEX(AI:AI,MATCH(AI232,$AA:$AA,0)+6)+INDEX(AI:AI,MATCH(AI232,$AA:$AA,0)+7))</f>
        <v>148</v>
      </c>
      <c r="AJ235" s="373"/>
      <c r="AK235" s="372">
        <f>ABS(INDEX(AK:AK,MATCH(AK232,$AA:$AA,0)+5)+INDEX(AK:AK,MATCH(AK232,$AA:$AA,0)+6)+INDEX(AK:AK,MATCH(AK232,$AA:$AA,0)+7))</f>
        <v>0</v>
      </c>
      <c r="AL235" s="373"/>
      <c r="AM235" s="372">
        <f>ABS(INDEX(AM:AM,MATCH(AM232,$AA:$AA,0)+5)+INDEX(AM:AM,MATCH(AM232,$AA:$AA,0)+6)+INDEX(AM:AM,MATCH(AM232,$AA:$AA,0)+7))</f>
        <v>169</v>
      </c>
      <c r="AN235" s="373"/>
      <c r="AO235" s="372">
        <f>ABS(INDEX(AO:AO,MATCH(AO232,$AA:$AA,0)+5)+INDEX(AO:AO,MATCH(AO232,$AA:$AA,0)+6)+INDEX(AO:AO,MATCH(AO232,$AA:$AA,0)+7))</f>
        <v>190</v>
      </c>
      <c r="AP235" s="373"/>
      <c r="AQ235" s="372">
        <f>ABS(INDEX(AQ:AQ,MATCH(AQ232,$AA:$AA,0)+5)+INDEX(AQ:AQ,MATCH(AQ232,$AA:$AA,0)+6)+INDEX(AQ:AQ,MATCH(AQ232,$AA:$AA,0)+7))</f>
        <v>192</v>
      </c>
      <c r="AR235" s="373"/>
      <c r="AS235" s="372">
        <f>ABS(INDEX(AS:AS,MATCH(AS232,$AA:$AA,0)+5)+INDEX(AS:AS,MATCH(AS232,$AA:$AA,0)+6)+INDEX(AS:AS,MATCH(AS232,$AA:$AA,0)+7))</f>
        <v>169</v>
      </c>
      <c r="AT235" s="373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6.05" customHeight="1" x14ac:dyDescent="0.35">
      <c r="B236" s="365" t="str">
        <f t="shared" si="272"/>
        <v>Spieler 2</v>
      </c>
      <c r="C236" s="366" t="str">
        <f t="shared" si="272"/>
        <v/>
      </c>
      <c r="D236" s="339">
        <f>IF(AC236=301,"",AC236)</f>
        <v>145</v>
      </c>
      <c r="E236" s="339" t="str">
        <f>IF(AD236=0,"",AD236)</f>
        <v/>
      </c>
      <c r="F236" s="339">
        <f>IF(AE236=301,"",AE236)</f>
        <v>165</v>
      </c>
      <c r="G236" s="339" t="str">
        <f>IF(AF236=0,"",AF236)</f>
        <v/>
      </c>
      <c r="H236" s="339">
        <f>IF(AG236=301,"",AG236)</f>
        <v>163</v>
      </c>
      <c r="I236" s="339" t="str">
        <f>IF(AH236=0,"",AH236)</f>
        <v/>
      </c>
      <c r="J236" s="339">
        <f>IF(AI236=301,"",AI236)</f>
        <v>135</v>
      </c>
      <c r="K236" s="339" t="str">
        <f>IF(AJ236=0,"",AJ236)</f>
        <v/>
      </c>
      <c r="L236" s="339">
        <f>IF(AK236=301,"",AK236)</f>
        <v>0</v>
      </c>
      <c r="M236" s="339" t="str">
        <f>IF(AL236=0,"",AL236)</f>
        <v/>
      </c>
      <c r="N236" s="339">
        <f>IF(AM236=301,"",AM236)</f>
        <v>201</v>
      </c>
      <c r="O236" s="339" t="str">
        <f>IF(AN236=0,"",AN236)</f>
        <v/>
      </c>
      <c r="P236" s="339">
        <f>IF(AO236=301,"",AO236)</f>
        <v>187</v>
      </c>
      <c r="Q236" s="339" t="str">
        <f>IF(AP236=0,"",AP236)</f>
        <v/>
      </c>
      <c r="R236" s="339">
        <f>IF(AQ236=301,"",AQ236)</f>
        <v>222</v>
      </c>
      <c r="S236" s="339" t="str">
        <f>IF(AR236=0,"",AR236)</f>
        <v/>
      </c>
      <c r="T236" s="339">
        <f>IF(AS236=301,"",AS236)</f>
        <v>199</v>
      </c>
      <c r="U236" s="339" t="str">
        <f>IF(AT236=0,"",AT236)</f>
        <v/>
      </c>
      <c r="V236" s="340"/>
      <c r="W236" s="340"/>
      <c r="AA236" s="91" t="s">
        <v>2</v>
      </c>
      <c r="AB236" s="92"/>
      <c r="AC236" s="374">
        <f>ABS(INDEX(AC:AC,MATCH(AC232,$AA:$AA,0)+8)+INDEX(AC:AC,MATCH(AC232,$AA:$AA,0)+9)+INDEX(AC:AC,MATCH(AC232,$AA:$AA,0)+10))</f>
        <v>145</v>
      </c>
      <c r="AD236" s="375"/>
      <c r="AE236" s="374">
        <f>ABS(INDEX(AE:AE,MATCH(AE232,$AA:$AA,0)+8)+INDEX(AE:AE,MATCH(AE232,$AA:$AA,0)+9)+INDEX(AE:AE,MATCH(AE232,$AA:$AA,0)+10))</f>
        <v>165</v>
      </c>
      <c r="AF236" s="375"/>
      <c r="AG236" s="374">
        <f>ABS(INDEX(AG:AG,MATCH(AG232,$AA:$AA,0)+8)+INDEX(AG:AG,MATCH(AG232,$AA:$AA,0)+9)+INDEX(AG:AG,MATCH(AG232,$AA:$AA,0)+10))</f>
        <v>163</v>
      </c>
      <c r="AH236" s="375"/>
      <c r="AI236" s="374">
        <f>ABS(INDEX(AI:AI,MATCH(AI232,$AA:$AA,0)+8)+INDEX(AI:AI,MATCH(AI232,$AA:$AA,0)+9)+INDEX(AI:AI,MATCH(AI232,$AA:$AA,0)+10))</f>
        <v>135</v>
      </c>
      <c r="AJ236" s="375"/>
      <c r="AK236" s="374">
        <f>ABS(INDEX(AK:AK,MATCH(AK232,$AA:$AA,0)+8)+INDEX(AK:AK,MATCH(AK232,$AA:$AA,0)+9)+INDEX(AK:AK,MATCH(AK232,$AA:$AA,0)+10))</f>
        <v>0</v>
      </c>
      <c r="AL236" s="375"/>
      <c r="AM236" s="374">
        <f>ABS(INDEX(AM:AM,MATCH(AM232,$AA:$AA,0)+8)+INDEX(AM:AM,MATCH(AM232,$AA:$AA,0)+9)+INDEX(AM:AM,MATCH(AM232,$AA:$AA,0)+10))</f>
        <v>201</v>
      </c>
      <c r="AN236" s="375"/>
      <c r="AO236" s="374">
        <f>ABS(INDEX(AO:AO,MATCH(AO232,$AA:$AA,0)+8)+INDEX(AO:AO,MATCH(AO232,$AA:$AA,0)+9)+INDEX(AO:AO,MATCH(AO232,$AA:$AA,0)+10))</f>
        <v>187</v>
      </c>
      <c r="AP236" s="375"/>
      <c r="AQ236" s="374">
        <f>ABS(INDEX(AQ:AQ,MATCH(AQ232,$AA:$AA,0)+8)+INDEX(AQ:AQ,MATCH(AQ232,$AA:$AA,0)+9)+INDEX(AQ:AQ,MATCH(AQ232,$AA:$AA,0)+10))</f>
        <v>222</v>
      </c>
      <c r="AR236" s="375"/>
      <c r="AS236" s="374">
        <f>ABS(INDEX(AS:AS,MATCH(AS232,$AA:$AA,0)+8)+INDEX(AS:AS,MATCH(AS232,$AA:$AA,0)+9)+INDEX(AS:AS,MATCH(AS232,$AA:$AA,0)+10))</f>
        <v>199</v>
      </c>
      <c r="AT236" s="37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6.05" customHeight="1" x14ac:dyDescent="0.35">
      <c r="B237" s="365" t="str">
        <f t="shared" si="272"/>
        <v>Spieler 3</v>
      </c>
      <c r="C237" s="366" t="str">
        <f t="shared" si="272"/>
        <v/>
      </c>
      <c r="D237" s="339">
        <f>IF(AC237=301,"",AC237)</f>
        <v>182</v>
      </c>
      <c r="E237" s="339" t="str">
        <f>IF(AD237=0,"",AD237)</f>
        <v/>
      </c>
      <c r="F237" s="339">
        <f>IF(AE237=301,"",AE237)</f>
        <v>191</v>
      </c>
      <c r="G237" s="339" t="str">
        <f>IF(AF237=0,"",AF237)</f>
        <v/>
      </c>
      <c r="H237" s="339">
        <f>IF(AG237=301,"",AG237)</f>
        <v>149</v>
      </c>
      <c r="I237" s="339" t="str">
        <f>IF(AH237=0,"",AH237)</f>
        <v/>
      </c>
      <c r="J237" s="339">
        <f>IF(AI237=301,"",AI237)</f>
        <v>203</v>
      </c>
      <c r="K237" s="339" t="str">
        <f>IF(AJ237=0,"",AJ237)</f>
        <v/>
      </c>
      <c r="L237" s="339">
        <f>IF(AK237=301,"",AK237)</f>
        <v>0</v>
      </c>
      <c r="M237" s="339" t="str">
        <f>IF(AL237=0,"",AL237)</f>
        <v/>
      </c>
      <c r="N237" s="339">
        <f>IF(AM237=301,"",AM237)</f>
        <v>147</v>
      </c>
      <c r="O237" s="339" t="str">
        <f>IF(AN237=0,"",AN237)</f>
        <v/>
      </c>
      <c r="P237" s="339">
        <f>IF(AO237=301,"",AO237)</f>
        <v>136</v>
      </c>
      <c r="Q237" s="339" t="str">
        <f>IF(AP237=0,"",AP237)</f>
        <v/>
      </c>
      <c r="R237" s="339">
        <f>IF(AQ237=301,"",AQ237)</f>
        <v>174</v>
      </c>
      <c r="S237" s="339" t="str">
        <f>IF(AR237=0,"",AR237)</f>
        <v/>
      </c>
      <c r="T237" s="339">
        <f>IF(AS237=301,"",AS237)</f>
        <v>160</v>
      </c>
      <c r="U237" s="339" t="str">
        <f>IF(AT237=0,"",AT237)</f>
        <v/>
      </c>
      <c r="V237" s="340"/>
      <c r="W237" s="340"/>
      <c r="AA237" s="91" t="s">
        <v>3</v>
      </c>
      <c r="AB237" s="92"/>
      <c r="AC237" s="374">
        <f>ABS(INDEX(AC:AC,MATCH(AC232,$AA:$AA,0)+11)+INDEX(AC:AC,MATCH(AC232,$AA:$AA,0)+12)+INDEX(AC:AC,MATCH(AC232,$AA:$AA,0)+13))</f>
        <v>182</v>
      </c>
      <c r="AD237" s="375"/>
      <c r="AE237" s="374">
        <f>ABS(INDEX(AE:AE,MATCH(AE232,$AA:$AA,0)+11)+INDEX(AE:AE,MATCH(AE232,$AA:$AA,0)+12)+INDEX(AE:AE,MATCH(AE232,$AA:$AA,0)+13))</f>
        <v>191</v>
      </c>
      <c r="AF237" s="375"/>
      <c r="AG237" s="374">
        <f>ABS(INDEX(AG:AG,MATCH(AG232,$AA:$AA,0)+11)+INDEX(AG:AG,MATCH(AG232,$AA:$AA,0)+12)+INDEX(AG:AG,MATCH(AG232,$AA:$AA,0)+13))</f>
        <v>149</v>
      </c>
      <c r="AH237" s="375"/>
      <c r="AI237" s="374">
        <f>ABS(INDEX(AI:AI,MATCH(AI232,$AA:$AA,0)+11)+INDEX(AI:AI,MATCH(AI232,$AA:$AA,0)+12)+INDEX(AI:AI,MATCH(AI232,$AA:$AA,0)+13))</f>
        <v>203</v>
      </c>
      <c r="AJ237" s="375"/>
      <c r="AK237" s="374">
        <f>ABS(INDEX(AK:AK,MATCH(AK232,$AA:$AA,0)+11)+INDEX(AK:AK,MATCH(AK232,$AA:$AA,0)+12)+INDEX(AK:AK,MATCH(AK232,$AA:$AA,0)+13))</f>
        <v>0</v>
      </c>
      <c r="AL237" s="375"/>
      <c r="AM237" s="374">
        <f>ABS(INDEX(AM:AM,MATCH(AM232,$AA:$AA,0)+11)+INDEX(AM:AM,MATCH(AM232,$AA:$AA,0)+12)+INDEX(AM:AM,MATCH(AM232,$AA:$AA,0)+13))</f>
        <v>147</v>
      </c>
      <c r="AN237" s="375"/>
      <c r="AO237" s="374">
        <f>ABS(INDEX(AO:AO,MATCH(AO232,$AA:$AA,0)+11)+INDEX(AO:AO,MATCH(AO232,$AA:$AA,0)+12)+INDEX(AO:AO,MATCH(AO232,$AA:$AA,0)+13))</f>
        <v>136</v>
      </c>
      <c r="AP237" s="375"/>
      <c r="AQ237" s="374">
        <f>ABS(INDEX(AQ:AQ,MATCH(AQ232,$AA:$AA,0)+11)+INDEX(AQ:AQ,MATCH(AQ232,$AA:$AA,0)+12)+INDEX(AQ:AQ,MATCH(AQ232,$AA:$AA,0)+13))</f>
        <v>174</v>
      </c>
      <c r="AR237" s="375"/>
      <c r="AS237" s="374">
        <f>ABS(INDEX(AS:AS,MATCH(AS232,$AA:$AA,0)+11)+INDEX(AS:AS,MATCH(AS232,$AA:$AA,0)+12)+INDEX(AS:AS,MATCH(AS232,$AA:$AA,0)+13))</f>
        <v>160</v>
      </c>
      <c r="AT237" s="37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6.05" customHeight="1" x14ac:dyDescent="0.35">
      <c r="B238" s="365" t="str">
        <f t="shared" si="272"/>
        <v>Spieler 4</v>
      </c>
      <c r="C238" s="366" t="str">
        <f t="shared" si="272"/>
        <v/>
      </c>
      <c r="D238" s="339">
        <f>IF(AC238=301,"",AC238)</f>
        <v>162</v>
      </c>
      <c r="E238" s="339" t="str">
        <f>IF(AD238=0,"",AD238)</f>
        <v/>
      </c>
      <c r="F238" s="339">
        <f>IF(AE238=301,"",AE238)</f>
        <v>166</v>
      </c>
      <c r="G238" s="339" t="str">
        <f>IF(AF238=0,"",AF238)</f>
        <v/>
      </c>
      <c r="H238" s="339">
        <f>IF(AG238=301,"",AG238)</f>
        <v>178</v>
      </c>
      <c r="I238" s="339" t="str">
        <f>IF(AH238=0,"",AH238)</f>
        <v/>
      </c>
      <c r="J238" s="339">
        <f>IF(AI238=301,"",AI238)</f>
        <v>204</v>
      </c>
      <c r="K238" s="339" t="str">
        <f>IF(AJ238=0,"",AJ238)</f>
        <v/>
      </c>
      <c r="L238" s="339">
        <f>IF(AK238=301,"",AK238)</f>
        <v>0</v>
      </c>
      <c r="M238" s="339" t="str">
        <f>IF(AL238=0,"",AL238)</f>
        <v/>
      </c>
      <c r="N238" s="339">
        <f>IF(AM238=301,"",AM238)</f>
        <v>166</v>
      </c>
      <c r="O238" s="339" t="str">
        <f>IF(AN238=0,"",AN238)</f>
        <v/>
      </c>
      <c r="P238" s="339">
        <f>IF(AO238=301,"",AO238)</f>
        <v>202</v>
      </c>
      <c r="Q238" s="339" t="str">
        <f>IF(AP238=0,"",AP238)</f>
        <v/>
      </c>
      <c r="R238" s="339">
        <f>IF(AQ238=301,"",AQ238)</f>
        <v>162</v>
      </c>
      <c r="S238" s="339" t="str">
        <f>IF(AR238=0,"",AR238)</f>
        <v/>
      </c>
      <c r="T238" s="339">
        <f>IF(AS238=301,"",AS238)</f>
        <v>151</v>
      </c>
      <c r="U238" s="339" t="str">
        <f>IF(AT238=0,"",AT238)</f>
        <v/>
      </c>
      <c r="V238" s="340"/>
      <c r="W238" s="340"/>
      <c r="AA238" s="91" t="s">
        <v>11</v>
      </c>
      <c r="AB238" s="92"/>
      <c r="AC238" s="374">
        <f>ABS(INDEX(AC:AC,MATCH(AC232,$AA:$AA,0)+14)+INDEX(AC:AC,MATCH(AC232,$AA:$AA,0)+15)+INDEX(AC:AC,MATCH(AC232,$AA:$AA,0)+16))</f>
        <v>162</v>
      </c>
      <c r="AD238" s="375"/>
      <c r="AE238" s="374">
        <f>ABS(INDEX(AE:AE,MATCH(AE232,$AA:$AA,0)+14)+INDEX(AE:AE,MATCH(AE232,$AA:$AA,0)+15)+INDEX(AE:AE,MATCH(AE232,$AA:$AA,0)+16))</f>
        <v>166</v>
      </c>
      <c r="AF238" s="375"/>
      <c r="AG238" s="374">
        <f>ABS(INDEX(AG:AG,MATCH(AG232,$AA:$AA,0)+14)+INDEX(AG:AG,MATCH(AG232,$AA:$AA,0)+15)+INDEX(AG:AG,MATCH(AG232,$AA:$AA,0)+16))</f>
        <v>178</v>
      </c>
      <c r="AH238" s="375"/>
      <c r="AI238" s="374">
        <f>ABS(INDEX(AI:AI,MATCH(AI232,$AA:$AA,0)+14)+INDEX(AI:AI,MATCH(AI232,$AA:$AA,0)+15)+INDEX(AI:AI,MATCH(AI232,$AA:$AA,0)+16))</f>
        <v>204</v>
      </c>
      <c r="AJ238" s="375"/>
      <c r="AK238" s="374">
        <f>ABS(INDEX(AK:AK,MATCH(AK232,$AA:$AA,0)+14)+INDEX(AK:AK,MATCH(AK232,$AA:$AA,0)+15)+INDEX(AK:AK,MATCH(AK232,$AA:$AA,0)+16))</f>
        <v>0</v>
      </c>
      <c r="AL238" s="375"/>
      <c r="AM238" s="374">
        <f>ABS(INDEX(AM:AM,MATCH(AM232,$AA:$AA,0)+14)+INDEX(AM:AM,MATCH(AM232,$AA:$AA,0)+15)+INDEX(AM:AM,MATCH(AM232,$AA:$AA,0)+16))</f>
        <v>166</v>
      </c>
      <c r="AN238" s="375"/>
      <c r="AO238" s="374">
        <f>ABS(INDEX(AO:AO,MATCH(AO232,$AA:$AA,0)+14)+INDEX(AO:AO,MATCH(AO232,$AA:$AA,0)+15)+INDEX(AO:AO,MATCH(AO232,$AA:$AA,0)+16))</f>
        <v>202</v>
      </c>
      <c r="AP238" s="375"/>
      <c r="AQ238" s="374">
        <f>ABS(INDEX(AQ:AQ,MATCH(AQ232,$AA:$AA,0)+14)+INDEX(AQ:AQ,MATCH(AQ232,$AA:$AA,0)+15)+INDEX(AQ:AQ,MATCH(AQ232,$AA:$AA,0)+16))</f>
        <v>162</v>
      </c>
      <c r="AR238" s="375"/>
      <c r="AS238" s="374">
        <f>ABS(INDEX(AS:AS,MATCH(AS232,$AA:$AA,0)+14)+INDEX(AS:AS,MATCH(AS232,$AA:$AA,0)+15)+INDEX(AS:AS,MATCH(AS232,$AA:$AA,0)+16))</f>
        <v>151</v>
      </c>
      <c r="AT238" s="37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6.05" customHeight="1" x14ac:dyDescent="0.35">
      <c r="B239" s="354" t="str">
        <f t="shared" si="272"/>
        <v>Gesamt</v>
      </c>
      <c r="C239" s="355" t="str">
        <f t="shared" si="272"/>
        <v/>
      </c>
      <c r="D239" s="338">
        <f>IF(AC239=1505,"",AC239)</f>
        <v>697</v>
      </c>
      <c r="E239" s="338" t="str">
        <f>IF(AD239=0,"",AD239)</f>
        <v/>
      </c>
      <c r="F239" s="338">
        <f>IF(AE239=1505,"",AE239)</f>
        <v>680</v>
      </c>
      <c r="G239" s="338" t="str">
        <f>IF(AF239=0,"",AF239)</f>
        <v/>
      </c>
      <c r="H239" s="338">
        <f>IF(AG239=1505,"",AG239)</f>
        <v>635</v>
      </c>
      <c r="I239" s="338" t="str">
        <f>IF(AH239=0,"",AH239)</f>
        <v/>
      </c>
      <c r="J239" s="338">
        <f>IF(AI239=1505,"",AI239)</f>
        <v>690</v>
      </c>
      <c r="K239" s="338" t="str">
        <f>IF(AJ239=0,"",AJ239)</f>
        <v/>
      </c>
      <c r="L239" s="338">
        <f>IF(AK239=1505,"",AK239)</f>
        <v>0</v>
      </c>
      <c r="M239" s="338" t="str">
        <f>IF(AL239=0,"",AL239)</f>
        <v/>
      </c>
      <c r="N239" s="338">
        <f>IF(AM239=1505,"",AM239)</f>
        <v>683</v>
      </c>
      <c r="O239" s="338" t="str">
        <f>IF(AN239=0,"",AN239)</f>
        <v/>
      </c>
      <c r="P239" s="338">
        <f>IF(AO239=1505,"",AO239)</f>
        <v>715</v>
      </c>
      <c r="Q239" s="338" t="str">
        <f>IF(AP239=0,"",AP239)</f>
        <v/>
      </c>
      <c r="R239" s="338">
        <f>IF(AQ239=1505,"",AQ239)</f>
        <v>750</v>
      </c>
      <c r="S239" s="338" t="str">
        <f>IF(AR239=0,"",AR239)</f>
        <v/>
      </c>
      <c r="T239" s="338">
        <f>IF(AS239=1505,"",AS239)</f>
        <v>679</v>
      </c>
      <c r="U239" s="338" t="str">
        <f>IF(AT239=0,"",AT239)</f>
        <v/>
      </c>
      <c r="V239" s="290"/>
      <c r="W239" s="290"/>
      <c r="AA239" s="93" t="s">
        <v>1799</v>
      </c>
      <c r="AB239" s="94"/>
      <c r="AC239" s="354">
        <f>SUM(AC235:AC238)</f>
        <v>697</v>
      </c>
      <c r="AD239" s="355"/>
      <c r="AE239" s="354">
        <f>SUM(AE235:AE238)</f>
        <v>680</v>
      </c>
      <c r="AF239" s="355"/>
      <c r="AG239" s="354">
        <f>SUM(AG235:AG238)</f>
        <v>635</v>
      </c>
      <c r="AH239" s="355"/>
      <c r="AI239" s="354">
        <f>SUM(AI235:AI238)</f>
        <v>690</v>
      </c>
      <c r="AJ239" s="355"/>
      <c r="AK239" s="354">
        <f>SUM(AK235:AK238)</f>
        <v>0</v>
      </c>
      <c r="AL239" s="355"/>
      <c r="AM239" s="354">
        <f>SUM(AM235:AM238)</f>
        <v>683</v>
      </c>
      <c r="AN239" s="355"/>
      <c r="AO239" s="354">
        <f>SUM(AO235:AO238)</f>
        <v>715</v>
      </c>
      <c r="AP239" s="355"/>
      <c r="AQ239" s="354">
        <f>SUM(AQ235:AQ238)</f>
        <v>750</v>
      </c>
      <c r="AR239" s="355"/>
      <c r="AS239" s="354">
        <f>SUM(AS235:AS238)</f>
        <v>679</v>
      </c>
      <c r="AT239" s="35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3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7">
      <c r="B241" s="44" t="str">
        <f>AA241</f>
        <v>Team-Nr.</v>
      </c>
      <c r="C241" s="45"/>
      <c r="D241" s="44" t="str">
        <f>AC241</f>
        <v>Liga:</v>
      </c>
      <c r="E241" s="47"/>
      <c r="F241" s="359" t="str">
        <f>AE241</f>
        <v>Bayernliga Frauen</v>
      </c>
      <c r="G241" s="359"/>
      <c r="H241" s="359"/>
      <c r="I241" s="359"/>
      <c r="J241" s="359"/>
      <c r="K241" s="359"/>
      <c r="L241" s="359"/>
      <c r="M241" s="359"/>
      <c r="N241" s="359"/>
      <c r="O241" s="359"/>
      <c r="P241" s="359"/>
      <c r="Q241" s="359"/>
      <c r="R241" s="48"/>
      <c r="S241" s="49" t="s">
        <v>1794</v>
      </c>
      <c r="T241" s="50"/>
      <c r="U241" s="360" t="str">
        <f>AT241</f>
        <v>15.02./16.02.</v>
      </c>
      <c r="V241" s="361"/>
      <c r="W241" s="362"/>
      <c r="X241" s="363"/>
      <c r="Y241" s="364"/>
      <c r="Z241" s="364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0" t="str">
        <f>VLOOKUP(AS242,Spielorte!$A$1:$C$6,2)</f>
        <v>15.02./16.02.</v>
      </c>
      <c r="AU241" s="361"/>
      <c r="AV241" s="362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65">
      <c r="B242" s="53">
        <f>AA242</f>
        <v>9</v>
      </c>
      <c r="D242" s="46" t="s">
        <v>1793</v>
      </c>
      <c r="E242" s="54"/>
      <c r="F242" s="358" t="str">
        <f>AE242</f>
        <v>Nürnberg West Bowling</v>
      </c>
      <c r="G242" s="358"/>
      <c r="H242" s="358"/>
      <c r="I242" s="358"/>
      <c r="J242" s="358"/>
      <c r="K242" s="358"/>
      <c r="L242" s="358"/>
      <c r="M242" s="358"/>
      <c r="N242" s="358"/>
      <c r="O242" s="358"/>
      <c r="P242" s="55"/>
      <c r="Q242" s="55"/>
      <c r="S242" s="49" t="s">
        <v>1791</v>
      </c>
      <c r="T242" s="56">
        <f>AS242</f>
        <v>4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Nürnberg West Bowling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4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4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5" thickBot="1" x14ac:dyDescent="0.45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VLOOKUP(AA242,Schlüssel!$A$5:$DZ$14,73)</f>
        <v>15</v>
      </c>
      <c r="AE244" s="65" t="s">
        <v>10</v>
      </c>
      <c r="AF244" s="44">
        <f>VLOOKUP(AA242,Schlüssel!$A$5:$DZ$14,74)</f>
        <v>12</v>
      </c>
      <c r="AG244" s="65" t="s">
        <v>10</v>
      </c>
      <c r="AH244" s="44">
        <f>VLOOKUP(AA242,Schlüssel!$A$5:$DZ$14,75)</f>
        <v>13</v>
      </c>
      <c r="AI244" s="65" t="s">
        <v>10</v>
      </c>
      <c r="AJ244" s="44">
        <f>VLOOKUP(AA242,Schlüssel!$A$5:$DZ$14,76)</f>
        <v>18</v>
      </c>
      <c r="AK244" s="65" t="s">
        <v>10</v>
      </c>
      <c r="AL244" s="44">
        <f>VLOOKUP(AA242,Schlüssel!$A$5:$DZ$14,77)</f>
        <v>20</v>
      </c>
      <c r="AM244" s="65" t="s">
        <v>10</v>
      </c>
      <c r="AN244" s="44">
        <f>VLOOKUP(AA242,Schlüssel!$A$5:$DZ$14,78)</f>
        <v>16</v>
      </c>
      <c r="AO244" s="65" t="s">
        <v>10</v>
      </c>
      <c r="AP244" s="44">
        <f>VLOOKUP(AA242,Schlüssel!$A$5:$DZ$14,79)</f>
        <v>14</v>
      </c>
      <c r="AQ244" s="65" t="s">
        <v>10</v>
      </c>
      <c r="AR244" s="44">
        <f>VLOOKUP(AA242,Schlüssel!$A$5:$DZ$14,80)</f>
        <v>19</v>
      </c>
      <c r="AS244" s="65" t="s">
        <v>10</v>
      </c>
      <c r="AT244" s="44">
        <f>VLOOKUP(AA242,Schlüssel!$A$5:$DZ$14,81)</f>
        <v>17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35">
      <c r="B245" s="67" t="s">
        <v>1</v>
      </c>
      <c r="C245" s="68"/>
      <c r="D245" s="354" t="s">
        <v>1800</v>
      </c>
      <c r="E245" s="355"/>
      <c r="F245" s="354" t="s">
        <v>1801</v>
      </c>
      <c r="G245" s="355"/>
      <c r="H245" s="354" t="s">
        <v>1802</v>
      </c>
      <c r="I245" s="355"/>
      <c r="J245" s="354" t="s">
        <v>1803</v>
      </c>
      <c r="K245" s="355"/>
      <c r="L245" s="354" t="s">
        <v>1804</v>
      </c>
      <c r="M245" s="355"/>
      <c r="N245" s="354" t="s">
        <v>1805</v>
      </c>
      <c r="O245" s="355"/>
      <c r="P245" s="354" t="s">
        <v>1806</v>
      </c>
      <c r="Q245" s="355"/>
      <c r="R245" s="354" t="s">
        <v>1807</v>
      </c>
      <c r="S245" s="355"/>
      <c r="T245" s="354" t="s">
        <v>1808</v>
      </c>
      <c r="U245" s="355"/>
      <c r="V245" s="356" t="s">
        <v>1799</v>
      </c>
      <c r="W245" s="357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4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2" customHeight="1" x14ac:dyDescent="0.35">
      <c r="A247" s="367" t="s">
        <v>0</v>
      </c>
      <c r="B247" s="73" t="str">
        <f>IF(AA247=0,"",AA247)</f>
        <v>Martisko, Petra</v>
      </c>
      <c r="C247" s="74">
        <f>IF(AB247=0,"",AB247)</f>
        <v>7976</v>
      </c>
      <c r="D247" s="75">
        <f>IF(AC247=0,"",AC247)</f>
        <v>167</v>
      </c>
      <c r="E247" s="348">
        <f>IF(AD247="","",AD247)</f>
        <v>1</v>
      </c>
      <c r="F247" s="75">
        <f t="shared" ref="F247:F260" si="273">IF(AE247=0,"",AE247)</f>
        <v>177</v>
      </c>
      <c r="G247" s="348">
        <f>IF(AF247="","",AF247)</f>
        <v>0</v>
      </c>
      <c r="H247" s="75">
        <f t="shared" ref="H247:H260" si="274">IF(AG247=0,"",AG247)</f>
        <v>149</v>
      </c>
      <c r="I247" s="348">
        <f>IF(AH247="","",AH247)</f>
        <v>0</v>
      </c>
      <c r="J247" s="75">
        <f t="shared" ref="J247:J260" si="275">IF(AI247=0,"",AI247)</f>
        <v>204</v>
      </c>
      <c r="K247" s="348">
        <f>IF(AJ247="","",AJ247)</f>
        <v>1</v>
      </c>
      <c r="L247" s="75">
        <f t="shared" ref="L247:L260" si="276">IF(AK247=0,"",AK247)</f>
        <v>134</v>
      </c>
      <c r="M247" s="348">
        <f>IF(AL247="","",AL247)</f>
        <v>0</v>
      </c>
      <c r="N247" s="75">
        <f>IF(AM247=0,"",AM247)</f>
        <v>160</v>
      </c>
      <c r="O247" s="348">
        <f>IF(AN247="","",AN247)</f>
        <v>0</v>
      </c>
      <c r="P247" s="75">
        <f t="shared" ref="P247:P260" si="277">IF(AO247=0,"",AO247)</f>
        <v>188</v>
      </c>
      <c r="Q247" s="348">
        <f>IF(AP247="","",AP247)</f>
        <v>1</v>
      </c>
      <c r="R247" s="75">
        <f t="shared" ref="R247:R260" si="278">IF(AQ247=0,"",AQ247)</f>
        <v>192</v>
      </c>
      <c r="S247" s="348">
        <f>IF(AR247="","",AR247)</f>
        <v>1</v>
      </c>
      <c r="T247" s="75">
        <f t="shared" ref="T247:T260" si="279">IF(AS247=0,"",AS247)</f>
        <v>156</v>
      </c>
      <c r="U247" s="348">
        <f>IF(AT247="","",AT247)</f>
        <v>0</v>
      </c>
      <c r="V247" s="75">
        <f t="shared" ref="V247:V260" si="280">IF(AU247=0,"",AU247)</f>
        <v>1527</v>
      </c>
      <c r="W247" s="348">
        <f>IF(AV247="","",AV247)</f>
        <v>4</v>
      </c>
      <c r="Z247" s="351" t="s">
        <v>0</v>
      </c>
      <c r="AA247" s="108" t="str">
        <f>IF(AB247=0,"",VLOOKUP(AB247,Starter!$A$1:$D$199,2,FALSE))</f>
        <v>Martisko, Petra</v>
      </c>
      <c r="AB247" s="99">
        <v>7976</v>
      </c>
      <c r="AC247" s="185">
        <v>167</v>
      </c>
      <c r="AD247" s="109">
        <f>IF(SUM(AC247:AC249)+AC265=0,0,IF(SUM(AC247:AC249)=AC265,0.5,IF(SUM(AC247:AC249)&gt;AC265,1,0)))</f>
        <v>1</v>
      </c>
      <c r="AE247" s="185">
        <v>177</v>
      </c>
      <c r="AF247" s="109">
        <f>IF(SUM(AE247:AE249)+AE265=0,0,IF(SUM(AE247:AE249)=AE265,0.5,IF(SUM(AE247:AE249)&gt;AE265,1,0)))</f>
        <v>0</v>
      </c>
      <c r="AG247" s="185">
        <v>149</v>
      </c>
      <c r="AH247" s="109">
        <f>IF(SUM(AG247:AG249)+AG265=0,0,IF(SUM(AG247:AG249)=AG265,0.5,IF(SUM(AG247:AG249)&gt;AG265,1,0)))</f>
        <v>0</v>
      </c>
      <c r="AI247" s="185">
        <v>204</v>
      </c>
      <c r="AJ247" s="109">
        <f>IF(SUM(AI247:AI249)+AI265=0,0,IF(SUM(AI247:AI249)=AI265,0.5,IF(SUM(AI247:AI249)&gt;AI265,1,0)))</f>
        <v>1</v>
      </c>
      <c r="AK247" s="185">
        <v>134</v>
      </c>
      <c r="AL247" s="109">
        <f>IF(SUM(AK247:AK249)+AK265=0,0,IF(SUM(AK247:AK249)=AK265,0.5,IF(SUM(AK247:AK249)&gt;AK265,1,0)))</f>
        <v>0</v>
      </c>
      <c r="AM247" s="185">
        <v>160</v>
      </c>
      <c r="AN247" s="109">
        <f>IF(SUM(AM247:AM249)+AM265=0,0,IF(SUM(AM247:AM249)=AM265,0.5,IF(SUM(AM247:AM249)&gt;AM265,1,0)))</f>
        <v>0</v>
      </c>
      <c r="AO247" s="185">
        <v>188</v>
      </c>
      <c r="AP247" s="109">
        <f>IF(SUM(AO247:AO249)+AO265=0,0,IF(SUM(AO247:AO249)=AO265,0.5,IF(SUM(AO247:AO249)&gt;AO265,1,0)))</f>
        <v>1</v>
      </c>
      <c r="AQ247" s="185">
        <v>192</v>
      </c>
      <c r="AR247" s="109">
        <f>IF(SUM(AQ247:AQ249)+AQ265=0,0,IF(SUM(AQ247:AQ249)=AQ265,0.5,IF(SUM(AQ247:AQ249)&gt;AQ265,1,0)))</f>
        <v>1</v>
      </c>
      <c r="AS247" s="185">
        <v>156</v>
      </c>
      <c r="AT247" s="109">
        <f>IF(SUM(AS247:AS249)+AS265=0,0,IF(SUM(AS247:AS249)=AS265,0.5,IF(SUM(AS247:AS249)&gt;AS265,1,0)))</f>
        <v>0</v>
      </c>
      <c r="AU247" s="110">
        <f t="shared" ref="AU247:AU258" si="281">ABS(SUM(AC247:AC247))+ABS(SUM(AE247:AE247))+ABS(SUM(AG247:AG247))+ABS(SUM(AI247:AI247))+ABS(SUM(AK247:AK247))+ABS(SUM(AM247:AM247))+ABS(SUM(AO247:AO247))+ABS(SUM(AQ247:AQ247))+ABS(SUM(AS247:AS247))</f>
        <v>1527</v>
      </c>
      <c r="AV247" s="111">
        <f>SUM(AD247+AF247+AH247+AJ247+AL247+AN247+AP247+AR247+AT247)</f>
        <v>4</v>
      </c>
      <c r="AW247" s="101"/>
      <c r="AX247" s="102"/>
      <c r="AZ247" s="63"/>
      <c r="BA247" s="212"/>
      <c r="BB247" s="213"/>
      <c r="BC247" s="214"/>
      <c r="BD247" s="217">
        <f>+AB247</f>
        <v>7976</v>
      </c>
      <c r="BE247" s="213">
        <f>+AU247</f>
        <v>1527</v>
      </c>
      <c r="BF247" s="215">
        <f>COUNT(BH247:BP247)</f>
        <v>9</v>
      </c>
      <c r="BG247" s="215">
        <f>COUNTIF(BH247:BP247,"&gt;0")</f>
        <v>9</v>
      </c>
      <c r="BH247" s="215">
        <f t="shared" ref="BH247:BH258" si="282">IF(AC247=0,"",AC247)</f>
        <v>167</v>
      </c>
      <c r="BI247" s="215">
        <f t="shared" ref="BI247:BI258" si="283">IF(AE247=0,"",AE247)</f>
        <v>177</v>
      </c>
      <c r="BJ247" s="215">
        <f t="shared" ref="BJ247:BJ258" si="284">IF(AG247=0,"",AG247)</f>
        <v>149</v>
      </c>
      <c r="BK247" s="215">
        <f t="shared" ref="BK247:BK258" si="285">IF(AI247=0,"",AI247)</f>
        <v>204</v>
      </c>
      <c r="BL247" s="215">
        <f t="shared" ref="BL247:BL258" si="286">IF(AK247=0,"",AK247)</f>
        <v>134</v>
      </c>
      <c r="BM247" s="215">
        <f t="shared" ref="BM247:BM258" si="287">IF(AM247=0,"",AM247)</f>
        <v>160</v>
      </c>
      <c r="BN247" s="215">
        <f t="shared" ref="BN247:BN258" si="288">IF(AO247=0,"",AO247)</f>
        <v>188</v>
      </c>
      <c r="BO247" s="215">
        <f t="shared" ref="BO247:BO258" si="289">IF(AQ247=0,"",AQ247)</f>
        <v>192</v>
      </c>
      <c r="BP247" s="215">
        <f t="shared" ref="BP247:BP258" si="290">IF(AS247=0,"",AS247)</f>
        <v>156</v>
      </c>
      <c r="BQ247" s="216"/>
      <c r="BR247" s="214"/>
      <c r="BS247" s="215">
        <f>MAX(BH247:BP247)</f>
        <v>204</v>
      </c>
      <c r="BT247" s="215">
        <f>IF(BS247&lt;MAX(BS:BS),0,BS247+ROW()/1000000000)</f>
        <v>0</v>
      </c>
      <c r="BU247" s="215" t="str">
        <f>+AA243</f>
        <v>RW Lichtenhof 69 Stein 2</v>
      </c>
      <c r="BV247" s="214">
        <f>RANK(BT247,BT:BT)</f>
        <v>2</v>
      </c>
      <c r="BW247" s="215">
        <f>SUMIF(BH247:BP247,"&gt;0")</f>
        <v>1527</v>
      </c>
      <c r="BX247" s="215">
        <f>IF(COUNTIF(BH247:BP247,"&gt;0")&lt;Spielorte!$A$23,0,BE247/Spielorte!$A$23)</f>
        <v>169.66666666666666</v>
      </c>
      <c r="BY247" s="215">
        <f>IF(BX247&lt;MAX(BX:BX),0,BX247+ROW()/1000000000)</f>
        <v>0</v>
      </c>
      <c r="BZ247" s="214">
        <f t="shared" ref="BZ247:BZ258" si="291">IF(BY247=0,0,RANK(BY247,BY:BY))</f>
        <v>0</v>
      </c>
    </row>
    <row r="248" spans="1:78" ht="17.2" customHeight="1" x14ac:dyDescent="0.35">
      <c r="A248" s="368"/>
      <c r="B248" s="76" t="str">
        <f t="shared" ref="B248:D260" si="292">IF(AA248=0,"",AA248)</f>
        <v/>
      </c>
      <c r="C248" s="77" t="str">
        <f t="shared" si="292"/>
        <v/>
      </c>
      <c r="D248" s="78" t="str">
        <f t="shared" si="292"/>
        <v/>
      </c>
      <c r="E248" s="349"/>
      <c r="F248" s="78" t="str">
        <f t="shared" si="273"/>
        <v/>
      </c>
      <c r="G248" s="349"/>
      <c r="H248" s="78" t="str">
        <f t="shared" si="274"/>
        <v/>
      </c>
      <c r="I248" s="349"/>
      <c r="J248" s="78" t="str">
        <f t="shared" si="275"/>
        <v/>
      </c>
      <c r="K248" s="349"/>
      <c r="L248" s="78" t="str">
        <f t="shared" si="276"/>
        <v/>
      </c>
      <c r="M248" s="349"/>
      <c r="N248" s="78" t="str">
        <f t="shared" ref="N248:N260" si="293">IF(AM248=0,"",AM248)</f>
        <v/>
      </c>
      <c r="O248" s="349"/>
      <c r="P248" s="78" t="str">
        <f t="shared" si="277"/>
        <v/>
      </c>
      <c r="Q248" s="349"/>
      <c r="R248" s="78" t="str">
        <f t="shared" si="278"/>
        <v/>
      </c>
      <c r="S248" s="349"/>
      <c r="T248" s="78" t="str">
        <f t="shared" si="279"/>
        <v/>
      </c>
      <c r="U248" s="349"/>
      <c r="V248" s="78" t="str">
        <f t="shared" si="280"/>
        <v/>
      </c>
      <c r="W248" s="349"/>
      <c r="Z248" s="352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1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294">+AB248</f>
        <v>0</v>
      </c>
      <c r="BE248" s="213">
        <f t="shared" ref="BE248:BE258" si="295">+AU248</f>
        <v>0</v>
      </c>
      <c r="BF248" s="215">
        <f t="shared" ref="BF248:BF258" si="296">COUNT(BH248:BP248)</f>
        <v>0</v>
      </c>
      <c r="BG248" s="215">
        <f t="shared" ref="BG248:BG258" si="297">COUNTIF(BH248:BP248,"&gt;0")</f>
        <v>0</v>
      </c>
      <c r="BH248" s="215" t="str">
        <f t="shared" si="282"/>
        <v/>
      </c>
      <c r="BI248" s="215" t="str">
        <f t="shared" si="283"/>
        <v/>
      </c>
      <c r="BJ248" s="215" t="str">
        <f t="shared" si="284"/>
        <v/>
      </c>
      <c r="BK248" s="215" t="str">
        <f t="shared" si="285"/>
        <v/>
      </c>
      <c r="BL248" s="215" t="str">
        <f t="shared" si="286"/>
        <v/>
      </c>
      <c r="BM248" s="215" t="str">
        <f t="shared" si="287"/>
        <v/>
      </c>
      <c r="BN248" s="215" t="str">
        <f t="shared" si="288"/>
        <v/>
      </c>
      <c r="BO248" s="215" t="str">
        <f t="shared" si="289"/>
        <v/>
      </c>
      <c r="BP248" s="215" t="str">
        <f t="shared" si="290"/>
        <v/>
      </c>
      <c r="BQ248" s="216"/>
      <c r="BR248" s="214"/>
      <c r="BS248" s="215">
        <f t="shared" ref="BS248:BS258" si="298">MAX(BH248:BP248)</f>
        <v>0</v>
      </c>
      <c r="BT248" s="215">
        <f t="shared" ref="BT248:BT258" si="299">IF(BS248&lt;MAX(BS:BS),0,BS248+ROW()/1000000000)</f>
        <v>0</v>
      </c>
      <c r="BU248" s="215" t="str">
        <f t="shared" ref="BU248:BU258" si="300">+BU247</f>
        <v>RW Lichtenhof 69 Stein 2</v>
      </c>
      <c r="BV248" s="214">
        <f t="shared" ref="BV248:BV258" si="301">RANK(BT248,BT:BT)</f>
        <v>2</v>
      </c>
      <c r="BW248" s="215">
        <f t="shared" ref="BW248:BW258" si="302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3">IF(BX248&lt;MAX(BX:BX),0,BX248+ROW()/1000000000)</f>
        <v>0</v>
      </c>
      <c r="BZ248" s="214">
        <f t="shared" si="291"/>
        <v>0</v>
      </c>
    </row>
    <row r="249" spans="1:78" ht="17.2" customHeight="1" thickBot="1" x14ac:dyDescent="0.4">
      <c r="A249" s="369"/>
      <c r="B249" s="79" t="str">
        <f t="shared" si="292"/>
        <v/>
      </c>
      <c r="C249" s="80" t="str">
        <f t="shared" si="292"/>
        <v/>
      </c>
      <c r="D249" s="69" t="str">
        <f t="shared" si="292"/>
        <v/>
      </c>
      <c r="E249" s="350"/>
      <c r="F249" s="69" t="str">
        <f t="shared" si="273"/>
        <v/>
      </c>
      <c r="G249" s="350"/>
      <c r="H249" s="69" t="str">
        <f t="shared" si="274"/>
        <v/>
      </c>
      <c r="I249" s="350"/>
      <c r="J249" s="69" t="str">
        <f t="shared" si="275"/>
        <v/>
      </c>
      <c r="K249" s="350"/>
      <c r="L249" s="69" t="str">
        <f t="shared" si="276"/>
        <v/>
      </c>
      <c r="M249" s="350"/>
      <c r="N249" s="69" t="str">
        <f t="shared" si="293"/>
        <v/>
      </c>
      <c r="O249" s="350"/>
      <c r="P249" s="69" t="str">
        <f t="shared" si="277"/>
        <v/>
      </c>
      <c r="Q249" s="350"/>
      <c r="R249" s="69" t="str">
        <f t="shared" si="278"/>
        <v/>
      </c>
      <c r="S249" s="350"/>
      <c r="T249" s="69" t="str">
        <f t="shared" si="279"/>
        <v/>
      </c>
      <c r="U249" s="350"/>
      <c r="V249" s="69" t="str">
        <f t="shared" si="280"/>
        <v/>
      </c>
      <c r="W249" s="350"/>
      <c r="Z249" s="353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1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294"/>
        <v>0</v>
      </c>
      <c r="BE249" s="213">
        <f t="shared" si="295"/>
        <v>0</v>
      </c>
      <c r="BF249" s="215">
        <f t="shared" si="296"/>
        <v>0</v>
      </c>
      <c r="BG249" s="215">
        <f t="shared" si="297"/>
        <v>0</v>
      </c>
      <c r="BH249" s="215" t="str">
        <f t="shared" si="282"/>
        <v/>
      </c>
      <c r="BI249" s="215" t="str">
        <f t="shared" si="283"/>
        <v/>
      </c>
      <c r="BJ249" s="215" t="str">
        <f t="shared" si="284"/>
        <v/>
      </c>
      <c r="BK249" s="215" t="str">
        <f t="shared" si="285"/>
        <v/>
      </c>
      <c r="BL249" s="215" t="str">
        <f t="shared" si="286"/>
        <v/>
      </c>
      <c r="BM249" s="215" t="str">
        <f t="shared" si="287"/>
        <v/>
      </c>
      <c r="BN249" s="215" t="str">
        <f t="shared" si="288"/>
        <v/>
      </c>
      <c r="BO249" s="215" t="str">
        <f t="shared" si="289"/>
        <v/>
      </c>
      <c r="BP249" s="215" t="str">
        <f t="shared" si="290"/>
        <v/>
      </c>
      <c r="BQ249" s="216"/>
      <c r="BR249" s="214"/>
      <c r="BS249" s="215">
        <f t="shared" si="298"/>
        <v>0</v>
      </c>
      <c r="BT249" s="215">
        <f t="shared" si="299"/>
        <v>0</v>
      </c>
      <c r="BU249" s="215" t="str">
        <f t="shared" si="300"/>
        <v>RW Lichtenhof 69 Stein 2</v>
      </c>
      <c r="BV249" s="214">
        <f t="shared" si="301"/>
        <v>2</v>
      </c>
      <c r="BW249" s="215">
        <f t="shared" si="302"/>
        <v>0</v>
      </c>
      <c r="BX249" s="215">
        <f>IF(COUNTIF(BH249:BP249,"&gt;0")&lt;Spielorte!$A$23,0,BE249/Spielorte!$A$23)</f>
        <v>0</v>
      </c>
      <c r="BY249" s="215">
        <f t="shared" si="303"/>
        <v>0</v>
      </c>
      <c r="BZ249" s="214">
        <f t="shared" si="291"/>
        <v>0</v>
      </c>
    </row>
    <row r="250" spans="1:78" ht="17.2" customHeight="1" x14ac:dyDescent="0.35">
      <c r="A250" s="367" t="s">
        <v>2</v>
      </c>
      <c r="B250" s="73" t="str">
        <f t="shared" si="292"/>
        <v>Thöne, Melanie</v>
      </c>
      <c r="C250" s="74">
        <f t="shared" si="292"/>
        <v>38513</v>
      </c>
      <c r="D250" s="75">
        <f t="shared" si="292"/>
        <v>159</v>
      </c>
      <c r="E250" s="348">
        <f>IF(AD250="","",AD250)</f>
        <v>0</v>
      </c>
      <c r="F250" s="75">
        <f t="shared" si="273"/>
        <v>158</v>
      </c>
      <c r="G250" s="348">
        <f>IF(AF250="","",AF250)</f>
        <v>1</v>
      </c>
      <c r="H250" s="75" t="str">
        <f t="shared" si="274"/>
        <v/>
      </c>
      <c r="I250" s="348">
        <f>IF(AH250="","",AH250)</f>
        <v>1</v>
      </c>
      <c r="J250" s="75" t="str">
        <f t="shared" si="275"/>
        <v/>
      </c>
      <c r="K250" s="348">
        <f>IF(AJ250="","",AJ250)</f>
        <v>0</v>
      </c>
      <c r="L250" s="75">
        <f t="shared" si="276"/>
        <v>155</v>
      </c>
      <c r="M250" s="348">
        <f>IF(AL250="","",AL250)</f>
        <v>0</v>
      </c>
      <c r="N250" s="75">
        <f t="shared" si="293"/>
        <v>171</v>
      </c>
      <c r="O250" s="348">
        <f>IF(AN250="","",AN250)</f>
        <v>1</v>
      </c>
      <c r="P250" s="75">
        <f t="shared" si="277"/>
        <v>192</v>
      </c>
      <c r="Q250" s="348">
        <f>IF(AP250="","",AP250)</f>
        <v>1</v>
      </c>
      <c r="R250" s="75">
        <f t="shared" si="278"/>
        <v>222</v>
      </c>
      <c r="S250" s="348">
        <f>IF(AR250="","",AR250)</f>
        <v>1</v>
      </c>
      <c r="T250" s="75">
        <f t="shared" si="279"/>
        <v>183</v>
      </c>
      <c r="U250" s="348">
        <f>IF(AT250="","",AT250)</f>
        <v>1</v>
      </c>
      <c r="V250" s="75">
        <f t="shared" si="280"/>
        <v>1240</v>
      </c>
      <c r="W250" s="348">
        <f>IF(AV250="","",AV250)</f>
        <v>6</v>
      </c>
      <c r="Z250" s="351" t="s">
        <v>2</v>
      </c>
      <c r="AA250" s="108" t="str">
        <f>IF(AB250=0,"",VLOOKUP(AB250,Starter!$A$1:$D$199,2,FALSE))</f>
        <v>Thöne, Melanie</v>
      </c>
      <c r="AB250" s="99">
        <v>38513</v>
      </c>
      <c r="AC250" s="188">
        <v>159</v>
      </c>
      <c r="AD250" s="109">
        <f>IF(SUM(AC250:AC252)+AC266=0,0,IF(SUM(AC250:AC252)=AC266,0.5,IF(SUM(AC250:AC252)&gt;AC266,1,0)))</f>
        <v>0</v>
      </c>
      <c r="AE250" s="188">
        <v>158</v>
      </c>
      <c r="AF250" s="109">
        <f>IF(SUM(AE250:AE252)+AE266=0,0,IF(SUM(AE250:AE252)=AE266,0.5,IF(SUM(AE250:AE252)&gt;AE266,1,0)))</f>
        <v>1</v>
      </c>
      <c r="AG250" s="188"/>
      <c r="AH250" s="109">
        <f>IF(SUM(AG250:AG252)+AG266=0,0,IF(SUM(AG250:AG252)=AG266,0.5,IF(SUM(AG250:AG252)&gt;AG266,1,0)))</f>
        <v>1</v>
      </c>
      <c r="AI250" s="188"/>
      <c r="AJ250" s="109">
        <f>IF(SUM(AI250:AI252)+AI266=0,0,IF(SUM(AI250:AI252)=AI266,0.5,IF(SUM(AI250:AI252)&gt;AI266,1,0)))</f>
        <v>0</v>
      </c>
      <c r="AK250" s="188">
        <v>155</v>
      </c>
      <c r="AL250" s="109">
        <f>IF(SUM(AK250:AK252)+AK266=0,0,IF(SUM(AK250:AK252)=AK266,0.5,IF(SUM(AK250:AK252)&gt;AK266,1,0)))</f>
        <v>0</v>
      </c>
      <c r="AM250" s="188">
        <v>171</v>
      </c>
      <c r="AN250" s="109">
        <f>IF(SUM(AM250:AM252)+AM266=0,0,IF(SUM(AM250:AM252)=AM266,0.5,IF(SUM(AM250:AM252)&gt;AM266,1,0)))</f>
        <v>1</v>
      </c>
      <c r="AO250" s="188">
        <v>192</v>
      </c>
      <c r="AP250" s="109">
        <f>IF(SUM(AO250:AO252)+AO266=0,0,IF(SUM(AO250:AO252)=AO266,0.5,IF(SUM(AO250:AO252)&gt;AO266,1,0)))</f>
        <v>1</v>
      </c>
      <c r="AQ250" s="188">
        <v>222</v>
      </c>
      <c r="AR250" s="109">
        <f>IF(SUM(AQ250:AQ252)+AQ266=0,0,IF(SUM(AQ250:AQ252)=AQ266,0.5,IF(SUM(AQ250:AQ252)&gt;AQ266,1,0)))</f>
        <v>1</v>
      </c>
      <c r="AS250" s="188">
        <v>183</v>
      </c>
      <c r="AT250" s="109">
        <f>IF(SUM(AS250:AS252)+AS266=0,0,IF(SUM(AS250:AS252)=AS266,0.5,IF(SUM(AS250:AS252)&gt;AS266,1,0)))</f>
        <v>1</v>
      </c>
      <c r="AU250" s="110">
        <f t="shared" si="281"/>
        <v>1240</v>
      </c>
      <c r="AV250" s="111">
        <f>SUM(AD250+AF250+AH250+AJ250+AL250+AN250+AP250+AR250+AT250)</f>
        <v>6</v>
      </c>
      <c r="AW250" s="101"/>
      <c r="AX250" s="102"/>
      <c r="AZ250" s="63"/>
      <c r="BA250" s="212"/>
      <c r="BB250" s="213"/>
      <c r="BC250" s="214"/>
      <c r="BD250" s="217">
        <f t="shared" si="294"/>
        <v>38513</v>
      </c>
      <c r="BE250" s="213">
        <f t="shared" si="295"/>
        <v>1240</v>
      </c>
      <c r="BF250" s="215">
        <f t="shared" si="296"/>
        <v>7</v>
      </c>
      <c r="BG250" s="215">
        <f t="shared" si="297"/>
        <v>7</v>
      </c>
      <c r="BH250" s="215">
        <f t="shared" si="282"/>
        <v>159</v>
      </c>
      <c r="BI250" s="215">
        <f t="shared" si="283"/>
        <v>158</v>
      </c>
      <c r="BJ250" s="215" t="str">
        <f t="shared" si="284"/>
        <v/>
      </c>
      <c r="BK250" s="215" t="str">
        <f t="shared" si="285"/>
        <v/>
      </c>
      <c r="BL250" s="215">
        <f t="shared" si="286"/>
        <v>155</v>
      </c>
      <c r="BM250" s="215">
        <f t="shared" si="287"/>
        <v>171</v>
      </c>
      <c r="BN250" s="215">
        <f t="shared" si="288"/>
        <v>192</v>
      </c>
      <c r="BO250" s="215">
        <f t="shared" si="289"/>
        <v>222</v>
      </c>
      <c r="BP250" s="215">
        <f t="shared" si="290"/>
        <v>183</v>
      </c>
      <c r="BQ250" s="216"/>
      <c r="BR250" s="214"/>
      <c r="BS250" s="215">
        <f t="shared" si="298"/>
        <v>222</v>
      </c>
      <c r="BT250" s="215">
        <f t="shared" si="299"/>
        <v>0</v>
      </c>
      <c r="BU250" s="215" t="str">
        <f t="shared" si="300"/>
        <v>RW Lichtenhof 69 Stein 2</v>
      </c>
      <c r="BV250" s="214">
        <f t="shared" si="301"/>
        <v>2</v>
      </c>
      <c r="BW250" s="215">
        <f t="shared" si="302"/>
        <v>1240</v>
      </c>
      <c r="BX250" s="215">
        <f>IF(COUNTIF(BH250:BP250,"&gt;0")&lt;Spielorte!$A$23,0,BE250/Spielorte!$A$23)</f>
        <v>0</v>
      </c>
      <c r="BY250" s="215">
        <f t="shared" si="303"/>
        <v>0</v>
      </c>
      <c r="BZ250" s="214">
        <f t="shared" si="291"/>
        <v>0</v>
      </c>
    </row>
    <row r="251" spans="1:78" ht="17.2" customHeight="1" x14ac:dyDescent="0.35">
      <c r="A251" s="368"/>
      <c r="B251" s="76" t="str">
        <f t="shared" si="292"/>
        <v>Hödl, Renate</v>
      </c>
      <c r="C251" s="77">
        <f t="shared" si="292"/>
        <v>7972</v>
      </c>
      <c r="D251" s="78" t="str">
        <f t="shared" si="292"/>
        <v/>
      </c>
      <c r="E251" s="349"/>
      <c r="F251" s="78" t="str">
        <f t="shared" si="273"/>
        <v/>
      </c>
      <c r="G251" s="349"/>
      <c r="H251" s="78">
        <f t="shared" si="274"/>
        <v>179</v>
      </c>
      <c r="I251" s="349"/>
      <c r="J251" s="78">
        <f t="shared" si="275"/>
        <v>147</v>
      </c>
      <c r="K251" s="349"/>
      <c r="L251" s="78" t="str">
        <f t="shared" si="276"/>
        <v/>
      </c>
      <c r="M251" s="349"/>
      <c r="N251" s="78" t="str">
        <f t="shared" si="293"/>
        <v/>
      </c>
      <c r="O251" s="349"/>
      <c r="P251" s="78" t="str">
        <f t="shared" si="277"/>
        <v/>
      </c>
      <c r="Q251" s="349"/>
      <c r="R251" s="78" t="str">
        <f t="shared" si="278"/>
        <v/>
      </c>
      <c r="S251" s="349"/>
      <c r="T251" s="78" t="str">
        <f t="shared" si="279"/>
        <v/>
      </c>
      <c r="U251" s="349"/>
      <c r="V251" s="78">
        <f t="shared" si="280"/>
        <v>326</v>
      </c>
      <c r="W251" s="349"/>
      <c r="Z251" s="352"/>
      <c r="AA251" s="108" t="str">
        <f>IF(AB251=0,"",VLOOKUP(AB251,Starter!$A$1:$D$199,2,FALSE))</f>
        <v>Hödl, Renate</v>
      </c>
      <c r="AB251" s="98">
        <v>7972</v>
      </c>
      <c r="AC251" s="186"/>
      <c r="AD251" s="112"/>
      <c r="AE251" s="186"/>
      <c r="AF251" s="112"/>
      <c r="AG251" s="186">
        <v>179</v>
      </c>
      <c r="AH251" s="112"/>
      <c r="AI251" s="186">
        <v>147</v>
      </c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1"/>
        <v>326</v>
      </c>
      <c r="AV251" s="114"/>
      <c r="AW251" s="101"/>
      <c r="AX251" s="102"/>
      <c r="AZ251" s="63"/>
      <c r="BA251" s="212"/>
      <c r="BB251" s="213"/>
      <c r="BC251" s="214"/>
      <c r="BD251" s="217">
        <f t="shared" si="294"/>
        <v>7972</v>
      </c>
      <c r="BE251" s="213">
        <f t="shared" si="295"/>
        <v>326</v>
      </c>
      <c r="BF251" s="215">
        <f t="shared" si="296"/>
        <v>2</v>
      </c>
      <c r="BG251" s="215">
        <f t="shared" si="297"/>
        <v>2</v>
      </c>
      <c r="BH251" s="215" t="str">
        <f t="shared" si="282"/>
        <v/>
      </c>
      <c r="BI251" s="215" t="str">
        <f t="shared" si="283"/>
        <v/>
      </c>
      <c r="BJ251" s="215">
        <f t="shared" si="284"/>
        <v>179</v>
      </c>
      <c r="BK251" s="215">
        <f t="shared" si="285"/>
        <v>147</v>
      </c>
      <c r="BL251" s="215" t="str">
        <f t="shared" si="286"/>
        <v/>
      </c>
      <c r="BM251" s="215" t="str">
        <f t="shared" si="287"/>
        <v/>
      </c>
      <c r="BN251" s="215" t="str">
        <f t="shared" si="288"/>
        <v/>
      </c>
      <c r="BO251" s="215" t="str">
        <f t="shared" si="289"/>
        <v/>
      </c>
      <c r="BP251" s="215" t="str">
        <f t="shared" si="290"/>
        <v/>
      </c>
      <c r="BQ251" s="216"/>
      <c r="BR251" s="214"/>
      <c r="BS251" s="215">
        <f t="shared" si="298"/>
        <v>179</v>
      </c>
      <c r="BT251" s="215">
        <f t="shared" si="299"/>
        <v>0</v>
      </c>
      <c r="BU251" s="215" t="str">
        <f t="shared" si="300"/>
        <v>RW Lichtenhof 69 Stein 2</v>
      </c>
      <c r="BV251" s="214">
        <f t="shared" si="301"/>
        <v>2</v>
      </c>
      <c r="BW251" s="215">
        <f t="shared" si="302"/>
        <v>326</v>
      </c>
      <c r="BX251" s="215">
        <f>IF(COUNTIF(BH251:BP251,"&gt;0")&lt;Spielorte!$A$23,0,BE251/Spielorte!$A$23)</f>
        <v>0</v>
      </c>
      <c r="BY251" s="215">
        <f t="shared" si="303"/>
        <v>0</v>
      </c>
      <c r="BZ251" s="214">
        <f t="shared" si="291"/>
        <v>0</v>
      </c>
    </row>
    <row r="252" spans="1:78" ht="17.2" customHeight="1" thickBot="1" x14ac:dyDescent="0.4">
      <c r="A252" s="369"/>
      <c r="B252" s="79" t="str">
        <f t="shared" si="292"/>
        <v/>
      </c>
      <c r="C252" s="80" t="str">
        <f t="shared" si="292"/>
        <v/>
      </c>
      <c r="D252" s="69" t="str">
        <f t="shared" si="292"/>
        <v/>
      </c>
      <c r="E252" s="350"/>
      <c r="F252" s="69" t="str">
        <f t="shared" si="273"/>
        <v/>
      </c>
      <c r="G252" s="350"/>
      <c r="H252" s="69" t="str">
        <f t="shared" si="274"/>
        <v/>
      </c>
      <c r="I252" s="350"/>
      <c r="J252" s="69" t="str">
        <f t="shared" si="275"/>
        <v/>
      </c>
      <c r="K252" s="350"/>
      <c r="L252" s="69" t="str">
        <f t="shared" si="276"/>
        <v/>
      </c>
      <c r="M252" s="350"/>
      <c r="N252" s="69" t="str">
        <f t="shared" si="293"/>
        <v/>
      </c>
      <c r="O252" s="350"/>
      <c r="P252" s="69" t="str">
        <f t="shared" si="277"/>
        <v/>
      </c>
      <c r="Q252" s="350"/>
      <c r="R252" s="69" t="str">
        <f t="shared" si="278"/>
        <v/>
      </c>
      <c r="S252" s="350"/>
      <c r="T252" s="69" t="str">
        <f t="shared" si="279"/>
        <v/>
      </c>
      <c r="U252" s="350"/>
      <c r="V252" s="69" t="str">
        <f t="shared" si="280"/>
        <v/>
      </c>
      <c r="W252" s="350"/>
      <c r="Z252" s="353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1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294"/>
        <v>0</v>
      </c>
      <c r="BE252" s="213">
        <f t="shared" si="295"/>
        <v>0</v>
      </c>
      <c r="BF252" s="215">
        <f t="shared" si="296"/>
        <v>0</v>
      </c>
      <c r="BG252" s="215">
        <f t="shared" si="297"/>
        <v>0</v>
      </c>
      <c r="BH252" s="215" t="str">
        <f t="shared" si="282"/>
        <v/>
      </c>
      <c r="BI252" s="215" t="str">
        <f t="shared" si="283"/>
        <v/>
      </c>
      <c r="BJ252" s="215" t="str">
        <f t="shared" si="284"/>
        <v/>
      </c>
      <c r="BK252" s="215" t="str">
        <f t="shared" si="285"/>
        <v/>
      </c>
      <c r="BL252" s="215" t="str">
        <f t="shared" si="286"/>
        <v/>
      </c>
      <c r="BM252" s="215" t="str">
        <f t="shared" si="287"/>
        <v/>
      </c>
      <c r="BN252" s="215" t="str">
        <f t="shared" si="288"/>
        <v/>
      </c>
      <c r="BO252" s="215" t="str">
        <f t="shared" si="289"/>
        <v/>
      </c>
      <c r="BP252" s="215" t="str">
        <f t="shared" si="290"/>
        <v/>
      </c>
      <c r="BQ252" s="216"/>
      <c r="BR252" s="214"/>
      <c r="BS252" s="215">
        <f t="shared" si="298"/>
        <v>0</v>
      </c>
      <c r="BT252" s="215">
        <f t="shared" si="299"/>
        <v>0</v>
      </c>
      <c r="BU252" s="215" t="str">
        <f t="shared" si="300"/>
        <v>RW Lichtenhof 69 Stein 2</v>
      </c>
      <c r="BV252" s="214">
        <f t="shared" si="301"/>
        <v>2</v>
      </c>
      <c r="BW252" s="215">
        <f t="shared" si="302"/>
        <v>0</v>
      </c>
      <c r="BX252" s="215">
        <f>IF(COUNTIF(BH252:BP252,"&gt;0")&lt;Spielorte!$A$23,0,BE252/Spielorte!$A$23)</f>
        <v>0</v>
      </c>
      <c r="BY252" s="215">
        <f t="shared" si="303"/>
        <v>0</v>
      </c>
      <c r="BZ252" s="214">
        <f t="shared" si="291"/>
        <v>0</v>
      </c>
    </row>
    <row r="253" spans="1:78" ht="17.2" customHeight="1" x14ac:dyDescent="0.35">
      <c r="A253" s="367" t="s">
        <v>3</v>
      </c>
      <c r="B253" s="73" t="str">
        <f t="shared" si="292"/>
        <v>Wahl, Alexandra</v>
      </c>
      <c r="C253" s="74">
        <f t="shared" si="292"/>
        <v>25551</v>
      </c>
      <c r="D253" s="75">
        <f t="shared" si="292"/>
        <v>171</v>
      </c>
      <c r="E253" s="348">
        <f>IF(AD253="","",AD253)</f>
        <v>0</v>
      </c>
      <c r="F253" s="75">
        <f t="shared" si="273"/>
        <v>173</v>
      </c>
      <c r="G253" s="348">
        <f>IF(AF253="","",AF253)</f>
        <v>0</v>
      </c>
      <c r="H253" s="75">
        <f t="shared" si="274"/>
        <v>159</v>
      </c>
      <c r="I253" s="348">
        <f>IF(AH253="","",AH253)</f>
        <v>0</v>
      </c>
      <c r="J253" s="75">
        <f t="shared" si="275"/>
        <v>165</v>
      </c>
      <c r="K253" s="348">
        <f>IF(AJ253="","",AJ253)</f>
        <v>1</v>
      </c>
      <c r="L253" s="75">
        <f t="shared" si="276"/>
        <v>145</v>
      </c>
      <c r="M253" s="348">
        <f>IF(AL253="","",AL253)</f>
        <v>0</v>
      </c>
      <c r="N253" s="75">
        <f t="shared" si="293"/>
        <v>170</v>
      </c>
      <c r="O253" s="348">
        <f>IF(AN253="","",AN253)</f>
        <v>0</v>
      </c>
      <c r="P253" s="75">
        <f t="shared" si="277"/>
        <v>161</v>
      </c>
      <c r="Q253" s="348">
        <f>IF(AP253="","",AP253)</f>
        <v>1</v>
      </c>
      <c r="R253" s="75">
        <f t="shared" si="278"/>
        <v>174</v>
      </c>
      <c r="S253" s="348">
        <f>IF(AR253="","",AR253)</f>
        <v>0</v>
      </c>
      <c r="T253" s="75">
        <f t="shared" si="279"/>
        <v>203</v>
      </c>
      <c r="U253" s="348">
        <f>IF(AT253="","",AT253)</f>
        <v>1</v>
      </c>
      <c r="V253" s="75">
        <f t="shared" si="280"/>
        <v>1521</v>
      </c>
      <c r="W253" s="348">
        <f>IF(AV253="","",AV253)</f>
        <v>3</v>
      </c>
      <c r="Z253" s="351" t="s">
        <v>3</v>
      </c>
      <c r="AA253" s="108" t="str">
        <f>IF(AB253=0,"",VLOOKUP(AB253,Starter!$A$1:$D$199,2,FALSE))</f>
        <v>Wahl, Alexandra</v>
      </c>
      <c r="AB253" s="99">
        <v>25551</v>
      </c>
      <c r="AC253" s="188">
        <v>171</v>
      </c>
      <c r="AD253" s="109">
        <f>IF(SUM(AC253:AC255)+AC267=0,0,IF(SUM(AC253:AC255)=AC267,0.5,IF(SUM(AC253:AC255)&gt;AC267,1,0)))</f>
        <v>0</v>
      </c>
      <c r="AE253" s="188">
        <v>173</v>
      </c>
      <c r="AF253" s="109">
        <f>IF(SUM(AE253:AE255)+AE267=0,0,IF(SUM(AE253:AE255)=AE267,0.5,IF(SUM(AE253:AE255)&gt;AE267,1,0)))</f>
        <v>0</v>
      </c>
      <c r="AG253" s="188">
        <v>159</v>
      </c>
      <c r="AH253" s="109">
        <f>IF(SUM(AG253:AG255)+AG267=0,0,IF(SUM(AG253:AG255)=AG267,0.5,IF(SUM(AG253:AG255)&gt;AG267,1,0)))</f>
        <v>0</v>
      </c>
      <c r="AI253" s="188">
        <v>165</v>
      </c>
      <c r="AJ253" s="109">
        <f>IF(SUM(AI253:AI255)+AI267=0,0,IF(SUM(AI253:AI255)=AI267,0.5,IF(SUM(AI253:AI255)&gt;AI267,1,0)))</f>
        <v>1</v>
      </c>
      <c r="AK253" s="188">
        <v>145</v>
      </c>
      <c r="AL253" s="109">
        <f>IF(SUM(AK253:AK255)+AK267=0,0,IF(SUM(AK253:AK255)=AK267,0.5,IF(SUM(AK253:AK255)&gt;AK267,1,0)))</f>
        <v>0</v>
      </c>
      <c r="AM253" s="188">
        <v>170</v>
      </c>
      <c r="AN253" s="109">
        <f>IF(SUM(AM253:AM255)+AM267=0,0,IF(SUM(AM253:AM255)=AM267,0.5,IF(SUM(AM253:AM255)&gt;AM267,1,0)))</f>
        <v>0</v>
      </c>
      <c r="AO253" s="188">
        <v>161</v>
      </c>
      <c r="AP253" s="109">
        <f>IF(SUM(AO253:AO255)+AO267=0,0,IF(SUM(AO253:AO255)=AO267,0.5,IF(SUM(AO253:AO255)&gt;AO267,1,0)))</f>
        <v>1</v>
      </c>
      <c r="AQ253" s="188">
        <v>174</v>
      </c>
      <c r="AR253" s="109">
        <f>IF(SUM(AQ253:AQ255)+AQ267=0,0,IF(SUM(AQ253:AQ255)=AQ267,0.5,IF(SUM(AQ253:AQ255)&gt;AQ267,1,0)))</f>
        <v>0</v>
      </c>
      <c r="AS253" s="188">
        <v>203</v>
      </c>
      <c r="AT253" s="109">
        <f>IF(SUM(AS253:AS255)+AS267=0,0,IF(SUM(AS253:AS255)=AS267,0.5,IF(SUM(AS253:AS255)&gt;AS267,1,0)))</f>
        <v>1</v>
      </c>
      <c r="AU253" s="110">
        <f t="shared" si="281"/>
        <v>1521</v>
      </c>
      <c r="AV253" s="111">
        <f>SUM(AD253+AF253+AH253+AJ253+AL253+AN253+AP253+AR253+AT253)</f>
        <v>3</v>
      </c>
      <c r="AW253" s="101"/>
      <c r="AX253" s="102"/>
      <c r="AZ253" s="63"/>
      <c r="BA253" s="212"/>
      <c r="BB253" s="213"/>
      <c r="BC253" s="214"/>
      <c r="BD253" s="217">
        <f t="shared" si="294"/>
        <v>25551</v>
      </c>
      <c r="BE253" s="213">
        <f t="shared" si="295"/>
        <v>1521</v>
      </c>
      <c r="BF253" s="215">
        <f t="shared" si="296"/>
        <v>9</v>
      </c>
      <c r="BG253" s="215">
        <f t="shared" si="297"/>
        <v>9</v>
      </c>
      <c r="BH253" s="215">
        <f t="shared" si="282"/>
        <v>171</v>
      </c>
      <c r="BI253" s="215">
        <f t="shared" si="283"/>
        <v>173</v>
      </c>
      <c r="BJ253" s="215">
        <f t="shared" si="284"/>
        <v>159</v>
      </c>
      <c r="BK253" s="215">
        <f t="shared" si="285"/>
        <v>165</v>
      </c>
      <c r="BL253" s="215">
        <f t="shared" si="286"/>
        <v>145</v>
      </c>
      <c r="BM253" s="215">
        <f t="shared" si="287"/>
        <v>170</v>
      </c>
      <c r="BN253" s="215">
        <f t="shared" si="288"/>
        <v>161</v>
      </c>
      <c r="BO253" s="215">
        <f t="shared" si="289"/>
        <v>174</v>
      </c>
      <c r="BP253" s="215">
        <f t="shared" si="290"/>
        <v>203</v>
      </c>
      <c r="BQ253" s="216"/>
      <c r="BR253" s="214"/>
      <c r="BS253" s="215">
        <f t="shared" si="298"/>
        <v>203</v>
      </c>
      <c r="BT253" s="215">
        <f t="shared" si="299"/>
        <v>0</v>
      </c>
      <c r="BU253" s="215" t="str">
        <f t="shared" si="300"/>
        <v>RW Lichtenhof 69 Stein 2</v>
      </c>
      <c r="BV253" s="214">
        <f t="shared" si="301"/>
        <v>2</v>
      </c>
      <c r="BW253" s="215">
        <f t="shared" si="302"/>
        <v>1521</v>
      </c>
      <c r="BX253" s="215">
        <f>IF(COUNTIF(BH253:BP253,"&gt;0")&lt;Spielorte!$A$23,0,BE253/Spielorte!$A$23)</f>
        <v>169</v>
      </c>
      <c r="BY253" s="215">
        <f t="shared" si="303"/>
        <v>0</v>
      </c>
      <c r="BZ253" s="214">
        <f t="shared" si="291"/>
        <v>0</v>
      </c>
    </row>
    <row r="254" spans="1:78" ht="17.2" customHeight="1" x14ac:dyDescent="0.35">
      <c r="A254" s="368"/>
      <c r="B254" s="76" t="str">
        <f t="shared" si="292"/>
        <v/>
      </c>
      <c r="C254" s="77" t="str">
        <f t="shared" si="292"/>
        <v/>
      </c>
      <c r="D254" s="78" t="str">
        <f t="shared" si="292"/>
        <v/>
      </c>
      <c r="E254" s="349"/>
      <c r="F254" s="78" t="str">
        <f t="shared" si="273"/>
        <v/>
      </c>
      <c r="G254" s="349"/>
      <c r="H254" s="78" t="str">
        <f t="shared" si="274"/>
        <v/>
      </c>
      <c r="I254" s="349"/>
      <c r="J254" s="78" t="str">
        <f t="shared" si="275"/>
        <v/>
      </c>
      <c r="K254" s="349"/>
      <c r="L254" s="78" t="str">
        <f t="shared" si="276"/>
        <v/>
      </c>
      <c r="M254" s="349"/>
      <c r="N254" s="78" t="str">
        <f t="shared" si="293"/>
        <v/>
      </c>
      <c r="O254" s="349"/>
      <c r="P254" s="78" t="str">
        <f t="shared" si="277"/>
        <v/>
      </c>
      <c r="Q254" s="349"/>
      <c r="R254" s="78" t="str">
        <f t="shared" si="278"/>
        <v/>
      </c>
      <c r="S254" s="349"/>
      <c r="T254" s="78" t="str">
        <f t="shared" si="279"/>
        <v/>
      </c>
      <c r="U254" s="349"/>
      <c r="V254" s="78" t="str">
        <f t="shared" si="280"/>
        <v/>
      </c>
      <c r="W254" s="349"/>
      <c r="Z254" s="352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1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294"/>
        <v>0</v>
      </c>
      <c r="BE254" s="213">
        <f t="shared" si="295"/>
        <v>0</v>
      </c>
      <c r="BF254" s="215">
        <f t="shared" si="296"/>
        <v>0</v>
      </c>
      <c r="BG254" s="215">
        <f t="shared" si="297"/>
        <v>0</v>
      </c>
      <c r="BH254" s="215" t="str">
        <f t="shared" si="282"/>
        <v/>
      </c>
      <c r="BI254" s="215" t="str">
        <f t="shared" si="283"/>
        <v/>
      </c>
      <c r="BJ254" s="215" t="str">
        <f t="shared" si="284"/>
        <v/>
      </c>
      <c r="BK254" s="215" t="str">
        <f t="shared" si="285"/>
        <v/>
      </c>
      <c r="BL254" s="215" t="str">
        <f t="shared" si="286"/>
        <v/>
      </c>
      <c r="BM254" s="215" t="str">
        <f t="shared" si="287"/>
        <v/>
      </c>
      <c r="BN254" s="215" t="str">
        <f t="shared" si="288"/>
        <v/>
      </c>
      <c r="BO254" s="215" t="str">
        <f t="shared" si="289"/>
        <v/>
      </c>
      <c r="BP254" s="215" t="str">
        <f t="shared" si="290"/>
        <v/>
      </c>
      <c r="BQ254" s="216"/>
      <c r="BR254" s="214"/>
      <c r="BS254" s="215">
        <f t="shared" si="298"/>
        <v>0</v>
      </c>
      <c r="BT254" s="215">
        <f t="shared" si="299"/>
        <v>0</v>
      </c>
      <c r="BU254" s="215" t="str">
        <f t="shared" si="300"/>
        <v>RW Lichtenhof 69 Stein 2</v>
      </c>
      <c r="BV254" s="214">
        <f t="shared" si="301"/>
        <v>2</v>
      </c>
      <c r="BW254" s="215">
        <f t="shared" si="302"/>
        <v>0</v>
      </c>
      <c r="BX254" s="215">
        <f>IF(COUNTIF(BH254:BP254,"&gt;0")&lt;Spielorte!$A$23,0,BE254/Spielorte!$A$23)</f>
        <v>0</v>
      </c>
      <c r="BY254" s="215">
        <f t="shared" si="303"/>
        <v>0</v>
      </c>
      <c r="BZ254" s="214">
        <f t="shared" si="291"/>
        <v>0</v>
      </c>
    </row>
    <row r="255" spans="1:78" ht="17.2" customHeight="1" thickBot="1" x14ac:dyDescent="0.4">
      <c r="A255" s="369"/>
      <c r="B255" s="79" t="str">
        <f t="shared" si="292"/>
        <v/>
      </c>
      <c r="C255" s="80" t="str">
        <f t="shared" si="292"/>
        <v/>
      </c>
      <c r="D255" s="69" t="str">
        <f t="shared" si="292"/>
        <v/>
      </c>
      <c r="E255" s="350"/>
      <c r="F255" s="69" t="str">
        <f t="shared" si="273"/>
        <v/>
      </c>
      <c r="G255" s="350"/>
      <c r="H255" s="69" t="str">
        <f t="shared" si="274"/>
        <v/>
      </c>
      <c r="I255" s="350"/>
      <c r="J255" s="69" t="str">
        <f t="shared" si="275"/>
        <v/>
      </c>
      <c r="K255" s="350"/>
      <c r="L255" s="69" t="str">
        <f t="shared" si="276"/>
        <v/>
      </c>
      <c r="M255" s="350"/>
      <c r="N255" s="69" t="str">
        <f t="shared" si="293"/>
        <v/>
      </c>
      <c r="O255" s="350"/>
      <c r="P255" s="69" t="str">
        <f t="shared" si="277"/>
        <v/>
      </c>
      <c r="Q255" s="350"/>
      <c r="R255" s="69" t="str">
        <f t="shared" si="278"/>
        <v/>
      </c>
      <c r="S255" s="350"/>
      <c r="T255" s="69" t="str">
        <f t="shared" si="279"/>
        <v/>
      </c>
      <c r="U255" s="350"/>
      <c r="V255" s="69" t="str">
        <f t="shared" si="280"/>
        <v/>
      </c>
      <c r="W255" s="350"/>
      <c r="Z255" s="353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1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294"/>
        <v>0</v>
      </c>
      <c r="BE255" s="213">
        <f t="shared" si="295"/>
        <v>0</v>
      </c>
      <c r="BF255" s="215">
        <f t="shared" si="296"/>
        <v>0</v>
      </c>
      <c r="BG255" s="215">
        <f t="shared" si="297"/>
        <v>0</v>
      </c>
      <c r="BH255" s="215" t="str">
        <f t="shared" si="282"/>
        <v/>
      </c>
      <c r="BI255" s="215" t="str">
        <f t="shared" si="283"/>
        <v/>
      </c>
      <c r="BJ255" s="215" t="str">
        <f t="shared" si="284"/>
        <v/>
      </c>
      <c r="BK255" s="215" t="str">
        <f t="shared" si="285"/>
        <v/>
      </c>
      <c r="BL255" s="215" t="str">
        <f t="shared" si="286"/>
        <v/>
      </c>
      <c r="BM255" s="215" t="str">
        <f t="shared" si="287"/>
        <v/>
      </c>
      <c r="BN255" s="215" t="str">
        <f t="shared" si="288"/>
        <v/>
      </c>
      <c r="BO255" s="215" t="str">
        <f t="shared" si="289"/>
        <v/>
      </c>
      <c r="BP255" s="215" t="str">
        <f t="shared" si="290"/>
        <v/>
      </c>
      <c r="BQ255" s="216"/>
      <c r="BR255" s="214"/>
      <c r="BS255" s="215">
        <f t="shared" si="298"/>
        <v>0</v>
      </c>
      <c r="BT255" s="215">
        <f t="shared" si="299"/>
        <v>0</v>
      </c>
      <c r="BU255" s="215" t="str">
        <f t="shared" si="300"/>
        <v>RW Lichtenhof 69 Stein 2</v>
      </c>
      <c r="BV255" s="214">
        <f t="shared" si="301"/>
        <v>2</v>
      </c>
      <c r="BW255" s="215">
        <f t="shared" si="302"/>
        <v>0</v>
      </c>
      <c r="BX255" s="215">
        <f>IF(COUNTIF(BH255:BP255,"&gt;0")&lt;Spielorte!$A$23,0,BE255/Spielorte!$A$23)</f>
        <v>0</v>
      </c>
      <c r="BY255" s="215">
        <f t="shared" si="303"/>
        <v>0</v>
      </c>
      <c r="BZ255" s="214">
        <f t="shared" si="291"/>
        <v>0</v>
      </c>
    </row>
    <row r="256" spans="1:78" ht="17.2" customHeight="1" x14ac:dyDescent="0.35">
      <c r="A256" s="367" t="s">
        <v>11</v>
      </c>
      <c r="B256" s="73" t="str">
        <f>IF(AA256=0,"",AA256)</f>
        <v>Panek, Sandra</v>
      </c>
      <c r="C256" s="74">
        <f t="shared" si="292"/>
        <v>25982</v>
      </c>
      <c r="D256" s="75">
        <f t="shared" si="292"/>
        <v>194</v>
      </c>
      <c r="E256" s="348">
        <f>IF(AD256="","",AD256)</f>
        <v>1</v>
      </c>
      <c r="F256" s="75">
        <f t="shared" si="273"/>
        <v>171</v>
      </c>
      <c r="G256" s="348">
        <f>IF(AF256="","",AF256)</f>
        <v>0</v>
      </c>
      <c r="H256" s="75">
        <f t="shared" si="274"/>
        <v>155</v>
      </c>
      <c r="I256" s="348">
        <f>IF(AH256="","",AH256)</f>
        <v>0</v>
      </c>
      <c r="J256" s="75">
        <f t="shared" si="275"/>
        <v>161</v>
      </c>
      <c r="K256" s="348">
        <f>IF(AJ256="","",AJ256)</f>
        <v>0.5</v>
      </c>
      <c r="L256" s="75" t="str">
        <f t="shared" si="276"/>
        <v/>
      </c>
      <c r="M256" s="348">
        <f>IF(AL256="","",AL256)</f>
        <v>1</v>
      </c>
      <c r="N256" s="75" t="str">
        <f t="shared" si="293"/>
        <v/>
      </c>
      <c r="O256" s="348">
        <f>IF(AN256="","",AN256)</f>
        <v>1</v>
      </c>
      <c r="P256" s="75" t="str">
        <f t="shared" si="277"/>
        <v/>
      </c>
      <c r="Q256" s="348">
        <f>IF(AP256="","",AP256)</f>
        <v>1</v>
      </c>
      <c r="R256" s="75" t="str">
        <f t="shared" si="278"/>
        <v/>
      </c>
      <c r="S256" s="348">
        <f>IF(AR256="","",AR256)</f>
        <v>0</v>
      </c>
      <c r="T256" s="75" t="str">
        <f t="shared" si="279"/>
        <v/>
      </c>
      <c r="U256" s="348">
        <f>IF(AT256="","",AT256)</f>
        <v>0</v>
      </c>
      <c r="V256" s="75">
        <f t="shared" si="280"/>
        <v>681</v>
      </c>
      <c r="W256" s="348">
        <f>IF(AV256="","",AV256)</f>
        <v>4.5</v>
      </c>
      <c r="Z256" s="351" t="s">
        <v>11</v>
      </c>
      <c r="AA256" s="108" t="str">
        <f>IF(AB256=0,"",VLOOKUP(AB256,Starter!$A$1:$D$199,2,FALSE))</f>
        <v>Panek, Sandra</v>
      </c>
      <c r="AB256" s="99">
        <v>25982</v>
      </c>
      <c r="AC256" s="188">
        <v>194</v>
      </c>
      <c r="AD256" s="109">
        <f>IF(SUM(AC256:AC258)+AC268=0,0,IF(SUM(AC256:AC258)=AC268,0.5,IF(SUM(AC256:AC258)&gt;AC268,1,0)))</f>
        <v>1</v>
      </c>
      <c r="AE256" s="188">
        <v>171</v>
      </c>
      <c r="AF256" s="109">
        <f>IF(SUM(AE256:AE258)+AE268=0,0,IF(SUM(AE256:AE258)=AE268,0.5,IF(SUM(AE256:AE258)&gt;AE268,1,0)))</f>
        <v>0</v>
      </c>
      <c r="AG256" s="188">
        <v>155</v>
      </c>
      <c r="AH256" s="109">
        <f>IF(SUM(AG256:AG258)+AG268=0,0,IF(SUM(AG256:AG258)=AG268,0.5,IF(SUM(AG256:AG258)&gt;AG268,1,0)))</f>
        <v>0</v>
      </c>
      <c r="AI256" s="188">
        <v>161</v>
      </c>
      <c r="AJ256" s="109">
        <f>IF(SUM(AI256:AI258)+AI268=0,0,IF(SUM(AI256:AI258)=AI268,0.5,IF(SUM(AI256:AI258)&gt;AI268,1,0)))</f>
        <v>0.5</v>
      </c>
      <c r="AK256" s="188"/>
      <c r="AL256" s="109">
        <f>IF(SUM(AK256:AK258)+AK268=0,0,IF(SUM(AK256:AK258)=AK268,0.5,IF(SUM(AK256:AK258)&gt;AK268,1,0)))</f>
        <v>1</v>
      </c>
      <c r="AM256" s="188"/>
      <c r="AN256" s="109">
        <f>IF(SUM(AM256:AM258)+AM268=0,0,IF(SUM(AM256:AM258)=AM268,0.5,IF(SUM(AM256:AM258)&gt;AM268,1,0)))</f>
        <v>1</v>
      </c>
      <c r="AO256" s="188"/>
      <c r="AP256" s="109">
        <f>IF(SUM(AO256:AO258)+AO268=0,0,IF(SUM(AO256:AO258)=AO268,0.5,IF(SUM(AO256:AO258)&gt;AO268,1,0)))</f>
        <v>1</v>
      </c>
      <c r="AQ256" s="188"/>
      <c r="AR256" s="109">
        <f>IF(SUM(AQ256:AQ258)+AQ268=0,0,IF(SUM(AQ256:AQ258)=AQ268,0.5,IF(SUM(AQ256:AQ258)&gt;AQ268,1,0)))</f>
        <v>0</v>
      </c>
      <c r="AS256" s="188"/>
      <c r="AT256" s="109">
        <f>IF(SUM(AS256:AS258)+AS268=0,0,IF(SUM(AS256:AS258)=AS268,0.5,IF(SUM(AS256:AS258)&gt;AS268,1,0)))</f>
        <v>0</v>
      </c>
      <c r="AU256" s="110">
        <f t="shared" si="281"/>
        <v>681</v>
      </c>
      <c r="AV256" s="111">
        <f>SUM(AD256+AF256+AH256+AJ256+AL256+AN256+AP256+AR256+AT256)</f>
        <v>4.5</v>
      </c>
      <c r="AW256" s="101"/>
      <c r="AX256" s="102"/>
      <c r="AZ256" s="63"/>
      <c r="BA256" s="212"/>
      <c r="BB256" s="213"/>
      <c r="BC256" s="214"/>
      <c r="BD256" s="217">
        <f t="shared" si="294"/>
        <v>25982</v>
      </c>
      <c r="BE256" s="213">
        <f t="shared" si="295"/>
        <v>681</v>
      </c>
      <c r="BF256" s="215">
        <f t="shared" si="296"/>
        <v>4</v>
      </c>
      <c r="BG256" s="215">
        <f t="shared" si="297"/>
        <v>4</v>
      </c>
      <c r="BH256" s="215">
        <f t="shared" si="282"/>
        <v>194</v>
      </c>
      <c r="BI256" s="215">
        <f t="shared" si="283"/>
        <v>171</v>
      </c>
      <c r="BJ256" s="215">
        <f t="shared" si="284"/>
        <v>155</v>
      </c>
      <c r="BK256" s="215">
        <f t="shared" si="285"/>
        <v>161</v>
      </c>
      <c r="BL256" s="215" t="str">
        <f t="shared" si="286"/>
        <v/>
      </c>
      <c r="BM256" s="215" t="str">
        <f t="shared" si="287"/>
        <v/>
      </c>
      <c r="BN256" s="215" t="str">
        <f t="shared" si="288"/>
        <v/>
      </c>
      <c r="BO256" s="215" t="str">
        <f t="shared" si="289"/>
        <v/>
      </c>
      <c r="BP256" s="215" t="str">
        <f t="shared" si="290"/>
        <v/>
      </c>
      <c r="BQ256" s="216"/>
      <c r="BR256" s="214"/>
      <c r="BS256" s="215">
        <f t="shared" si="298"/>
        <v>194</v>
      </c>
      <c r="BT256" s="215">
        <f t="shared" si="299"/>
        <v>0</v>
      </c>
      <c r="BU256" s="215" t="str">
        <f t="shared" si="300"/>
        <v>RW Lichtenhof 69 Stein 2</v>
      </c>
      <c r="BV256" s="214">
        <f t="shared" si="301"/>
        <v>2</v>
      </c>
      <c r="BW256" s="215">
        <f t="shared" si="302"/>
        <v>681</v>
      </c>
      <c r="BX256" s="215">
        <f>IF(COUNTIF(BH256:BP256,"&gt;0")&lt;Spielorte!$A$23,0,BE256/Spielorte!$A$23)</f>
        <v>0</v>
      </c>
      <c r="BY256" s="215">
        <f t="shared" si="303"/>
        <v>0</v>
      </c>
      <c r="BZ256" s="214">
        <f t="shared" si="291"/>
        <v>0</v>
      </c>
    </row>
    <row r="257" spans="1:78" ht="17.2" customHeight="1" x14ac:dyDescent="0.35">
      <c r="A257" s="368"/>
      <c r="B257" s="76" t="str">
        <f>IF(AA257=0,"",AA257)</f>
        <v>Hödl, Renate</v>
      </c>
      <c r="C257" s="77">
        <f t="shared" si="292"/>
        <v>7972</v>
      </c>
      <c r="D257" s="78" t="str">
        <f t="shared" si="292"/>
        <v/>
      </c>
      <c r="E257" s="349"/>
      <c r="F257" s="78" t="str">
        <f t="shared" si="273"/>
        <v/>
      </c>
      <c r="G257" s="349"/>
      <c r="H257" s="78" t="str">
        <f t="shared" si="274"/>
        <v/>
      </c>
      <c r="I257" s="349"/>
      <c r="J257" s="78" t="str">
        <f t="shared" si="275"/>
        <v/>
      </c>
      <c r="K257" s="349"/>
      <c r="L257" s="78">
        <f t="shared" si="276"/>
        <v>181</v>
      </c>
      <c r="M257" s="349"/>
      <c r="N257" s="78">
        <f t="shared" si="293"/>
        <v>174</v>
      </c>
      <c r="O257" s="349"/>
      <c r="P257" s="78">
        <f t="shared" si="277"/>
        <v>181</v>
      </c>
      <c r="Q257" s="349"/>
      <c r="R257" s="78">
        <f t="shared" si="278"/>
        <v>162</v>
      </c>
      <c r="S257" s="349"/>
      <c r="T257" s="78">
        <f t="shared" si="279"/>
        <v>180</v>
      </c>
      <c r="U257" s="349"/>
      <c r="V257" s="78">
        <f t="shared" si="280"/>
        <v>878</v>
      </c>
      <c r="W257" s="349"/>
      <c r="Z257" s="352"/>
      <c r="AA257" s="108" t="str">
        <f>IF(AB257=0,"",VLOOKUP(AB257,Starter!$A$1:$D$199,2,FALSE))</f>
        <v>Hödl, Renate</v>
      </c>
      <c r="AB257" s="98">
        <v>7972</v>
      </c>
      <c r="AC257" s="186"/>
      <c r="AD257" s="112"/>
      <c r="AE257" s="186"/>
      <c r="AF257" s="112"/>
      <c r="AG257" s="186"/>
      <c r="AH257" s="112"/>
      <c r="AI257" s="186"/>
      <c r="AJ257" s="112"/>
      <c r="AK257" s="186">
        <v>181</v>
      </c>
      <c r="AL257" s="112"/>
      <c r="AM257" s="186">
        <v>174</v>
      </c>
      <c r="AN257" s="112"/>
      <c r="AO257" s="186">
        <v>181</v>
      </c>
      <c r="AP257" s="112"/>
      <c r="AQ257" s="186">
        <v>162</v>
      </c>
      <c r="AR257" s="112"/>
      <c r="AS257" s="186">
        <v>180</v>
      </c>
      <c r="AT257" s="112"/>
      <c r="AU257" s="113">
        <f t="shared" si="281"/>
        <v>878</v>
      </c>
      <c r="AV257" s="114"/>
      <c r="AW257" s="101"/>
      <c r="AX257" s="102"/>
      <c r="AZ257" s="63"/>
      <c r="BA257" s="212"/>
      <c r="BB257" s="213"/>
      <c r="BC257" s="214"/>
      <c r="BD257" s="217">
        <f t="shared" si="294"/>
        <v>7972</v>
      </c>
      <c r="BE257" s="213">
        <f t="shared" si="295"/>
        <v>878</v>
      </c>
      <c r="BF257" s="215">
        <f t="shared" si="296"/>
        <v>5</v>
      </c>
      <c r="BG257" s="215">
        <f t="shared" si="297"/>
        <v>5</v>
      </c>
      <c r="BH257" s="215" t="str">
        <f t="shared" si="282"/>
        <v/>
      </c>
      <c r="BI257" s="215" t="str">
        <f t="shared" si="283"/>
        <v/>
      </c>
      <c r="BJ257" s="215" t="str">
        <f t="shared" si="284"/>
        <v/>
      </c>
      <c r="BK257" s="215" t="str">
        <f t="shared" si="285"/>
        <v/>
      </c>
      <c r="BL257" s="215">
        <f t="shared" si="286"/>
        <v>181</v>
      </c>
      <c r="BM257" s="215">
        <f t="shared" si="287"/>
        <v>174</v>
      </c>
      <c r="BN257" s="215">
        <f t="shared" si="288"/>
        <v>181</v>
      </c>
      <c r="BO257" s="215">
        <f t="shared" si="289"/>
        <v>162</v>
      </c>
      <c r="BP257" s="215">
        <f t="shared" si="290"/>
        <v>180</v>
      </c>
      <c r="BQ257" s="216"/>
      <c r="BR257" s="214"/>
      <c r="BS257" s="215">
        <f t="shared" si="298"/>
        <v>181</v>
      </c>
      <c r="BT257" s="215">
        <f t="shared" si="299"/>
        <v>0</v>
      </c>
      <c r="BU257" s="215" t="str">
        <f t="shared" si="300"/>
        <v>RW Lichtenhof 69 Stein 2</v>
      </c>
      <c r="BV257" s="214">
        <f t="shared" si="301"/>
        <v>2</v>
      </c>
      <c r="BW257" s="215">
        <f t="shared" si="302"/>
        <v>878</v>
      </c>
      <c r="BX257" s="215">
        <f>IF(COUNTIF(BH257:BP257,"&gt;0")&lt;Spielorte!$A$23,0,BE257/Spielorte!$A$23)</f>
        <v>0</v>
      </c>
      <c r="BY257" s="215">
        <f t="shared" si="303"/>
        <v>0</v>
      </c>
      <c r="BZ257" s="214">
        <f t="shared" si="291"/>
        <v>0</v>
      </c>
    </row>
    <row r="258" spans="1:78" ht="17.2" customHeight="1" thickBot="1" x14ac:dyDescent="0.4">
      <c r="A258" s="369"/>
      <c r="B258" s="79" t="str">
        <f>IF(AA258=0,"",AA258)</f>
        <v/>
      </c>
      <c r="C258" s="80" t="str">
        <f t="shared" si="292"/>
        <v/>
      </c>
      <c r="D258" s="69" t="str">
        <f t="shared" si="292"/>
        <v/>
      </c>
      <c r="E258" s="350"/>
      <c r="F258" s="69" t="str">
        <f t="shared" si="273"/>
        <v/>
      </c>
      <c r="G258" s="350"/>
      <c r="H258" s="69" t="str">
        <f t="shared" si="274"/>
        <v/>
      </c>
      <c r="I258" s="350"/>
      <c r="J258" s="69" t="str">
        <f t="shared" si="275"/>
        <v/>
      </c>
      <c r="K258" s="350"/>
      <c r="L258" s="69" t="str">
        <f t="shared" si="276"/>
        <v/>
      </c>
      <c r="M258" s="350"/>
      <c r="N258" s="69" t="str">
        <f t="shared" si="293"/>
        <v/>
      </c>
      <c r="O258" s="350"/>
      <c r="P258" s="69" t="str">
        <f t="shared" si="277"/>
        <v/>
      </c>
      <c r="Q258" s="350"/>
      <c r="R258" s="69" t="str">
        <f t="shared" si="278"/>
        <v/>
      </c>
      <c r="S258" s="350"/>
      <c r="T258" s="69" t="str">
        <f t="shared" si="279"/>
        <v/>
      </c>
      <c r="U258" s="350"/>
      <c r="V258" s="69" t="str">
        <f t="shared" si="280"/>
        <v/>
      </c>
      <c r="W258" s="350"/>
      <c r="Z258" s="353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1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294"/>
        <v>0</v>
      </c>
      <c r="BE258" s="213">
        <f t="shared" si="295"/>
        <v>0</v>
      </c>
      <c r="BF258" s="215">
        <f t="shared" si="296"/>
        <v>0</v>
      </c>
      <c r="BG258" s="215">
        <f t="shared" si="297"/>
        <v>0</v>
      </c>
      <c r="BH258" s="215" t="str">
        <f t="shared" si="282"/>
        <v/>
      </c>
      <c r="BI258" s="215" t="str">
        <f t="shared" si="283"/>
        <v/>
      </c>
      <c r="BJ258" s="215" t="str">
        <f t="shared" si="284"/>
        <v/>
      </c>
      <c r="BK258" s="215" t="str">
        <f t="shared" si="285"/>
        <v/>
      </c>
      <c r="BL258" s="215" t="str">
        <f t="shared" si="286"/>
        <v/>
      </c>
      <c r="BM258" s="215" t="str">
        <f t="shared" si="287"/>
        <v/>
      </c>
      <c r="BN258" s="215" t="str">
        <f t="shared" si="288"/>
        <v/>
      </c>
      <c r="BO258" s="215" t="str">
        <f t="shared" si="289"/>
        <v/>
      </c>
      <c r="BP258" s="215" t="str">
        <f t="shared" si="290"/>
        <v/>
      </c>
      <c r="BQ258" s="216"/>
      <c r="BR258" s="214"/>
      <c r="BS258" s="215">
        <f t="shared" si="298"/>
        <v>0</v>
      </c>
      <c r="BT258" s="215">
        <f t="shared" si="299"/>
        <v>0</v>
      </c>
      <c r="BU258" s="215" t="str">
        <f t="shared" si="300"/>
        <v>RW Lichtenhof 69 Stein 2</v>
      </c>
      <c r="BV258" s="214">
        <f t="shared" si="301"/>
        <v>2</v>
      </c>
      <c r="BW258" s="215">
        <f t="shared" si="302"/>
        <v>0</v>
      </c>
      <c r="BX258" s="215">
        <f>IF(COUNTIF(BH258:BP258,"&gt;0")&lt;Spielorte!$A$23,0,BE258/Spielorte!$A$23)</f>
        <v>0</v>
      </c>
      <c r="BY258" s="215">
        <f t="shared" si="303"/>
        <v>0</v>
      </c>
      <c r="BZ258" s="214">
        <f t="shared" si="291"/>
        <v>0</v>
      </c>
    </row>
    <row r="259" spans="1:78" ht="27.75" customHeight="1" thickBot="1" x14ac:dyDescent="0.4">
      <c r="B259" s="81" t="str">
        <f>IF(AA259=0,"",AA259)</f>
        <v>Gesamt</v>
      </c>
      <c r="C259" s="82" t="str">
        <f t="shared" si="292"/>
        <v/>
      </c>
      <c r="D259" s="83">
        <f t="shared" si="292"/>
        <v>691</v>
      </c>
      <c r="E259" s="84">
        <f>IF(AD259="","",AD259)</f>
        <v>2</v>
      </c>
      <c r="F259" s="83">
        <f t="shared" si="273"/>
        <v>679</v>
      </c>
      <c r="G259" s="84">
        <f>IF(AF259="","",AF259)</f>
        <v>0</v>
      </c>
      <c r="H259" s="83">
        <f t="shared" si="274"/>
        <v>642</v>
      </c>
      <c r="I259" s="84">
        <f>IF(AH259="","",AH259)</f>
        <v>0</v>
      </c>
      <c r="J259" s="83">
        <f t="shared" si="275"/>
        <v>677</v>
      </c>
      <c r="K259" s="84">
        <f>IF(AJ259="","",AJ259)</f>
        <v>0</v>
      </c>
      <c r="L259" s="83">
        <f t="shared" si="276"/>
        <v>615</v>
      </c>
      <c r="M259" s="84">
        <f>IF(AL259="","",AL259)</f>
        <v>0</v>
      </c>
      <c r="N259" s="83">
        <f t="shared" si="293"/>
        <v>675</v>
      </c>
      <c r="O259" s="84">
        <f>IF(AN259="","",AN259)</f>
        <v>0</v>
      </c>
      <c r="P259" s="83">
        <f t="shared" si="277"/>
        <v>722</v>
      </c>
      <c r="Q259" s="84">
        <f>IF(AP259="","",AP259)</f>
        <v>2</v>
      </c>
      <c r="R259" s="83">
        <f t="shared" si="278"/>
        <v>750</v>
      </c>
      <c r="S259" s="84">
        <f>IF(AR259="","",AR259)</f>
        <v>2</v>
      </c>
      <c r="T259" s="83">
        <f t="shared" si="279"/>
        <v>722</v>
      </c>
      <c r="U259" s="84">
        <f>IF(AT259="","",AT259)</f>
        <v>0</v>
      </c>
      <c r="V259" s="83">
        <f t="shared" si="280"/>
        <v>6173</v>
      </c>
      <c r="W259" s="84">
        <f>IF(AV259="","",AV259)</f>
        <v>6</v>
      </c>
      <c r="AA259" s="81" t="s">
        <v>1799</v>
      </c>
      <c r="AB259" s="120"/>
      <c r="AC259" s="211">
        <f>ABS(SUM(AC247:AC249))+ABS(SUM(AC250:AC252))+ABS(SUM(AC253:AC255))+ABS(SUM(AC256:AC258))</f>
        <v>691</v>
      </c>
      <c r="AD259" s="121">
        <f>IF(AC259+AC269=0,0,IF(AC259=AC269,1,IF(AC259&gt;AC269,2,0)))</f>
        <v>2</v>
      </c>
      <c r="AE259" s="211">
        <f>ABS(SUM(AE247:AE249))+ABS(SUM(AE250:AE252))+ABS(SUM(AE253:AE255))+ABS(SUM(AE256:AE258))</f>
        <v>679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642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677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615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675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722</v>
      </c>
      <c r="AP259" s="121">
        <f>IF(AO259+AO269=0,0,IF(AO259=AO269,1,IF(AO259&gt;AO269,2,0)))</f>
        <v>2</v>
      </c>
      <c r="AQ259" s="211">
        <f>ABS(SUM(AQ247:AQ249))+ABS(SUM(AQ250:AQ252))+ABS(SUM(AQ253:AQ255))+ABS(SUM(AQ256:AQ258))</f>
        <v>750</v>
      </c>
      <c r="AR259" s="121">
        <f>IF(AQ259+AQ269=0,0,IF(AQ259=AQ269,1,IF(AQ259&gt;AQ269,2,0)))</f>
        <v>2</v>
      </c>
      <c r="AS259" s="211">
        <f>ABS(SUM(AS247:AS249))+ABS(SUM(AS250:AS252))+ABS(SUM(AS253:AS255))+ABS(SUM(AS256:AS258))</f>
        <v>722</v>
      </c>
      <c r="AT259" s="121">
        <f>IF(AS259+AS269=0,0,IF(AS259=AS269,1,IF(AS259&gt;AS269,2,0)))</f>
        <v>0</v>
      </c>
      <c r="AU259" s="122">
        <f>SUM(AC259+AE259+AG259+AI259+AK259+AM259+AO259+AQ259+AS259)</f>
        <v>6173</v>
      </c>
      <c r="AV259" s="123">
        <f>SUM(AD259+AF259+AH259+AJ259+AL259+AN259+AP259+AR259+AT259)</f>
        <v>6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4">
      <c r="B260" s="85" t="str">
        <f>IF(AA260=0,"",AA260)</f>
        <v>Gesamt - Punkte</v>
      </c>
      <c r="C260" s="86" t="str">
        <f t="shared" si="292"/>
        <v/>
      </c>
      <c r="D260" s="86" t="str">
        <f t="shared" si="292"/>
        <v/>
      </c>
      <c r="E260" s="87">
        <f>IF(AD260="","",AD260)</f>
        <v>4</v>
      </c>
      <c r="F260" s="86" t="str">
        <f t="shared" si="273"/>
        <v/>
      </c>
      <c r="G260" s="87">
        <f>IF(AF260="","",AF260)</f>
        <v>1</v>
      </c>
      <c r="H260" s="86" t="str">
        <f t="shared" si="274"/>
        <v/>
      </c>
      <c r="I260" s="87">
        <f>IF(AH260="","",AH260)</f>
        <v>1</v>
      </c>
      <c r="J260" s="86" t="str">
        <f t="shared" si="275"/>
        <v/>
      </c>
      <c r="K260" s="87">
        <f>IF(AJ260="","",AJ260)</f>
        <v>2.5</v>
      </c>
      <c r="L260" s="86" t="str">
        <f t="shared" si="276"/>
        <v/>
      </c>
      <c r="M260" s="87">
        <f>IF(AL260="","",AL260)</f>
        <v>1</v>
      </c>
      <c r="N260" s="86" t="str">
        <f t="shared" si="293"/>
        <v/>
      </c>
      <c r="O260" s="87">
        <f>IF(AN260="","",AN260)</f>
        <v>2</v>
      </c>
      <c r="P260" s="86" t="str">
        <f t="shared" si="277"/>
        <v/>
      </c>
      <c r="Q260" s="87">
        <f>IF(AP260="","",AP260)</f>
        <v>6</v>
      </c>
      <c r="R260" s="86" t="str">
        <f t="shared" si="278"/>
        <v/>
      </c>
      <c r="S260" s="87">
        <f>IF(AR260="","",AR260)</f>
        <v>4</v>
      </c>
      <c r="T260" s="86" t="str">
        <f t="shared" si="279"/>
        <v/>
      </c>
      <c r="U260" s="87">
        <f>IF(AT260="","",AT260)</f>
        <v>2</v>
      </c>
      <c r="V260" s="86" t="str">
        <f t="shared" si="280"/>
        <v/>
      </c>
      <c r="W260" s="87">
        <f>IF(AV260="","",AV260)</f>
        <v>23.5</v>
      </c>
      <c r="AA260" s="85" t="s">
        <v>1814</v>
      </c>
      <c r="AB260" s="86"/>
      <c r="AC260" s="86"/>
      <c r="AD260" s="124">
        <f>SUM(AD247:AD259)</f>
        <v>4</v>
      </c>
      <c r="AE260" s="86"/>
      <c r="AF260" s="124">
        <f>SUM(AF247:AF259)</f>
        <v>1</v>
      </c>
      <c r="AG260" s="86"/>
      <c r="AH260" s="124">
        <f>SUM(AH247:AH259)</f>
        <v>1</v>
      </c>
      <c r="AI260" s="86"/>
      <c r="AJ260" s="124">
        <f>SUM(AJ247:AJ259)</f>
        <v>2.5</v>
      </c>
      <c r="AK260" s="86"/>
      <c r="AL260" s="124">
        <f>SUM(AL247:AL259)</f>
        <v>1</v>
      </c>
      <c r="AM260" s="86"/>
      <c r="AN260" s="124">
        <f>SUM(AN247:AN259)</f>
        <v>2</v>
      </c>
      <c r="AO260" s="86"/>
      <c r="AP260" s="124">
        <f>SUM(AP247:AP259)</f>
        <v>6</v>
      </c>
      <c r="AQ260" s="86"/>
      <c r="AR260" s="124">
        <f>SUM(AR247:AR259)</f>
        <v>4</v>
      </c>
      <c r="AS260" s="86"/>
      <c r="AT260" s="124">
        <f>SUM(AT247:AT259)</f>
        <v>2</v>
      </c>
      <c r="AU260" s="86"/>
      <c r="AV260" s="125">
        <f>SUM(AV247:AV259)</f>
        <v>23.5</v>
      </c>
      <c r="AW260" s="101"/>
      <c r="AX260" s="102"/>
      <c r="BA260" s="212">
        <f>+AV260</f>
        <v>23.5</v>
      </c>
      <c r="BB260" s="213">
        <f>+AU259</f>
        <v>6173</v>
      </c>
      <c r="BC260" s="214">
        <f>+AA242</f>
        <v>9</v>
      </c>
      <c r="BF260" s="215">
        <f>SUM(BF241:BF259)</f>
        <v>36</v>
      </c>
      <c r="BQ260" s="212">
        <f>+BB260/1000000+BA260</f>
        <v>23.506173</v>
      </c>
      <c r="BR260" s="214">
        <f>RANK(BQ260,BQ:BQ)</f>
        <v>8</v>
      </c>
      <c r="BV260" s="214"/>
      <c r="BZ260" s="214"/>
    </row>
    <row r="261" spans="1:78" ht="11.25" customHeight="1" x14ac:dyDescent="0.3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35">
      <c r="B262" s="88" t="str">
        <f t="shared" ref="B262:K264" si="304">IF(AA262=0,"",AA262)</f>
        <v>Gegner-Nr.:</v>
      </c>
      <c r="C262" s="89" t="str">
        <f t="shared" si="304"/>
        <v>&gt;&gt;&gt;&gt;</v>
      </c>
      <c r="D262" s="346">
        <f t="shared" si="304"/>
        <v>6</v>
      </c>
      <c r="E262" s="346" t="str">
        <f t="shared" si="304"/>
        <v/>
      </c>
      <c r="F262" s="346">
        <f t="shared" si="304"/>
        <v>1</v>
      </c>
      <c r="G262" s="346" t="str">
        <f t="shared" si="304"/>
        <v/>
      </c>
      <c r="H262" s="346">
        <f t="shared" si="304"/>
        <v>2</v>
      </c>
      <c r="I262" s="346" t="str">
        <f t="shared" si="304"/>
        <v/>
      </c>
      <c r="J262" s="346">
        <f t="shared" si="304"/>
        <v>10</v>
      </c>
      <c r="K262" s="346" t="str">
        <f t="shared" si="304"/>
        <v/>
      </c>
      <c r="L262" s="346">
        <f t="shared" ref="L262:U264" si="305">IF(AK262=0,"",AK262)</f>
        <v>3</v>
      </c>
      <c r="M262" s="346" t="str">
        <f t="shared" si="305"/>
        <v/>
      </c>
      <c r="N262" s="346">
        <f t="shared" si="305"/>
        <v>5</v>
      </c>
      <c r="O262" s="346" t="str">
        <f t="shared" si="305"/>
        <v/>
      </c>
      <c r="P262" s="346">
        <f t="shared" si="305"/>
        <v>4</v>
      </c>
      <c r="Q262" s="346" t="str">
        <f t="shared" si="305"/>
        <v/>
      </c>
      <c r="R262" s="346">
        <f t="shared" si="305"/>
        <v>8</v>
      </c>
      <c r="S262" s="346" t="str">
        <f t="shared" si="305"/>
        <v/>
      </c>
      <c r="T262" s="346">
        <f t="shared" si="305"/>
        <v>7</v>
      </c>
      <c r="U262" s="346" t="str">
        <f t="shared" si="305"/>
        <v/>
      </c>
      <c r="V262" s="347"/>
      <c r="W262" s="347"/>
      <c r="AA262" s="88" t="s">
        <v>1797</v>
      </c>
      <c r="AB262" s="89" t="s">
        <v>1798</v>
      </c>
      <c r="AC262" s="370">
        <f>VLOOKUP($AA242,Schlüssel!$A$5:$DG$14,63)</f>
        <v>6</v>
      </c>
      <c r="AD262" s="371"/>
      <c r="AE262" s="370">
        <f>VLOOKUP($AA242,Schlüssel!$A$5:$EK$14,64)</f>
        <v>1</v>
      </c>
      <c r="AF262" s="371"/>
      <c r="AG262" s="370">
        <f>VLOOKUP($AA242,Schlüssel!$A$5:$EK$14,65)</f>
        <v>2</v>
      </c>
      <c r="AH262" s="371"/>
      <c r="AI262" s="370">
        <f>VLOOKUP($AA242,Schlüssel!$A$5:$EK$14,66)</f>
        <v>10</v>
      </c>
      <c r="AJ262" s="371"/>
      <c r="AK262" s="370">
        <f>VLOOKUP($AA242,Schlüssel!$A$5:$EK$14,67)</f>
        <v>3</v>
      </c>
      <c r="AL262" s="371"/>
      <c r="AM262" s="370">
        <f>VLOOKUP($AA242,Schlüssel!$A$5:$EK$14,68)</f>
        <v>5</v>
      </c>
      <c r="AN262" s="371"/>
      <c r="AO262" s="370">
        <f>VLOOKUP($AA242,Schlüssel!$A$5:$EK$14,69)</f>
        <v>4</v>
      </c>
      <c r="AP262" s="371"/>
      <c r="AQ262" s="370">
        <f>VLOOKUP($AA242,Schlüssel!$A$5:$EK$14,70)</f>
        <v>8</v>
      </c>
      <c r="AR262" s="371"/>
      <c r="AS262" s="370">
        <f>VLOOKUP($AA242,Schlüssel!$A$5:$EK$14,71)</f>
        <v>7</v>
      </c>
      <c r="AT262" s="371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35">
      <c r="B263" s="90" t="str">
        <f t="shared" si="304"/>
        <v/>
      </c>
      <c r="C263" s="86" t="str">
        <f t="shared" si="304"/>
        <v/>
      </c>
      <c r="D263" s="343" t="str">
        <f t="shared" si="304"/>
        <v>Phönix 03 Lauf</v>
      </c>
      <c r="E263" s="344" t="str">
        <f t="shared" si="304"/>
        <v/>
      </c>
      <c r="F263" s="343" t="str">
        <f t="shared" si="304"/>
        <v>Praetoria Regensburg</v>
      </c>
      <c r="G263" s="344" t="str">
        <f t="shared" si="304"/>
        <v/>
      </c>
      <c r="H263" s="343" t="str">
        <f t="shared" si="304"/>
        <v>BK München 2</v>
      </c>
      <c r="I263" s="344" t="str">
        <f t="shared" si="304"/>
        <v/>
      </c>
      <c r="J263" s="343" t="str">
        <f t="shared" si="304"/>
        <v>BK München 4</v>
      </c>
      <c r="K263" s="344" t="str">
        <f t="shared" si="304"/>
        <v/>
      </c>
      <c r="L263" s="343" t="str">
        <f t="shared" si="305"/>
        <v>Highroller Rosenheim</v>
      </c>
      <c r="M263" s="344" t="str">
        <f t="shared" si="305"/>
        <v/>
      </c>
      <c r="N263" s="343" t="str">
        <f t="shared" si="305"/>
        <v xml:space="preserve">Weiß Blau Unterföhring </v>
      </c>
      <c r="O263" s="344" t="str">
        <f t="shared" si="305"/>
        <v/>
      </c>
      <c r="P263" s="343" t="str">
        <f t="shared" si="305"/>
        <v>BK München 3</v>
      </c>
      <c r="Q263" s="344" t="str">
        <f t="shared" si="305"/>
        <v/>
      </c>
      <c r="R263" s="343" t="str">
        <f t="shared" si="305"/>
        <v>EPA München 1</v>
      </c>
      <c r="S263" s="344" t="str">
        <f t="shared" si="305"/>
        <v/>
      </c>
      <c r="T263" s="343" t="str">
        <f t="shared" si="305"/>
        <v>Frankenpower Nürnberg</v>
      </c>
      <c r="U263" s="344" t="str">
        <f t="shared" si="305"/>
        <v/>
      </c>
      <c r="V263" s="345"/>
      <c r="W263" s="345"/>
      <c r="AA263" s="90"/>
      <c r="AB263" s="86"/>
      <c r="AC263" s="343" t="str">
        <f>VLOOKUP(AC262,Schlüssel!$A$5:$K$14,2)</f>
        <v>Phönix 03 Lauf</v>
      </c>
      <c r="AD263" s="344"/>
      <c r="AE263" s="343" t="str">
        <f>VLOOKUP(AE262,Schlüssel!$A$5:$K$14,2)</f>
        <v>Praetoria Regensburg</v>
      </c>
      <c r="AF263" s="344"/>
      <c r="AG263" s="343" t="str">
        <f>VLOOKUP(AG262,Schlüssel!$A$5:$K$14,2)</f>
        <v>BK München 2</v>
      </c>
      <c r="AH263" s="344"/>
      <c r="AI263" s="343" t="str">
        <f>VLOOKUP(AI262,Schlüssel!$A$5:$K$14,2)</f>
        <v>BK München 4</v>
      </c>
      <c r="AJ263" s="344"/>
      <c r="AK263" s="343" t="str">
        <f>VLOOKUP(AK262,Schlüssel!$A$5:$K$14,2)</f>
        <v>Highroller Rosenheim</v>
      </c>
      <c r="AL263" s="344"/>
      <c r="AM263" s="343" t="str">
        <f>VLOOKUP(AM262,Schlüssel!$A$5:$K$14,2)</f>
        <v xml:space="preserve">Weiß Blau Unterföhring </v>
      </c>
      <c r="AN263" s="344"/>
      <c r="AO263" s="343" t="str">
        <f>VLOOKUP(AO262,Schlüssel!$A$5:$K$14,2)</f>
        <v>BK München 3</v>
      </c>
      <c r="AP263" s="344"/>
      <c r="AQ263" s="343" t="str">
        <f>VLOOKUP(AQ262,Schlüssel!$A$5:$K$14,2)</f>
        <v>EPA München 1</v>
      </c>
      <c r="AR263" s="344"/>
      <c r="AS263" s="343" t="str">
        <f>VLOOKUP(AS262,Schlüssel!$A$5:$K$14,2)</f>
        <v>Frankenpower Nürnberg</v>
      </c>
      <c r="AT263" s="344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35">
      <c r="B264" s="90" t="str">
        <f t="shared" si="304"/>
        <v/>
      </c>
      <c r="C264" s="86" t="str">
        <f t="shared" si="304"/>
        <v/>
      </c>
      <c r="D264" s="341" t="str">
        <f t="shared" si="304"/>
        <v/>
      </c>
      <c r="E264" s="341" t="str">
        <f t="shared" si="304"/>
        <v/>
      </c>
      <c r="F264" s="341" t="str">
        <f t="shared" si="304"/>
        <v/>
      </c>
      <c r="G264" s="341" t="str">
        <f t="shared" si="304"/>
        <v/>
      </c>
      <c r="H264" s="341" t="str">
        <f t="shared" si="304"/>
        <v/>
      </c>
      <c r="I264" s="341" t="str">
        <f t="shared" si="304"/>
        <v/>
      </c>
      <c r="J264" s="341" t="str">
        <f t="shared" si="304"/>
        <v/>
      </c>
      <c r="K264" s="341" t="str">
        <f t="shared" si="304"/>
        <v/>
      </c>
      <c r="L264" s="341" t="str">
        <f t="shared" si="305"/>
        <v/>
      </c>
      <c r="M264" s="341" t="str">
        <f t="shared" si="305"/>
        <v/>
      </c>
      <c r="N264" s="341" t="str">
        <f t="shared" si="305"/>
        <v/>
      </c>
      <c r="O264" s="341" t="str">
        <f t="shared" si="305"/>
        <v/>
      </c>
      <c r="P264" s="341" t="str">
        <f t="shared" si="305"/>
        <v/>
      </c>
      <c r="Q264" s="341" t="str">
        <f t="shared" si="305"/>
        <v/>
      </c>
      <c r="R264" s="341" t="str">
        <f t="shared" si="305"/>
        <v/>
      </c>
      <c r="S264" s="341" t="str">
        <f t="shared" si="305"/>
        <v/>
      </c>
      <c r="T264" s="341" t="str">
        <f t="shared" si="305"/>
        <v/>
      </c>
      <c r="U264" s="342" t="str">
        <f t="shared" si="305"/>
        <v/>
      </c>
      <c r="V264" s="301"/>
      <c r="W264" s="301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6.05" customHeight="1" x14ac:dyDescent="0.35">
      <c r="B265" s="365" t="str">
        <f t="shared" ref="B265:C269" si="306">IF(AA265=0,"",AA265)</f>
        <v>Spieler 1</v>
      </c>
      <c r="C265" s="366" t="str">
        <f t="shared" si="306"/>
        <v/>
      </c>
      <c r="D265" s="339">
        <f>IF(AC265=301,"",AC265)</f>
        <v>141</v>
      </c>
      <c r="E265" s="339" t="str">
        <f>IF(AD265=0,"",AD265)</f>
        <v/>
      </c>
      <c r="F265" s="339">
        <f>IF(AE265=301,"",AE265)</f>
        <v>192</v>
      </c>
      <c r="G265" s="339" t="str">
        <f>IF(AF265=0,"",AF265)</f>
        <v/>
      </c>
      <c r="H265" s="339">
        <f>IF(AG265=301,"",AG265)</f>
        <v>199</v>
      </c>
      <c r="I265" s="339" t="str">
        <f>IF(AH265=0,"",AH265)</f>
        <v/>
      </c>
      <c r="J265" s="339">
        <f>IF(AI265=301,"",AI265)</f>
        <v>201</v>
      </c>
      <c r="K265" s="339" t="str">
        <f>IF(AJ265=0,"",AJ265)</f>
        <v/>
      </c>
      <c r="L265" s="339">
        <f>IF(AK265=301,"",AK265)</f>
        <v>145</v>
      </c>
      <c r="M265" s="339" t="str">
        <f>IF(AL265=0,"",AL265)</f>
        <v/>
      </c>
      <c r="N265" s="339">
        <f>IF(AM265=301,"",AM265)</f>
        <v>175</v>
      </c>
      <c r="O265" s="339" t="str">
        <f>IF(AN265=0,"",AN265)</f>
        <v/>
      </c>
      <c r="P265" s="339">
        <f>IF(AO265=301,"",AO265)</f>
        <v>0</v>
      </c>
      <c r="Q265" s="339" t="str">
        <f>IF(AP265=0,"",AP265)</f>
        <v/>
      </c>
      <c r="R265" s="339">
        <f>IF(AQ265=301,"",AQ265)</f>
        <v>146</v>
      </c>
      <c r="S265" s="339" t="str">
        <f>IF(AR265=0,"",AR265)</f>
        <v/>
      </c>
      <c r="T265" s="339">
        <f>IF(AS265=301,"",AS265)</f>
        <v>192</v>
      </c>
      <c r="U265" s="339" t="str">
        <f>IF(AT265=0,"",AT265)</f>
        <v/>
      </c>
      <c r="V265" s="340"/>
      <c r="W265" s="340"/>
      <c r="AA265" s="91" t="s">
        <v>0</v>
      </c>
      <c r="AB265" s="92"/>
      <c r="AC265" s="372">
        <f>ABS(INDEX(AC:AC,MATCH(AC262,$AA:$AA,0)+5)+INDEX(AC:AC,MATCH(AC262,$AA:$AA,0)+6)+INDEX(AC:AC,MATCH(AC262,$AA:$AA,0)+7))</f>
        <v>141</v>
      </c>
      <c r="AD265" s="373"/>
      <c r="AE265" s="372">
        <f>ABS(INDEX(AE:AE,MATCH(AE262,$AA:$AA,0)+5)+INDEX(AE:AE,MATCH(AE262,$AA:$AA,0)+6)+INDEX(AE:AE,MATCH(AE262,$AA:$AA,0)+7))</f>
        <v>192</v>
      </c>
      <c r="AF265" s="373"/>
      <c r="AG265" s="372">
        <f>ABS(INDEX(AG:AG,MATCH(AG262,$AA:$AA,0)+5)+INDEX(AG:AG,MATCH(AG262,$AA:$AA,0)+6)+INDEX(AG:AG,MATCH(AG262,$AA:$AA,0)+7))</f>
        <v>199</v>
      </c>
      <c r="AH265" s="373"/>
      <c r="AI265" s="372">
        <f>ABS(INDEX(AI:AI,MATCH(AI262,$AA:$AA,0)+5)+INDEX(AI:AI,MATCH(AI262,$AA:$AA,0)+6)+INDEX(AI:AI,MATCH(AI262,$AA:$AA,0)+7))</f>
        <v>201</v>
      </c>
      <c r="AJ265" s="373"/>
      <c r="AK265" s="372">
        <f>ABS(INDEX(AK:AK,MATCH(AK262,$AA:$AA,0)+5)+INDEX(AK:AK,MATCH(AK262,$AA:$AA,0)+6)+INDEX(AK:AK,MATCH(AK262,$AA:$AA,0)+7))</f>
        <v>145</v>
      </c>
      <c r="AL265" s="373"/>
      <c r="AM265" s="372">
        <f>ABS(INDEX(AM:AM,MATCH(AM262,$AA:$AA,0)+5)+INDEX(AM:AM,MATCH(AM262,$AA:$AA,0)+6)+INDEX(AM:AM,MATCH(AM262,$AA:$AA,0)+7))</f>
        <v>175</v>
      </c>
      <c r="AN265" s="373"/>
      <c r="AO265" s="372">
        <f>ABS(INDEX(AO:AO,MATCH(AO262,$AA:$AA,0)+5)+INDEX(AO:AO,MATCH(AO262,$AA:$AA,0)+6)+INDEX(AO:AO,MATCH(AO262,$AA:$AA,0)+7))</f>
        <v>0</v>
      </c>
      <c r="AP265" s="373"/>
      <c r="AQ265" s="372">
        <f>ABS(INDEX(AQ:AQ,MATCH(AQ262,$AA:$AA,0)+5)+INDEX(AQ:AQ,MATCH(AQ262,$AA:$AA,0)+6)+INDEX(AQ:AQ,MATCH(AQ262,$AA:$AA,0)+7))</f>
        <v>146</v>
      </c>
      <c r="AR265" s="373"/>
      <c r="AS265" s="372">
        <f>ABS(INDEX(AS:AS,MATCH(AS262,$AA:$AA,0)+5)+INDEX(AS:AS,MATCH(AS262,$AA:$AA,0)+6)+INDEX(AS:AS,MATCH(AS262,$AA:$AA,0)+7))</f>
        <v>192</v>
      </c>
      <c r="AT265" s="373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6.05" customHeight="1" x14ac:dyDescent="0.35">
      <c r="B266" s="365" t="str">
        <f t="shared" si="306"/>
        <v>Spieler 2</v>
      </c>
      <c r="C266" s="366" t="str">
        <f t="shared" si="306"/>
        <v/>
      </c>
      <c r="D266" s="339">
        <f>IF(AC266=301,"",AC266)</f>
        <v>160</v>
      </c>
      <c r="E266" s="339" t="str">
        <f>IF(AD266=0,"",AD266)</f>
        <v/>
      </c>
      <c r="F266" s="339">
        <f>IF(AE266=301,"",AE266)</f>
        <v>148</v>
      </c>
      <c r="G266" s="339" t="str">
        <f>IF(AF266=0,"",AF266)</f>
        <v/>
      </c>
      <c r="H266" s="339">
        <f>IF(AG266=301,"",AG266)</f>
        <v>163</v>
      </c>
      <c r="I266" s="339" t="str">
        <f>IF(AH266=0,"",AH266)</f>
        <v/>
      </c>
      <c r="J266" s="339">
        <f>IF(AI266=301,"",AI266)</f>
        <v>161</v>
      </c>
      <c r="K266" s="339" t="str">
        <f>IF(AJ266=0,"",AJ266)</f>
        <v/>
      </c>
      <c r="L266" s="339">
        <f>IF(AK266=301,"",AK266)</f>
        <v>161</v>
      </c>
      <c r="M266" s="339" t="str">
        <f>IF(AL266=0,"",AL266)</f>
        <v/>
      </c>
      <c r="N266" s="339">
        <f>IF(AM266=301,"",AM266)</f>
        <v>170</v>
      </c>
      <c r="O266" s="339" t="str">
        <f>IF(AN266=0,"",AN266)</f>
        <v/>
      </c>
      <c r="P266" s="339">
        <f>IF(AO266=301,"",AO266)</f>
        <v>0</v>
      </c>
      <c r="Q266" s="339" t="str">
        <f>IF(AP266=0,"",AP266)</f>
        <v/>
      </c>
      <c r="R266" s="339">
        <f>IF(AQ266=301,"",AQ266)</f>
        <v>194</v>
      </c>
      <c r="S266" s="339" t="str">
        <f>IF(AR266=0,"",AR266)</f>
        <v/>
      </c>
      <c r="T266" s="339">
        <f>IF(AS266=301,"",AS266)</f>
        <v>178</v>
      </c>
      <c r="U266" s="339" t="str">
        <f>IF(AT266=0,"",AT266)</f>
        <v/>
      </c>
      <c r="V266" s="340"/>
      <c r="W266" s="340"/>
      <c r="AA266" s="91" t="s">
        <v>2</v>
      </c>
      <c r="AB266" s="92"/>
      <c r="AC266" s="374">
        <f>ABS(INDEX(AC:AC,MATCH(AC262,$AA:$AA,0)+8)+INDEX(AC:AC,MATCH(AC262,$AA:$AA,0)+9)+INDEX(AC:AC,MATCH(AC262,$AA:$AA,0)+10))</f>
        <v>160</v>
      </c>
      <c r="AD266" s="375"/>
      <c r="AE266" s="374">
        <f>ABS(INDEX(AE:AE,MATCH(AE262,$AA:$AA,0)+8)+INDEX(AE:AE,MATCH(AE262,$AA:$AA,0)+9)+INDEX(AE:AE,MATCH(AE262,$AA:$AA,0)+10))</f>
        <v>148</v>
      </c>
      <c r="AF266" s="375"/>
      <c r="AG266" s="374">
        <f>ABS(INDEX(AG:AG,MATCH(AG262,$AA:$AA,0)+8)+INDEX(AG:AG,MATCH(AG262,$AA:$AA,0)+9)+INDEX(AG:AG,MATCH(AG262,$AA:$AA,0)+10))</f>
        <v>163</v>
      </c>
      <c r="AH266" s="375"/>
      <c r="AI266" s="374">
        <f>ABS(INDEX(AI:AI,MATCH(AI262,$AA:$AA,0)+8)+INDEX(AI:AI,MATCH(AI262,$AA:$AA,0)+9)+INDEX(AI:AI,MATCH(AI262,$AA:$AA,0)+10))</f>
        <v>161</v>
      </c>
      <c r="AJ266" s="375"/>
      <c r="AK266" s="374">
        <f>ABS(INDEX(AK:AK,MATCH(AK262,$AA:$AA,0)+8)+INDEX(AK:AK,MATCH(AK262,$AA:$AA,0)+9)+INDEX(AK:AK,MATCH(AK262,$AA:$AA,0)+10))</f>
        <v>161</v>
      </c>
      <c r="AL266" s="375"/>
      <c r="AM266" s="374">
        <f>ABS(INDEX(AM:AM,MATCH(AM262,$AA:$AA,0)+8)+INDEX(AM:AM,MATCH(AM262,$AA:$AA,0)+9)+INDEX(AM:AM,MATCH(AM262,$AA:$AA,0)+10))</f>
        <v>170</v>
      </c>
      <c r="AN266" s="375"/>
      <c r="AO266" s="374">
        <f>ABS(INDEX(AO:AO,MATCH(AO262,$AA:$AA,0)+8)+INDEX(AO:AO,MATCH(AO262,$AA:$AA,0)+9)+INDEX(AO:AO,MATCH(AO262,$AA:$AA,0)+10))</f>
        <v>0</v>
      </c>
      <c r="AP266" s="375"/>
      <c r="AQ266" s="374">
        <f>ABS(INDEX(AQ:AQ,MATCH(AQ262,$AA:$AA,0)+8)+INDEX(AQ:AQ,MATCH(AQ262,$AA:$AA,0)+9)+INDEX(AQ:AQ,MATCH(AQ262,$AA:$AA,0)+10))</f>
        <v>194</v>
      </c>
      <c r="AR266" s="375"/>
      <c r="AS266" s="374">
        <f>ABS(INDEX(AS:AS,MATCH(AS262,$AA:$AA,0)+8)+INDEX(AS:AS,MATCH(AS262,$AA:$AA,0)+9)+INDEX(AS:AS,MATCH(AS262,$AA:$AA,0)+10))</f>
        <v>178</v>
      </c>
      <c r="AT266" s="37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6.05" customHeight="1" x14ac:dyDescent="0.35">
      <c r="B267" s="365" t="str">
        <f t="shared" si="306"/>
        <v>Spieler 3</v>
      </c>
      <c r="C267" s="366" t="str">
        <f t="shared" si="306"/>
        <v/>
      </c>
      <c r="D267" s="339">
        <f>IF(AC267=301,"",AC267)</f>
        <v>172</v>
      </c>
      <c r="E267" s="339" t="str">
        <f>IF(AD267=0,"",AD267)</f>
        <v/>
      </c>
      <c r="F267" s="339">
        <f>IF(AE267=301,"",AE267)</f>
        <v>215</v>
      </c>
      <c r="G267" s="339" t="str">
        <f>IF(AF267=0,"",AF267)</f>
        <v/>
      </c>
      <c r="H267" s="339">
        <f>IF(AG267=301,"",AG267)</f>
        <v>183</v>
      </c>
      <c r="I267" s="339" t="str">
        <f>IF(AH267=0,"",AH267)</f>
        <v/>
      </c>
      <c r="J267" s="339">
        <f>IF(AI267=301,"",AI267)</f>
        <v>155</v>
      </c>
      <c r="K267" s="339" t="str">
        <f>IF(AJ267=0,"",AJ267)</f>
        <v/>
      </c>
      <c r="L267" s="339">
        <f>IF(AK267=301,"",AK267)</f>
        <v>161</v>
      </c>
      <c r="M267" s="339" t="str">
        <f>IF(AL267=0,"",AL267)</f>
        <v/>
      </c>
      <c r="N267" s="339">
        <f>IF(AM267=301,"",AM267)</f>
        <v>197</v>
      </c>
      <c r="O267" s="339" t="str">
        <f>IF(AN267=0,"",AN267)</f>
        <v/>
      </c>
      <c r="P267" s="339">
        <f>IF(AO267=301,"",AO267)</f>
        <v>0</v>
      </c>
      <c r="Q267" s="339" t="str">
        <f>IF(AP267=0,"",AP267)</f>
        <v/>
      </c>
      <c r="R267" s="339">
        <f>IF(AQ267=301,"",AQ267)</f>
        <v>194</v>
      </c>
      <c r="S267" s="339" t="str">
        <f>IF(AR267=0,"",AR267)</f>
        <v/>
      </c>
      <c r="T267" s="339">
        <f>IF(AS267=301,"",AS267)</f>
        <v>173</v>
      </c>
      <c r="U267" s="339" t="str">
        <f>IF(AT267=0,"",AT267)</f>
        <v/>
      </c>
      <c r="V267" s="340"/>
      <c r="W267" s="340"/>
      <c r="AA267" s="91" t="s">
        <v>3</v>
      </c>
      <c r="AB267" s="92"/>
      <c r="AC267" s="374">
        <f>ABS(INDEX(AC:AC,MATCH(AC262,$AA:$AA,0)+11)+INDEX(AC:AC,MATCH(AC262,$AA:$AA,0)+12)+INDEX(AC:AC,MATCH(AC262,$AA:$AA,0)+13))</f>
        <v>172</v>
      </c>
      <c r="AD267" s="375"/>
      <c r="AE267" s="374">
        <f>ABS(INDEX(AE:AE,MATCH(AE262,$AA:$AA,0)+11)+INDEX(AE:AE,MATCH(AE262,$AA:$AA,0)+12)+INDEX(AE:AE,MATCH(AE262,$AA:$AA,0)+13))</f>
        <v>215</v>
      </c>
      <c r="AF267" s="375"/>
      <c r="AG267" s="374">
        <f>ABS(INDEX(AG:AG,MATCH(AG262,$AA:$AA,0)+11)+INDEX(AG:AG,MATCH(AG262,$AA:$AA,0)+12)+INDEX(AG:AG,MATCH(AG262,$AA:$AA,0)+13))</f>
        <v>183</v>
      </c>
      <c r="AH267" s="375"/>
      <c r="AI267" s="374">
        <f>ABS(INDEX(AI:AI,MATCH(AI262,$AA:$AA,0)+11)+INDEX(AI:AI,MATCH(AI262,$AA:$AA,0)+12)+INDEX(AI:AI,MATCH(AI262,$AA:$AA,0)+13))</f>
        <v>155</v>
      </c>
      <c r="AJ267" s="375"/>
      <c r="AK267" s="374">
        <f>ABS(INDEX(AK:AK,MATCH(AK262,$AA:$AA,0)+11)+INDEX(AK:AK,MATCH(AK262,$AA:$AA,0)+12)+INDEX(AK:AK,MATCH(AK262,$AA:$AA,0)+13))</f>
        <v>161</v>
      </c>
      <c r="AL267" s="375"/>
      <c r="AM267" s="374">
        <f>ABS(INDEX(AM:AM,MATCH(AM262,$AA:$AA,0)+11)+INDEX(AM:AM,MATCH(AM262,$AA:$AA,0)+12)+INDEX(AM:AM,MATCH(AM262,$AA:$AA,0)+13))</f>
        <v>197</v>
      </c>
      <c r="AN267" s="375"/>
      <c r="AO267" s="374">
        <f>ABS(INDEX(AO:AO,MATCH(AO262,$AA:$AA,0)+11)+INDEX(AO:AO,MATCH(AO262,$AA:$AA,0)+12)+INDEX(AO:AO,MATCH(AO262,$AA:$AA,0)+13))</f>
        <v>0</v>
      </c>
      <c r="AP267" s="375"/>
      <c r="AQ267" s="374">
        <f>ABS(INDEX(AQ:AQ,MATCH(AQ262,$AA:$AA,0)+11)+INDEX(AQ:AQ,MATCH(AQ262,$AA:$AA,0)+12)+INDEX(AQ:AQ,MATCH(AQ262,$AA:$AA,0)+13))</f>
        <v>194</v>
      </c>
      <c r="AR267" s="375"/>
      <c r="AS267" s="374">
        <f>ABS(INDEX(AS:AS,MATCH(AS262,$AA:$AA,0)+11)+INDEX(AS:AS,MATCH(AS262,$AA:$AA,0)+12)+INDEX(AS:AS,MATCH(AS262,$AA:$AA,0)+13))</f>
        <v>173</v>
      </c>
      <c r="AT267" s="37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6.05" customHeight="1" x14ac:dyDescent="0.35">
      <c r="B268" s="365" t="str">
        <f t="shared" si="306"/>
        <v>Spieler 4</v>
      </c>
      <c r="C268" s="366" t="str">
        <f t="shared" si="306"/>
        <v/>
      </c>
      <c r="D268" s="339">
        <f>IF(AC268=301,"",AC268)</f>
        <v>190</v>
      </c>
      <c r="E268" s="339" t="str">
        <f>IF(AD268=0,"",AD268)</f>
        <v/>
      </c>
      <c r="F268" s="339">
        <f>IF(AE268=301,"",AE268)</f>
        <v>187</v>
      </c>
      <c r="G268" s="339" t="str">
        <f>IF(AF268=0,"",AF268)</f>
        <v/>
      </c>
      <c r="H268" s="339">
        <f>IF(AG268=301,"",AG268)</f>
        <v>162</v>
      </c>
      <c r="I268" s="339" t="str">
        <f>IF(AH268=0,"",AH268)</f>
        <v/>
      </c>
      <c r="J268" s="339">
        <f>IF(AI268=301,"",AI268)</f>
        <v>161</v>
      </c>
      <c r="K268" s="339" t="str">
        <f>IF(AJ268=0,"",AJ268)</f>
        <v/>
      </c>
      <c r="L268" s="339">
        <f>IF(AK268=301,"",AK268)</f>
        <v>173</v>
      </c>
      <c r="M268" s="339" t="str">
        <f>IF(AL268=0,"",AL268)</f>
        <v/>
      </c>
      <c r="N268" s="339">
        <f>IF(AM268=301,"",AM268)</f>
        <v>163</v>
      </c>
      <c r="O268" s="339" t="str">
        <f>IF(AN268=0,"",AN268)</f>
        <v/>
      </c>
      <c r="P268" s="339">
        <f>IF(AO268=301,"",AO268)</f>
        <v>0</v>
      </c>
      <c r="Q268" s="339" t="str">
        <f>IF(AP268=0,"",AP268)</f>
        <v/>
      </c>
      <c r="R268" s="339">
        <f>IF(AQ268=301,"",AQ268)</f>
        <v>209</v>
      </c>
      <c r="S268" s="339" t="str">
        <f>IF(AR268=0,"",AR268)</f>
        <v/>
      </c>
      <c r="T268" s="339">
        <f>IF(AS268=301,"",AS268)</f>
        <v>183</v>
      </c>
      <c r="U268" s="339" t="str">
        <f>IF(AT268=0,"",AT268)</f>
        <v/>
      </c>
      <c r="V268" s="340"/>
      <c r="W268" s="340"/>
      <c r="AA268" s="91" t="s">
        <v>11</v>
      </c>
      <c r="AB268" s="92"/>
      <c r="AC268" s="374">
        <f>ABS(INDEX(AC:AC,MATCH(AC262,$AA:$AA,0)+14)+INDEX(AC:AC,MATCH(AC262,$AA:$AA,0)+15)+INDEX(AC:AC,MATCH(AC262,$AA:$AA,0)+16))</f>
        <v>190</v>
      </c>
      <c r="AD268" s="375"/>
      <c r="AE268" s="374">
        <f>ABS(INDEX(AE:AE,MATCH(AE262,$AA:$AA,0)+14)+INDEX(AE:AE,MATCH(AE262,$AA:$AA,0)+15)+INDEX(AE:AE,MATCH(AE262,$AA:$AA,0)+16))</f>
        <v>187</v>
      </c>
      <c r="AF268" s="375"/>
      <c r="AG268" s="374">
        <f>ABS(INDEX(AG:AG,MATCH(AG262,$AA:$AA,0)+14)+INDEX(AG:AG,MATCH(AG262,$AA:$AA,0)+15)+INDEX(AG:AG,MATCH(AG262,$AA:$AA,0)+16))</f>
        <v>162</v>
      </c>
      <c r="AH268" s="375"/>
      <c r="AI268" s="374">
        <f>ABS(INDEX(AI:AI,MATCH(AI262,$AA:$AA,0)+14)+INDEX(AI:AI,MATCH(AI262,$AA:$AA,0)+15)+INDEX(AI:AI,MATCH(AI262,$AA:$AA,0)+16))</f>
        <v>161</v>
      </c>
      <c r="AJ268" s="375"/>
      <c r="AK268" s="374">
        <f>ABS(INDEX(AK:AK,MATCH(AK262,$AA:$AA,0)+14)+INDEX(AK:AK,MATCH(AK262,$AA:$AA,0)+15)+INDEX(AK:AK,MATCH(AK262,$AA:$AA,0)+16))</f>
        <v>173</v>
      </c>
      <c r="AL268" s="375"/>
      <c r="AM268" s="374">
        <f>ABS(INDEX(AM:AM,MATCH(AM262,$AA:$AA,0)+14)+INDEX(AM:AM,MATCH(AM262,$AA:$AA,0)+15)+INDEX(AM:AM,MATCH(AM262,$AA:$AA,0)+16))</f>
        <v>163</v>
      </c>
      <c r="AN268" s="375"/>
      <c r="AO268" s="374">
        <f>ABS(INDEX(AO:AO,MATCH(AO262,$AA:$AA,0)+14)+INDEX(AO:AO,MATCH(AO262,$AA:$AA,0)+15)+INDEX(AO:AO,MATCH(AO262,$AA:$AA,0)+16))</f>
        <v>0</v>
      </c>
      <c r="AP268" s="375"/>
      <c r="AQ268" s="374">
        <f>ABS(INDEX(AQ:AQ,MATCH(AQ262,$AA:$AA,0)+14)+INDEX(AQ:AQ,MATCH(AQ262,$AA:$AA,0)+15)+INDEX(AQ:AQ,MATCH(AQ262,$AA:$AA,0)+16))</f>
        <v>209</v>
      </c>
      <c r="AR268" s="375"/>
      <c r="AS268" s="374">
        <f>ABS(INDEX(AS:AS,MATCH(AS262,$AA:$AA,0)+14)+INDEX(AS:AS,MATCH(AS262,$AA:$AA,0)+15)+INDEX(AS:AS,MATCH(AS262,$AA:$AA,0)+16))</f>
        <v>183</v>
      </c>
      <c r="AT268" s="37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6.05" customHeight="1" x14ac:dyDescent="0.35">
      <c r="B269" s="354" t="str">
        <f t="shared" si="306"/>
        <v>Gesamt</v>
      </c>
      <c r="C269" s="355" t="str">
        <f t="shared" si="306"/>
        <v/>
      </c>
      <c r="D269" s="338">
        <f>IF(AC269=1505,"",AC269)</f>
        <v>663</v>
      </c>
      <c r="E269" s="338" t="str">
        <f>IF(AD269=0,"",AD269)</f>
        <v/>
      </c>
      <c r="F269" s="338">
        <f>IF(AE269=1505,"",AE269)</f>
        <v>742</v>
      </c>
      <c r="G269" s="338" t="str">
        <f>IF(AF269=0,"",AF269)</f>
        <v/>
      </c>
      <c r="H269" s="338">
        <f>IF(AG269=1505,"",AG269)</f>
        <v>707</v>
      </c>
      <c r="I269" s="338" t="str">
        <f>IF(AH269=0,"",AH269)</f>
        <v/>
      </c>
      <c r="J269" s="338">
        <f>IF(AI269=1505,"",AI269)</f>
        <v>678</v>
      </c>
      <c r="K269" s="338" t="str">
        <f>IF(AJ269=0,"",AJ269)</f>
        <v/>
      </c>
      <c r="L269" s="338">
        <f>IF(AK269=1505,"",AK269)</f>
        <v>640</v>
      </c>
      <c r="M269" s="338" t="str">
        <f>IF(AL269=0,"",AL269)</f>
        <v/>
      </c>
      <c r="N269" s="338">
        <f>IF(AM269=1505,"",AM269)</f>
        <v>705</v>
      </c>
      <c r="O269" s="338" t="str">
        <f>IF(AN269=0,"",AN269)</f>
        <v/>
      </c>
      <c r="P269" s="338">
        <f>IF(AO269=1505,"",AO269)</f>
        <v>0</v>
      </c>
      <c r="Q269" s="338" t="str">
        <f>IF(AP269=0,"",AP269)</f>
        <v/>
      </c>
      <c r="R269" s="338">
        <f>IF(AQ269=1505,"",AQ269)</f>
        <v>743</v>
      </c>
      <c r="S269" s="338" t="str">
        <f>IF(AR269=0,"",AR269)</f>
        <v/>
      </c>
      <c r="T269" s="338">
        <f>IF(AS269=1505,"",AS269)</f>
        <v>726</v>
      </c>
      <c r="U269" s="338" t="str">
        <f>IF(AT269=0,"",AT269)</f>
        <v/>
      </c>
      <c r="V269" s="290"/>
      <c r="W269" s="290"/>
      <c r="AA269" s="93" t="s">
        <v>1799</v>
      </c>
      <c r="AB269" s="94"/>
      <c r="AC269" s="354">
        <f>SUM(AC265:AC268)</f>
        <v>663</v>
      </c>
      <c r="AD269" s="355"/>
      <c r="AE269" s="354">
        <f>SUM(AE265:AE268)</f>
        <v>742</v>
      </c>
      <c r="AF269" s="355"/>
      <c r="AG269" s="354">
        <f>SUM(AG265:AG268)</f>
        <v>707</v>
      </c>
      <c r="AH269" s="355"/>
      <c r="AI269" s="354">
        <f>SUM(AI265:AI268)</f>
        <v>678</v>
      </c>
      <c r="AJ269" s="355"/>
      <c r="AK269" s="354">
        <f>SUM(AK265:AK268)</f>
        <v>640</v>
      </c>
      <c r="AL269" s="355"/>
      <c r="AM269" s="354">
        <f>SUM(AM265:AM268)</f>
        <v>705</v>
      </c>
      <c r="AN269" s="355"/>
      <c r="AO269" s="354">
        <f>SUM(AO265:AO268)</f>
        <v>0</v>
      </c>
      <c r="AP269" s="355"/>
      <c r="AQ269" s="354">
        <f>SUM(AQ265:AQ268)</f>
        <v>743</v>
      </c>
      <c r="AR269" s="355"/>
      <c r="AS269" s="354">
        <f>SUM(AS265:AS268)</f>
        <v>726</v>
      </c>
      <c r="AT269" s="35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3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7">
      <c r="B271" s="44" t="str">
        <f>AA271</f>
        <v>Team-Nr.</v>
      </c>
      <c r="C271" s="45"/>
      <c r="D271" s="44" t="str">
        <f>AC271</f>
        <v>Liga:</v>
      </c>
      <c r="E271" s="47"/>
      <c r="F271" s="359" t="str">
        <f>AE271</f>
        <v>Bayernliga Frauen</v>
      </c>
      <c r="G271" s="359"/>
      <c r="H271" s="359"/>
      <c r="I271" s="359"/>
      <c r="J271" s="359"/>
      <c r="K271" s="359"/>
      <c r="L271" s="359"/>
      <c r="M271" s="359"/>
      <c r="N271" s="359"/>
      <c r="O271" s="359"/>
      <c r="P271" s="359"/>
      <c r="Q271" s="359"/>
      <c r="R271" s="48"/>
      <c r="S271" s="49" t="s">
        <v>1794</v>
      </c>
      <c r="T271" s="50"/>
      <c r="U271" s="360" t="str">
        <f>AT271</f>
        <v>15.02./16.02.</v>
      </c>
      <c r="V271" s="361"/>
      <c r="W271" s="362"/>
      <c r="X271" s="363"/>
      <c r="Y271" s="364"/>
      <c r="Z271" s="364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0" t="str">
        <f>VLOOKUP(AS272,Spielorte!$A$1:$C$6,2)</f>
        <v>15.02./16.02.</v>
      </c>
      <c r="AU271" s="361"/>
      <c r="AV271" s="362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65">
      <c r="B272" s="53">
        <f>AA272</f>
        <v>10</v>
      </c>
      <c r="D272" s="46" t="s">
        <v>1793</v>
      </c>
      <c r="E272" s="54"/>
      <c r="F272" s="358" t="str">
        <f>AE272</f>
        <v>Nürnberg West Bowling</v>
      </c>
      <c r="G272" s="358"/>
      <c r="H272" s="358"/>
      <c r="I272" s="358"/>
      <c r="J272" s="358"/>
      <c r="K272" s="358"/>
      <c r="L272" s="358"/>
      <c r="M272" s="358"/>
      <c r="N272" s="358"/>
      <c r="O272" s="358"/>
      <c r="P272" s="55"/>
      <c r="Q272" s="55"/>
      <c r="S272" s="49" t="s">
        <v>1791</v>
      </c>
      <c r="T272" s="56">
        <f>AS272</f>
        <v>4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Nürnberg West Bowling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4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4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5" thickBot="1" x14ac:dyDescent="0.45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VLOOKUP(AA272,Schlüssel!$A$5:$DZ$14,73)</f>
        <v>20</v>
      </c>
      <c r="AE274" s="65" t="s">
        <v>10</v>
      </c>
      <c r="AF274" s="44">
        <f>VLOOKUP(AA272,Schlüssel!$A$5:$DZ$14,74)</f>
        <v>13</v>
      </c>
      <c r="AG274" s="65" t="s">
        <v>10</v>
      </c>
      <c r="AH274" s="44">
        <f>VLOOKUP(AA272,Schlüssel!$A$5:$DZ$14,75)</f>
        <v>12</v>
      </c>
      <c r="AI274" s="65" t="s">
        <v>10</v>
      </c>
      <c r="AJ274" s="44">
        <f>VLOOKUP(AA272,Schlüssel!$A$5:$DZ$14,76)</f>
        <v>17</v>
      </c>
      <c r="AK274" s="65" t="s">
        <v>10</v>
      </c>
      <c r="AL274" s="44">
        <f>VLOOKUP(AA272,Schlüssel!$A$5:$DZ$14,77)</f>
        <v>14</v>
      </c>
      <c r="AM274" s="65" t="s">
        <v>10</v>
      </c>
      <c r="AN274" s="44">
        <f>VLOOKUP(AA272,Schlüssel!$A$5:$DZ$14,78)</f>
        <v>18</v>
      </c>
      <c r="AO274" s="65" t="s">
        <v>10</v>
      </c>
      <c r="AP274" s="44">
        <f>VLOOKUP(AA272,Schlüssel!$A$5:$DZ$14,79)</f>
        <v>16</v>
      </c>
      <c r="AQ274" s="65" t="s">
        <v>10</v>
      </c>
      <c r="AR274" s="44">
        <f>VLOOKUP(AA272,Schlüssel!$A$5:$DZ$14,80)</f>
        <v>11</v>
      </c>
      <c r="AS274" s="65" t="s">
        <v>10</v>
      </c>
      <c r="AT274" s="44">
        <f>VLOOKUP(AA272,Schlüssel!$A$5:$DZ$14,81)</f>
        <v>19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35">
      <c r="B275" s="67" t="s">
        <v>1</v>
      </c>
      <c r="C275" s="68"/>
      <c r="D275" s="354" t="s">
        <v>1800</v>
      </c>
      <c r="E275" s="355"/>
      <c r="F275" s="354" t="s">
        <v>1801</v>
      </c>
      <c r="G275" s="355"/>
      <c r="H275" s="354" t="s">
        <v>1802</v>
      </c>
      <c r="I275" s="355"/>
      <c r="J275" s="354" t="s">
        <v>1803</v>
      </c>
      <c r="K275" s="355"/>
      <c r="L275" s="354" t="s">
        <v>1804</v>
      </c>
      <c r="M275" s="355"/>
      <c r="N275" s="354" t="s">
        <v>1805</v>
      </c>
      <c r="O275" s="355"/>
      <c r="P275" s="354" t="s">
        <v>1806</v>
      </c>
      <c r="Q275" s="355"/>
      <c r="R275" s="354" t="s">
        <v>1807</v>
      </c>
      <c r="S275" s="355"/>
      <c r="T275" s="354" t="s">
        <v>1808</v>
      </c>
      <c r="U275" s="355"/>
      <c r="V275" s="356" t="s">
        <v>1799</v>
      </c>
      <c r="W275" s="357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4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2" customHeight="1" x14ac:dyDescent="0.35">
      <c r="A277" s="367" t="s">
        <v>0</v>
      </c>
      <c r="B277" s="73" t="str">
        <f>IF(AA277=0,"",AA277)</f>
        <v>Clemenz, Brigitte</v>
      </c>
      <c r="C277" s="74">
        <f>IF(AB277=0,"",AB277)</f>
        <v>7574</v>
      </c>
      <c r="D277" s="75">
        <f>IF(AC277=0,"",AC277)</f>
        <v>161</v>
      </c>
      <c r="E277" s="348">
        <f>IF(AD277="","",AD277)</f>
        <v>0</v>
      </c>
      <c r="F277" s="75">
        <f t="shared" ref="F277:F290" si="307">IF(AE277=0,"",AE277)</f>
        <v>189</v>
      </c>
      <c r="G277" s="348">
        <f>IF(AF277="","",AF277)</f>
        <v>0</v>
      </c>
      <c r="H277" s="75" t="str">
        <f t="shared" ref="H277:H290" si="308">IF(AG277=0,"",AG277)</f>
        <v/>
      </c>
      <c r="I277" s="348">
        <f>IF(AH277="","",AH277)</f>
        <v>1</v>
      </c>
      <c r="J277" s="75" t="str">
        <f t="shared" ref="J277:J290" si="309">IF(AI277=0,"",AI277)</f>
        <v/>
      </c>
      <c r="K277" s="348">
        <f>IF(AJ277="","",AJ277)</f>
        <v>0</v>
      </c>
      <c r="L277" s="75" t="str">
        <f t="shared" ref="L277:L290" si="310">IF(AK277=0,"",AK277)</f>
        <v/>
      </c>
      <c r="M277" s="348">
        <f>IF(AL277="","",AL277)</f>
        <v>0</v>
      </c>
      <c r="N277" s="75" t="str">
        <f>IF(AM277=0,"",AM277)</f>
        <v/>
      </c>
      <c r="O277" s="348">
        <f>IF(AN277="","",AN277)</f>
        <v>1</v>
      </c>
      <c r="P277" s="75" t="str">
        <f t="shared" ref="P277:P290" si="311">IF(AO277=0,"",AO277)</f>
        <v/>
      </c>
      <c r="Q277" s="348">
        <f>IF(AP277="","",AP277)</f>
        <v>1</v>
      </c>
      <c r="R277" s="75" t="str">
        <f t="shared" ref="R277:R290" si="312">IF(AQ277=0,"",AQ277)</f>
        <v/>
      </c>
      <c r="S277" s="348">
        <f>IF(AR277="","",AR277)</f>
        <v>1</v>
      </c>
      <c r="T277" s="75" t="str">
        <f t="shared" ref="T277:T290" si="313">IF(AS277=0,"",AS277)</f>
        <v/>
      </c>
      <c r="U277" s="348">
        <f>IF(AT277="","",AT277)</f>
        <v>0</v>
      </c>
      <c r="V277" s="75">
        <f t="shared" ref="V277:V290" si="314">IF(AU277=0,"",AU277)</f>
        <v>350</v>
      </c>
      <c r="W277" s="348">
        <f>IF(AV277="","",AV277)</f>
        <v>4</v>
      </c>
      <c r="Z277" s="351" t="s">
        <v>0</v>
      </c>
      <c r="AA277" s="108" t="str">
        <f>IF(AB277=0,"",VLOOKUP(AB277,Starter!$A$1:$D$199,2,FALSE))</f>
        <v>Clemenz, Brigitte</v>
      </c>
      <c r="AB277" s="99">
        <v>7574</v>
      </c>
      <c r="AC277" s="185">
        <v>161</v>
      </c>
      <c r="AD277" s="109">
        <f>IF(SUM(AC277:AC279)+AC295=0,0,IF(SUM(AC277:AC279)=AC295,0.5,IF(SUM(AC277:AC279)&gt;AC295,1,0)))</f>
        <v>0</v>
      </c>
      <c r="AE277" s="185">
        <v>189</v>
      </c>
      <c r="AF277" s="109">
        <f>IF(SUM(AE277:AE279)+AE295=0,0,IF(SUM(AE277:AE279)=AE295,0.5,IF(SUM(AE277:AE279)&gt;AE295,1,0)))</f>
        <v>0</v>
      </c>
      <c r="AG277" s="185"/>
      <c r="AH277" s="395">
        <f>IF(ABS(SUM(AG277:AG279))+AG295=0,0,IF(SUM(AG277:AG279)=AG295,0.5,IF(ABS(SUM(AG277:AG279))&gt;AG295,1,0)))</f>
        <v>1</v>
      </c>
      <c r="AI277" s="185"/>
      <c r="AJ277" s="109">
        <f>IF(SUM(AI277:AI279)+AI295=0,0,IF(SUM(AI277:AI279)=AI295,0.5,IF(SUM(AI277:AI279)&gt;AI295,1,0)))</f>
        <v>0</v>
      </c>
      <c r="AK277" s="185"/>
      <c r="AL277" s="109">
        <f>IF(SUM(AK277:AK279)+AK295=0,0,IF(SUM(AK277:AK279)=AK295,0.5,IF(SUM(AK277:AK279)&gt;AK295,1,0)))</f>
        <v>0</v>
      </c>
      <c r="AM277" s="185"/>
      <c r="AN277" s="109">
        <f>IF(SUM(AM277:AM279)+AM295=0,0,IF(SUM(AM277:AM279)=AM295,0.5,IF(SUM(AM277:AM279)&gt;AM295,1,0)))</f>
        <v>1</v>
      </c>
      <c r="AO277" s="185"/>
      <c r="AP277" s="109">
        <f>IF(SUM(AO277:AO279)+AO295=0,0,IF(SUM(AO277:AO279)=AO295,0.5,IF(SUM(AO277:AO279)&gt;AO295,1,0)))</f>
        <v>1</v>
      </c>
      <c r="AQ277" s="185"/>
      <c r="AR277" s="109">
        <f>IF(SUM(AQ277:AQ279)+AQ295=0,0,IF(SUM(AQ277:AQ279)=AQ295,0.5,IF(SUM(AQ277:AQ279)&gt;AQ295,1,0)))</f>
        <v>1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15">ABS(SUM(AC277:AC277))+ABS(SUM(AE277:AE277))+ABS(SUM(AG277:AG277))+ABS(SUM(AI277:AI277))+ABS(SUM(AK277:AK277))+ABS(SUM(AM277:AM277))+ABS(SUM(AO277:AO277))+ABS(SUM(AQ277:AQ277))+ABS(SUM(AS277:AS277))</f>
        <v>350</v>
      </c>
      <c r="AV277" s="111">
        <f>SUM(AD277+AF277+AH277+AJ277+AL277+AN277+AP277+AR277+AT277)</f>
        <v>4</v>
      </c>
      <c r="AW277" s="101"/>
      <c r="AX277" s="102"/>
      <c r="AZ277" s="63"/>
      <c r="BA277" s="212"/>
      <c r="BB277" s="213"/>
      <c r="BC277" s="214"/>
      <c r="BD277" s="217">
        <f>+AB277</f>
        <v>7574</v>
      </c>
      <c r="BE277" s="213">
        <f>+AU277</f>
        <v>350</v>
      </c>
      <c r="BF277" s="215">
        <f>COUNT(BH277:BP277)</f>
        <v>2</v>
      </c>
      <c r="BG277" s="215">
        <f>COUNTIF(BH277:BP277,"&gt;0")</f>
        <v>2</v>
      </c>
      <c r="BH277" s="215">
        <f t="shared" ref="BH277:BH288" si="316">IF(AC277=0,"",AC277)</f>
        <v>161</v>
      </c>
      <c r="BI277" s="215">
        <f t="shared" ref="BI277:BI288" si="317">IF(AE277=0,"",AE277)</f>
        <v>189</v>
      </c>
      <c r="BJ277" s="215" t="str">
        <f t="shared" ref="BJ277:BJ288" si="318">IF(AG277=0,"",AG277)</f>
        <v/>
      </c>
      <c r="BK277" s="215" t="str">
        <f t="shared" ref="BK277:BK288" si="319">IF(AI277=0,"",AI277)</f>
        <v/>
      </c>
      <c r="BL277" s="215" t="str">
        <f t="shared" ref="BL277:BL288" si="320">IF(AK277=0,"",AK277)</f>
        <v/>
      </c>
      <c r="BM277" s="215" t="str">
        <f t="shared" ref="BM277:BM288" si="321">IF(AM277=0,"",AM277)</f>
        <v/>
      </c>
      <c r="BN277" s="215" t="str">
        <f t="shared" ref="BN277:BN288" si="322">IF(AO277=0,"",AO277)</f>
        <v/>
      </c>
      <c r="BO277" s="215" t="str">
        <f t="shared" ref="BO277:BO288" si="323">IF(AQ277=0,"",AQ277)</f>
        <v/>
      </c>
      <c r="BP277" s="215" t="str">
        <f t="shared" ref="BP277:BP288" si="324">IF(AS277=0,"",AS277)</f>
        <v/>
      </c>
      <c r="BQ277" s="216"/>
      <c r="BR277" s="214"/>
      <c r="BS277" s="215">
        <f>MAX(BH277:BP277)</f>
        <v>189</v>
      </c>
      <c r="BT277" s="215">
        <f>IF(BS277&lt;MAX(BS:BS),0,BS277+ROW()/1000000000)</f>
        <v>0</v>
      </c>
      <c r="BU277" s="215" t="str">
        <f>+AA273</f>
        <v>BK München 4</v>
      </c>
      <c r="BV277" s="214">
        <f>RANK(BT277,BT:BT)</f>
        <v>2</v>
      </c>
      <c r="BW277" s="215">
        <f>SUMIF(BH277:BP277,"&gt;0")</f>
        <v>350</v>
      </c>
      <c r="BX277" s="215">
        <f>IF(COUNTIF(BH277:BP277,"&gt;0")&lt;Spielorte!$A$23,0,BE277/Spielorte!$A$23)</f>
        <v>0</v>
      </c>
      <c r="BY277" s="215">
        <f>IF(BX277&lt;MAX(BX:BX),0,BX277+ROW()/1000000000)</f>
        <v>0</v>
      </c>
      <c r="BZ277" s="214">
        <f t="shared" ref="BZ277:BZ288" si="325">IF(BY277=0,0,RANK(BY277,BY:BY))</f>
        <v>0</v>
      </c>
    </row>
    <row r="278" spans="1:78" ht="17.2" customHeight="1" x14ac:dyDescent="0.35">
      <c r="A278" s="368"/>
      <c r="B278" s="76" t="str">
        <f t="shared" ref="B278:D290" si="326">IF(AA278=0,"",AA278)</f>
        <v>Dozauer, Jessica</v>
      </c>
      <c r="C278" s="77">
        <f t="shared" si="326"/>
        <v>7575</v>
      </c>
      <c r="D278" s="78" t="str">
        <f t="shared" si="326"/>
        <v/>
      </c>
      <c r="E278" s="349"/>
      <c r="F278" s="78" t="str">
        <f t="shared" si="307"/>
        <v/>
      </c>
      <c r="G278" s="349"/>
      <c r="H278" s="78">
        <f t="shared" si="308"/>
        <v>-210</v>
      </c>
      <c r="I278" s="349"/>
      <c r="J278" s="78">
        <f t="shared" si="309"/>
        <v>201</v>
      </c>
      <c r="K278" s="349"/>
      <c r="L278" s="78">
        <f t="shared" si="310"/>
        <v>132</v>
      </c>
      <c r="M278" s="349"/>
      <c r="N278" s="78">
        <f t="shared" ref="N278:N290" si="327">IF(AM278=0,"",AM278)</f>
        <v>169</v>
      </c>
      <c r="O278" s="349"/>
      <c r="P278" s="78">
        <f t="shared" si="311"/>
        <v>204</v>
      </c>
      <c r="Q278" s="349"/>
      <c r="R278" s="78">
        <f t="shared" si="312"/>
        <v>216</v>
      </c>
      <c r="S278" s="349"/>
      <c r="T278" s="78">
        <f t="shared" si="313"/>
        <v>139</v>
      </c>
      <c r="U278" s="349"/>
      <c r="V278" s="78">
        <f t="shared" si="314"/>
        <v>1271</v>
      </c>
      <c r="W278" s="349"/>
      <c r="Z278" s="352"/>
      <c r="AA278" s="108" t="str">
        <f>IF(AB278=0,"",VLOOKUP(AB278,Starter!$A$1:$D$199,2,FALSE))</f>
        <v>Dozauer, Jessica</v>
      </c>
      <c r="AB278" s="98">
        <v>7575</v>
      </c>
      <c r="AC278" s="186"/>
      <c r="AD278" s="112"/>
      <c r="AE278" s="186"/>
      <c r="AF278" s="112"/>
      <c r="AG278" s="186">
        <v>-210</v>
      </c>
      <c r="AH278" s="112"/>
      <c r="AI278" s="186">
        <v>201</v>
      </c>
      <c r="AJ278" s="112"/>
      <c r="AK278" s="186">
        <v>132</v>
      </c>
      <c r="AL278" s="112"/>
      <c r="AM278" s="186">
        <v>169</v>
      </c>
      <c r="AN278" s="112"/>
      <c r="AO278" s="186">
        <v>204</v>
      </c>
      <c r="AP278" s="112"/>
      <c r="AQ278" s="186">
        <v>216</v>
      </c>
      <c r="AR278" s="112"/>
      <c r="AS278" s="186">
        <v>139</v>
      </c>
      <c r="AT278" s="112"/>
      <c r="AU278" s="113">
        <f t="shared" si="315"/>
        <v>1271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28">+AB278</f>
        <v>7575</v>
      </c>
      <c r="BE278" s="213">
        <f t="shared" ref="BE278:BE288" si="329">+AU278</f>
        <v>1271</v>
      </c>
      <c r="BF278" s="215">
        <f t="shared" ref="BF278:BF288" si="330">COUNT(BH278:BP278)</f>
        <v>7</v>
      </c>
      <c r="BG278" s="215">
        <f t="shared" ref="BG278:BG288" si="331">COUNTIF(BH278:BP278,"&gt;0")</f>
        <v>6</v>
      </c>
      <c r="BH278" s="215" t="str">
        <f t="shared" si="316"/>
        <v/>
      </c>
      <c r="BI278" s="215" t="str">
        <f t="shared" si="317"/>
        <v/>
      </c>
      <c r="BJ278" s="215">
        <f t="shared" si="318"/>
        <v>-210</v>
      </c>
      <c r="BK278" s="215">
        <f t="shared" si="319"/>
        <v>201</v>
      </c>
      <c r="BL278" s="215">
        <f t="shared" si="320"/>
        <v>132</v>
      </c>
      <c r="BM278" s="215">
        <f t="shared" si="321"/>
        <v>169</v>
      </c>
      <c r="BN278" s="215">
        <f t="shared" si="322"/>
        <v>204</v>
      </c>
      <c r="BO278" s="215">
        <f t="shared" si="323"/>
        <v>216</v>
      </c>
      <c r="BP278" s="215">
        <f t="shared" si="324"/>
        <v>139</v>
      </c>
      <c r="BQ278" s="216"/>
      <c r="BR278" s="214"/>
      <c r="BS278" s="215">
        <f t="shared" ref="BS278:BS288" si="332">MAX(BH278:BP278)</f>
        <v>216</v>
      </c>
      <c r="BT278" s="215">
        <f t="shared" ref="BT278:BT288" si="333">IF(BS278&lt;MAX(BS:BS),0,BS278+ROW()/1000000000)</f>
        <v>0</v>
      </c>
      <c r="BU278" s="215" t="str">
        <f t="shared" ref="BU278:BU288" si="334">+BU277</f>
        <v>BK München 4</v>
      </c>
      <c r="BV278" s="214">
        <f t="shared" ref="BV278:BV288" si="335">RANK(BT278,BT:BT)</f>
        <v>2</v>
      </c>
      <c r="BW278" s="215">
        <f t="shared" ref="BW278:BW288" si="336">SUMIF(BH278:BP278,"&gt;0")</f>
        <v>1061</v>
      </c>
      <c r="BX278" s="215">
        <f>IF(COUNTIF(BH278:BP278,"&gt;0")&lt;Spielorte!$A$23,0,BE278/Spielorte!$A$23)</f>
        <v>0</v>
      </c>
      <c r="BY278" s="215">
        <f t="shared" ref="BY278:BY288" si="337">IF(BX278&lt;MAX(BX:BX),0,BX278+ROW()/1000000000)</f>
        <v>0</v>
      </c>
      <c r="BZ278" s="214">
        <f t="shared" si="325"/>
        <v>0</v>
      </c>
    </row>
    <row r="279" spans="1:78" ht="17.2" customHeight="1" thickBot="1" x14ac:dyDescent="0.4">
      <c r="A279" s="369"/>
      <c r="B279" s="79" t="str">
        <f t="shared" si="326"/>
        <v/>
      </c>
      <c r="C279" s="80" t="str">
        <f t="shared" si="326"/>
        <v/>
      </c>
      <c r="D279" s="69" t="str">
        <f t="shared" si="326"/>
        <v/>
      </c>
      <c r="E279" s="350"/>
      <c r="F279" s="69" t="str">
        <f t="shared" si="307"/>
        <v/>
      </c>
      <c r="G279" s="350"/>
      <c r="H279" s="69" t="str">
        <f t="shared" si="308"/>
        <v/>
      </c>
      <c r="I279" s="350"/>
      <c r="J279" s="69" t="str">
        <f t="shared" si="309"/>
        <v/>
      </c>
      <c r="K279" s="350"/>
      <c r="L279" s="69" t="str">
        <f t="shared" si="310"/>
        <v/>
      </c>
      <c r="M279" s="350"/>
      <c r="N279" s="69" t="str">
        <f t="shared" si="327"/>
        <v/>
      </c>
      <c r="O279" s="350"/>
      <c r="P279" s="69" t="str">
        <f t="shared" si="311"/>
        <v/>
      </c>
      <c r="Q279" s="350"/>
      <c r="R279" s="69" t="str">
        <f t="shared" si="312"/>
        <v/>
      </c>
      <c r="S279" s="350"/>
      <c r="T279" s="69" t="str">
        <f t="shared" si="313"/>
        <v/>
      </c>
      <c r="U279" s="350"/>
      <c r="V279" s="69" t="str">
        <f t="shared" si="314"/>
        <v/>
      </c>
      <c r="W279" s="350"/>
      <c r="Z279" s="353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15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28"/>
        <v>0</v>
      </c>
      <c r="BE279" s="213">
        <f t="shared" si="329"/>
        <v>0</v>
      </c>
      <c r="BF279" s="215">
        <f t="shared" si="330"/>
        <v>0</v>
      </c>
      <c r="BG279" s="215">
        <f t="shared" si="331"/>
        <v>0</v>
      </c>
      <c r="BH279" s="215" t="str">
        <f t="shared" si="316"/>
        <v/>
      </c>
      <c r="BI279" s="215" t="str">
        <f t="shared" si="317"/>
        <v/>
      </c>
      <c r="BJ279" s="215" t="str">
        <f t="shared" si="318"/>
        <v/>
      </c>
      <c r="BK279" s="215" t="str">
        <f t="shared" si="319"/>
        <v/>
      </c>
      <c r="BL279" s="215" t="str">
        <f t="shared" si="320"/>
        <v/>
      </c>
      <c r="BM279" s="215" t="str">
        <f t="shared" si="321"/>
        <v/>
      </c>
      <c r="BN279" s="215" t="str">
        <f t="shared" si="322"/>
        <v/>
      </c>
      <c r="BO279" s="215" t="str">
        <f t="shared" si="323"/>
        <v/>
      </c>
      <c r="BP279" s="215" t="str">
        <f t="shared" si="324"/>
        <v/>
      </c>
      <c r="BQ279" s="216"/>
      <c r="BR279" s="214"/>
      <c r="BS279" s="215">
        <f t="shared" si="332"/>
        <v>0</v>
      </c>
      <c r="BT279" s="215">
        <f t="shared" si="333"/>
        <v>0</v>
      </c>
      <c r="BU279" s="215" t="str">
        <f t="shared" si="334"/>
        <v>BK München 4</v>
      </c>
      <c r="BV279" s="214">
        <f t="shared" si="335"/>
        <v>2</v>
      </c>
      <c r="BW279" s="215">
        <f t="shared" si="336"/>
        <v>0</v>
      </c>
      <c r="BX279" s="215">
        <f>IF(COUNTIF(BH279:BP279,"&gt;0")&lt;Spielorte!$A$23,0,BE279/Spielorte!$A$23)</f>
        <v>0</v>
      </c>
      <c r="BY279" s="215">
        <f t="shared" si="337"/>
        <v>0</v>
      </c>
      <c r="BZ279" s="214">
        <f t="shared" si="325"/>
        <v>0</v>
      </c>
    </row>
    <row r="280" spans="1:78" ht="17.2" customHeight="1" x14ac:dyDescent="0.35">
      <c r="A280" s="367" t="s">
        <v>2</v>
      </c>
      <c r="B280" s="73" t="str">
        <f t="shared" si="326"/>
        <v>Müller, Angelika</v>
      </c>
      <c r="C280" s="74">
        <f t="shared" si="326"/>
        <v>12850</v>
      </c>
      <c r="D280" s="75">
        <f t="shared" si="326"/>
        <v>160</v>
      </c>
      <c r="E280" s="348">
        <f>IF(AD280="","",AD280)</f>
        <v>0</v>
      </c>
      <c r="F280" s="75">
        <f t="shared" si="307"/>
        <v>212</v>
      </c>
      <c r="G280" s="348">
        <f>IF(AF280="","",AF280)</f>
        <v>1</v>
      </c>
      <c r="H280" s="75">
        <f t="shared" si="308"/>
        <v>144</v>
      </c>
      <c r="I280" s="348">
        <f>IF(AH280="","",AH280)</f>
        <v>1</v>
      </c>
      <c r="J280" s="75">
        <f t="shared" si="309"/>
        <v>161</v>
      </c>
      <c r="K280" s="348">
        <f>IF(AJ280="","",AJ280)</f>
        <v>1</v>
      </c>
      <c r="L280" s="75">
        <f t="shared" si="310"/>
        <v>147</v>
      </c>
      <c r="M280" s="348">
        <f>IF(AL280="","",AL280)</f>
        <v>0</v>
      </c>
      <c r="N280" s="75">
        <f t="shared" si="327"/>
        <v>201</v>
      </c>
      <c r="O280" s="348">
        <f>IF(AN280="","",AN280)</f>
        <v>1</v>
      </c>
      <c r="P280" s="75">
        <f t="shared" si="311"/>
        <v>177</v>
      </c>
      <c r="Q280" s="348">
        <f>IF(AP280="","",AP280)</f>
        <v>1</v>
      </c>
      <c r="R280" s="75" t="str">
        <f t="shared" si="312"/>
        <v/>
      </c>
      <c r="S280" s="348">
        <f>IF(AR280="","",AR280)</f>
        <v>1</v>
      </c>
      <c r="T280" s="75" t="str">
        <f t="shared" si="313"/>
        <v/>
      </c>
      <c r="U280" s="348">
        <f>IF(AT280="","",AT280)</f>
        <v>1</v>
      </c>
      <c r="V280" s="75">
        <f t="shared" si="314"/>
        <v>1202</v>
      </c>
      <c r="W280" s="348">
        <f>IF(AV280="","",AV280)</f>
        <v>7</v>
      </c>
      <c r="Z280" s="351" t="s">
        <v>2</v>
      </c>
      <c r="AA280" s="108" t="str">
        <f>IF(AB280=0,"",VLOOKUP(AB280,Starter!$A$1:$D$199,2,FALSE))</f>
        <v>Müller, Angelika</v>
      </c>
      <c r="AB280" s="99">
        <v>12850</v>
      </c>
      <c r="AC280" s="188">
        <v>160</v>
      </c>
      <c r="AD280" s="109">
        <f>IF(SUM(AC280:AC282)+AC296=0,0,IF(SUM(AC280:AC282)=AC296,0.5,IF(SUM(AC280:AC282)&gt;AC296,1,0)))</f>
        <v>0</v>
      </c>
      <c r="AE280" s="188">
        <v>212</v>
      </c>
      <c r="AF280" s="109">
        <f>IF(SUM(AE280:AE282)+AE296=0,0,IF(SUM(AE280:AE282)=AE296,0.5,IF(SUM(AE280:AE282)&gt;AE296,1,0)))</f>
        <v>1</v>
      </c>
      <c r="AG280" s="188">
        <v>144</v>
      </c>
      <c r="AH280" s="109">
        <f>IF(SUM(AG280:AG282)+AG296=0,0,IF(SUM(AG280:AG282)=AG296,0.5,IF(SUM(AG280:AG282)&gt;AG296,1,0)))</f>
        <v>1</v>
      </c>
      <c r="AI280" s="188">
        <v>161</v>
      </c>
      <c r="AJ280" s="109">
        <f>IF(SUM(AI280:AI282)+AI296=0,0,IF(SUM(AI280:AI282)=AI296,0.5,IF(SUM(AI280:AI282)&gt;AI296,1,0)))</f>
        <v>1</v>
      </c>
      <c r="AK280" s="188">
        <v>147</v>
      </c>
      <c r="AL280" s="109">
        <f>IF(SUM(AK280:AK282)+AK296=0,0,IF(SUM(AK280:AK282)=AK296,0.5,IF(SUM(AK280:AK282)&gt;AK296,1,0)))</f>
        <v>0</v>
      </c>
      <c r="AM280" s="188">
        <v>201</v>
      </c>
      <c r="AN280" s="109">
        <f>IF(SUM(AM280:AM282)+AM296=0,0,IF(SUM(AM280:AM282)=AM296,0.5,IF(SUM(AM280:AM282)&gt;AM296,1,0)))</f>
        <v>1</v>
      </c>
      <c r="AO280" s="188">
        <v>177</v>
      </c>
      <c r="AP280" s="109">
        <f>IF(SUM(AO280:AO282)+AO296=0,0,IF(SUM(AO280:AO282)=AO296,0.5,IF(SUM(AO280:AO282)&gt;AO296,1,0)))</f>
        <v>1</v>
      </c>
      <c r="AQ280" s="188"/>
      <c r="AR280" s="109">
        <f>IF(SUM(AQ280:AQ282)+AQ296=0,0,IF(SUM(AQ280:AQ282)=AQ296,0.5,IF(SUM(AQ280:AQ282)&gt;AQ296,1,0)))</f>
        <v>1</v>
      </c>
      <c r="AS280" s="188"/>
      <c r="AT280" s="109">
        <f>IF(SUM(AS280:AS282)+AS296=0,0,IF(SUM(AS280:AS282)=AS296,0.5,IF(SUM(AS280:AS282)&gt;AS296,1,0)))</f>
        <v>1</v>
      </c>
      <c r="AU280" s="110">
        <f t="shared" si="315"/>
        <v>1202</v>
      </c>
      <c r="AV280" s="111">
        <f>SUM(AD280+AF280+AH280+AJ280+AL280+AN280+AP280+AR280+AT280)</f>
        <v>7</v>
      </c>
      <c r="AW280" s="101"/>
      <c r="AX280" s="102"/>
      <c r="AZ280" s="63"/>
      <c r="BA280" s="212"/>
      <c r="BB280" s="213"/>
      <c r="BC280" s="214"/>
      <c r="BD280" s="217">
        <f t="shared" si="328"/>
        <v>12850</v>
      </c>
      <c r="BE280" s="213">
        <f t="shared" si="329"/>
        <v>1202</v>
      </c>
      <c r="BF280" s="215">
        <f t="shared" si="330"/>
        <v>7</v>
      </c>
      <c r="BG280" s="215">
        <f t="shared" si="331"/>
        <v>7</v>
      </c>
      <c r="BH280" s="215">
        <f t="shared" si="316"/>
        <v>160</v>
      </c>
      <c r="BI280" s="215">
        <f t="shared" si="317"/>
        <v>212</v>
      </c>
      <c r="BJ280" s="215">
        <f t="shared" si="318"/>
        <v>144</v>
      </c>
      <c r="BK280" s="215">
        <f t="shared" si="319"/>
        <v>161</v>
      </c>
      <c r="BL280" s="215">
        <f t="shared" si="320"/>
        <v>147</v>
      </c>
      <c r="BM280" s="215">
        <f t="shared" si="321"/>
        <v>201</v>
      </c>
      <c r="BN280" s="215">
        <f t="shared" si="322"/>
        <v>177</v>
      </c>
      <c r="BO280" s="215" t="str">
        <f t="shared" si="323"/>
        <v/>
      </c>
      <c r="BP280" s="215" t="str">
        <f t="shared" si="324"/>
        <v/>
      </c>
      <c r="BQ280" s="216"/>
      <c r="BR280" s="214"/>
      <c r="BS280" s="215">
        <f t="shared" si="332"/>
        <v>212</v>
      </c>
      <c r="BT280" s="215">
        <f t="shared" si="333"/>
        <v>0</v>
      </c>
      <c r="BU280" s="215" t="str">
        <f t="shared" si="334"/>
        <v>BK München 4</v>
      </c>
      <c r="BV280" s="214">
        <f t="shared" si="335"/>
        <v>2</v>
      </c>
      <c r="BW280" s="215">
        <f t="shared" si="336"/>
        <v>1202</v>
      </c>
      <c r="BX280" s="215">
        <f>IF(COUNTIF(BH280:BP280,"&gt;0")&lt;Spielorte!$A$23,0,BE280/Spielorte!$A$23)</f>
        <v>0</v>
      </c>
      <c r="BY280" s="215">
        <f t="shared" si="337"/>
        <v>0</v>
      </c>
      <c r="BZ280" s="214">
        <f t="shared" si="325"/>
        <v>0</v>
      </c>
    </row>
    <row r="281" spans="1:78" ht="17.2" customHeight="1" x14ac:dyDescent="0.35">
      <c r="A281" s="368"/>
      <c r="B281" s="76" t="str">
        <f t="shared" si="326"/>
        <v>Danzer, Andrea</v>
      </c>
      <c r="C281" s="77">
        <f t="shared" si="326"/>
        <v>16879</v>
      </c>
      <c r="D281" s="78" t="str">
        <f t="shared" si="326"/>
        <v/>
      </c>
      <c r="E281" s="349"/>
      <c r="F281" s="78" t="str">
        <f t="shared" si="307"/>
        <v/>
      </c>
      <c r="G281" s="349"/>
      <c r="H281" s="78" t="str">
        <f t="shared" si="308"/>
        <v/>
      </c>
      <c r="I281" s="349"/>
      <c r="J281" s="78" t="str">
        <f t="shared" si="309"/>
        <v/>
      </c>
      <c r="K281" s="349"/>
      <c r="L281" s="78" t="str">
        <f t="shared" si="310"/>
        <v/>
      </c>
      <c r="M281" s="349"/>
      <c r="N281" s="78" t="str">
        <f t="shared" si="327"/>
        <v/>
      </c>
      <c r="O281" s="349"/>
      <c r="P281" s="78" t="str">
        <f t="shared" si="311"/>
        <v/>
      </c>
      <c r="Q281" s="349"/>
      <c r="R281" s="78">
        <f t="shared" si="312"/>
        <v>199</v>
      </c>
      <c r="S281" s="349"/>
      <c r="T281" s="78">
        <f t="shared" si="313"/>
        <v>196</v>
      </c>
      <c r="U281" s="349"/>
      <c r="V281" s="78">
        <f t="shared" si="314"/>
        <v>395</v>
      </c>
      <c r="W281" s="349"/>
      <c r="Z281" s="352"/>
      <c r="AA281" s="108" t="str">
        <f>IF(AB281=0,"",VLOOKUP(AB281,Starter!$A$1:$D$199,2,FALSE))</f>
        <v>Danzer, Andrea</v>
      </c>
      <c r="AB281" s="98">
        <v>16879</v>
      </c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>
        <v>199</v>
      </c>
      <c r="AR281" s="112"/>
      <c r="AS281" s="190">
        <v>196</v>
      </c>
      <c r="AT281" s="112"/>
      <c r="AU281" s="113">
        <f t="shared" si="315"/>
        <v>395</v>
      </c>
      <c r="AV281" s="114"/>
      <c r="AW281" s="101"/>
      <c r="AX281" s="102"/>
      <c r="AZ281" s="63"/>
      <c r="BA281" s="212"/>
      <c r="BB281" s="213"/>
      <c r="BC281" s="214"/>
      <c r="BD281" s="217">
        <f t="shared" si="328"/>
        <v>16879</v>
      </c>
      <c r="BE281" s="213">
        <f t="shared" si="329"/>
        <v>395</v>
      </c>
      <c r="BF281" s="215">
        <f t="shared" si="330"/>
        <v>2</v>
      </c>
      <c r="BG281" s="215">
        <f t="shared" si="331"/>
        <v>2</v>
      </c>
      <c r="BH281" s="215" t="str">
        <f t="shared" si="316"/>
        <v/>
      </c>
      <c r="BI281" s="215" t="str">
        <f t="shared" si="317"/>
        <v/>
      </c>
      <c r="BJ281" s="215" t="str">
        <f t="shared" si="318"/>
        <v/>
      </c>
      <c r="BK281" s="215" t="str">
        <f t="shared" si="319"/>
        <v/>
      </c>
      <c r="BL281" s="215" t="str">
        <f t="shared" si="320"/>
        <v/>
      </c>
      <c r="BM281" s="215" t="str">
        <f t="shared" si="321"/>
        <v/>
      </c>
      <c r="BN281" s="215" t="str">
        <f t="shared" si="322"/>
        <v/>
      </c>
      <c r="BO281" s="215">
        <f t="shared" si="323"/>
        <v>199</v>
      </c>
      <c r="BP281" s="215">
        <f t="shared" si="324"/>
        <v>196</v>
      </c>
      <c r="BQ281" s="216"/>
      <c r="BR281" s="214"/>
      <c r="BS281" s="215">
        <f t="shared" si="332"/>
        <v>199</v>
      </c>
      <c r="BT281" s="215">
        <f t="shared" si="333"/>
        <v>0</v>
      </c>
      <c r="BU281" s="215" t="str">
        <f t="shared" si="334"/>
        <v>BK München 4</v>
      </c>
      <c r="BV281" s="214">
        <f t="shared" si="335"/>
        <v>2</v>
      </c>
      <c r="BW281" s="215">
        <f t="shared" si="336"/>
        <v>395</v>
      </c>
      <c r="BX281" s="215">
        <f>IF(COUNTIF(BH281:BP281,"&gt;0")&lt;Spielorte!$A$23,0,BE281/Spielorte!$A$23)</f>
        <v>0</v>
      </c>
      <c r="BY281" s="215">
        <f t="shared" si="337"/>
        <v>0</v>
      </c>
      <c r="BZ281" s="214">
        <f t="shared" si="325"/>
        <v>0</v>
      </c>
    </row>
    <row r="282" spans="1:78" ht="17.2" customHeight="1" thickBot="1" x14ac:dyDescent="0.4">
      <c r="A282" s="369"/>
      <c r="B282" s="79" t="str">
        <f t="shared" si="326"/>
        <v/>
      </c>
      <c r="C282" s="80" t="str">
        <f t="shared" si="326"/>
        <v/>
      </c>
      <c r="D282" s="69" t="str">
        <f t="shared" si="326"/>
        <v/>
      </c>
      <c r="E282" s="350"/>
      <c r="F282" s="69" t="str">
        <f t="shared" si="307"/>
        <v/>
      </c>
      <c r="G282" s="350"/>
      <c r="H282" s="69" t="str">
        <f t="shared" si="308"/>
        <v/>
      </c>
      <c r="I282" s="350"/>
      <c r="J282" s="69" t="str">
        <f t="shared" si="309"/>
        <v/>
      </c>
      <c r="K282" s="350"/>
      <c r="L282" s="69" t="str">
        <f t="shared" si="310"/>
        <v/>
      </c>
      <c r="M282" s="350"/>
      <c r="N282" s="69" t="str">
        <f t="shared" si="327"/>
        <v/>
      </c>
      <c r="O282" s="350"/>
      <c r="P282" s="69" t="str">
        <f t="shared" si="311"/>
        <v/>
      </c>
      <c r="Q282" s="350"/>
      <c r="R282" s="69" t="str">
        <f t="shared" si="312"/>
        <v/>
      </c>
      <c r="S282" s="350"/>
      <c r="T282" s="69" t="str">
        <f t="shared" si="313"/>
        <v/>
      </c>
      <c r="U282" s="350"/>
      <c r="V282" s="69" t="str">
        <f t="shared" si="314"/>
        <v/>
      </c>
      <c r="W282" s="350"/>
      <c r="Z282" s="353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15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28"/>
        <v>0</v>
      </c>
      <c r="BE282" s="213">
        <f t="shared" si="329"/>
        <v>0</v>
      </c>
      <c r="BF282" s="215">
        <f t="shared" si="330"/>
        <v>0</v>
      </c>
      <c r="BG282" s="215">
        <f t="shared" si="331"/>
        <v>0</v>
      </c>
      <c r="BH282" s="215" t="str">
        <f t="shared" si="316"/>
        <v/>
      </c>
      <c r="BI282" s="215" t="str">
        <f t="shared" si="317"/>
        <v/>
      </c>
      <c r="BJ282" s="215" t="str">
        <f t="shared" si="318"/>
        <v/>
      </c>
      <c r="BK282" s="215" t="str">
        <f t="shared" si="319"/>
        <v/>
      </c>
      <c r="BL282" s="215" t="str">
        <f t="shared" si="320"/>
        <v/>
      </c>
      <c r="BM282" s="215" t="str">
        <f t="shared" si="321"/>
        <v/>
      </c>
      <c r="BN282" s="215" t="str">
        <f t="shared" si="322"/>
        <v/>
      </c>
      <c r="BO282" s="215" t="str">
        <f t="shared" si="323"/>
        <v/>
      </c>
      <c r="BP282" s="215" t="str">
        <f t="shared" si="324"/>
        <v/>
      </c>
      <c r="BQ282" s="216"/>
      <c r="BR282" s="214"/>
      <c r="BS282" s="215">
        <f t="shared" si="332"/>
        <v>0</v>
      </c>
      <c r="BT282" s="215">
        <f t="shared" si="333"/>
        <v>0</v>
      </c>
      <c r="BU282" s="215" t="str">
        <f t="shared" si="334"/>
        <v>BK München 4</v>
      </c>
      <c r="BV282" s="214">
        <f t="shared" si="335"/>
        <v>2</v>
      </c>
      <c r="BW282" s="215">
        <f t="shared" si="336"/>
        <v>0</v>
      </c>
      <c r="BX282" s="215">
        <f>IF(COUNTIF(BH282:BP282,"&gt;0")&lt;Spielorte!$A$23,0,BE282/Spielorte!$A$23)</f>
        <v>0</v>
      </c>
      <c r="BY282" s="215">
        <f t="shared" si="337"/>
        <v>0</v>
      </c>
      <c r="BZ282" s="214">
        <f t="shared" si="325"/>
        <v>0</v>
      </c>
    </row>
    <row r="283" spans="1:78" ht="17.2" customHeight="1" x14ac:dyDescent="0.35">
      <c r="A283" s="367" t="s">
        <v>3</v>
      </c>
      <c r="B283" s="73" t="str">
        <f t="shared" si="326"/>
        <v>Hinterwimmer, Sabine</v>
      </c>
      <c r="C283" s="74">
        <f t="shared" si="326"/>
        <v>7578</v>
      </c>
      <c r="D283" s="75">
        <f t="shared" si="326"/>
        <v>213</v>
      </c>
      <c r="E283" s="348">
        <f>IF(AD283="","",AD283)</f>
        <v>1</v>
      </c>
      <c r="F283" s="75">
        <f t="shared" si="307"/>
        <v>176</v>
      </c>
      <c r="G283" s="348">
        <f>IF(AF283="","",AF283)</f>
        <v>1</v>
      </c>
      <c r="H283" s="75">
        <f t="shared" si="308"/>
        <v>206</v>
      </c>
      <c r="I283" s="348">
        <f>IF(AH283="","",AH283)</f>
        <v>1</v>
      </c>
      <c r="J283" s="75">
        <f t="shared" si="309"/>
        <v>155</v>
      </c>
      <c r="K283" s="348">
        <f>IF(AJ283="","",AJ283)</f>
        <v>0</v>
      </c>
      <c r="L283" s="75">
        <f t="shared" si="310"/>
        <v>160</v>
      </c>
      <c r="M283" s="348">
        <f>IF(AL283="","",AL283)</f>
        <v>1</v>
      </c>
      <c r="N283" s="75">
        <f t="shared" si="327"/>
        <v>147</v>
      </c>
      <c r="O283" s="348">
        <f>IF(AN283="","",AN283)</f>
        <v>0</v>
      </c>
      <c r="P283" s="75">
        <f t="shared" si="311"/>
        <v>179</v>
      </c>
      <c r="Q283" s="348">
        <f>IF(AP283="","",AP283)</f>
        <v>0.5</v>
      </c>
      <c r="R283" s="75">
        <f t="shared" si="312"/>
        <v>160</v>
      </c>
      <c r="S283" s="348">
        <f>IF(AR283="","",AR283)</f>
        <v>1</v>
      </c>
      <c r="T283" s="75">
        <f t="shared" si="313"/>
        <v>180</v>
      </c>
      <c r="U283" s="348">
        <f>IF(AT283="","",AT283)</f>
        <v>1</v>
      </c>
      <c r="V283" s="75">
        <f t="shared" si="314"/>
        <v>1576</v>
      </c>
      <c r="W283" s="348">
        <f>IF(AV283="","",AV283)</f>
        <v>6.5</v>
      </c>
      <c r="Z283" s="351" t="s">
        <v>3</v>
      </c>
      <c r="AA283" s="108" t="str">
        <f>IF(AB283=0,"",VLOOKUP(AB283,Starter!$A$1:$D$199,2,FALSE))</f>
        <v>Hinterwimmer, Sabine</v>
      </c>
      <c r="AB283" s="99">
        <v>7578</v>
      </c>
      <c r="AC283" s="188">
        <v>213</v>
      </c>
      <c r="AD283" s="109">
        <f>IF(SUM(AC283:AC285)+AC297=0,0,IF(SUM(AC283:AC285)=AC297,0.5,IF(SUM(AC283:AC285)&gt;AC297,1,0)))</f>
        <v>1</v>
      </c>
      <c r="AE283" s="188">
        <v>176</v>
      </c>
      <c r="AF283" s="109">
        <f>IF(SUM(AE283:AE285)+AE297=0,0,IF(SUM(AE283:AE285)=AE297,0.5,IF(SUM(AE283:AE285)&gt;AE297,1,0)))</f>
        <v>1</v>
      </c>
      <c r="AG283" s="188">
        <v>206</v>
      </c>
      <c r="AH283" s="109">
        <f>IF(SUM(AG283:AG285)+AG297=0,0,IF(SUM(AG283:AG285)=AG297,0.5,IF(SUM(AG283:AG285)&gt;AG297,1,0)))</f>
        <v>1</v>
      </c>
      <c r="AI283" s="188">
        <v>155</v>
      </c>
      <c r="AJ283" s="109">
        <f>IF(SUM(AI283:AI285)+AI297=0,0,IF(SUM(AI283:AI285)=AI297,0.5,IF(SUM(AI283:AI285)&gt;AI297,1,0)))</f>
        <v>0</v>
      </c>
      <c r="AK283" s="188">
        <v>160</v>
      </c>
      <c r="AL283" s="109">
        <f>IF(SUM(AK283:AK285)+AK297=0,0,IF(SUM(AK283:AK285)=AK297,0.5,IF(SUM(AK283:AK285)&gt;AK297,1,0)))</f>
        <v>1</v>
      </c>
      <c r="AM283" s="188">
        <v>147</v>
      </c>
      <c r="AN283" s="109">
        <f>IF(SUM(AM283:AM285)+AM297=0,0,IF(SUM(AM283:AM285)=AM297,0.5,IF(SUM(AM283:AM285)&gt;AM297,1,0)))</f>
        <v>0</v>
      </c>
      <c r="AO283" s="188">
        <v>179</v>
      </c>
      <c r="AP283" s="109">
        <f>IF(SUM(AO283:AO285)+AO297=0,0,IF(SUM(AO283:AO285)=AO297,0.5,IF(SUM(AO283:AO285)&gt;AO297,1,0)))</f>
        <v>0.5</v>
      </c>
      <c r="AQ283" s="188">
        <v>160</v>
      </c>
      <c r="AR283" s="109">
        <f>IF(SUM(AQ283:AQ285)+AQ297=0,0,IF(SUM(AQ283:AQ285)=AQ297,0.5,IF(SUM(AQ283:AQ285)&gt;AQ297,1,0)))</f>
        <v>1</v>
      </c>
      <c r="AS283" s="188">
        <v>180</v>
      </c>
      <c r="AT283" s="109">
        <f>IF(SUM(AS283:AS285)+AS297=0,0,IF(SUM(AS283:AS285)=AS297,0.5,IF(SUM(AS283:AS285)&gt;AS297,1,0)))</f>
        <v>1</v>
      </c>
      <c r="AU283" s="110">
        <f t="shared" si="315"/>
        <v>1576</v>
      </c>
      <c r="AV283" s="111">
        <f>SUM(AD283+AF283+AH283+AJ283+AL283+AN283+AP283+AR283+AT283)</f>
        <v>6.5</v>
      </c>
      <c r="AW283" s="101"/>
      <c r="AX283" s="102"/>
      <c r="AZ283" s="63"/>
      <c r="BA283" s="212"/>
      <c r="BB283" s="213"/>
      <c r="BC283" s="214"/>
      <c r="BD283" s="217">
        <f t="shared" si="328"/>
        <v>7578</v>
      </c>
      <c r="BE283" s="213">
        <f t="shared" si="329"/>
        <v>1576</v>
      </c>
      <c r="BF283" s="215">
        <f t="shared" si="330"/>
        <v>9</v>
      </c>
      <c r="BG283" s="215">
        <f t="shared" si="331"/>
        <v>9</v>
      </c>
      <c r="BH283" s="215">
        <f t="shared" si="316"/>
        <v>213</v>
      </c>
      <c r="BI283" s="215">
        <f t="shared" si="317"/>
        <v>176</v>
      </c>
      <c r="BJ283" s="215">
        <f t="shared" si="318"/>
        <v>206</v>
      </c>
      <c r="BK283" s="215">
        <f t="shared" si="319"/>
        <v>155</v>
      </c>
      <c r="BL283" s="215">
        <f t="shared" si="320"/>
        <v>160</v>
      </c>
      <c r="BM283" s="215">
        <f t="shared" si="321"/>
        <v>147</v>
      </c>
      <c r="BN283" s="215">
        <f t="shared" si="322"/>
        <v>179</v>
      </c>
      <c r="BO283" s="215">
        <f t="shared" si="323"/>
        <v>160</v>
      </c>
      <c r="BP283" s="215">
        <f t="shared" si="324"/>
        <v>180</v>
      </c>
      <c r="BQ283" s="216"/>
      <c r="BR283" s="214"/>
      <c r="BS283" s="215">
        <f t="shared" si="332"/>
        <v>213</v>
      </c>
      <c r="BT283" s="215">
        <f t="shared" si="333"/>
        <v>0</v>
      </c>
      <c r="BU283" s="215" t="str">
        <f t="shared" si="334"/>
        <v>BK München 4</v>
      </c>
      <c r="BV283" s="214">
        <f t="shared" si="335"/>
        <v>2</v>
      </c>
      <c r="BW283" s="215">
        <f t="shared" si="336"/>
        <v>1576</v>
      </c>
      <c r="BX283" s="215">
        <f>IF(COUNTIF(BH283:BP283,"&gt;0")&lt;Spielorte!$A$23,0,BE283/Spielorte!$A$23)</f>
        <v>175.11111111111111</v>
      </c>
      <c r="BY283" s="215">
        <f t="shared" si="337"/>
        <v>0</v>
      </c>
      <c r="BZ283" s="214">
        <f t="shared" si="325"/>
        <v>0</v>
      </c>
    </row>
    <row r="284" spans="1:78" ht="17.2" customHeight="1" x14ac:dyDescent="0.35">
      <c r="A284" s="368"/>
      <c r="B284" s="76" t="str">
        <f t="shared" si="326"/>
        <v/>
      </c>
      <c r="C284" s="77" t="str">
        <f t="shared" si="326"/>
        <v/>
      </c>
      <c r="D284" s="78" t="str">
        <f t="shared" si="326"/>
        <v/>
      </c>
      <c r="E284" s="349"/>
      <c r="F284" s="78" t="str">
        <f t="shared" si="307"/>
        <v/>
      </c>
      <c r="G284" s="349"/>
      <c r="H284" s="78" t="str">
        <f t="shared" si="308"/>
        <v/>
      </c>
      <c r="I284" s="349"/>
      <c r="J284" s="78" t="str">
        <f t="shared" si="309"/>
        <v/>
      </c>
      <c r="K284" s="349"/>
      <c r="L284" s="78" t="str">
        <f t="shared" si="310"/>
        <v/>
      </c>
      <c r="M284" s="349"/>
      <c r="N284" s="78" t="str">
        <f t="shared" si="327"/>
        <v/>
      </c>
      <c r="O284" s="349"/>
      <c r="P284" s="78" t="str">
        <f t="shared" si="311"/>
        <v/>
      </c>
      <c r="Q284" s="349"/>
      <c r="R284" s="78" t="str">
        <f t="shared" si="312"/>
        <v/>
      </c>
      <c r="S284" s="349"/>
      <c r="T284" s="78" t="str">
        <f t="shared" si="313"/>
        <v/>
      </c>
      <c r="U284" s="349"/>
      <c r="V284" s="78" t="str">
        <f t="shared" si="314"/>
        <v/>
      </c>
      <c r="W284" s="349"/>
      <c r="Z284" s="352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15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28"/>
        <v>0</v>
      </c>
      <c r="BE284" s="213">
        <f t="shared" si="329"/>
        <v>0</v>
      </c>
      <c r="BF284" s="215">
        <f t="shared" si="330"/>
        <v>0</v>
      </c>
      <c r="BG284" s="215">
        <f t="shared" si="331"/>
        <v>0</v>
      </c>
      <c r="BH284" s="215" t="str">
        <f t="shared" si="316"/>
        <v/>
      </c>
      <c r="BI284" s="215" t="str">
        <f t="shared" si="317"/>
        <v/>
      </c>
      <c r="BJ284" s="215" t="str">
        <f t="shared" si="318"/>
        <v/>
      </c>
      <c r="BK284" s="215" t="str">
        <f t="shared" si="319"/>
        <v/>
      </c>
      <c r="BL284" s="215" t="str">
        <f t="shared" si="320"/>
        <v/>
      </c>
      <c r="BM284" s="215" t="str">
        <f t="shared" si="321"/>
        <v/>
      </c>
      <c r="BN284" s="215" t="str">
        <f t="shared" si="322"/>
        <v/>
      </c>
      <c r="BO284" s="215" t="str">
        <f t="shared" si="323"/>
        <v/>
      </c>
      <c r="BP284" s="215" t="str">
        <f t="shared" si="324"/>
        <v/>
      </c>
      <c r="BQ284" s="216"/>
      <c r="BR284" s="214"/>
      <c r="BS284" s="215">
        <f t="shared" si="332"/>
        <v>0</v>
      </c>
      <c r="BT284" s="215">
        <f t="shared" si="333"/>
        <v>0</v>
      </c>
      <c r="BU284" s="215" t="str">
        <f t="shared" si="334"/>
        <v>BK München 4</v>
      </c>
      <c r="BV284" s="214">
        <f t="shared" si="335"/>
        <v>2</v>
      </c>
      <c r="BW284" s="215">
        <f t="shared" si="336"/>
        <v>0</v>
      </c>
      <c r="BX284" s="215">
        <f>IF(COUNTIF(BH284:BP284,"&gt;0")&lt;Spielorte!$A$23,0,BE284/Spielorte!$A$23)</f>
        <v>0</v>
      </c>
      <c r="BY284" s="215">
        <f t="shared" si="337"/>
        <v>0</v>
      </c>
      <c r="BZ284" s="214">
        <f t="shared" si="325"/>
        <v>0</v>
      </c>
    </row>
    <row r="285" spans="1:78" ht="17.2" customHeight="1" thickBot="1" x14ac:dyDescent="0.4">
      <c r="A285" s="369"/>
      <c r="B285" s="79" t="str">
        <f t="shared" si="326"/>
        <v/>
      </c>
      <c r="C285" s="80" t="str">
        <f t="shared" si="326"/>
        <v/>
      </c>
      <c r="D285" s="69" t="str">
        <f t="shared" si="326"/>
        <v/>
      </c>
      <c r="E285" s="350"/>
      <c r="F285" s="69" t="str">
        <f t="shared" si="307"/>
        <v/>
      </c>
      <c r="G285" s="350"/>
      <c r="H285" s="69" t="str">
        <f t="shared" si="308"/>
        <v/>
      </c>
      <c r="I285" s="350"/>
      <c r="J285" s="69" t="str">
        <f t="shared" si="309"/>
        <v/>
      </c>
      <c r="K285" s="350"/>
      <c r="L285" s="69" t="str">
        <f t="shared" si="310"/>
        <v/>
      </c>
      <c r="M285" s="350"/>
      <c r="N285" s="69" t="str">
        <f t="shared" si="327"/>
        <v/>
      </c>
      <c r="O285" s="350"/>
      <c r="P285" s="69" t="str">
        <f t="shared" si="311"/>
        <v/>
      </c>
      <c r="Q285" s="350"/>
      <c r="R285" s="69" t="str">
        <f t="shared" si="312"/>
        <v/>
      </c>
      <c r="S285" s="350"/>
      <c r="T285" s="69" t="str">
        <f t="shared" si="313"/>
        <v/>
      </c>
      <c r="U285" s="350"/>
      <c r="V285" s="69" t="str">
        <f t="shared" si="314"/>
        <v/>
      </c>
      <c r="W285" s="350"/>
      <c r="Z285" s="353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15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28"/>
        <v>0</v>
      </c>
      <c r="BE285" s="213">
        <f t="shared" si="329"/>
        <v>0</v>
      </c>
      <c r="BF285" s="215">
        <f t="shared" si="330"/>
        <v>0</v>
      </c>
      <c r="BG285" s="215">
        <f t="shared" si="331"/>
        <v>0</v>
      </c>
      <c r="BH285" s="215" t="str">
        <f t="shared" si="316"/>
        <v/>
      </c>
      <c r="BI285" s="215" t="str">
        <f t="shared" si="317"/>
        <v/>
      </c>
      <c r="BJ285" s="215" t="str">
        <f t="shared" si="318"/>
        <v/>
      </c>
      <c r="BK285" s="215" t="str">
        <f t="shared" si="319"/>
        <v/>
      </c>
      <c r="BL285" s="215" t="str">
        <f t="shared" si="320"/>
        <v/>
      </c>
      <c r="BM285" s="215" t="str">
        <f t="shared" si="321"/>
        <v/>
      </c>
      <c r="BN285" s="215" t="str">
        <f t="shared" si="322"/>
        <v/>
      </c>
      <c r="BO285" s="215" t="str">
        <f t="shared" si="323"/>
        <v/>
      </c>
      <c r="BP285" s="215" t="str">
        <f t="shared" si="324"/>
        <v/>
      </c>
      <c r="BQ285" s="216"/>
      <c r="BR285" s="214"/>
      <c r="BS285" s="215">
        <f t="shared" si="332"/>
        <v>0</v>
      </c>
      <c r="BT285" s="215">
        <f t="shared" si="333"/>
        <v>0</v>
      </c>
      <c r="BU285" s="215" t="str">
        <f t="shared" si="334"/>
        <v>BK München 4</v>
      </c>
      <c r="BV285" s="214">
        <f t="shared" si="335"/>
        <v>2</v>
      </c>
      <c r="BW285" s="215">
        <f t="shared" si="336"/>
        <v>0</v>
      </c>
      <c r="BX285" s="215">
        <f>IF(COUNTIF(BH285:BP285,"&gt;0")&lt;Spielorte!$A$23,0,BE285/Spielorte!$A$23)</f>
        <v>0</v>
      </c>
      <c r="BY285" s="215">
        <f t="shared" si="337"/>
        <v>0</v>
      </c>
      <c r="BZ285" s="214">
        <f t="shared" si="325"/>
        <v>0</v>
      </c>
    </row>
    <row r="286" spans="1:78" ht="17.2" customHeight="1" x14ac:dyDescent="0.35">
      <c r="A286" s="367" t="s">
        <v>11</v>
      </c>
      <c r="B286" s="73" t="str">
        <f>IF(AA286=0,"",AA286)</f>
        <v>Danzer, Andrea</v>
      </c>
      <c r="C286" s="74">
        <f t="shared" si="326"/>
        <v>16879</v>
      </c>
      <c r="D286" s="75">
        <f t="shared" si="326"/>
        <v>157</v>
      </c>
      <c r="E286" s="348">
        <f>IF(AD286="","",AD286)</f>
        <v>0</v>
      </c>
      <c r="F286" s="75">
        <f t="shared" si="307"/>
        <v>180</v>
      </c>
      <c r="G286" s="348">
        <f>IF(AF286="","",AF286)</f>
        <v>0.5</v>
      </c>
      <c r="H286" s="75">
        <f t="shared" si="308"/>
        <v>133</v>
      </c>
      <c r="I286" s="348">
        <f>IF(AH286="","",AH286)</f>
        <v>1</v>
      </c>
      <c r="J286" s="75">
        <f t="shared" si="309"/>
        <v>161</v>
      </c>
      <c r="K286" s="348">
        <f>IF(AJ286="","",AJ286)</f>
        <v>0.5</v>
      </c>
      <c r="L286" s="75" t="str">
        <f t="shared" si="310"/>
        <v/>
      </c>
      <c r="M286" s="348">
        <f>IF(AL286="","",AL286)</f>
        <v>0</v>
      </c>
      <c r="N286" s="75" t="str">
        <f t="shared" si="327"/>
        <v/>
      </c>
      <c r="O286" s="348">
        <f>IF(AN286="","",AN286)</f>
        <v>0</v>
      </c>
      <c r="P286" s="75" t="str">
        <f t="shared" si="311"/>
        <v/>
      </c>
      <c r="Q286" s="348">
        <f>IF(AP286="","",AP286)</f>
        <v>0</v>
      </c>
      <c r="R286" s="75" t="str">
        <f t="shared" si="312"/>
        <v/>
      </c>
      <c r="S286" s="348">
        <f>IF(AR286="","",AR286)</f>
        <v>1</v>
      </c>
      <c r="T286" s="75" t="str">
        <f t="shared" si="313"/>
        <v/>
      </c>
      <c r="U286" s="348">
        <f>IF(AT286="","",AT286)</f>
        <v>0</v>
      </c>
      <c r="V286" s="75">
        <f t="shared" si="314"/>
        <v>631</v>
      </c>
      <c r="W286" s="348">
        <f>IF(AV286="","",AV286)</f>
        <v>3</v>
      </c>
      <c r="Z286" s="351" t="s">
        <v>11</v>
      </c>
      <c r="AA286" s="108" t="str">
        <f>IF(AB286=0,"",VLOOKUP(AB286,Starter!$A$1:$D$199,2,FALSE))</f>
        <v>Danzer, Andrea</v>
      </c>
      <c r="AB286" s="99">
        <v>16879</v>
      </c>
      <c r="AC286" s="188">
        <v>157</v>
      </c>
      <c r="AD286" s="109">
        <f>IF(SUM(AC286:AC288)+AC298=0,0,IF(SUM(AC286:AC288)=AC298,0.5,IF(SUM(AC286:AC288)&gt;AC298,1,0)))</f>
        <v>0</v>
      </c>
      <c r="AE286" s="188">
        <v>180</v>
      </c>
      <c r="AF286" s="109">
        <f>IF(SUM(AE286:AE288)+AE298=0,0,IF(SUM(AE286:AE288)=AE298,0.5,IF(SUM(AE286:AE288)&gt;AE298,1,0)))</f>
        <v>0.5</v>
      </c>
      <c r="AG286" s="188">
        <v>133</v>
      </c>
      <c r="AH286" s="109">
        <f>IF(SUM(AG286:AG288)+AG298=0,0,IF(SUM(AG286:AG288)=AG298,0.5,IF(SUM(AG286:AG288)&gt;AG298,1,0)))</f>
        <v>1</v>
      </c>
      <c r="AI286" s="188">
        <v>161</v>
      </c>
      <c r="AJ286" s="109">
        <f>IF(SUM(AI286:AI288)+AI298=0,0,IF(SUM(AI286:AI288)=AI298,0.5,IF(SUM(AI286:AI288)&gt;AI298,1,0)))</f>
        <v>0.5</v>
      </c>
      <c r="AK286" s="188"/>
      <c r="AL286" s="109">
        <f>IF(SUM(AK286:AK288)+AK298=0,0,IF(SUM(AK286:AK288)=AK298,0.5,IF(SUM(AK286:AK288)&gt;AK298,1,0)))</f>
        <v>0</v>
      </c>
      <c r="AM286" s="188"/>
      <c r="AN286" s="109">
        <f>IF(SUM(AM286:AM288)+AM298=0,0,IF(SUM(AM286:AM288)=AM298,0.5,IF(SUM(AM286:AM288)&gt;AM298,1,0)))</f>
        <v>0</v>
      </c>
      <c r="AO286" s="188"/>
      <c r="AP286" s="109">
        <f>IF(SUM(AO286:AO288)+AO298=0,0,IF(SUM(AO286:AO288)=AO298,0.5,IF(SUM(AO286:AO288)&gt;AO298,1,0)))</f>
        <v>0</v>
      </c>
      <c r="AQ286" s="188"/>
      <c r="AR286" s="109">
        <f>IF(SUM(AQ286:AQ288)+AQ298=0,0,IF(SUM(AQ286:AQ288)=AQ298,0.5,IF(SUM(AQ286:AQ288)&gt;AQ298,1,0)))</f>
        <v>1</v>
      </c>
      <c r="AS286" s="188"/>
      <c r="AT286" s="109">
        <f>IF(SUM(AS286:AS288)+AS298=0,0,IF(SUM(AS286:AS288)=AS298,0.5,IF(SUM(AS286:AS288)&gt;AS298,1,0)))</f>
        <v>0</v>
      </c>
      <c r="AU286" s="110">
        <f t="shared" si="315"/>
        <v>631</v>
      </c>
      <c r="AV286" s="111">
        <f>SUM(AD286+AF286+AH286+AJ286+AL286+AN286+AP286+AR286+AT286)</f>
        <v>3</v>
      </c>
      <c r="AW286" s="101"/>
      <c r="AX286" s="102"/>
      <c r="AZ286" s="63"/>
      <c r="BA286" s="212"/>
      <c r="BB286" s="213"/>
      <c r="BC286" s="214"/>
      <c r="BD286" s="217">
        <f t="shared" si="328"/>
        <v>16879</v>
      </c>
      <c r="BE286" s="213">
        <f t="shared" si="329"/>
        <v>631</v>
      </c>
      <c r="BF286" s="215">
        <f t="shared" si="330"/>
        <v>4</v>
      </c>
      <c r="BG286" s="215">
        <f t="shared" si="331"/>
        <v>4</v>
      </c>
      <c r="BH286" s="215">
        <f t="shared" si="316"/>
        <v>157</v>
      </c>
      <c r="BI286" s="215">
        <f t="shared" si="317"/>
        <v>180</v>
      </c>
      <c r="BJ286" s="215">
        <f t="shared" si="318"/>
        <v>133</v>
      </c>
      <c r="BK286" s="215">
        <f t="shared" si="319"/>
        <v>161</v>
      </c>
      <c r="BL286" s="215" t="str">
        <f t="shared" si="320"/>
        <v/>
      </c>
      <c r="BM286" s="215" t="str">
        <f t="shared" si="321"/>
        <v/>
      </c>
      <c r="BN286" s="215" t="str">
        <f t="shared" si="322"/>
        <v/>
      </c>
      <c r="BO286" s="215" t="str">
        <f t="shared" si="323"/>
        <v/>
      </c>
      <c r="BP286" s="215" t="str">
        <f t="shared" si="324"/>
        <v/>
      </c>
      <c r="BQ286" s="216"/>
      <c r="BR286" s="214"/>
      <c r="BS286" s="215">
        <f t="shared" si="332"/>
        <v>180</v>
      </c>
      <c r="BT286" s="215">
        <f t="shared" si="333"/>
        <v>0</v>
      </c>
      <c r="BU286" s="215" t="str">
        <f t="shared" si="334"/>
        <v>BK München 4</v>
      </c>
      <c r="BV286" s="214">
        <f t="shared" si="335"/>
        <v>2</v>
      </c>
      <c r="BW286" s="215">
        <f t="shared" si="336"/>
        <v>631</v>
      </c>
      <c r="BX286" s="215">
        <f>IF(COUNTIF(BH286:BP286,"&gt;0")&lt;Spielorte!$A$23,0,BE286/Spielorte!$A$23)</f>
        <v>0</v>
      </c>
      <c r="BY286" s="215">
        <f t="shared" si="337"/>
        <v>0</v>
      </c>
      <c r="BZ286" s="214">
        <f t="shared" si="325"/>
        <v>0</v>
      </c>
    </row>
    <row r="287" spans="1:78" ht="17.2" customHeight="1" x14ac:dyDescent="0.35">
      <c r="A287" s="368"/>
      <c r="B287" s="76" t="str">
        <f>IF(AA287=0,"",AA287)</f>
        <v>Clemenz, Brigitte</v>
      </c>
      <c r="C287" s="77">
        <f t="shared" si="326"/>
        <v>7574</v>
      </c>
      <c r="D287" s="78" t="str">
        <f t="shared" si="326"/>
        <v/>
      </c>
      <c r="E287" s="349"/>
      <c r="F287" s="78" t="str">
        <f t="shared" si="307"/>
        <v/>
      </c>
      <c r="G287" s="349"/>
      <c r="H287" s="78" t="str">
        <f t="shared" si="308"/>
        <v/>
      </c>
      <c r="I287" s="349"/>
      <c r="J287" s="78" t="str">
        <f t="shared" si="309"/>
        <v/>
      </c>
      <c r="K287" s="349"/>
      <c r="L287" s="78">
        <f t="shared" si="310"/>
        <v>189</v>
      </c>
      <c r="M287" s="349"/>
      <c r="N287" s="78">
        <f t="shared" si="327"/>
        <v>166</v>
      </c>
      <c r="O287" s="349"/>
      <c r="P287" s="78">
        <f t="shared" si="311"/>
        <v>158</v>
      </c>
      <c r="Q287" s="349"/>
      <c r="R287" s="78">
        <f t="shared" si="312"/>
        <v>203</v>
      </c>
      <c r="S287" s="349"/>
      <c r="T287" s="78">
        <f t="shared" si="313"/>
        <v>222</v>
      </c>
      <c r="U287" s="349"/>
      <c r="V287" s="78">
        <f t="shared" si="314"/>
        <v>938</v>
      </c>
      <c r="W287" s="349"/>
      <c r="Z287" s="352"/>
      <c r="AA287" s="108" t="str">
        <f>IF(AB287=0,"",VLOOKUP(AB287,Starter!$A$1:$D$199,2,FALSE))</f>
        <v>Clemenz, Brigitte</v>
      </c>
      <c r="AB287" s="98">
        <v>7574</v>
      </c>
      <c r="AC287" s="186"/>
      <c r="AD287" s="112"/>
      <c r="AE287" s="186"/>
      <c r="AF287" s="112"/>
      <c r="AG287" s="186"/>
      <c r="AH287" s="112"/>
      <c r="AI287" s="186"/>
      <c r="AJ287" s="112"/>
      <c r="AK287" s="186">
        <v>189</v>
      </c>
      <c r="AL287" s="112"/>
      <c r="AM287" s="186">
        <v>166</v>
      </c>
      <c r="AN287" s="112"/>
      <c r="AO287" s="186">
        <v>158</v>
      </c>
      <c r="AP287" s="112"/>
      <c r="AQ287" s="186">
        <v>203</v>
      </c>
      <c r="AR287" s="112"/>
      <c r="AS287" s="186">
        <v>222</v>
      </c>
      <c r="AT287" s="112"/>
      <c r="AU287" s="113">
        <f t="shared" si="315"/>
        <v>938</v>
      </c>
      <c r="AV287" s="114"/>
      <c r="AW287" s="101"/>
      <c r="AX287" s="102"/>
      <c r="AZ287" s="63"/>
      <c r="BA287" s="212"/>
      <c r="BB287" s="213"/>
      <c r="BC287" s="214"/>
      <c r="BD287" s="217">
        <f t="shared" si="328"/>
        <v>7574</v>
      </c>
      <c r="BE287" s="213">
        <f t="shared" si="329"/>
        <v>938</v>
      </c>
      <c r="BF287" s="215">
        <f t="shared" si="330"/>
        <v>5</v>
      </c>
      <c r="BG287" s="215">
        <f t="shared" si="331"/>
        <v>5</v>
      </c>
      <c r="BH287" s="215" t="str">
        <f t="shared" si="316"/>
        <v/>
      </c>
      <c r="BI287" s="215" t="str">
        <f t="shared" si="317"/>
        <v/>
      </c>
      <c r="BJ287" s="215" t="str">
        <f t="shared" si="318"/>
        <v/>
      </c>
      <c r="BK287" s="215" t="str">
        <f t="shared" si="319"/>
        <v/>
      </c>
      <c r="BL287" s="215">
        <f t="shared" si="320"/>
        <v>189</v>
      </c>
      <c r="BM287" s="215">
        <f t="shared" si="321"/>
        <v>166</v>
      </c>
      <c r="BN287" s="215">
        <f t="shared" si="322"/>
        <v>158</v>
      </c>
      <c r="BO287" s="215">
        <f t="shared" si="323"/>
        <v>203</v>
      </c>
      <c r="BP287" s="215">
        <f t="shared" si="324"/>
        <v>222</v>
      </c>
      <c r="BQ287" s="216"/>
      <c r="BR287" s="214"/>
      <c r="BS287" s="215">
        <f t="shared" si="332"/>
        <v>222</v>
      </c>
      <c r="BT287" s="215">
        <f t="shared" si="333"/>
        <v>0</v>
      </c>
      <c r="BU287" s="215" t="str">
        <f t="shared" si="334"/>
        <v>BK München 4</v>
      </c>
      <c r="BV287" s="214">
        <f t="shared" si="335"/>
        <v>2</v>
      </c>
      <c r="BW287" s="215">
        <f t="shared" si="336"/>
        <v>938</v>
      </c>
      <c r="BX287" s="215">
        <f>IF(COUNTIF(BH287:BP287,"&gt;0")&lt;Spielorte!$A$23,0,BE287/Spielorte!$A$23)</f>
        <v>0</v>
      </c>
      <c r="BY287" s="215">
        <f t="shared" si="337"/>
        <v>0</v>
      </c>
      <c r="BZ287" s="214">
        <f t="shared" si="325"/>
        <v>0</v>
      </c>
    </row>
    <row r="288" spans="1:78" ht="17.2" customHeight="1" thickBot="1" x14ac:dyDescent="0.4">
      <c r="A288" s="369"/>
      <c r="B288" s="79" t="str">
        <f>IF(AA288=0,"",AA288)</f>
        <v/>
      </c>
      <c r="C288" s="80" t="str">
        <f t="shared" si="326"/>
        <v/>
      </c>
      <c r="D288" s="69" t="str">
        <f t="shared" si="326"/>
        <v/>
      </c>
      <c r="E288" s="350"/>
      <c r="F288" s="69" t="str">
        <f t="shared" si="307"/>
        <v/>
      </c>
      <c r="G288" s="350"/>
      <c r="H288" s="69" t="str">
        <f t="shared" si="308"/>
        <v/>
      </c>
      <c r="I288" s="350"/>
      <c r="J288" s="69" t="str">
        <f t="shared" si="309"/>
        <v/>
      </c>
      <c r="K288" s="350"/>
      <c r="L288" s="69" t="str">
        <f t="shared" si="310"/>
        <v/>
      </c>
      <c r="M288" s="350"/>
      <c r="N288" s="69" t="str">
        <f t="shared" si="327"/>
        <v/>
      </c>
      <c r="O288" s="350"/>
      <c r="P288" s="69" t="str">
        <f t="shared" si="311"/>
        <v/>
      </c>
      <c r="Q288" s="350"/>
      <c r="R288" s="69" t="str">
        <f t="shared" si="312"/>
        <v/>
      </c>
      <c r="S288" s="350"/>
      <c r="T288" s="69" t="str">
        <f t="shared" si="313"/>
        <v/>
      </c>
      <c r="U288" s="350"/>
      <c r="V288" s="69" t="str">
        <f t="shared" si="314"/>
        <v/>
      </c>
      <c r="W288" s="350"/>
      <c r="Z288" s="353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15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28"/>
        <v>0</v>
      </c>
      <c r="BE288" s="213">
        <f t="shared" si="329"/>
        <v>0</v>
      </c>
      <c r="BF288" s="215">
        <f t="shared" si="330"/>
        <v>0</v>
      </c>
      <c r="BG288" s="215">
        <f t="shared" si="331"/>
        <v>0</v>
      </c>
      <c r="BH288" s="215" t="str">
        <f t="shared" si="316"/>
        <v/>
      </c>
      <c r="BI288" s="215" t="str">
        <f t="shared" si="317"/>
        <v/>
      </c>
      <c r="BJ288" s="215" t="str">
        <f t="shared" si="318"/>
        <v/>
      </c>
      <c r="BK288" s="215" t="str">
        <f t="shared" si="319"/>
        <v/>
      </c>
      <c r="BL288" s="215" t="str">
        <f t="shared" si="320"/>
        <v/>
      </c>
      <c r="BM288" s="215" t="str">
        <f t="shared" si="321"/>
        <v/>
      </c>
      <c r="BN288" s="215" t="str">
        <f t="shared" si="322"/>
        <v/>
      </c>
      <c r="BO288" s="215" t="str">
        <f t="shared" si="323"/>
        <v/>
      </c>
      <c r="BP288" s="215" t="str">
        <f t="shared" si="324"/>
        <v/>
      </c>
      <c r="BQ288" s="216"/>
      <c r="BR288" s="214"/>
      <c r="BS288" s="215">
        <f t="shared" si="332"/>
        <v>0</v>
      </c>
      <c r="BT288" s="215">
        <f t="shared" si="333"/>
        <v>0</v>
      </c>
      <c r="BU288" s="215" t="str">
        <f t="shared" si="334"/>
        <v>BK München 4</v>
      </c>
      <c r="BV288" s="214">
        <f t="shared" si="335"/>
        <v>2</v>
      </c>
      <c r="BW288" s="215">
        <f t="shared" si="336"/>
        <v>0</v>
      </c>
      <c r="BX288" s="215">
        <f>IF(COUNTIF(BH288:BP288,"&gt;0")&lt;Spielorte!$A$23,0,BE288/Spielorte!$A$23)</f>
        <v>0</v>
      </c>
      <c r="BY288" s="215">
        <f t="shared" si="337"/>
        <v>0</v>
      </c>
      <c r="BZ288" s="214">
        <f t="shared" si="325"/>
        <v>0</v>
      </c>
    </row>
    <row r="289" spans="2:78" ht="27.75" customHeight="1" thickBot="1" x14ac:dyDescent="0.4">
      <c r="B289" s="81" t="str">
        <f>IF(AA289=0,"",AA289)</f>
        <v>Gesamt</v>
      </c>
      <c r="C289" s="82" t="str">
        <f t="shared" si="326"/>
        <v/>
      </c>
      <c r="D289" s="83">
        <f t="shared" si="326"/>
        <v>691</v>
      </c>
      <c r="E289" s="84">
        <f>IF(AD289="","",AD289)</f>
        <v>0</v>
      </c>
      <c r="F289" s="83">
        <f t="shared" si="307"/>
        <v>757</v>
      </c>
      <c r="G289" s="84">
        <f>IF(AF289="","",AF289)</f>
        <v>2</v>
      </c>
      <c r="H289" s="83">
        <f t="shared" si="308"/>
        <v>693</v>
      </c>
      <c r="I289" s="84">
        <f>IF(AH289="","",AH289)</f>
        <v>2</v>
      </c>
      <c r="J289" s="83">
        <f t="shared" si="309"/>
        <v>678</v>
      </c>
      <c r="K289" s="84">
        <f>IF(AJ289="","",AJ289)</f>
        <v>2</v>
      </c>
      <c r="L289" s="83">
        <f t="shared" si="310"/>
        <v>628</v>
      </c>
      <c r="M289" s="84">
        <f>IF(AL289="","",AL289)</f>
        <v>0</v>
      </c>
      <c r="N289" s="83">
        <f t="shared" si="327"/>
        <v>683</v>
      </c>
      <c r="O289" s="84">
        <f>IF(AN289="","",AN289)</f>
        <v>0</v>
      </c>
      <c r="P289" s="83">
        <f t="shared" si="311"/>
        <v>718</v>
      </c>
      <c r="Q289" s="84">
        <f>IF(AP289="","",AP289)</f>
        <v>2</v>
      </c>
      <c r="R289" s="83">
        <f t="shared" si="312"/>
        <v>778</v>
      </c>
      <c r="S289" s="84">
        <f>IF(AR289="","",AR289)</f>
        <v>2</v>
      </c>
      <c r="T289" s="83">
        <f t="shared" si="313"/>
        <v>737</v>
      </c>
      <c r="U289" s="84">
        <f>IF(AT289="","",AT289)</f>
        <v>1</v>
      </c>
      <c r="V289" s="83">
        <f t="shared" si="314"/>
        <v>6363</v>
      </c>
      <c r="W289" s="84">
        <f>IF(AV289="","",AV289)</f>
        <v>11</v>
      </c>
      <c r="AA289" s="81" t="s">
        <v>1799</v>
      </c>
      <c r="AB289" s="120"/>
      <c r="AC289" s="211">
        <f>ABS(SUM(AC277:AC279))+ABS(SUM(AC280:AC282))+ABS(SUM(AC283:AC285))+ABS(SUM(AC286:AC288))</f>
        <v>691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757</v>
      </c>
      <c r="AF289" s="121">
        <f>IF(AE289+AE299=0,0,IF(AE289=AE299,1,IF(AE289&gt;AE299,2,0)))</f>
        <v>2</v>
      </c>
      <c r="AG289" s="211">
        <f>ABS(SUM(AG277:AG279))+ABS(SUM(AG280:AG282))+ABS(SUM(AG283:AG285))+ABS(SUM(AG286:AG288))</f>
        <v>693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678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628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683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718</v>
      </c>
      <c r="AP289" s="121">
        <f>IF(AO289+AO299=0,0,IF(AO289=AO299,1,IF(AO289&gt;AO299,2,0)))</f>
        <v>2</v>
      </c>
      <c r="AQ289" s="211">
        <f>ABS(SUM(AQ277:AQ279))+ABS(SUM(AQ280:AQ282))+ABS(SUM(AQ283:AQ285))+ABS(SUM(AQ286:AQ288))</f>
        <v>778</v>
      </c>
      <c r="AR289" s="121">
        <f>IF(AQ289+AQ299=0,0,IF(AQ289=AQ299,1,IF(AQ289&gt;AQ299,2,0)))</f>
        <v>2</v>
      </c>
      <c r="AS289" s="211">
        <f>ABS(SUM(AS277:AS279))+ABS(SUM(AS280:AS282))+ABS(SUM(AS283:AS285))+ABS(SUM(AS286:AS288))</f>
        <v>737</v>
      </c>
      <c r="AT289" s="121">
        <f>IF(AS289+AS299=0,0,IF(AS289=AS299,1,IF(AS289&gt;AS299,2,0)))</f>
        <v>1</v>
      </c>
      <c r="AU289" s="122">
        <f>SUM(AC289+AE289+AG289+AI289+AK289+AM289+AO289+AQ289+AS289)</f>
        <v>6363</v>
      </c>
      <c r="AV289" s="123">
        <f>SUM(AD289+AF289+AH289+AJ289+AL289+AN289+AP289+AR289+AT289)</f>
        <v>11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4">
      <c r="B290" s="85" t="str">
        <f>IF(AA290=0,"",AA290)</f>
        <v>Gesamt - Punkte</v>
      </c>
      <c r="C290" s="86" t="str">
        <f t="shared" si="326"/>
        <v/>
      </c>
      <c r="D290" s="86" t="str">
        <f t="shared" si="326"/>
        <v/>
      </c>
      <c r="E290" s="87">
        <f>IF(AD290="","",AD290)</f>
        <v>1</v>
      </c>
      <c r="F290" s="86" t="str">
        <f t="shared" si="307"/>
        <v/>
      </c>
      <c r="G290" s="87">
        <f>IF(AF290="","",AF290)</f>
        <v>4.5</v>
      </c>
      <c r="H290" s="86" t="str">
        <f t="shared" si="308"/>
        <v/>
      </c>
      <c r="I290" s="87">
        <f>IF(AH290="","",AH290)</f>
        <v>6</v>
      </c>
      <c r="J290" s="86" t="str">
        <f t="shared" si="309"/>
        <v/>
      </c>
      <c r="K290" s="87">
        <f>IF(AJ290="","",AJ290)</f>
        <v>3.5</v>
      </c>
      <c r="L290" s="86" t="str">
        <f t="shared" si="310"/>
        <v/>
      </c>
      <c r="M290" s="87">
        <f>IF(AL290="","",AL290)</f>
        <v>1</v>
      </c>
      <c r="N290" s="86" t="str">
        <f t="shared" si="327"/>
        <v/>
      </c>
      <c r="O290" s="87">
        <f>IF(AN290="","",AN290)</f>
        <v>2</v>
      </c>
      <c r="P290" s="86" t="str">
        <f t="shared" si="311"/>
        <v/>
      </c>
      <c r="Q290" s="87">
        <f>IF(AP290="","",AP290)</f>
        <v>4.5</v>
      </c>
      <c r="R290" s="86" t="str">
        <f t="shared" si="312"/>
        <v/>
      </c>
      <c r="S290" s="87">
        <f>IF(AR290="","",AR290)</f>
        <v>6</v>
      </c>
      <c r="T290" s="86" t="str">
        <f t="shared" si="313"/>
        <v/>
      </c>
      <c r="U290" s="87">
        <f>IF(AT290="","",AT290)</f>
        <v>3</v>
      </c>
      <c r="V290" s="86" t="str">
        <f t="shared" si="314"/>
        <v/>
      </c>
      <c r="W290" s="87">
        <f>IF(AV290="","",AV290)</f>
        <v>31.5</v>
      </c>
      <c r="AA290" s="85" t="s">
        <v>1814</v>
      </c>
      <c r="AB290" s="86"/>
      <c r="AC290" s="86"/>
      <c r="AD290" s="124">
        <f>SUM(AD277:AD289)</f>
        <v>1</v>
      </c>
      <c r="AE290" s="86"/>
      <c r="AF290" s="124">
        <f>SUM(AF277:AF289)</f>
        <v>4.5</v>
      </c>
      <c r="AG290" s="86"/>
      <c r="AH290" s="124">
        <f>SUM(AH277:AH289)</f>
        <v>6</v>
      </c>
      <c r="AI290" s="86"/>
      <c r="AJ290" s="124">
        <f>SUM(AJ277:AJ289)</f>
        <v>3.5</v>
      </c>
      <c r="AK290" s="86"/>
      <c r="AL290" s="124">
        <f>SUM(AL277:AL289)</f>
        <v>1</v>
      </c>
      <c r="AM290" s="86"/>
      <c r="AN290" s="124">
        <f>SUM(AN277:AN289)</f>
        <v>2</v>
      </c>
      <c r="AO290" s="86"/>
      <c r="AP290" s="124">
        <f>SUM(AP277:AP289)</f>
        <v>4.5</v>
      </c>
      <c r="AQ290" s="86"/>
      <c r="AR290" s="124">
        <f>SUM(AR277:AR289)</f>
        <v>6</v>
      </c>
      <c r="AS290" s="86"/>
      <c r="AT290" s="124">
        <f>SUM(AT277:AT289)</f>
        <v>3</v>
      </c>
      <c r="AU290" s="86"/>
      <c r="AV290" s="125">
        <f>SUM(AV277:AV289)</f>
        <v>31.5</v>
      </c>
      <c r="AW290" s="101"/>
      <c r="AX290" s="102"/>
      <c r="BA290" s="212">
        <f>+AV290</f>
        <v>31.5</v>
      </c>
      <c r="BB290" s="213">
        <f>+AU289</f>
        <v>6363</v>
      </c>
      <c r="BC290" s="214">
        <f>+AA272</f>
        <v>10</v>
      </c>
      <c r="BF290" s="215">
        <f>SUM(BF271:BF289)</f>
        <v>36</v>
      </c>
      <c r="BQ290" s="212">
        <f>+BB290/1000000+BA290</f>
        <v>31.506363</v>
      </c>
      <c r="BR290" s="214">
        <f>RANK(BQ290,BQ:BQ)</f>
        <v>4</v>
      </c>
      <c r="BV290" s="214"/>
      <c r="BZ290" s="214"/>
    </row>
    <row r="291" spans="2:78" ht="11.25" customHeight="1" x14ac:dyDescent="0.3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35">
      <c r="B292" s="88" t="str">
        <f t="shared" ref="B292:K294" si="338">IF(AA292=0,"",AA292)</f>
        <v>Gegner-Nr.:</v>
      </c>
      <c r="C292" s="89" t="str">
        <f t="shared" si="338"/>
        <v>&gt;&gt;&gt;&gt;</v>
      </c>
      <c r="D292" s="346">
        <f t="shared" si="338"/>
        <v>1</v>
      </c>
      <c r="E292" s="346" t="str">
        <f t="shared" si="338"/>
        <v/>
      </c>
      <c r="F292" s="346">
        <f t="shared" si="338"/>
        <v>6</v>
      </c>
      <c r="G292" s="346" t="str">
        <f t="shared" si="338"/>
        <v/>
      </c>
      <c r="H292" s="346">
        <f t="shared" si="338"/>
        <v>4</v>
      </c>
      <c r="I292" s="346" t="str">
        <f t="shared" si="338"/>
        <v/>
      </c>
      <c r="J292" s="346">
        <f t="shared" si="338"/>
        <v>9</v>
      </c>
      <c r="K292" s="346" t="str">
        <f t="shared" si="338"/>
        <v/>
      </c>
      <c r="L292" s="346">
        <f t="shared" ref="L292:U294" si="339">IF(AK292=0,"",AK292)</f>
        <v>5</v>
      </c>
      <c r="M292" s="346" t="str">
        <f t="shared" si="339"/>
        <v/>
      </c>
      <c r="N292" s="346">
        <f t="shared" si="339"/>
        <v>8</v>
      </c>
      <c r="O292" s="346" t="str">
        <f t="shared" si="339"/>
        <v/>
      </c>
      <c r="P292" s="346">
        <f t="shared" si="339"/>
        <v>7</v>
      </c>
      <c r="Q292" s="346" t="str">
        <f t="shared" si="339"/>
        <v/>
      </c>
      <c r="R292" s="346">
        <f t="shared" si="339"/>
        <v>2</v>
      </c>
      <c r="S292" s="346" t="str">
        <f t="shared" si="339"/>
        <v/>
      </c>
      <c r="T292" s="346">
        <f t="shared" si="339"/>
        <v>3</v>
      </c>
      <c r="U292" s="346" t="str">
        <f t="shared" si="339"/>
        <v/>
      </c>
      <c r="V292" s="347"/>
      <c r="W292" s="347"/>
      <c r="AA292" s="88" t="s">
        <v>1797</v>
      </c>
      <c r="AB292" s="89" t="s">
        <v>1798</v>
      </c>
      <c r="AC292" s="370">
        <f>VLOOKUP($AA272,Schlüssel!$A$5:$DG$14,63)</f>
        <v>1</v>
      </c>
      <c r="AD292" s="371"/>
      <c r="AE292" s="370">
        <f>VLOOKUP($AA272,Schlüssel!$A$5:$EK$14,64)</f>
        <v>6</v>
      </c>
      <c r="AF292" s="371"/>
      <c r="AG292" s="370">
        <f>VLOOKUP($AA272,Schlüssel!$A$5:$EK$14,65)</f>
        <v>4</v>
      </c>
      <c r="AH292" s="371"/>
      <c r="AI292" s="370">
        <f>VLOOKUP($AA272,Schlüssel!$A$5:$EK$14,66)</f>
        <v>9</v>
      </c>
      <c r="AJ292" s="371"/>
      <c r="AK292" s="370">
        <f>VLOOKUP($AA272,Schlüssel!$A$5:$EK$14,67)</f>
        <v>5</v>
      </c>
      <c r="AL292" s="371"/>
      <c r="AM292" s="370">
        <f>VLOOKUP($AA272,Schlüssel!$A$5:$EK$14,68)</f>
        <v>8</v>
      </c>
      <c r="AN292" s="371"/>
      <c r="AO292" s="370">
        <f>VLOOKUP($AA272,Schlüssel!$A$5:$EK$14,69)</f>
        <v>7</v>
      </c>
      <c r="AP292" s="371"/>
      <c r="AQ292" s="370">
        <f>VLOOKUP($AA272,Schlüssel!$A$5:$EK$14,70)</f>
        <v>2</v>
      </c>
      <c r="AR292" s="371"/>
      <c r="AS292" s="370">
        <f>VLOOKUP($AA272,Schlüssel!$A$5:$EK$14,71)</f>
        <v>3</v>
      </c>
      <c r="AT292" s="371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35">
      <c r="B293" s="90" t="str">
        <f t="shared" si="338"/>
        <v/>
      </c>
      <c r="C293" s="86" t="str">
        <f t="shared" si="338"/>
        <v/>
      </c>
      <c r="D293" s="343" t="str">
        <f t="shared" si="338"/>
        <v>Praetoria Regensburg</v>
      </c>
      <c r="E293" s="344" t="str">
        <f t="shared" si="338"/>
        <v/>
      </c>
      <c r="F293" s="343" t="str">
        <f t="shared" si="338"/>
        <v>Phönix 03 Lauf</v>
      </c>
      <c r="G293" s="344" t="str">
        <f t="shared" si="338"/>
        <v/>
      </c>
      <c r="H293" s="343" t="str">
        <f t="shared" si="338"/>
        <v>BK München 3</v>
      </c>
      <c r="I293" s="344" t="str">
        <f t="shared" si="338"/>
        <v/>
      </c>
      <c r="J293" s="343" t="str">
        <f t="shared" si="338"/>
        <v>RW Lichtenhof 69 Stein 2</v>
      </c>
      <c r="K293" s="344" t="str">
        <f t="shared" si="338"/>
        <v/>
      </c>
      <c r="L293" s="343" t="str">
        <f t="shared" si="339"/>
        <v xml:space="preserve">Weiß Blau Unterföhring </v>
      </c>
      <c r="M293" s="344" t="str">
        <f t="shared" si="339"/>
        <v/>
      </c>
      <c r="N293" s="343" t="str">
        <f t="shared" si="339"/>
        <v>EPA München 1</v>
      </c>
      <c r="O293" s="344" t="str">
        <f t="shared" si="339"/>
        <v/>
      </c>
      <c r="P293" s="343" t="str">
        <f t="shared" si="339"/>
        <v>Frankenpower Nürnberg</v>
      </c>
      <c r="Q293" s="344" t="str">
        <f t="shared" si="339"/>
        <v/>
      </c>
      <c r="R293" s="343" t="str">
        <f t="shared" si="339"/>
        <v>BK München 2</v>
      </c>
      <c r="S293" s="344" t="str">
        <f t="shared" si="339"/>
        <v/>
      </c>
      <c r="T293" s="343" t="str">
        <f t="shared" si="339"/>
        <v>Highroller Rosenheim</v>
      </c>
      <c r="U293" s="344" t="str">
        <f t="shared" si="339"/>
        <v/>
      </c>
      <c r="V293" s="345"/>
      <c r="W293" s="345"/>
      <c r="AA293" s="90"/>
      <c r="AB293" s="86"/>
      <c r="AC293" s="343" t="str">
        <f>VLOOKUP(AC292,Schlüssel!$A$5:$K$14,2)</f>
        <v>Praetoria Regensburg</v>
      </c>
      <c r="AD293" s="344"/>
      <c r="AE293" s="343" t="str">
        <f>VLOOKUP(AE292,Schlüssel!$A$5:$K$14,2)</f>
        <v>Phönix 03 Lauf</v>
      </c>
      <c r="AF293" s="344"/>
      <c r="AG293" s="343" t="str">
        <f>VLOOKUP(AG292,Schlüssel!$A$5:$K$14,2)</f>
        <v>BK München 3</v>
      </c>
      <c r="AH293" s="344"/>
      <c r="AI293" s="343" t="str">
        <f>VLOOKUP(AI292,Schlüssel!$A$5:$K$14,2)</f>
        <v>RW Lichtenhof 69 Stein 2</v>
      </c>
      <c r="AJ293" s="344"/>
      <c r="AK293" s="343" t="str">
        <f>VLOOKUP(AK292,Schlüssel!$A$5:$K$14,2)</f>
        <v xml:space="preserve">Weiß Blau Unterföhring </v>
      </c>
      <c r="AL293" s="344"/>
      <c r="AM293" s="343" t="str">
        <f>VLOOKUP(AM292,Schlüssel!$A$5:$K$14,2)</f>
        <v>EPA München 1</v>
      </c>
      <c r="AN293" s="344"/>
      <c r="AO293" s="343" t="str">
        <f>VLOOKUP(AO292,Schlüssel!$A$5:$K$14,2)</f>
        <v>Frankenpower Nürnberg</v>
      </c>
      <c r="AP293" s="344"/>
      <c r="AQ293" s="343" t="str">
        <f>VLOOKUP(AQ292,Schlüssel!$A$5:$K$14,2)</f>
        <v>BK München 2</v>
      </c>
      <c r="AR293" s="344"/>
      <c r="AS293" s="343" t="str">
        <f>VLOOKUP(AS292,Schlüssel!$A$5:$K$14,2)</f>
        <v>Highroller Rosenheim</v>
      </c>
      <c r="AT293" s="344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35">
      <c r="B294" s="90" t="str">
        <f t="shared" si="338"/>
        <v/>
      </c>
      <c r="C294" s="86" t="str">
        <f t="shared" si="338"/>
        <v/>
      </c>
      <c r="D294" s="341" t="str">
        <f t="shared" si="338"/>
        <v/>
      </c>
      <c r="E294" s="341" t="str">
        <f t="shared" si="338"/>
        <v/>
      </c>
      <c r="F294" s="341" t="str">
        <f t="shared" si="338"/>
        <v/>
      </c>
      <c r="G294" s="341" t="str">
        <f t="shared" si="338"/>
        <v/>
      </c>
      <c r="H294" s="341" t="str">
        <f t="shared" si="338"/>
        <v/>
      </c>
      <c r="I294" s="341" t="str">
        <f t="shared" si="338"/>
        <v/>
      </c>
      <c r="J294" s="341" t="str">
        <f t="shared" si="338"/>
        <v/>
      </c>
      <c r="K294" s="341" t="str">
        <f t="shared" si="338"/>
        <v/>
      </c>
      <c r="L294" s="341" t="str">
        <f t="shared" si="339"/>
        <v/>
      </c>
      <c r="M294" s="341" t="str">
        <f t="shared" si="339"/>
        <v/>
      </c>
      <c r="N294" s="341" t="str">
        <f t="shared" si="339"/>
        <v/>
      </c>
      <c r="O294" s="341" t="str">
        <f t="shared" si="339"/>
        <v/>
      </c>
      <c r="P294" s="341" t="str">
        <f t="shared" si="339"/>
        <v/>
      </c>
      <c r="Q294" s="341" t="str">
        <f t="shared" si="339"/>
        <v/>
      </c>
      <c r="R294" s="341" t="str">
        <f t="shared" si="339"/>
        <v/>
      </c>
      <c r="S294" s="341" t="str">
        <f t="shared" si="339"/>
        <v/>
      </c>
      <c r="T294" s="341" t="str">
        <f t="shared" si="339"/>
        <v/>
      </c>
      <c r="U294" s="342" t="str">
        <f t="shared" si="339"/>
        <v/>
      </c>
      <c r="V294" s="301"/>
      <c r="W294" s="301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6.05" customHeight="1" x14ac:dyDescent="0.35">
      <c r="B295" s="365" t="str">
        <f t="shared" ref="B295:C299" si="340">IF(AA295=0,"",AA295)</f>
        <v>Spieler 1</v>
      </c>
      <c r="C295" s="366" t="str">
        <f t="shared" si="340"/>
        <v/>
      </c>
      <c r="D295" s="339">
        <f>IF(AC295=301,"",AC295)</f>
        <v>202</v>
      </c>
      <c r="E295" s="339" t="str">
        <f>IF(AD295=0,"",AD295)</f>
        <v/>
      </c>
      <c r="F295" s="339">
        <f>IF(AE295=301,"",AE295)</f>
        <v>202</v>
      </c>
      <c r="G295" s="339" t="str">
        <f>IF(AF295=0,"",AF295)</f>
        <v/>
      </c>
      <c r="H295" s="339">
        <f>IF(AG295=301,"",AG295)</f>
        <v>0</v>
      </c>
      <c r="I295" s="339" t="str">
        <f>IF(AH295=0,"",AH295)</f>
        <v/>
      </c>
      <c r="J295" s="339">
        <f>IF(AI295=301,"",AI295)</f>
        <v>204</v>
      </c>
      <c r="K295" s="339" t="str">
        <f>IF(AJ295=0,"",AJ295)</f>
        <v/>
      </c>
      <c r="L295" s="339">
        <f>IF(AK295=301,"",AK295)</f>
        <v>171</v>
      </c>
      <c r="M295" s="339" t="str">
        <f>IF(AL295=0,"",AL295)</f>
        <v/>
      </c>
      <c r="N295" s="339">
        <f>IF(AM295=301,"",AM295)</f>
        <v>157</v>
      </c>
      <c r="O295" s="339" t="str">
        <f>IF(AN295=0,"",AN295)</f>
        <v/>
      </c>
      <c r="P295" s="339">
        <f>IF(AO295=301,"",AO295)</f>
        <v>166</v>
      </c>
      <c r="Q295" s="339" t="str">
        <f>IF(AP295=0,"",AP295)</f>
        <v/>
      </c>
      <c r="R295" s="339">
        <f>IF(AQ295=301,"",AQ295)</f>
        <v>197</v>
      </c>
      <c r="S295" s="339" t="str">
        <f>IF(AR295=0,"",AR295)</f>
        <v/>
      </c>
      <c r="T295" s="339">
        <f>IF(AS295=301,"",AS295)</f>
        <v>166</v>
      </c>
      <c r="U295" s="339" t="str">
        <f>IF(AT295=0,"",AT295)</f>
        <v/>
      </c>
      <c r="V295" s="340"/>
      <c r="W295" s="340"/>
      <c r="AA295" s="91" t="s">
        <v>0</v>
      </c>
      <c r="AB295" s="92"/>
      <c r="AC295" s="372">
        <f>ABS(INDEX(AC:AC,MATCH(AC292,$AA:$AA,0)+5)+INDEX(AC:AC,MATCH(AC292,$AA:$AA,0)+6)+INDEX(AC:AC,MATCH(AC292,$AA:$AA,0)+7))</f>
        <v>202</v>
      </c>
      <c r="AD295" s="373"/>
      <c r="AE295" s="372">
        <f>ABS(INDEX(AE:AE,MATCH(AE292,$AA:$AA,0)+5)+INDEX(AE:AE,MATCH(AE292,$AA:$AA,0)+6)+INDEX(AE:AE,MATCH(AE292,$AA:$AA,0)+7))</f>
        <v>202</v>
      </c>
      <c r="AF295" s="373"/>
      <c r="AG295" s="372">
        <f>ABS(INDEX(AG:AG,MATCH(AG292,$AA:$AA,0)+5)+INDEX(AG:AG,MATCH(AG292,$AA:$AA,0)+6)+INDEX(AG:AG,MATCH(AG292,$AA:$AA,0)+7))</f>
        <v>0</v>
      </c>
      <c r="AH295" s="373"/>
      <c r="AI295" s="372">
        <f>ABS(INDEX(AI:AI,MATCH(AI292,$AA:$AA,0)+5)+INDEX(AI:AI,MATCH(AI292,$AA:$AA,0)+6)+INDEX(AI:AI,MATCH(AI292,$AA:$AA,0)+7))</f>
        <v>204</v>
      </c>
      <c r="AJ295" s="373"/>
      <c r="AK295" s="372">
        <f>ABS(INDEX(AK:AK,MATCH(AK292,$AA:$AA,0)+5)+INDEX(AK:AK,MATCH(AK292,$AA:$AA,0)+6)+INDEX(AK:AK,MATCH(AK292,$AA:$AA,0)+7))</f>
        <v>171</v>
      </c>
      <c r="AL295" s="373"/>
      <c r="AM295" s="372">
        <f>ABS(INDEX(AM:AM,MATCH(AM292,$AA:$AA,0)+5)+INDEX(AM:AM,MATCH(AM292,$AA:$AA,0)+6)+INDEX(AM:AM,MATCH(AM292,$AA:$AA,0)+7))</f>
        <v>157</v>
      </c>
      <c r="AN295" s="373"/>
      <c r="AO295" s="372">
        <f>ABS(INDEX(AO:AO,MATCH(AO292,$AA:$AA,0)+5)+INDEX(AO:AO,MATCH(AO292,$AA:$AA,0)+6)+INDEX(AO:AO,MATCH(AO292,$AA:$AA,0)+7))</f>
        <v>166</v>
      </c>
      <c r="AP295" s="373"/>
      <c r="AQ295" s="372">
        <f>ABS(INDEX(AQ:AQ,MATCH(AQ292,$AA:$AA,0)+5)+INDEX(AQ:AQ,MATCH(AQ292,$AA:$AA,0)+6)+INDEX(AQ:AQ,MATCH(AQ292,$AA:$AA,0)+7))</f>
        <v>197</v>
      </c>
      <c r="AR295" s="373"/>
      <c r="AS295" s="372">
        <f>ABS(INDEX(AS:AS,MATCH(AS292,$AA:$AA,0)+5)+INDEX(AS:AS,MATCH(AS292,$AA:$AA,0)+6)+INDEX(AS:AS,MATCH(AS292,$AA:$AA,0)+7))</f>
        <v>166</v>
      </c>
      <c r="AT295" s="373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6.05" customHeight="1" x14ac:dyDescent="0.35">
      <c r="B296" s="365" t="str">
        <f t="shared" si="340"/>
        <v>Spieler 2</v>
      </c>
      <c r="C296" s="366" t="str">
        <f t="shared" si="340"/>
        <v/>
      </c>
      <c r="D296" s="339">
        <f>IF(AC296=301,"",AC296)</f>
        <v>203</v>
      </c>
      <c r="E296" s="339" t="str">
        <f>IF(AD296=0,"",AD296)</f>
        <v/>
      </c>
      <c r="F296" s="339">
        <f>IF(AE296=301,"",AE296)</f>
        <v>154</v>
      </c>
      <c r="G296" s="339" t="str">
        <f>IF(AF296=0,"",AF296)</f>
        <v/>
      </c>
      <c r="H296" s="339">
        <f>IF(AG296=301,"",AG296)</f>
        <v>0</v>
      </c>
      <c r="I296" s="339" t="str">
        <f>IF(AH296=0,"",AH296)</f>
        <v/>
      </c>
      <c r="J296" s="339">
        <f>IF(AI296=301,"",AI296)</f>
        <v>147</v>
      </c>
      <c r="K296" s="339" t="str">
        <f>IF(AJ296=0,"",AJ296)</f>
        <v/>
      </c>
      <c r="L296" s="339">
        <f>IF(AK296=301,"",AK296)</f>
        <v>202</v>
      </c>
      <c r="M296" s="339" t="str">
        <f>IF(AL296=0,"",AL296)</f>
        <v/>
      </c>
      <c r="N296" s="339">
        <f>IF(AM296=301,"",AM296)</f>
        <v>170</v>
      </c>
      <c r="O296" s="339" t="str">
        <f>IF(AN296=0,"",AN296)</f>
        <v/>
      </c>
      <c r="P296" s="339">
        <f>IF(AO296=301,"",AO296)</f>
        <v>153</v>
      </c>
      <c r="Q296" s="339" t="str">
        <f>IF(AP296=0,"",AP296)</f>
        <v/>
      </c>
      <c r="R296" s="339">
        <f>IF(AQ296=301,"",AQ296)</f>
        <v>190</v>
      </c>
      <c r="S296" s="339" t="str">
        <f>IF(AR296=0,"",AR296)</f>
        <v/>
      </c>
      <c r="T296" s="339">
        <f>IF(AS296=301,"",AS296)</f>
        <v>172</v>
      </c>
      <c r="U296" s="339" t="str">
        <f>IF(AT296=0,"",AT296)</f>
        <v/>
      </c>
      <c r="V296" s="340"/>
      <c r="W296" s="340"/>
      <c r="AA296" s="91" t="s">
        <v>2</v>
      </c>
      <c r="AB296" s="92"/>
      <c r="AC296" s="374">
        <f>ABS(INDEX(AC:AC,MATCH(AC292,$AA:$AA,0)+8)+INDEX(AC:AC,MATCH(AC292,$AA:$AA,0)+9)+INDEX(AC:AC,MATCH(AC292,$AA:$AA,0)+10))</f>
        <v>203</v>
      </c>
      <c r="AD296" s="375"/>
      <c r="AE296" s="374">
        <f>ABS(INDEX(AE:AE,MATCH(AE292,$AA:$AA,0)+8)+INDEX(AE:AE,MATCH(AE292,$AA:$AA,0)+9)+INDEX(AE:AE,MATCH(AE292,$AA:$AA,0)+10))</f>
        <v>154</v>
      </c>
      <c r="AF296" s="375"/>
      <c r="AG296" s="374">
        <f>ABS(INDEX(AG:AG,MATCH(AG292,$AA:$AA,0)+8)+INDEX(AG:AG,MATCH(AG292,$AA:$AA,0)+9)+INDEX(AG:AG,MATCH(AG292,$AA:$AA,0)+10))</f>
        <v>0</v>
      </c>
      <c r="AH296" s="375"/>
      <c r="AI296" s="374">
        <f>ABS(INDEX(AI:AI,MATCH(AI292,$AA:$AA,0)+8)+INDEX(AI:AI,MATCH(AI292,$AA:$AA,0)+9)+INDEX(AI:AI,MATCH(AI292,$AA:$AA,0)+10))</f>
        <v>147</v>
      </c>
      <c r="AJ296" s="375"/>
      <c r="AK296" s="374">
        <f>ABS(INDEX(AK:AK,MATCH(AK292,$AA:$AA,0)+8)+INDEX(AK:AK,MATCH(AK292,$AA:$AA,0)+9)+INDEX(AK:AK,MATCH(AK292,$AA:$AA,0)+10))</f>
        <v>202</v>
      </c>
      <c r="AL296" s="375"/>
      <c r="AM296" s="374">
        <f>ABS(INDEX(AM:AM,MATCH(AM292,$AA:$AA,0)+8)+INDEX(AM:AM,MATCH(AM292,$AA:$AA,0)+9)+INDEX(AM:AM,MATCH(AM292,$AA:$AA,0)+10))</f>
        <v>170</v>
      </c>
      <c r="AN296" s="375"/>
      <c r="AO296" s="374">
        <f>ABS(INDEX(AO:AO,MATCH(AO292,$AA:$AA,0)+8)+INDEX(AO:AO,MATCH(AO292,$AA:$AA,0)+9)+INDEX(AO:AO,MATCH(AO292,$AA:$AA,0)+10))</f>
        <v>153</v>
      </c>
      <c r="AP296" s="375"/>
      <c r="AQ296" s="374">
        <f>ABS(INDEX(AQ:AQ,MATCH(AQ292,$AA:$AA,0)+8)+INDEX(AQ:AQ,MATCH(AQ292,$AA:$AA,0)+9)+INDEX(AQ:AQ,MATCH(AQ292,$AA:$AA,0)+10))</f>
        <v>190</v>
      </c>
      <c r="AR296" s="375"/>
      <c r="AS296" s="374">
        <f>ABS(INDEX(AS:AS,MATCH(AS292,$AA:$AA,0)+8)+INDEX(AS:AS,MATCH(AS292,$AA:$AA,0)+9)+INDEX(AS:AS,MATCH(AS292,$AA:$AA,0)+10))</f>
        <v>172</v>
      </c>
      <c r="AT296" s="37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6.05" customHeight="1" x14ac:dyDescent="0.35">
      <c r="B297" s="365" t="str">
        <f t="shared" si="340"/>
        <v>Spieler 3</v>
      </c>
      <c r="C297" s="366" t="str">
        <f t="shared" si="340"/>
        <v/>
      </c>
      <c r="D297" s="339">
        <f>IF(AC297=301,"",AC297)</f>
        <v>176</v>
      </c>
      <c r="E297" s="339" t="str">
        <f>IF(AD297=0,"",AD297)</f>
        <v/>
      </c>
      <c r="F297" s="339">
        <f>IF(AE297=301,"",AE297)</f>
        <v>151</v>
      </c>
      <c r="G297" s="339" t="str">
        <f>IF(AF297=0,"",AF297)</f>
        <v/>
      </c>
      <c r="H297" s="339">
        <f>IF(AG297=301,"",AG297)</f>
        <v>0</v>
      </c>
      <c r="I297" s="339" t="str">
        <f>IF(AH297=0,"",AH297)</f>
        <v/>
      </c>
      <c r="J297" s="339">
        <f>IF(AI297=301,"",AI297)</f>
        <v>165</v>
      </c>
      <c r="K297" s="339" t="str">
        <f>IF(AJ297=0,"",AJ297)</f>
        <v/>
      </c>
      <c r="L297" s="339">
        <f>IF(AK297=301,"",AK297)</f>
        <v>147</v>
      </c>
      <c r="M297" s="339" t="str">
        <f>IF(AL297=0,"",AL297)</f>
        <v/>
      </c>
      <c r="N297" s="339">
        <f>IF(AM297=301,"",AM297)</f>
        <v>172</v>
      </c>
      <c r="O297" s="339" t="str">
        <f>IF(AN297=0,"",AN297)</f>
        <v/>
      </c>
      <c r="P297" s="339">
        <f>IF(AO297=301,"",AO297)</f>
        <v>179</v>
      </c>
      <c r="Q297" s="339" t="str">
        <f>IF(AP297=0,"",AP297)</f>
        <v/>
      </c>
      <c r="R297" s="339">
        <f>IF(AQ297=301,"",AQ297)</f>
        <v>143</v>
      </c>
      <c r="S297" s="339" t="str">
        <f>IF(AR297=0,"",AR297)</f>
        <v/>
      </c>
      <c r="T297" s="339">
        <f>IF(AS297=301,"",AS297)</f>
        <v>167</v>
      </c>
      <c r="U297" s="339" t="str">
        <f>IF(AT297=0,"",AT297)</f>
        <v/>
      </c>
      <c r="V297" s="340"/>
      <c r="W297" s="340"/>
      <c r="AA297" s="91" t="s">
        <v>3</v>
      </c>
      <c r="AB297" s="92"/>
      <c r="AC297" s="374">
        <f>ABS(INDEX(AC:AC,MATCH(AC292,$AA:$AA,0)+11)+INDEX(AC:AC,MATCH(AC292,$AA:$AA,0)+12)+INDEX(AC:AC,MATCH(AC292,$AA:$AA,0)+13))</f>
        <v>176</v>
      </c>
      <c r="AD297" s="375"/>
      <c r="AE297" s="374">
        <f>ABS(INDEX(AE:AE,MATCH(AE292,$AA:$AA,0)+11)+INDEX(AE:AE,MATCH(AE292,$AA:$AA,0)+12)+INDEX(AE:AE,MATCH(AE292,$AA:$AA,0)+13))</f>
        <v>151</v>
      </c>
      <c r="AF297" s="375"/>
      <c r="AG297" s="374">
        <f>ABS(INDEX(AG:AG,MATCH(AG292,$AA:$AA,0)+11)+INDEX(AG:AG,MATCH(AG292,$AA:$AA,0)+12)+INDEX(AG:AG,MATCH(AG292,$AA:$AA,0)+13))</f>
        <v>0</v>
      </c>
      <c r="AH297" s="375"/>
      <c r="AI297" s="374">
        <f>ABS(INDEX(AI:AI,MATCH(AI292,$AA:$AA,0)+11)+INDEX(AI:AI,MATCH(AI292,$AA:$AA,0)+12)+INDEX(AI:AI,MATCH(AI292,$AA:$AA,0)+13))</f>
        <v>165</v>
      </c>
      <c r="AJ297" s="375"/>
      <c r="AK297" s="374">
        <f>ABS(INDEX(AK:AK,MATCH(AK292,$AA:$AA,0)+11)+INDEX(AK:AK,MATCH(AK292,$AA:$AA,0)+12)+INDEX(AK:AK,MATCH(AK292,$AA:$AA,0)+13))</f>
        <v>147</v>
      </c>
      <c r="AL297" s="375"/>
      <c r="AM297" s="374">
        <f>ABS(INDEX(AM:AM,MATCH(AM292,$AA:$AA,0)+11)+INDEX(AM:AM,MATCH(AM292,$AA:$AA,0)+12)+INDEX(AM:AM,MATCH(AM292,$AA:$AA,0)+13))</f>
        <v>172</v>
      </c>
      <c r="AN297" s="375"/>
      <c r="AO297" s="374">
        <f>ABS(INDEX(AO:AO,MATCH(AO292,$AA:$AA,0)+11)+INDEX(AO:AO,MATCH(AO292,$AA:$AA,0)+12)+INDEX(AO:AO,MATCH(AO292,$AA:$AA,0)+13))</f>
        <v>179</v>
      </c>
      <c r="AP297" s="375"/>
      <c r="AQ297" s="374">
        <f>ABS(INDEX(AQ:AQ,MATCH(AQ292,$AA:$AA,0)+11)+INDEX(AQ:AQ,MATCH(AQ292,$AA:$AA,0)+12)+INDEX(AQ:AQ,MATCH(AQ292,$AA:$AA,0)+13))</f>
        <v>143</v>
      </c>
      <c r="AR297" s="375"/>
      <c r="AS297" s="374">
        <f>ABS(INDEX(AS:AS,MATCH(AS292,$AA:$AA,0)+11)+INDEX(AS:AS,MATCH(AS292,$AA:$AA,0)+12)+INDEX(AS:AS,MATCH(AS292,$AA:$AA,0)+13))</f>
        <v>167</v>
      </c>
      <c r="AT297" s="37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6.05" customHeight="1" x14ac:dyDescent="0.35">
      <c r="B298" s="365" t="str">
        <f t="shared" si="340"/>
        <v>Spieler 4</v>
      </c>
      <c r="C298" s="366" t="str">
        <f t="shared" si="340"/>
        <v/>
      </c>
      <c r="D298" s="339">
        <f>IF(AC298=301,"",AC298)</f>
        <v>175</v>
      </c>
      <c r="E298" s="339" t="str">
        <f>IF(AD298=0,"",AD298)</f>
        <v/>
      </c>
      <c r="F298" s="339">
        <f>IF(AE298=301,"",AE298)</f>
        <v>180</v>
      </c>
      <c r="G298" s="339" t="str">
        <f>IF(AF298=0,"",AF298)</f>
        <v/>
      </c>
      <c r="H298" s="339">
        <f>IF(AG298=301,"",AG298)</f>
        <v>0</v>
      </c>
      <c r="I298" s="339" t="str">
        <f>IF(AH298=0,"",AH298)</f>
        <v/>
      </c>
      <c r="J298" s="339">
        <f>IF(AI298=301,"",AI298)</f>
        <v>161</v>
      </c>
      <c r="K298" s="339" t="str">
        <f>IF(AJ298=0,"",AJ298)</f>
        <v/>
      </c>
      <c r="L298" s="339">
        <f>IF(AK298=301,"",AK298)</f>
        <v>219</v>
      </c>
      <c r="M298" s="339" t="str">
        <f>IF(AL298=0,"",AL298)</f>
        <v/>
      </c>
      <c r="N298" s="339">
        <f>IF(AM298=301,"",AM298)</f>
        <v>223</v>
      </c>
      <c r="O298" s="339" t="str">
        <f>IF(AN298=0,"",AN298)</f>
        <v/>
      </c>
      <c r="P298" s="339">
        <f>IF(AO298=301,"",AO298)</f>
        <v>200</v>
      </c>
      <c r="Q298" s="339" t="str">
        <f>IF(AP298=0,"",AP298)</f>
        <v/>
      </c>
      <c r="R298" s="339">
        <f>IF(AQ298=301,"",AQ298)</f>
        <v>155</v>
      </c>
      <c r="S298" s="339" t="str">
        <f>IF(AR298=0,"",AR298)</f>
        <v/>
      </c>
      <c r="T298" s="339">
        <f>IF(AS298=301,"",AS298)</f>
        <v>232</v>
      </c>
      <c r="U298" s="339" t="str">
        <f>IF(AT298=0,"",AT298)</f>
        <v/>
      </c>
      <c r="V298" s="340"/>
      <c r="W298" s="340"/>
      <c r="AA298" s="91" t="s">
        <v>11</v>
      </c>
      <c r="AB298" s="92"/>
      <c r="AC298" s="374">
        <f>ABS(INDEX(AC:AC,MATCH(AC292,$AA:$AA,0)+14)+INDEX(AC:AC,MATCH(AC292,$AA:$AA,0)+15)+INDEX(AC:AC,MATCH(AC292,$AA:$AA,0)+16))</f>
        <v>175</v>
      </c>
      <c r="AD298" s="375"/>
      <c r="AE298" s="374">
        <f>ABS(INDEX(AE:AE,MATCH(AE292,$AA:$AA,0)+14)+INDEX(AE:AE,MATCH(AE292,$AA:$AA,0)+15)+INDEX(AE:AE,MATCH(AE292,$AA:$AA,0)+16))</f>
        <v>180</v>
      </c>
      <c r="AF298" s="375"/>
      <c r="AG298" s="374">
        <f>ABS(INDEX(AG:AG,MATCH(AG292,$AA:$AA,0)+14)+INDEX(AG:AG,MATCH(AG292,$AA:$AA,0)+15)+INDEX(AG:AG,MATCH(AG292,$AA:$AA,0)+16))</f>
        <v>0</v>
      </c>
      <c r="AH298" s="375"/>
      <c r="AI298" s="374">
        <f>ABS(INDEX(AI:AI,MATCH(AI292,$AA:$AA,0)+14)+INDEX(AI:AI,MATCH(AI292,$AA:$AA,0)+15)+INDEX(AI:AI,MATCH(AI292,$AA:$AA,0)+16))</f>
        <v>161</v>
      </c>
      <c r="AJ298" s="375"/>
      <c r="AK298" s="374">
        <f>ABS(INDEX(AK:AK,MATCH(AK292,$AA:$AA,0)+14)+INDEX(AK:AK,MATCH(AK292,$AA:$AA,0)+15)+INDEX(AK:AK,MATCH(AK292,$AA:$AA,0)+16))</f>
        <v>219</v>
      </c>
      <c r="AL298" s="375"/>
      <c r="AM298" s="374">
        <f>ABS(INDEX(AM:AM,MATCH(AM292,$AA:$AA,0)+14)+INDEX(AM:AM,MATCH(AM292,$AA:$AA,0)+15)+INDEX(AM:AM,MATCH(AM292,$AA:$AA,0)+16))</f>
        <v>223</v>
      </c>
      <c r="AN298" s="375"/>
      <c r="AO298" s="374">
        <f>ABS(INDEX(AO:AO,MATCH(AO292,$AA:$AA,0)+14)+INDEX(AO:AO,MATCH(AO292,$AA:$AA,0)+15)+INDEX(AO:AO,MATCH(AO292,$AA:$AA,0)+16))</f>
        <v>200</v>
      </c>
      <c r="AP298" s="375"/>
      <c r="AQ298" s="374">
        <f>ABS(INDEX(AQ:AQ,MATCH(AQ292,$AA:$AA,0)+14)+INDEX(AQ:AQ,MATCH(AQ292,$AA:$AA,0)+15)+INDEX(AQ:AQ,MATCH(AQ292,$AA:$AA,0)+16))</f>
        <v>155</v>
      </c>
      <c r="AR298" s="375"/>
      <c r="AS298" s="374">
        <f>ABS(INDEX(AS:AS,MATCH(AS292,$AA:$AA,0)+14)+INDEX(AS:AS,MATCH(AS292,$AA:$AA,0)+15)+INDEX(AS:AS,MATCH(AS292,$AA:$AA,0)+16))</f>
        <v>232</v>
      </c>
      <c r="AT298" s="37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6.05" customHeight="1" x14ac:dyDescent="0.35">
      <c r="B299" s="354" t="str">
        <f t="shared" si="340"/>
        <v>Gesamt</v>
      </c>
      <c r="C299" s="355" t="str">
        <f t="shared" si="340"/>
        <v/>
      </c>
      <c r="D299" s="338">
        <f>IF(AC299=1505,"",AC299)</f>
        <v>756</v>
      </c>
      <c r="E299" s="338" t="str">
        <f>IF(AD299=0,"",AD299)</f>
        <v/>
      </c>
      <c r="F299" s="338">
        <f>IF(AE299=1505,"",AE299)</f>
        <v>687</v>
      </c>
      <c r="G299" s="338" t="str">
        <f>IF(AF299=0,"",AF299)</f>
        <v/>
      </c>
      <c r="H299" s="338">
        <f>IF(AG299=1505,"",AG299)</f>
        <v>0</v>
      </c>
      <c r="I299" s="338" t="str">
        <f>IF(AH299=0,"",AH299)</f>
        <v/>
      </c>
      <c r="J299" s="338">
        <f>IF(AI299=1505,"",AI299)</f>
        <v>677</v>
      </c>
      <c r="K299" s="338" t="str">
        <f>IF(AJ299=0,"",AJ299)</f>
        <v/>
      </c>
      <c r="L299" s="338">
        <f>IF(AK299=1505,"",AK299)</f>
        <v>739</v>
      </c>
      <c r="M299" s="338" t="str">
        <f>IF(AL299=0,"",AL299)</f>
        <v/>
      </c>
      <c r="N299" s="338">
        <f>IF(AM299=1505,"",AM299)</f>
        <v>722</v>
      </c>
      <c r="O299" s="338" t="str">
        <f>IF(AN299=0,"",AN299)</f>
        <v/>
      </c>
      <c r="P299" s="338">
        <f>IF(AO299=1505,"",AO299)</f>
        <v>698</v>
      </c>
      <c r="Q299" s="338" t="str">
        <f>IF(AP299=0,"",AP299)</f>
        <v/>
      </c>
      <c r="R299" s="338">
        <f>IF(AQ299=1505,"",AQ299)</f>
        <v>685</v>
      </c>
      <c r="S299" s="338" t="str">
        <f>IF(AR299=0,"",AR299)</f>
        <v/>
      </c>
      <c r="T299" s="338">
        <f>IF(AS299=1505,"",AS299)</f>
        <v>737</v>
      </c>
      <c r="U299" s="338" t="str">
        <f>IF(AT299=0,"",AT299)</f>
        <v/>
      </c>
      <c r="V299" s="290"/>
      <c r="W299" s="290"/>
      <c r="AA299" s="93" t="s">
        <v>1799</v>
      </c>
      <c r="AB299" s="94"/>
      <c r="AC299" s="354">
        <f>SUM(AC295:AC298)</f>
        <v>756</v>
      </c>
      <c r="AD299" s="355"/>
      <c r="AE299" s="354">
        <f>SUM(AE295:AE298)</f>
        <v>687</v>
      </c>
      <c r="AF299" s="355"/>
      <c r="AG299" s="354">
        <f>SUM(AG295:AG298)</f>
        <v>0</v>
      </c>
      <c r="AH299" s="355"/>
      <c r="AI299" s="354">
        <f>SUM(AI295:AI298)</f>
        <v>677</v>
      </c>
      <c r="AJ299" s="355"/>
      <c r="AK299" s="354">
        <f>SUM(AK295:AK298)</f>
        <v>739</v>
      </c>
      <c r="AL299" s="355"/>
      <c r="AM299" s="354">
        <f>SUM(AM295:AM298)</f>
        <v>722</v>
      </c>
      <c r="AN299" s="355"/>
      <c r="AO299" s="354">
        <f>SUM(AO295:AO298)</f>
        <v>698</v>
      </c>
      <c r="AP299" s="355"/>
      <c r="AQ299" s="354">
        <f>SUM(AQ295:AQ298)</f>
        <v>685</v>
      </c>
      <c r="AR299" s="355"/>
      <c r="AS299" s="354">
        <f>SUM(AS295:AS298)</f>
        <v>737</v>
      </c>
      <c r="AT299" s="35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3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formatCells="0" formatColumns="0" formatRows="0"/>
  <mergeCells count="2110"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19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1">
    <tabColor rgb="FFFFFF00"/>
    <pageSetUpPr fitToPage="1"/>
  </sheetPr>
  <dimension ref="A1:AE26"/>
  <sheetViews>
    <sheetView workbookViewId="0">
      <selection activeCell="AH277" sqref="AH277"/>
    </sheetView>
  </sheetViews>
  <sheetFormatPr baseColWidth="10" defaultColWidth="11.33203125" defaultRowHeight="12.75" x14ac:dyDescent="0.35"/>
  <cols>
    <col min="1" max="1" width="4.06640625" customWidth="1"/>
    <col min="2" max="2" width="18.33203125" customWidth="1"/>
    <col min="3" max="3" width="6.265625" customWidth="1"/>
    <col min="4" max="4" width="4.73046875" customWidth="1"/>
    <col min="5" max="5" width="6.265625" customWidth="1"/>
    <col min="6" max="6" width="4.73046875" customWidth="1"/>
    <col min="7" max="7" width="6.265625" customWidth="1"/>
    <col min="8" max="8" width="4.73046875" customWidth="1"/>
    <col min="9" max="9" width="6.265625" customWidth="1"/>
    <col min="10" max="10" width="4.73046875" customWidth="1"/>
    <col min="11" max="11" width="6.265625" customWidth="1"/>
    <col min="12" max="12" width="4.73046875" customWidth="1"/>
    <col min="13" max="13" width="6.265625" customWidth="1"/>
    <col min="14" max="14" width="4.73046875" customWidth="1"/>
    <col min="15" max="15" width="6.265625" customWidth="1"/>
    <col min="16" max="16" width="4.73046875" customWidth="1"/>
    <col min="17" max="17" width="6.265625" customWidth="1"/>
    <col min="18" max="18" width="4.73046875" customWidth="1"/>
    <col min="19" max="19" width="6.265625" customWidth="1"/>
    <col min="20" max="20" width="4.73046875" customWidth="1"/>
    <col min="21" max="21" width="9.33203125" customWidth="1"/>
    <col min="22" max="22" width="7.796875" customWidth="1"/>
    <col min="24" max="24" width="4.33203125" customWidth="1"/>
    <col min="27" max="27" width="14.796875" style="215" hidden="1" customWidth="1"/>
    <col min="28" max="28" width="6.33203125" style="215" hidden="1" customWidth="1"/>
    <col min="29" max="29" width="5" style="215" hidden="1" customWidth="1"/>
    <col min="30" max="30" width="5.06640625" style="215" hidden="1" customWidth="1"/>
    <col min="31" max="31" width="6" style="215" hidden="1" customWidth="1"/>
    <col min="32" max="52" width="11.33203125" customWidth="1"/>
  </cols>
  <sheetData>
    <row r="1" spans="1:31" ht="28.5" customHeight="1" x14ac:dyDescent="0.35">
      <c r="A1" s="382" t="str">
        <f>Schlüssel!$C$1</f>
        <v>Bayernliga Frauen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5"/>
      <c r="Y1" s="5"/>
      <c r="AA1" s="215" t="s">
        <v>2080</v>
      </c>
    </row>
    <row r="2" spans="1:31" ht="28.5" customHeight="1" x14ac:dyDescent="0.35">
      <c r="A2" s="383" t="str">
        <f>"Saison "&amp;Spielorte!C18&amp;"     -     Spieltag "&amp;Erfassung4!AS2&amp;"     -     "&amp;Erfassung4!AT1</f>
        <v>Saison 2024/2025     -     Spieltag 4     -     15.02./16.02.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5"/>
      <c r="Y2" s="5"/>
    </row>
    <row r="3" spans="1:31" ht="28.5" customHeight="1" x14ac:dyDescent="0.35">
      <c r="A3" s="383" t="str">
        <f>+Erfassung4!AE2</f>
        <v>Nürnberg West Bowling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5"/>
      <c r="Y3" s="5"/>
    </row>
    <row r="4" spans="1:31" ht="28.5" customHeight="1" thickBot="1" x14ac:dyDescent="0.6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35">
      <c r="A5" s="386" t="s">
        <v>1816</v>
      </c>
      <c r="B5" s="388" t="s">
        <v>1817</v>
      </c>
      <c r="C5" s="376" t="s">
        <v>1800</v>
      </c>
      <c r="D5" s="377"/>
      <c r="E5" s="376" t="s">
        <v>1801</v>
      </c>
      <c r="F5" s="377"/>
      <c r="G5" s="376" t="s">
        <v>1802</v>
      </c>
      <c r="H5" s="377"/>
      <c r="I5" s="376" t="s">
        <v>1803</v>
      </c>
      <c r="J5" s="377"/>
      <c r="K5" s="376" t="s">
        <v>1804</v>
      </c>
      <c r="L5" s="377"/>
      <c r="M5" s="376" t="s">
        <v>1805</v>
      </c>
      <c r="N5" s="377"/>
      <c r="O5" s="376" t="s">
        <v>1806</v>
      </c>
      <c r="P5" s="377"/>
      <c r="Q5" s="376" t="s">
        <v>1807</v>
      </c>
      <c r="R5" s="377"/>
      <c r="S5" s="378" t="s">
        <v>1808</v>
      </c>
      <c r="T5" s="377"/>
      <c r="U5" s="376" t="s">
        <v>1799</v>
      </c>
      <c r="V5" s="377"/>
      <c r="W5" s="384" t="s">
        <v>1818</v>
      </c>
    </row>
    <row r="6" spans="1:31" ht="13.15" thickBot="1" x14ac:dyDescent="0.4">
      <c r="A6" s="387"/>
      <c r="B6" s="389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5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4">
      <c r="A7" s="223">
        <v>1</v>
      </c>
      <c r="B7" s="128" t="str">
        <f>INDEX(Erfassung4!$AA:$AA,MATCH($A7,Erfassung4!$BR:$BR,0)-17)</f>
        <v>Praetoria Regensburg</v>
      </c>
      <c r="C7" s="129">
        <f>INDEX(Erfassung4!AC:AC,MATCH($A7,Erfassung4!$BR:$BR,0)-1)</f>
        <v>756</v>
      </c>
      <c r="D7" s="130">
        <f>INDEX(Erfassung4!AD:AD,MATCH($A7,Erfassung4!$BR:$BR,0))</f>
        <v>5</v>
      </c>
      <c r="E7" s="129">
        <f>INDEX(Erfassung4!AE:AE,MATCH($A7,Erfassung4!$BR:$BR,0)-1)</f>
        <v>742</v>
      </c>
      <c r="F7" s="130">
        <f>INDEX(Erfassung4!AF:AF,MATCH($A7,Erfassung4!$BR:$BR,0))</f>
        <v>5</v>
      </c>
      <c r="G7" s="129">
        <f>INDEX(Erfassung4!AG:AG,MATCH($A7,Erfassung4!$BR:$BR,0)-1)</f>
        <v>781</v>
      </c>
      <c r="H7" s="130">
        <f>INDEX(Erfassung4!AH:AH,MATCH($A7,Erfassung4!$BR:$BR,0))</f>
        <v>5</v>
      </c>
      <c r="I7" s="129">
        <f>INDEX(Erfassung4!AI:AI,MATCH($A7,Erfassung4!$BR:$BR,0)-1)</f>
        <v>736</v>
      </c>
      <c r="J7" s="130">
        <f>INDEX(Erfassung4!AJ:AJ,MATCH($A7,Erfassung4!$BR:$BR,0))</f>
        <v>6</v>
      </c>
      <c r="K7" s="129">
        <f>INDEX(Erfassung4!AK:AK,MATCH($A7,Erfassung4!$BR:$BR,0)-1)</f>
        <v>718</v>
      </c>
      <c r="L7" s="130">
        <f>INDEX(Erfassung4!AL:AL,MATCH($A7,Erfassung4!$BR:$BR,0))</f>
        <v>3</v>
      </c>
      <c r="M7" s="129">
        <f>INDEX(Erfassung4!AM:AM,MATCH($A7,Erfassung4!$BR:$BR,0)-1)</f>
        <v>730</v>
      </c>
      <c r="N7" s="130">
        <f>INDEX(Erfassung4!AN:AN,MATCH($A7,Erfassung4!$BR:$BR,0))</f>
        <v>5</v>
      </c>
      <c r="O7" s="129">
        <f>INDEX(Erfassung4!AO:AO,MATCH($A7,Erfassung4!$BR:$BR,0)-1)</f>
        <v>715</v>
      </c>
      <c r="P7" s="130">
        <f>INDEX(Erfassung4!AP:AP,MATCH($A7,Erfassung4!$BR:$BR,0))</f>
        <v>2</v>
      </c>
      <c r="Q7" s="129">
        <f>INDEX(Erfassung4!AQ:AQ,MATCH($A7,Erfassung4!$BR:$BR,0)-1)</f>
        <v>783</v>
      </c>
      <c r="R7" s="130">
        <f>INDEX(Erfassung4!AR:AR,MATCH($A7,Erfassung4!$BR:$BR,0))</f>
        <v>2</v>
      </c>
      <c r="S7" s="129">
        <f>INDEX(Erfassung4!AS:AS,MATCH($A7,Erfassung4!$BR:$BR,0)-1)</f>
        <v>688</v>
      </c>
      <c r="T7" s="130">
        <f>INDEX(Erfassung4!AT:AT,MATCH($A7,Erfassung4!$BR:$BR,0))</f>
        <v>6</v>
      </c>
      <c r="U7" s="131">
        <f t="shared" ref="U7:V16" si="0">SUM(C7+E7+G7+I7+K7+M7+O7+Q7+S7)</f>
        <v>6649</v>
      </c>
      <c r="V7" s="132">
        <f t="shared" si="0"/>
        <v>39</v>
      </c>
      <c r="W7" s="224">
        <f>IFERROR(U7/INDEX(Erfassung4!BF:BF,MATCH(A7,Erfassung4!BR:BR,0)),0)</f>
        <v>184.69444444444446</v>
      </c>
      <c r="X7" s="25"/>
      <c r="AA7" s="225">
        <f>INDEX(TabGes3!I:I,MATCH($B7,TabGes3!$B:$B,0))+U7</f>
        <v>25695</v>
      </c>
      <c r="AB7" s="225">
        <f>INDEX(TabGes3!J:J,MATCH($B7,TabGes3!$B:$B,0))+V7</f>
        <v>139.5</v>
      </c>
      <c r="AC7" s="215">
        <f t="shared" ref="AC7:AC16" si="1">+AB7+AA7/1000000000</f>
        <v>139.50002569500001</v>
      </c>
      <c r="AD7" s="215">
        <f t="shared" ref="AD7:AD16" si="2">RANK(AC7,AC:AC)</f>
        <v>3</v>
      </c>
      <c r="AE7" s="215">
        <f>INDEX(Tabelle3!AE:AE,MATCH(B7,Tabelle3!B:B,0))+SUMIF(Erfassung4!BU:BU,B7,Erfassung4!BF:BF)</f>
        <v>144</v>
      </c>
    </row>
    <row r="8" spans="1:31" ht="42" customHeight="1" thickBot="1" x14ac:dyDescent="0.4">
      <c r="A8" s="223">
        <v>2</v>
      </c>
      <c r="B8" s="128" t="str">
        <f>INDEX(Erfassung4!$AA:$AA,MATCH($A8,Erfassung4!$BR:$BR,0)-17)</f>
        <v>EPA München 1</v>
      </c>
      <c r="C8" s="129">
        <f>INDEX(Erfassung4!AC:AC,MATCH($A8,Erfassung4!$BR:$BR,0)-1)</f>
        <v>727</v>
      </c>
      <c r="D8" s="130">
        <f>INDEX(Erfassung4!AD:AD,MATCH($A8,Erfassung4!$BR:$BR,0))</f>
        <v>5</v>
      </c>
      <c r="E8" s="129">
        <f>INDEX(Erfassung4!AE:AE,MATCH($A8,Erfassung4!$BR:$BR,0)-1)</f>
        <v>693</v>
      </c>
      <c r="F8" s="130">
        <f>INDEX(Erfassung4!AF:AF,MATCH($A8,Erfassung4!$BR:$BR,0))</f>
        <v>4</v>
      </c>
      <c r="G8" s="129">
        <f>INDEX(Erfassung4!AG:AG,MATCH($A8,Erfassung4!$BR:$BR,0)-1)</f>
        <v>676</v>
      </c>
      <c r="H8" s="130">
        <f>INDEX(Erfassung4!AH:AH,MATCH($A8,Erfassung4!$BR:$BR,0))</f>
        <v>5</v>
      </c>
      <c r="I8" s="129">
        <f>INDEX(Erfassung4!AI:AI,MATCH($A8,Erfassung4!$BR:$BR,0)-1)</f>
        <v>742</v>
      </c>
      <c r="J8" s="130">
        <f>INDEX(Erfassung4!AJ:AJ,MATCH($A8,Erfassung4!$BR:$BR,0))</f>
        <v>4</v>
      </c>
      <c r="K8" s="129">
        <f>INDEX(Erfassung4!AK:AK,MATCH($A8,Erfassung4!$BR:$BR,0)-1)</f>
        <v>687</v>
      </c>
      <c r="L8" s="130">
        <f>INDEX(Erfassung4!AL:AL,MATCH($A8,Erfassung4!$BR:$BR,0))</f>
        <v>6</v>
      </c>
      <c r="M8" s="129">
        <f>INDEX(Erfassung4!AM:AM,MATCH($A8,Erfassung4!$BR:$BR,0)-1)</f>
        <v>722</v>
      </c>
      <c r="N8" s="130">
        <f>INDEX(Erfassung4!AN:AN,MATCH($A8,Erfassung4!$BR:$BR,0))</f>
        <v>4</v>
      </c>
      <c r="O8" s="129">
        <f>INDEX(Erfassung4!AO:AO,MATCH($A8,Erfassung4!$BR:$BR,0)-1)</f>
        <v>781</v>
      </c>
      <c r="P8" s="130">
        <f>INDEX(Erfassung4!AP:AP,MATCH($A8,Erfassung4!$BR:$BR,0))</f>
        <v>4</v>
      </c>
      <c r="Q8" s="129">
        <f>INDEX(Erfassung4!AQ:AQ,MATCH($A8,Erfassung4!$BR:$BR,0)-1)</f>
        <v>743</v>
      </c>
      <c r="R8" s="130">
        <f>INDEX(Erfassung4!AR:AR,MATCH($A8,Erfassung4!$BR:$BR,0))</f>
        <v>2</v>
      </c>
      <c r="S8" s="129">
        <f>INDEX(Erfassung4!AS:AS,MATCH($A8,Erfassung4!$BR:$BR,0)-1)</f>
        <v>742</v>
      </c>
      <c r="T8" s="130">
        <f>INDEX(Erfassung4!AT:AT,MATCH($A8,Erfassung4!$BR:$BR,0))</f>
        <v>5</v>
      </c>
      <c r="U8" s="131">
        <f t="shared" si="0"/>
        <v>6513</v>
      </c>
      <c r="V8" s="132">
        <f t="shared" si="0"/>
        <v>39</v>
      </c>
      <c r="W8" s="224">
        <f>IFERROR(U8/INDEX(Erfassung4!BF:BF,MATCH(A8,Erfassung4!BR:BR,0)),0)</f>
        <v>180.91666666666666</v>
      </c>
      <c r="X8" s="25"/>
      <c r="AA8" s="225">
        <f>INDEX(TabGes3!I:I,MATCH($B8,TabGes3!$B:$B,0))+U8</f>
        <v>25873</v>
      </c>
      <c r="AB8" s="225">
        <f>INDEX(TabGes3!J:J,MATCH($B8,TabGes3!$B:$B,0))+V8</f>
        <v>140.5</v>
      </c>
      <c r="AC8" s="215">
        <f t="shared" si="1"/>
        <v>140.500025873</v>
      </c>
      <c r="AD8" s="215">
        <f t="shared" si="2"/>
        <v>2</v>
      </c>
      <c r="AE8" s="215">
        <f>INDEX(Tabelle3!AE:AE,MATCH(B8,Tabelle3!B:B,0))+SUMIF(Erfassung4!BU:BU,B8,Erfassung4!BF:BF)</f>
        <v>144</v>
      </c>
    </row>
    <row r="9" spans="1:31" ht="42" customHeight="1" thickBot="1" x14ac:dyDescent="0.4">
      <c r="A9" s="223">
        <v>3</v>
      </c>
      <c r="B9" s="128" t="str">
        <f>INDEX(Erfassung4!$AA:$AA,MATCH($A9,Erfassung4!$BR:$BR,0)-17)</f>
        <v>Highroller Rosenheim</v>
      </c>
      <c r="C9" s="129">
        <f>INDEX(Erfassung4!AC:AC,MATCH($A9,Erfassung4!$BR:$BR,0)-1)</f>
        <v>697</v>
      </c>
      <c r="D9" s="130">
        <f>INDEX(Erfassung4!AD:AD,MATCH($A9,Erfassung4!$BR:$BR,0))</f>
        <v>1</v>
      </c>
      <c r="E9" s="129">
        <f>INDEX(Erfassung4!AE:AE,MATCH($A9,Erfassung4!$BR:$BR,0)-1)</f>
        <v>714</v>
      </c>
      <c r="F9" s="130">
        <f>INDEX(Erfassung4!AF:AF,MATCH($A9,Erfassung4!$BR:$BR,0))</f>
        <v>6</v>
      </c>
      <c r="G9" s="129">
        <f>INDEX(Erfassung4!AG:AG,MATCH($A9,Erfassung4!$BR:$BR,0)-1)</f>
        <v>728</v>
      </c>
      <c r="H9" s="130">
        <f>INDEX(Erfassung4!AH:AH,MATCH($A9,Erfassung4!$BR:$BR,0))</f>
        <v>5</v>
      </c>
      <c r="I9" s="129">
        <f>INDEX(Erfassung4!AI:AI,MATCH($A9,Erfassung4!$BR:$BR,0)-1)</f>
        <v>707</v>
      </c>
      <c r="J9" s="130">
        <f>INDEX(Erfassung4!AJ:AJ,MATCH($A9,Erfassung4!$BR:$BR,0))</f>
        <v>5</v>
      </c>
      <c r="K9" s="129">
        <f>INDEX(Erfassung4!AK:AK,MATCH($A9,Erfassung4!$BR:$BR,0)-1)</f>
        <v>640</v>
      </c>
      <c r="L9" s="130">
        <f>INDEX(Erfassung4!AL:AL,MATCH($A9,Erfassung4!$BR:$BR,0))</f>
        <v>5</v>
      </c>
      <c r="M9" s="129">
        <f>INDEX(Erfassung4!AM:AM,MATCH($A9,Erfassung4!$BR:$BR,0)-1)</f>
        <v>698</v>
      </c>
      <c r="N9" s="130">
        <f>INDEX(Erfassung4!AN:AN,MATCH($A9,Erfassung4!$BR:$BR,0))</f>
        <v>4</v>
      </c>
      <c r="O9" s="129">
        <f>INDEX(Erfassung4!AO:AO,MATCH($A9,Erfassung4!$BR:$BR,0)-1)</f>
        <v>711</v>
      </c>
      <c r="P9" s="130">
        <f>INDEX(Erfassung4!AP:AP,MATCH($A9,Erfassung4!$BR:$BR,0))</f>
        <v>5</v>
      </c>
      <c r="Q9" s="129">
        <f>INDEX(Erfassung4!AQ:AQ,MATCH($A9,Erfassung4!$BR:$BR,0)-1)</f>
        <v>787</v>
      </c>
      <c r="R9" s="130">
        <f>INDEX(Erfassung4!AR:AR,MATCH($A9,Erfassung4!$BR:$BR,0))</f>
        <v>4</v>
      </c>
      <c r="S9" s="129">
        <f>INDEX(Erfassung4!AS:AS,MATCH($A9,Erfassung4!$BR:$BR,0)-1)</f>
        <v>737</v>
      </c>
      <c r="T9" s="130">
        <f>INDEX(Erfassung4!AT:AT,MATCH($A9,Erfassung4!$BR:$BR,0))</f>
        <v>3</v>
      </c>
      <c r="U9" s="131">
        <f t="shared" si="0"/>
        <v>6419</v>
      </c>
      <c r="V9" s="132">
        <f t="shared" si="0"/>
        <v>38</v>
      </c>
      <c r="W9" s="224">
        <f>IFERROR(U9/INDEX(Erfassung4!BF:BF,MATCH(A9,Erfassung4!BR:BR,0)),0)</f>
        <v>178.30555555555554</v>
      </c>
      <c r="X9" s="25"/>
      <c r="AA9" s="225">
        <f>INDEX(TabGes3!I:I,MATCH($B9,TabGes3!$B:$B,0))+U9</f>
        <v>25736</v>
      </c>
      <c r="AB9" s="225">
        <f>INDEX(TabGes3!J:J,MATCH($B9,TabGes3!$B:$B,0))+V9</f>
        <v>143</v>
      </c>
      <c r="AC9" s="215">
        <f t="shared" si="1"/>
        <v>143.000025736</v>
      </c>
      <c r="AD9" s="215">
        <f t="shared" si="2"/>
        <v>1</v>
      </c>
      <c r="AE9" s="215">
        <f>INDEX(Tabelle3!AE:AE,MATCH(B9,Tabelle3!B:B,0))+SUMIF(Erfassung4!BU:BU,B9,Erfassung4!BF:BF)</f>
        <v>144</v>
      </c>
    </row>
    <row r="10" spans="1:31" ht="42" customHeight="1" thickBot="1" x14ac:dyDescent="0.4">
      <c r="A10" s="223">
        <v>4</v>
      </c>
      <c r="B10" s="128" t="str">
        <f>INDEX(Erfassung4!$AA:$AA,MATCH($A10,Erfassung4!$BR:$BR,0)-17)</f>
        <v>BK München 4</v>
      </c>
      <c r="C10" s="129">
        <f>INDEX(Erfassung4!AC:AC,MATCH($A10,Erfassung4!$BR:$BR,0)-1)</f>
        <v>691</v>
      </c>
      <c r="D10" s="130">
        <f>INDEX(Erfassung4!AD:AD,MATCH($A10,Erfassung4!$BR:$BR,0))</f>
        <v>1</v>
      </c>
      <c r="E10" s="129">
        <f>INDEX(Erfassung4!AE:AE,MATCH($A10,Erfassung4!$BR:$BR,0)-1)</f>
        <v>757</v>
      </c>
      <c r="F10" s="130">
        <f>INDEX(Erfassung4!AF:AF,MATCH($A10,Erfassung4!$BR:$BR,0))</f>
        <v>4.5</v>
      </c>
      <c r="G10" s="129">
        <f>INDEX(Erfassung4!AG:AG,MATCH($A10,Erfassung4!$BR:$BR,0)-1)</f>
        <v>693</v>
      </c>
      <c r="H10" s="130">
        <f>INDEX(Erfassung4!AH:AH,MATCH($A10,Erfassung4!$BR:$BR,0))</f>
        <v>6</v>
      </c>
      <c r="I10" s="129">
        <f>INDEX(Erfassung4!AI:AI,MATCH($A10,Erfassung4!$BR:$BR,0)-1)</f>
        <v>678</v>
      </c>
      <c r="J10" s="130">
        <f>INDEX(Erfassung4!AJ:AJ,MATCH($A10,Erfassung4!$BR:$BR,0))</f>
        <v>3.5</v>
      </c>
      <c r="K10" s="129">
        <f>INDEX(Erfassung4!AK:AK,MATCH($A10,Erfassung4!$BR:$BR,0)-1)</f>
        <v>628</v>
      </c>
      <c r="L10" s="130">
        <f>INDEX(Erfassung4!AL:AL,MATCH($A10,Erfassung4!$BR:$BR,0))</f>
        <v>1</v>
      </c>
      <c r="M10" s="129">
        <f>INDEX(Erfassung4!AM:AM,MATCH($A10,Erfassung4!$BR:$BR,0)-1)</f>
        <v>683</v>
      </c>
      <c r="N10" s="130">
        <f>INDEX(Erfassung4!AN:AN,MATCH($A10,Erfassung4!$BR:$BR,0))</f>
        <v>2</v>
      </c>
      <c r="O10" s="129">
        <f>INDEX(Erfassung4!AO:AO,MATCH($A10,Erfassung4!$BR:$BR,0)-1)</f>
        <v>718</v>
      </c>
      <c r="P10" s="130">
        <f>INDEX(Erfassung4!AP:AP,MATCH($A10,Erfassung4!$BR:$BR,0))</f>
        <v>4.5</v>
      </c>
      <c r="Q10" s="129">
        <f>INDEX(Erfassung4!AQ:AQ,MATCH($A10,Erfassung4!$BR:$BR,0)-1)</f>
        <v>778</v>
      </c>
      <c r="R10" s="130">
        <f>INDEX(Erfassung4!AR:AR,MATCH($A10,Erfassung4!$BR:$BR,0))</f>
        <v>6</v>
      </c>
      <c r="S10" s="129">
        <f>INDEX(Erfassung4!AS:AS,MATCH($A10,Erfassung4!$BR:$BR,0)-1)</f>
        <v>737</v>
      </c>
      <c r="T10" s="130">
        <f>INDEX(Erfassung4!AT:AT,MATCH($A10,Erfassung4!$BR:$BR,0))</f>
        <v>3</v>
      </c>
      <c r="U10" s="131">
        <f t="shared" si="0"/>
        <v>6363</v>
      </c>
      <c r="V10" s="132">
        <f t="shared" si="0"/>
        <v>31.5</v>
      </c>
      <c r="W10" s="224">
        <f>IFERROR(U10/INDEX(Erfassung4!BF:BF,MATCH(A10,Erfassung4!BR:BR,0)),0)</f>
        <v>176.75</v>
      </c>
      <c r="X10" s="25"/>
      <c r="AA10" s="225">
        <f>INDEX(TabGes3!I:I,MATCH($B10,TabGes3!$B:$B,0))+U10</f>
        <v>25244</v>
      </c>
      <c r="AB10" s="225">
        <f>INDEX(TabGes3!J:J,MATCH($B10,TabGes3!$B:$B,0))+V10</f>
        <v>138</v>
      </c>
      <c r="AC10" s="215">
        <f t="shared" si="1"/>
        <v>138.000025244</v>
      </c>
      <c r="AD10" s="215">
        <f t="shared" si="2"/>
        <v>4</v>
      </c>
      <c r="AE10" s="215">
        <f>INDEX(Tabelle3!AE:AE,MATCH(B10,Tabelle3!B:B,0))+SUMIF(Erfassung4!BU:BU,B10,Erfassung4!BF:BF)</f>
        <v>144</v>
      </c>
    </row>
    <row r="11" spans="1:31" ht="42" customHeight="1" thickBot="1" x14ac:dyDescent="0.4">
      <c r="A11" s="223">
        <v>5</v>
      </c>
      <c r="B11" s="128" t="str">
        <f>INDEX(Erfassung4!$AA:$AA,MATCH($A11,Erfassung4!$BR:$BR,0)-17)</f>
        <v>Phönix 03 Lauf</v>
      </c>
      <c r="C11" s="129">
        <f>INDEX(Erfassung4!AC:AC,MATCH($A11,Erfassung4!$BR:$BR,0)-1)</f>
        <v>663</v>
      </c>
      <c r="D11" s="130">
        <f>INDEX(Erfassung4!AD:AD,MATCH($A11,Erfassung4!$BR:$BR,0))</f>
        <v>2</v>
      </c>
      <c r="E11" s="129">
        <f>INDEX(Erfassung4!AE:AE,MATCH($A11,Erfassung4!$BR:$BR,0)-1)</f>
        <v>687</v>
      </c>
      <c r="F11" s="130">
        <f>INDEX(Erfassung4!AF:AF,MATCH($A11,Erfassung4!$BR:$BR,0))</f>
        <v>1.5</v>
      </c>
      <c r="G11" s="129">
        <f>INDEX(Erfassung4!AG:AG,MATCH($A11,Erfassung4!$BR:$BR,0)-1)</f>
        <v>635</v>
      </c>
      <c r="H11" s="130">
        <f>INDEX(Erfassung4!AH:AH,MATCH($A11,Erfassung4!$BR:$BR,0))</f>
        <v>1</v>
      </c>
      <c r="I11" s="129">
        <f>INDEX(Erfassung4!AI:AI,MATCH($A11,Erfassung4!$BR:$BR,0)-1)</f>
        <v>696</v>
      </c>
      <c r="J11" s="130">
        <f>INDEX(Erfassung4!AJ:AJ,MATCH($A11,Erfassung4!$BR:$BR,0))</f>
        <v>2</v>
      </c>
      <c r="K11" s="129">
        <f>INDEX(Erfassung4!AK:AK,MATCH($A11,Erfassung4!$BR:$BR,0)-1)</f>
        <v>741</v>
      </c>
      <c r="L11" s="130">
        <f>INDEX(Erfassung4!AL:AL,MATCH($A11,Erfassung4!$BR:$BR,0))</f>
        <v>3</v>
      </c>
      <c r="M11" s="129">
        <f>INDEX(Erfassung4!AM:AM,MATCH($A11,Erfassung4!$BR:$BR,0)-1)</f>
        <v>682</v>
      </c>
      <c r="N11" s="130">
        <f>INDEX(Erfassung4!AN:AN,MATCH($A11,Erfassung4!$BR:$BR,0))</f>
        <v>2</v>
      </c>
      <c r="O11" s="129">
        <f>INDEX(Erfassung4!AO:AO,MATCH($A11,Erfassung4!$BR:$BR,0)-1)</f>
        <v>784</v>
      </c>
      <c r="P11" s="130">
        <f>INDEX(Erfassung4!AP:AP,MATCH($A11,Erfassung4!$BR:$BR,0))</f>
        <v>6</v>
      </c>
      <c r="Q11" s="129">
        <f>INDEX(Erfassung4!AQ:AQ,MATCH($A11,Erfassung4!$BR:$BR,0)-1)</f>
        <v>702</v>
      </c>
      <c r="R11" s="130">
        <f>INDEX(Erfassung4!AR:AR,MATCH($A11,Erfassung4!$BR:$BR,0))</f>
        <v>5</v>
      </c>
      <c r="S11" s="129">
        <f>INDEX(Erfassung4!AS:AS,MATCH($A11,Erfassung4!$BR:$BR,0)-1)</f>
        <v>568</v>
      </c>
      <c r="T11" s="130">
        <f>INDEX(Erfassung4!AT:AT,MATCH($A11,Erfassung4!$BR:$BR,0))</f>
        <v>6</v>
      </c>
      <c r="U11" s="131">
        <f t="shared" si="0"/>
        <v>6158</v>
      </c>
      <c r="V11" s="132">
        <f t="shared" si="0"/>
        <v>28.5</v>
      </c>
      <c r="W11" s="224">
        <f>IFERROR(U11/INDEX(Erfassung4!BF:BF,MATCH(A11,Erfassung4!BR:BR,0)),0)</f>
        <v>171.05555555555554</v>
      </c>
      <c r="X11" s="25"/>
      <c r="AA11" s="225">
        <f>INDEX(TabGes3!I:I,MATCH($B11,TabGes3!$B:$B,0))+U11</f>
        <v>25086</v>
      </c>
      <c r="AB11" s="225">
        <f>INDEX(TabGes3!J:J,MATCH($B11,TabGes3!$B:$B,0))+V11</f>
        <v>134</v>
      </c>
      <c r="AC11" s="215">
        <f t="shared" si="1"/>
        <v>134.00002508599999</v>
      </c>
      <c r="AD11" s="215">
        <f t="shared" si="2"/>
        <v>5</v>
      </c>
      <c r="AE11" s="215">
        <f>INDEX(Tabelle3!AE:AE,MATCH(B11,Tabelle3!B:B,0))+SUMIF(Erfassung4!BU:BU,B11,Erfassung4!BF:BF)</f>
        <v>144</v>
      </c>
    </row>
    <row r="12" spans="1:31" ht="42" customHeight="1" thickBot="1" x14ac:dyDescent="0.4">
      <c r="A12" s="223">
        <v>6</v>
      </c>
      <c r="B12" s="128" t="str">
        <f>INDEX(Erfassung4!$AA:$AA,MATCH($A12,Erfassung4!$BR:$BR,0)-17)</f>
        <v>BK München 2</v>
      </c>
      <c r="C12" s="129">
        <f>INDEX(Erfassung4!AC:AC,MATCH($A12,Erfassung4!$BR:$BR,0)-1)</f>
        <v>785</v>
      </c>
      <c r="D12" s="130">
        <f>INDEX(Erfassung4!AD:AD,MATCH($A12,Erfassung4!$BR:$BR,0))</f>
        <v>6</v>
      </c>
      <c r="E12" s="129">
        <f>INDEX(Erfassung4!AE:AE,MATCH($A12,Erfassung4!$BR:$BR,0)-1)</f>
        <v>723</v>
      </c>
      <c r="F12" s="130">
        <f>INDEX(Erfassung4!AF:AF,MATCH($A12,Erfassung4!$BR:$BR,0))</f>
        <v>5</v>
      </c>
      <c r="G12" s="129">
        <f>INDEX(Erfassung4!AG:AG,MATCH($A12,Erfassung4!$BR:$BR,0)-1)</f>
        <v>707</v>
      </c>
      <c r="H12" s="130">
        <f>INDEX(Erfassung4!AH:AH,MATCH($A12,Erfassung4!$BR:$BR,0))</f>
        <v>5</v>
      </c>
      <c r="I12" s="129">
        <f>INDEX(Erfassung4!AI:AI,MATCH($A12,Erfassung4!$BR:$BR,0)-1)</f>
        <v>712</v>
      </c>
      <c r="J12" s="130">
        <f>INDEX(Erfassung4!AJ:AJ,MATCH($A12,Erfassung4!$BR:$BR,0))</f>
        <v>4</v>
      </c>
      <c r="K12" s="129">
        <f>INDEX(Erfassung4!AK:AK,MATCH($A12,Erfassung4!$BR:$BR,0)-1)</f>
        <v>669</v>
      </c>
      <c r="L12" s="130">
        <f>INDEX(Erfassung4!AL:AL,MATCH($A12,Erfassung4!$BR:$BR,0))</f>
        <v>1</v>
      </c>
      <c r="M12" s="129">
        <f>INDEX(Erfassung4!AM:AM,MATCH($A12,Erfassung4!$BR:$BR,0)-1)</f>
        <v>651</v>
      </c>
      <c r="N12" s="130">
        <f>INDEX(Erfassung4!AN:AN,MATCH($A12,Erfassung4!$BR:$BR,0))</f>
        <v>1</v>
      </c>
      <c r="O12" s="129">
        <f>INDEX(Erfassung4!AO:AO,MATCH($A12,Erfassung4!$BR:$BR,0)-1)</f>
        <v>636</v>
      </c>
      <c r="P12" s="130">
        <f>INDEX(Erfassung4!AP:AP,MATCH($A12,Erfassung4!$BR:$BR,0))</f>
        <v>1</v>
      </c>
      <c r="Q12" s="129">
        <f>INDEX(Erfassung4!AQ:AQ,MATCH($A12,Erfassung4!$BR:$BR,0)-1)</f>
        <v>685</v>
      </c>
      <c r="R12" s="130">
        <f>INDEX(Erfassung4!AR:AR,MATCH($A12,Erfassung4!$BR:$BR,0))</f>
        <v>0</v>
      </c>
      <c r="S12" s="129">
        <f>INDEX(Erfassung4!AS:AS,MATCH($A12,Erfassung4!$BR:$BR,0)-1)</f>
        <v>679</v>
      </c>
      <c r="T12" s="130">
        <f>INDEX(Erfassung4!AT:AT,MATCH($A12,Erfassung4!$BR:$BR,0))</f>
        <v>1</v>
      </c>
      <c r="U12" s="131">
        <f t="shared" si="0"/>
        <v>6247</v>
      </c>
      <c r="V12" s="132">
        <f t="shared" si="0"/>
        <v>24</v>
      </c>
      <c r="W12" s="224">
        <f>IFERROR(U12/INDEX(Erfassung4!BF:BF,MATCH(A12,Erfassung4!BR:BR,0)),0)</f>
        <v>173.52777777777777</v>
      </c>
      <c r="X12" s="25"/>
      <c r="AA12" s="225">
        <f>INDEX(TabGes3!I:I,MATCH($B12,TabGes3!$B:$B,0))+U12</f>
        <v>24944</v>
      </c>
      <c r="AB12" s="225">
        <f>INDEX(TabGes3!J:J,MATCH($B12,TabGes3!$B:$B,0))+V12</f>
        <v>98</v>
      </c>
      <c r="AC12" s="215">
        <f t="shared" si="1"/>
        <v>98.000024944000003</v>
      </c>
      <c r="AD12" s="215">
        <f t="shared" si="2"/>
        <v>6</v>
      </c>
      <c r="AE12" s="215">
        <f>INDEX(Tabelle3!AE:AE,MATCH(B12,Tabelle3!B:B,0))+SUMIF(Erfassung4!BU:BU,B12,Erfassung4!BF:BF)</f>
        <v>143</v>
      </c>
    </row>
    <row r="13" spans="1:31" ht="42" customHeight="1" thickBot="1" x14ac:dyDescent="0.4">
      <c r="A13" s="223">
        <v>7</v>
      </c>
      <c r="B13" s="128" t="str">
        <f>INDEX(Erfassung4!$AA:$AA,MATCH($A13,Erfassung4!$BR:$BR,0)-17)</f>
        <v xml:space="preserve">Weiß Blau Unterföhring </v>
      </c>
      <c r="C13" s="129">
        <f>INDEX(Erfassung4!AC:AC,MATCH($A13,Erfassung4!$BR:$BR,0)-1)</f>
        <v>643</v>
      </c>
      <c r="D13" s="130">
        <f>INDEX(Erfassung4!AD:AD,MATCH($A13,Erfassung4!$BR:$BR,0))</f>
        <v>5</v>
      </c>
      <c r="E13" s="129">
        <f>INDEX(Erfassung4!AE:AE,MATCH($A13,Erfassung4!$BR:$BR,0)-1)</f>
        <v>693</v>
      </c>
      <c r="F13" s="130">
        <f>INDEX(Erfassung4!AF:AF,MATCH($A13,Erfassung4!$BR:$BR,0))</f>
        <v>1</v>
      </c>
      <c r="G13" s="129">
        <f>INDEX(Erfassung4!AG:AG,MATCH($A13,Erfassung4!$BR:$BR,0)-1)</f>
        <v>640</v>
      </c>
      <c r="H13" s="130">
        <f>INDEX(Erfassung4!AH:AH,MATCH($A13,Erfassung4!$BR:$BR,0))</f>
        <v>1</v>
      </c>
      <c r="I13" s="129">
        <f>INDEX(Erfassung4!AI:AI,MATCH($A13,Erfassung4!$BR:$BR,0)-1)</f>
        <v>690</v>
      </c>
      <c r="J13" s="130">
        <f>INDEX(Erfassung4!AJ:AJ,MATCH($A13,Erfassung4!$BR:$BR,0))</f>
        <v>2</v>
      </c>
      <c r="K13" s="129">
        <f>INDEX(Erfassung4!AK:AK,MATCH($A13,Erfassung4!$BR:$BR,0)-1)</f>
        <v>739</v>
      </c>
      <c r="L13" s="130">
        <f>INDEX(Erfassung4!AL:AL,MATCH($A13,Erfassung4!$BR:$BR,0))</f>
        <v>5</v>
      </c>
      <c r="M13" s="129">
        <f>INDEX(Erfassung4!AM:AM,MATCH($A13,Erfassung4!$BR:$BR,0)-1)</f>
        <v>705</v>
      </c>
      <c r="N13" s="130">
        <f>INDEX(Erfassung4!AN:AN,MATCH($A13,Erfassung4!$BR:$BR,0))</f>
        <v>4</v>
      </c>
      <c r="O13" s="129">
        <f>INDEX(Erfassung4!AO:AO,MATCH($A13,Erfassung4!$BR:$BR,0)-1)</f>
        <v>654</v>
      </c>
      <c r="P13" s="130">
        <f>INDEX(Erfassung4!AP:AP,MATCH($A13,Erfassung4!$BR:$BR,0))</f>
        <v>0</v>
      </c>
      <c r="Q13" s="129">
        <f>INDEX(Erfassung4!AQ:AQ,MATCH($A13,Erfassung4!$BR:$BR,0)-1)</f>
        <v>647</v>
      </c>
      <c r="R13" s="130">
        <f>INDEX(Erfassung4!AR:AR,MATCH($A13,Erfassung4!$BR:$BR,0))</f>
        <v>6</v>
      </c>
      <c r="S13" s="129">
        <f>INDEX(Erfassung4!AS:AS,MATCH($A13,Erfassung4!$BR:$BR,0)-1)</f>
        <v>630</v>
      </c>
      <c r="T13" s="130">
        <f>INDEX(Erfassung4!AT:AT,MATCH($A13,Erfassung4!$BR:$BR,0))</f>
        <v>0</v>
      </c>
      <c r="U13" s="131">
        <f t="shared" si="0"/>
        <v>6041</v>
      </c>
      <c r="V13" s="132">
        <f t="shared" si="0"/>
        <v>24</v>
      </c>
      <c r="W13" s="224">
        <f>IFERROR(U13/INDEX(Erfassung4!BF:BF,MATCH(A13,Erfassung4!BR:BR,0)),0)</f>
        <v>167.80555555555554</v>
      </c>
      <c r="X13" s="25"/>
      <c r="AA13" s="225">
        <f>INDEX(TabGes3!I:I,MATCH($B13,TabGes3!$B:$B,0))+U13</f>
        <v>24098</v>
      </c>
      <c r="AB13" s="225">
        <f>INDEX(TabGes3!J:J,MATCH($B13,TabGes3!$B:$B,0))+V13</f>
        <v>97.5</v>
      </c>
      <c r="AC13" s="215">
        <f t="shared" si="1"/>
        <v>97.500024097999997</v>
      </c>
      <c r="AD13" s="215">
        <f t="shared" si="2"/>
        <v>7</v>
      </c>
      <c r="AE13" s="215">
        <f>INDEX(Tabelle3!AE:AE,MATCH(B13,Tabelle3!B:B,0))+SUMIF(Erfassung4!BU:BU,B13,Erfassung4!BF:BF)</f>
        <v>144</v>
      </c>
    </row>
    <row r="14" spans="1:31" ht="42" customHeight="1" thickBot="1" x14ac:dyDescent="0.4">
      <c r="A14" s="223">
        <v>8</v>
      </c>
      <c r="B14" s="128" t="str">
        <f>INDEX(Erfassung4!$AA:$AA,MATCH($A14,Erfassung4!$BR:$BR,0)-17)</f>
        <v>RW Lichtenhof 69 Stein 2</v>
      </c>
      <c r="C14" s="129">
        <f>INDEX(Erfassung4!AC:AC,MATCH($A14,Erfassung4!$BR:$BR,0)-1)</f>
        <v>691</v>
      </c>
      <c r="D14" s="130">
        <f>INDEX(Erfassung4!AD:AD,MATCH($A14,Erfassung4!$BR:$BR,0))</f>
        <v>4</v>
      </c>
      <c r="E14" s="129">
        <f>INDEX(Erfassung4!AE:AE,MATCH($A14,Erfassung4!$BR:$BR,0)-1)</f>
        <v>679</v>
      </c>
      <c r="F14" s="130">
        <f>INDEX(Erfassung4!AF:AF,MATCH($A14,Erfassung4!$BR:$BR,0))</f>
        <v>1</v>
      </c>
      <c r="G14" s="129">
        <f>INDEX(Erfassung4!AG:AG,MATCH($A14,Erfassung4!$BR:$BR,0)-1)</f>
        <v>642</v>
      </c>
      <c r="H14" s="130">
        <f>INDEX(Erfassung4!AH:AH,MATCH($A14,Erfassung4!$BR:$BR,0))</f>
        <v>1</v>
      </c>
      <c r="I14" s="129">
        <f>INDEX(Erfassung4!AI:AI,MATCH($A14,Erfassung4!$BR:$BR,0)-1)</f>
        <v>677</v>
      </c>
      <c r="J14" s="130">
        <f>INDEX(Erfassung4!AJ:AJ,MATCH($A14,Erfassung4!$BR:$BR,0))</f>
        <v>2.5</v>
      </c>
      <c r="K14" s="129">
        <f>INDEX(Erfassung4!AK:AK,MATCH($A14,Erfassung4!$BR:$BR,0)-1)</f>
        <v>615</v>
      </c>
      <c r="L14" s="130">
        <f>INDEX(Erfassung4!AL:AL,MATCH($A14,Erfassung4!$BR:$BR,0))</f>
        <v>1</v>
      </c>
      <c r="M14" s="129">
        <f>INDEX(Erfassung4!AM:AM,MATCH($A14,Erfassung4!$BR:$BR,0)-1)</f>
        <v>675</v>
      </c>
      <c r="N14" s="130">
        <f>INDEX(Erfassung4!AN:AN,MATCH($A14,Erfassung4!$BR:$BR,0))</f>
        <v>2</v>
      </c>
      <c r="O14" s="129">
        <f>INDEX(Erfassung4!AO:AO,MATCH($A14,Erfassung4!$BR:$BR,0)-1)</f>
        <v>722</v>
      </c>
      <c r="P14" s="130">
        <f>INDEX(Erfassung4!AP:AP,MATCH($A14,Erfassung4!$BR:$BR,0))</f>
        <v>6</v>
      </c>
      <c r="Q14" s="129">
        <f>INDEX(Erfassung4!AQ:AQ,MATCH($A14,Erfassung4!$BR:$BR,0)-1)</f>
        <v>750</v>
      </c>
      <c r="R14" s="130">
        <f>INDEX(Erfassung4!AR:AR,MATCH($A14,Erfassung4!$BR:$BR,0))</f>
        <v>4</v>
      </c>
      <c r="S14" s="129">
        <f>INDEX(Erfassung4!AS:AS,MATCH($A14,Erfassung4!$BR:$BR,0)-1)</f>
        <v>722</v>
      </c>
      <c r="T14" s="130">
        <f>INDEX(Erfassung4!AT:AT,MATCH($A14,Erfassung4!$BR:$BR,0))</f>
        <v>2</v>
      </c>
      <c r="U14" s="131">
        <f t="shared" si="0"/>
        <v>6173</v>
      </c>
      <c r="V14" s="132">
        <f t="shared" si="0"/>
        <v>23.5</v>
      </c>
      <c r="W14" s="224">
        <f>IFERROR(U14/INDEX(Erfassung4!BF:BF,MATCH(A14,Erfassung4!BR:BR,0)),0)</f>
        <v>171.47222222222223</v>
      </c>
      <c r="X14" s="25"/>
      <c r="AA14" s="225">
        <f>INDEX(TabGes3!I:I,MATCH($B14,TabGes3!$B:$B,0))+U14</f>
        <v>24082</v>
      </c>
      <c r="AB14" s="225">
        <f>INDEX(TabGes3!J:J,MATCH($B14,TabGes3!$B:$B,0))+V14</f>
        <v>92.5</v>
      </c>
      <c r="AC14" s="215">
        <f t="shared" si="1"/>
        <v>92.500024081999996</v>
      </c>
      <c r="AD14" s="215">
        <f t="shared" si="2"/>
        <v>9</v>
      </c>
      <c r="AE14" s="215">
        <f>INDEX(Tabelle3!AE:AE,MATCH(B14,Tabelle3!B:B,0))+SUMIF(Erfassung4!BU:BU,B14,Erfassung4!BF:BF)</f>
        <v>144</v>
      </c>
    </row>
    <row r="15" spans="1:31" ht="42" customHeight="1" thickBot="1" x14ac:dyDescent="0.4">
      <c r="A15" s="223">
        <v>9</v>
      </c>
      <c r="B15" s="128" t="str">
        <f>INDEX(Erfassung4!$AA:$AA,MATCH($A15,Erfassung4!$BR:$BR,0)-17)</f>
        <v>Frankenpower Nürnberg</v>
      </c>
      <c r="C15" s="129">
        <f>INDEX(Erfassung4!AC:AC,MATCH($A15,Erfassung4!$BR:$BR,0)-1)</f>
        <v>639</v>
      </c>
      <c r="D15" s="130">
        <f>INDEX(Erfassung4!AD:AD,MATCH($A15,Erfassung4!$BR:$BR,0))</f>
        <v>1</v>
      </c>
      <c r="E15" s="129">
        <f>INDEX(Erfassung4!AE:AE,MATCH($A15,Erfassung4!$BR:$BR,0)-1)</f>
        <v>680</v>
      </c>
      <c r="F15" s="130">
        <f>INDEX(Erfassung4!AF:AF,MATCH($A15,Erfassung4!$BR:$BR,0))</f>
        <v>2</v>
      </c>
      <c r="G15" s="129">
        <f>INDEX(Erfassung4!AG:AG,MATCH($A15,Erfassung4!$BR:$BR,0)-1)</f>
        <v>748</v>
      </c>
      <c r="H15" s="130">
        <f>INDEX(Erfassung4!AH:AH,MATCH($A15,Erfassung4!$BR:$BR,0))</f>
        <v>1</v>
      </c>
      <c r="I15" s="129">
        <f>INDEX(Erfassung4!AI:AI,MATCH($A15,Erfassung4!$BR:$BR,0)-1)</f>
        <v>667</v>
      </c>
      <c r="J15" s="130">
        <f>INDEX(Erfassung4!AJ:AJ,MATCH($A15,Erfassung4!$BR:$BR,0))</f>
        <v>1</v>
      </c>
      <c r="K15" s="129">
        <f>INDEX(Erfassung4!AK:AK,MATCH($A15,Erfassung4!$BR:$BR,0)-1)</f>
        <v>719</v>
      </c>
      <c r="L15" s="130">
        <f>INDEX(Erfassung4!AL:AL,MATCH($A15,Erfassung4!$BR:$BR,0))</f>
        <v>5</v>
      </c>
      <c r="M15" s="129">
        <f>INDEX(Erfassung4!AM:AM,MATCH($A15,Erfassung4!$BR:$BR,0)-1)</f>
        <v>659</v>
      </c>
      <c r="N15" s="130">
        <f>INDEX(Erfassung4!AN:AN,MATCH($A15,Erfassung4!$BR:$BR,0))</f>
        <v>6</v>
      </c>
      <c r="O15" s="129">
        <f>INDEX(Erfassung4!AO:AO,MATCH($A15,Erfassung4!$BR:$BR,0)-1)</f>
        <v>698</v>
      </c>
      <c r="P15" s="130">
        <f>INDEX(Erfassung4!AP:AP,MATCH($A15,Erfassung4!$BR:$BR,0))</f>
        <v>1.5</v>
      </c>
      <c r="Q15" s="129">
        <f>INDEX(Erfassung4!AQ:AQ,MATCH($A15,Erfassung4!$BR:$BR,0)-1)</f>
        <v>593</v>
      </c>
      <c r="R15" s="130">
        <f>INDEX(Erfassung4!AR:AR,MATCH($A15,Erfassung4!$BR:$BR,0))</f>
        <v>1</v>
      </c>
      <c r="S15" s="129">
        <f>INDEX(Erfassung4!AS:AS,MATCH($A15,Erfassung4!$BR:$BR,0)-1)</f>
        <v>726</v>
      </c>
      <c r="T15" s="130">
        <f>INDEX(Erfassung4!AT:AT,MATCH($A15,Erfassung4!$BR:$BR,0))</f>
        <v>4</v>
      </c>
      <c r="U15" s="131">
        <f t="shared" si="0"/>
        <v>6129</v>
      </c>
      <c r="V15" s="132">
        <f t="shared" si="0"/>
        <v>22.5</v>
      </c>
      <c r="W15" s="224">
        <f>IFERROR(U15/INDEX(Erfassung4!BF:BF,MATCH(A15,Erfassung4!BR:BR,0)),0)</f>
        <v>170.25</v>
      </c>
      <c r="X15" s="25"/>
      <c r="AA15" s="225">
        <f>INDEX(TabGes3!I:I,MATCH($B15,TabGes3!$B:$B,0))+U15</f>
        <v>24526</v>
      </c>
      <c r="AB15" s="225">
        <f>INDEX(TabGes3!J:J,MATCH($B15,TabGes3!$B:$B,0))+V15</f>
        <v>97</v>
      </c>
      <c r="AC15" s="215">
        <f t="shared" si="1"/>
        <v>97.000024526000004</v>
      </c>
      <c r="AD15" s="215">
        <f t="shared" si="2"/>
        <v>8</v>
      </c>
      <c r="AE15" s="215">
        <f>INDEX(Tabelle3!AE:AE,MATCH(B15,Tabelle3!B:B,0))+SUMIF(Erfassung4!BU:BU,B15,Erfassung4!BF:BF)</f>
        <v>144</v>
      </c>
    </row>
    <row r="16" spans="1:31" ht="42" customHeight="1" thickBot="1" x14ac:dyDescent="0.4">
      <c r="A16" s="223">
        <v>10</v>
      </c>
      <c r="B16" s="128" t="str">
        <f>INDEX(Erfassung4!$AA:$AA,MATCH($A16,Erfassung4!$BR:$BR,0)-17)</f>
        <v>BK München 3</v>
      </c>
      <c r="C16" s="129">
        <f>INDEX(Erfassung4!AC:AC,MATCH($A16,Erfassung4!$BR:$BR,0)-1)</f>
        <v>0</v>
      </c>
      <c r="D16" s="130">
        <f>INDEX(Erfassung4!AD:AD,MATCH($A16,Erfassung4!$BR:$BR,0))</f>
        <v>0</v>
      </c>
      <c r="E16" s="129">
        <f>INDEX(Erfassung4!AE:AE,MATCH($A16,Erfassung4!$BR:$BR,0)-1)</f>
        <v>0</v>
      </c>
      <c r="F16" s="130">
        <f>INDEX(Erfassung4!AF:AF,MATCH($A16,Erfassung4!$BR:$BR,0))</f>
        <v>0</v>
      </c>
      <c r="G16" s="129">
        <f>INDEX(Erfassung4!AG:AG,MATCH($A16,Erfassung4!$BR:$BR,0)-1)</f>
        <v>0</v>
      </c>
      <c r="H16" s="130">
        <f>INDEX(Erfassung4!AH:AH,MATCH($A16,Erfassung4!$BR:$BR,0))</f>
        <v>0</v>
      </c>
      <c r="I16" s="129">
        <f>INDEX(Erfassung4!AI:AI,MATCH($A16,Erfassung4!$BR:$BR,0)-1)</f>
        <v>0</v>
      </c>
      <c r="J16" s="130">
        <f>INDEX(Erfassung4!AJ:AJ,MATCH($A16,Erfassung4!$BR:$BR,0))</f>
        <v>0</v>
      </c>
      <c r="K16" s="129">
        <f>INDEX(Erfassung4!AK:AK,MATCH($A16,Erfassung4!$BR:$BR,0)-1)</f>
        <v>0</v>
      </c>
      <c r="L16" s="130">
        <f>INDEX(Erfassung4!AL:AL,MATCH($A16,Erfassung4!$BR:$BR,0))</f>
        <v>0</v>
      </c>
      <c r="M16" s="129">
        <f>INDEX(Erfassung4!AM:AM,MATCH($A16,Erfassung4!$BR:$BR,0)-1)</f>
        <v>0</v>
      </c>
      <c r="N16" s="130">
        <f>INDEX(Erfassung4!AN:AN,MATCH($A16,Erfassung4!$BR:$BR,0))</f>
        <v>0</v>
      </c>
      <c r="O16" s="129">
        <f>INDEX(Erfassung4!AO:AO,MATCH($A16,Erfassung4!$BR:$BR,0)-1)</f>
        <v>0</v>
      </c>
      <c r="P16" s="130">
        <f>INDEX(Erfassung4!AP:AP,MATCH($A16,Erfassung4!$BR:$BR,0))</f>
        <v>0</v>
      </c>
      <c r="Q16" s="129">
        <f>INDEX(Erfassung4!AQ:AQ,MATCH($A16,Erfassung4!$BR:$BR,0)-1)</f>
        <v>0</v>
      </c>
      <c r="R16" s="130">
        <f>INDEX(Erfassung4!AR:AR,MATCH($A16,Erfassung4!$BR:$BR,0))</f>
        <v>0</v>
      </c>
      <c r="S16" s="129">
        <f>INDEX(Erfassung4!AS:AS,MATCH($A16,Erfassung4!$BR:$BR,0)-1)</f>
        <v>0</v>
      </c>
      <c r="T16" s="130">
        <f>INDEX(Erfassung4!AT:AT,MATCH($A16,Erfassung4!$BR:$BR,0))</f>
        <v>0</v>
      </c>
      <c r="U16" s="131">
        <f t="shared" si="0"/>
        <v>0</v>
      </c>
      <c r="V16" s="132">
        <f t="shared" si="0"/>
        <v>0</v>
      </c>
      <c r="W16" s="224">
        <f>IFERROR(U16/INDEX(Erfassung4!BF:BF,MATCH(A16,Erfassung4!BR:BR,0)),0)</f>
        <v>0</v>
      </c>
      <c r="X16" s="25"/>
      <c r="AA16" s="225">
        <f>INDEX(TabGes3!I:I,MATCH($B16,TabGes3!$B:$B,0))+U16</f>
        <v>0</v>
      </c>
      <c r="AB16" s="225">
        <f>INDEX(TabGes3!J:J,MATCH($B16,TabGes3!$B:$B,0))+V16</f>
        <v>0</v>
      </c>
      <c r="AC16" s="215">
        <f t="shared" si="1"/>
        <v>0</v>
      </c>
      <c r="AD16" s="215">
        <f t="shared" si="2"/>
        <v>10</v>
      </c>
      <c r="AE16" s="215">
        <f>INDEX(Tabelle3!AE:AE,MATCH(B16,Tabelle3!B:B,0))+SUMIF(Erfassung4!BU:BU,B16,Erfassung4!BF:BF)</f>
        <v>0</v>
      </c>
    </row>
    <row r="19" spans="2:23" ht="15" x14ac:dyDescent="0.4">
      <c r="B19" s="379" t="s">
        <v>1827</v>
      </c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80"/>
      <c r="V19" s="380"/>
      <c r="W19" s="380"/>
    </row>
    <row r="20" spans="2:23" x14ac:dyDescent="0.35">
      <c r="C20" s="380"/>
      <c r="D20" s="380"/>
      <c r="E20" s="380"/>
      <c r="F20" s="380"/>
      <c r="G20" s="380"/>
      <c r="H20" s="380"/>
    </row>
    <row r="21" spans="2:23" ht="13.15" x14ac:dyDescent="0.4">
      <c r="B21" s="166" t="s">
        <v>1826</v>
      </c>
      <c r="C21" t="str">
        <f>IFERROR(INDEX(Erfassung4!AA:AA,MATCH(1,Erfassung4!BV:BV,0)),"")</f>
        <v>Schulz, Carolin</v>
      </c>
      <c r="H21" t="str">
        <f>INDEX(Erfassung4!BU:BU,MATCH(C21,Erfassung4!AA:AA,0))</f>
        <v>EPA München 1</v>
      </c>
      <c r="N21" s="133">
        <f>IFERROR(ROUND(INDEX(Erfassung4!BT:BT,MATCH(1,Erfassung4!BV:BV,0)),0),"")</f>
        <v>237</v>
      </c>
    </row>
    <row r="22" spans="2:23" ht="13.15" x14ac:dyDescent="0.4">
      <c r="B22" s="166"/>
      <c r="C22" t="str">
        <f>IF(N22="","",IFERROR(INDEX(Erfassung4!AA:AA,MATCH(2,Erfassung4!BV:BV,0)),""))</f>
        <v/>
      </c>
      <c r="H22" t="str">
        <f>IF(C22="","",INDEX(Erfassung4!BU:BU,MATCH(C22,Erfassung4!AA:AA,0)))</f>
        <v/>
      </c>
      <c r="N22" s="134" t="str">
        <f>IF(IFERROR(ROUND(INDEX(Erfassung4!BT:BT,MATCH(2,Erfassung4!BV:BV,0)),0),0)=0,"",IFERROR(ROUND(INDEX(Erfassung4!BT:BT,MATCH(2,Erfassung4!BV:BV,0)),0),0))</f>
        <v/>
      </c>
    </row>
    <row r="23" spans="2:23" ht="13.15" x14ac:dyDescent="0.4">
      <c r="B23" s="166"/>
      <c r="C23" t="str">
        <f>IF(N23="","",IFERROR(INDEX(Erfassung4!AA:AA,MATCH(3,Erfassung4!BV:BV,0)),""))</f>
        <v/>
      </c>
      <c r="H23" t="str">
        <f>IF(C23="","",INDEX(Erfassung4!BU:BU,MATCH(C23,Erfassung4!AA:AA,0)))</f>
        <v/>
      </c>
      <c r="N23" s="134" t="str">
        <f>IF(IFERROR(ROUND(INDEX(Erfassung4!BT:BT,MATCH(3,Erfassung4!BV:BV,0)),0),0)=0,"",IFERROR(ROUND(INDEX(Erfassung4!BT:BT,MATCH(3,Erfassung4!BV:BV,0)),0),""))</f>
        <v/>
      </c>
    </row>
    <row r="24" spans="2:23" ht="13.15" x14ac:dyDescent="0.4">
      <c r="B24" s="166" t="s">
        <v>1828</v>
      </c>
      <c r="C24" t="str">
        <f>IFERROR(INDEX(Erfassung4!AA:AA,MATCH(1,Erfassung4!BZ:BZ,0)),"")</f>
        <v>Schlundt, Sabrina</v>
      </c>
      <c r="H24" t="str">
        <f>INDEX(Erfassung4!BU:BU,MATCH(C24,Erfassung4!AA:AA,0))</f>
        <v>Praetoria Regensburg</v>
      </c>
      <c r="N24" s="381" t="str">
        <f>IFERROR(ROUND(INDEX(Erfassung4!BW:BW,MATCH(1,Erfassung4!BZ:BZ,0)),0),"")&amp;"  /  "&amp;ROUND(IFERROR(ROUND(INDEX(Erfassung4!BW:BW,MATCH(1,Erfassung4!BZ:BZ,0)),0),"")/9,2)</f>
        <v>1775  /  197,22</v>
      </c>
      <c r="O24" s="381"/>
      <c r="P24" s="381"/>
    </row>
    <row r="25" spans="2:23" x14ac:dyDescent="0.35">
      <c r="C25" t="str">
        <f>IF(N25="","",IFERROR(INDEX(Erfassung4!AA:AA,MATCH(2,Erfassung4!BZ:BZ,0)),""))</f>
        <v/>
      </c>
      <c r="E25" s="2"/>
      <c r="H25" t="str">
        <f>IF(C25="","",INDEX(Erfassung4!BU:BU,MATCH(C25,Erfassung4!AA:AA,0)))</f>
        <v/>
      </c>
      <c r="N25" s="134" t="str">
        <f>IF(IFERROR(ROUND(INDEX(Erfassung4!BW:BW,MATCH(2,Erfassung4!BZ:BZ,0)),0),0)=0,"",IFERROR(ROUND(INDEX(Erfassung4!BW:BW,MATCH(2,Erfassung4!BZ:BZ,0)),0),0))</f>
        <v/>
      </c>
    </row>
    <row r="26" spans="2:23" x14ac:dyDescent="0.35">
      <c r="C26" t="str">
        <f>IF(N26="","",IFERROR(INDEX(Erfassung4!AA:AA,MATCH(3,Erfassung4!BZ:BZ,0)),""))</f>
        <v/>
      </c>
      <c r="E26" s="2"/>
      <c r="H26" t="str">
        <f>IF(C26="","",INDEX(Erfassung4!BU:BU,MATCH(C26,Erfassung4!AA:AA,0)))</f>
        <v/>
      </c>
      <c r="N26" s="134" t="str">
        <f>IF(IFERROR(ROUND(INDEX(Erfassung4!BW:BW,MATCH(3,Erfassung4!BZ:BZ,0)),0),0)=0,"",IFERROR(ROUND(INDEX(Erfassung4!BW:BW,MATCH(3,Erfassung4!BZ:BZ,0)),0),0))</f>
        <v/>
      </c>
    </row>
  </sheetData>
  <sheetProtection password="D19C" sheet="1" formatCells="0" formatColumns="0" formatRows="0"/>
  <mergeCells count="20">
    <mergeCell ref="A1:W1"/>
    <mergeCell ref="A2:W2"/>
    <mergeCell ref="A3:W3"/>
    <mergeCell ref="A5:A6"/>
    <mergeCell ref="B5:B6"/>
    <mergeCell ref="C5:D5"/>
    <mergeCell ref="W5:W6"/>
    <mergeCell ref="E5:F5"/>
    <mergeCell ref="G5:H5"/>
    <mergeCell ref="I5:J5"/>
    <mergeCell ref="K5:L5"/>
    <mergeCell ref="O5:P5"/>
    <mergeCell ref="M5:N5"/>
    <mergeCell ref="C20:H20"/>
    <mergeCell ref="Q5:R5"/>
    <mergeCell ref="S5:T5"/>
    <mergeCell ref="U5:V5"/>
    <mergeCell ref="N24:P24"/>
    <mergeCell ref="B19:T19"/>
    <mergeCell ref="U19:W19"/>
  </mergeCells>
  <conditionalFormatting sqref="C7:T16">
    <cfRule type="top10" dxfId="6" priority="1" stopIfTrue="1" rank="1"/>
  </conditionalFormatting>
  <conditionalFormatting sqref="U7:U16">
    <cfRule type="top10" dxfId="5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5" orientation="landscape" r:id="rId1"/>
  <headerFooter alignWithMargins="0"/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2">
    <tabColor theme="8" tint="-0.249977111117893"/>
    <pageSetUpPr fitToPage="1"/>
  </sheetPr>
  <dimension ref="A1:AE16"/>
  <sheetViews>
    <sheetView workbookViewId="0">
      <selection activeCell="AH277" sqref="AH277"/>
    </sheetView>
  </sheetViews>
  <sheetFormatPr baseColWidth="10" defaultRowHeight="12.75" x14ac:dyDescent="0.35"/>
  <cols>
    <col min="1" max="1" width="4.06640625" customWidth="1"/>
    <col min="2" max="2" width="18.33203125" customWidth="1"/>
    <col min="3" max="7" width="8.73046875" customWidth="1"/>
    <col min="8" max="8" width="8.796875" customWidth="1"/>
    <col min="9" max="9" width="8.73046875" customWidth="1"/>
    <col min="10" max="10" width="11.06640625" customWidth="1"/>
    <col min="11" max="11" width="13.33203125" customWidth="1"/>
    <col min="12" max="12" width="9.33203125" customWidth="1"/>
    <col min="14" max="14" width="6.33203125" customWidth="1"/>
  </cols>
  <sheetData>
    <row r="1" spans="1:31" ht="28.5" customHeight="1" x14ac:dyDescent="0.35">
      <c r="A1" s="382" t="str">
        <f>Schlüssel!$C$1</f>
        <v>Bayernliga Frauen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35">
      <c r="A2" s="383" t="str">
        <f>"Saison "&amp;Spielorte!C18&amp;"     -     Spieltag "&amp;Erfassung4!AS2&amp;"     -     "&amp;Erfassung4!AT1</f>
        <v>Saison 2024/2025     -     Spieltag 4     -     15.02./16.02.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35">
      <c r="A3" s="383" t="s">
        <v>2082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4">
      <c r="B4" s="29"/>
      <c r="C4" s="31"/>
      <c r="D4" s="390"/>
      <c r="E4" s="390"/>
      <c r="F4" s="390"/>
      <c r="G4" s="390"/>
      <c r="H4" s="390"/>
      <c r="I4" s="390"/>
      <c r="J4" s="390"/>
      <c r="K4" s="390"/>
      <c r="L4" s="30"/>
      <c r="M4" s="27"/>
    </row>
    <row r="5" spans="1:31" x14ac:dyDescent="0.35">
      <c r="A5" s="386" t="s">
        <v>1816</v>
      </c>
      <c r="B5" s="388" t="s">
        <v>1817</v>
      </c>
      <c r="C5" s="376" t="s">
        <v>1820</v>
      </c>
      <c r="D5" s="377"/>
      <c r="E5" s="376" t="s">
        <v>1821</v>
      </c>
      <c r="F5" s="377"/>
      <c r="G5" s="376" t="s">
        <v>1822</v>
      </c>
      <c r="H5" s="377"/>
      <c r="I5" s="378" t="s">
        <v>1823</v>
      </c>
      <c r="J5" s="377"/>
      <c r="K5" s="376" t="s">
        <v>1799</v>
      </c>
      <c r="L5" s="377"/>
      <c r="M5" s="384" t="s">
        <v>1818</v>
      </c>
    </row>
    <row r="6" spans="1:31" ht="13.15" thickBot="1" x14ac:dyDescent="0.4">
      <c r="A6" s="387"/>
      <c r="B6" s="389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385"/>
    </row>
    <row r="7" spans="1:31" ht="42" customHeight="1" thickBot="1" x14ac:dyDescent="0.4">
      <c r="A7" s="34">
        <v>1</v>
      </c>
      <c r="B7" s="128" t="str">
        <f>INDEX(Tabelle4!B:B,MATCH(A7,Tabelle4!AD:AD,0))</f>
        <v>Highroller Rosenheim</v>
      </c>
      <c r="C7" s="35">
        <f>INDEX(Tabelle1!U:U,MATCH(B7,Tabelle1!B:B,0))</f>
        <v>6758</v>
      </c>
      <c r="D7" s="36">
        <f>INDEX(Tabelle1!V:V,MATCH(B7,Tabelle1!B:B,0))</f>
        <v>42</v>
      </c>
      <c r="E7" s="35">
        <f>INDEX(Tabelle2!U:U,MATCH(B7,Tabelle2!B:B,0))</f>
        <v>6285</v>
      </c>
      <c r="F7" s="36">
        <f>INDEX(Tabelle2!V:V,MATCH(B7,Tabelle2!B:B,0))</f>
        <v>29</v>
      </c>
      <c r="G7" s="35">
        <f>INDEX(Tabelle3!U:U,MATCH(B7,Tabelle3!B:B,0))</f>
        <v>6274</v>
      </c>
      <c r="H7" s="38">
        <f>INDEX(Tabelle3!V:V,MATCH(B7,Tabelle3!B:B,0))</f>
        <v>34</v>
      </c>
      <c r="I7" s="35">
        <f>INDEX(Tabelle4!U:U,MATCH(B7,Tabelle4!B:B,0))</f>
        <v>6419</v>
      </c>
      <c r="J7" s="38">
        <f>INDEX(Tabelle4!V:V,MATCH(B7,Tabelle4!B:B,0))</f>
        <v>38</v>
      </c>
      <c r="K7" s="41">
        <f t="shared" ref="K7:K16" si="0">SUM(C7+E7+G7+I7)</f>
        <v>25736</v>
      </c>
      <c r="L7" s="40">
        <f t="shared" ref="L7:L16" si="1">SUM(D7+F7+H7+J7)</f>
        <v>143</v>
      </c>
      <c r="M7" s="37">
        <f>K7/INDEX(Tabelle4!$AE:$AE,MATCH($B7,Tabelle4!$B:$B,0))</f>
        <v>178.72222222222223</v>
      </c>
      <c r="N7" s="25"/>
    </row>
    <row r="8" spans="1:31" ht="42" customHeight="1" thickBot="1" x14ac:dyDescent="0.4">
      <c r="A8" s="34">
        <v>2</v>
      </c>
      <c r="B8" s="128" t="str">
        <f>INDEX(Tabelle4!B:B,MATCH(A8,Tabelle4!AD:AD,0))</f>
        <v>EPA München 1</v>
      </c>
      <c r="C8" s="35">
        <f>INDEX(Tabelle1!U:U,MATCH(B8,Tabelle1!B:B,0))</f>
        <v>6757</v>
      </c>
      <c r="D8" s="36">
        <f>INDEX(Tabelle1!V:V,MATCH(B8,Tabelle1!B:B,0))</f>
        <v>38</v>
      </c>
      <c r="E8" s="35">
        <f>INDEX(Tabelle2!U:U,MATCH(B8,Tabelle2!B:B,0))</f>
        <v>6430</v>
      </c>
      <c r="F8" s="36">
        <f>INDEX(Tabelle2!V:V,MATCH(B8,Tabelle2!B:B,0))</f>
        <v>32</v>
      </c>
      <c r="G8" s="35">
        <f>INDEX(Tabelle3!U:U,MATCH(B8,Tabelle3!B:B,0))</f>
        <v>6173</v>
      </c>
      <c r="H8" s="38">
        <f>INDEX(Tabelle3!V:V,MATCH(B8,Tabelle3!B:B,0))</f>
        <v>31.5</v>
      </c>
      <c r="I8" s="35">
        <f>INDEX(Tabelle4!U:U,MATCH(B8,Tabelle4!B:B,0))</f>
        <v>6513</v>
      </c>
      <c r="J8" s="38">
        <f>INDEX(Tabelle4!V:V,MATCH(B8,Tabelle4!B:B,0))</f>
        <v>39</v>
      </c>
      <c r="K8" s="41">
        <f t="shared" si="0"/>
        <v>25873</v>
      </c>
      <c r="L8" s="40">
        <f t="shared" si="1"/>
        <v>140.5</v>
      </c>
      <c r="M8" s="37">
        <f>K8/INDEX(Tabelle4!$AE:$AE,MATCH($B8,Tabelle4!$B:$B,0))</f>
        <v>179.67361111111111</v>
      </c>
      <c r="N8" s="25"/>
    </row>
    <row r="9" spans="1:31" ht="42" customHeight="1" thickBot="1" x14ac:dyDescent="0.4">
      <c r="A9" s="34">
        <v>3</v>
      </c>
      <c r="B9" s="128" t="str">
        <f>INDEX(Tabelle4!B:B,MATCH(A9,Tabelle4!AD:AD,0))</f>
        <v>Praetoria Regensburg</v>
      </c>
      <c r="C9" s="35">
        <f>INDEX(Tabelle1!U:U,MATCH(B9,Tabelle1!B:B,0))</f>
        <v>6407</v>
      </c>
      <c r="D9" s="36">
        <f>INDEX(Tabelle1!V:V,MATCH(B9,Tabelle1!B:B,0))</f>
        <v>29</v>
      </c>
      <c r="E9" s="35">
        <f>INDEX(Tabelle2!U:U,MATCH(B9,Tabelle2!B:B,0))</f>
        <v>6351</v>
      </c>
      <c r="F9" s="36">
        <f>INDEX(Tabelle2!V:V,MATCH(B9,Tabelle2!B:B,0))</f>
        <v>34</v>
      </c>
      <c r="G9" s="35">
        <f>INDEX(Tabelle3!U:U,MATCH(B9,Tabelle3!B:B,0))</f>
        <v>6288</v>
      </c>
      <c r="H9" s="38">
        <f>INDEX(Tabelle3!V:V,MATCH(B9,Tabelle3!B:B,0))</f>
        <v>37.5</v>
      </c>
      <c r="I9" s="35">
        <f>INDEX(Tabelle4!U:U,MATCH(B9,Tabelle4!B:B,0))</f>
        <v>6649</v>
      </c>
      <c r="J9" s="38">
        <f>INDEX(Tabelle4!V:V,MATCH(B9,Tabelle4!B:B,0))</f>
        <v>39</v>
      </c>
      <c r="K9" s="41">
        <f t="shared" si="0"/>
        <v>25695</v>
      </c>
      <c r="L9" s="40">
        <f t="shared" si="1"/>
        <v>139.5</v>
      </c>
      <c r="M9" s="37">
        <f>K9/INDEX(Tabelle4!$AE:$AE,MATCH($B9,Tabelle4!$B:$B,0))</f>
        <v>178.4375</v>
      </c>
      <c r="N9" s="25"/>
    </row>
    <row r="10" spans="1:31" ht="42" customHeight="1" thickBot="1" x14ac:dyDescent="0.4">
      <c r="A10" s="34">
        <v>4</v>
      </c>
      <c r="B10" s="128" t="str">
        <f>INDEX(Tabelle4!B:B,MATCH(A10,Tabelle4!AD:AD,0))</f>
        <v>BK München 4</v>
      </c>
      <c r="C10" s="35">
        <f>INDEX(Tabelle1!U:U,MATCH(B10,Tabelle1!B:B,0))</f>
        <v>6218</v>
      </c>
      <c r="D10" s="36">
        <f>INDEX(Tabelle1!V:V,MATCH(B10,Tabelle1!B:B,0))</f>
        <v>30</v>
      </c>
      <c r="E10" s="35">
        <f>INDEX(Tabelle2!U:U,MATCH(B10,Tabelle2!B:B,0))</f>
        <v>6542</v>
      </c>
      <c r="F10" s="36">
        <f>INDEX(Tabelle2!V:V,MATCH(B10,Tabelle2!B:B,0))</f>
        <v>41.5</v>
      </c>
      <c r="G10" s="35">
        <f>INDEX(Tabelle3!U:U,MATCH(B10,Tabelle3!B:B,0))</f>
        <v>6121</v>
      </c>
      <c r="H10" s="38">
        <f>INDEX(Tabelle3!V:V,MATCH(B10,Tabelle3!B:B,0))</f>
        <v>35</v>
      </c>
      <c r="I10" s="35">
        <f>INDEX(Tabelle4!U:U,MATCH(B10,Tabelle4!B:B,0))</f>
        <v>6363</v>
      </c>
      <c r="J10" s="38">
        <f>INDEX(Tabelle4!V:V,MATCH(B10,Tabelle4!B:B,0))</f>
        <v>31.5</v>
      </c>
      <c r="K10" s="41">
        <f t="shared" si="0"/>
        <v>25244</v>
      </c>
      <c r="L10" s="40">
        <f t="shared" si="1"/>
        <v>138</v>
      </c>
      <c r="M10" s="37">
        <f>K10/INDEX(Tabelle4!$AE:$AE,MATCH($B10,Tabelle4!$B:$B,0))</f>
        <v>175.30555555555554</v>
      </c>
      <c r="N10" s="25"/>
    </row>
    <row r="11" spans="1:31" ht="42" customHeight="1" thickBot="1" x14ac:dyDescent="0.4">
      <c r="A11" s="34">
        <v>5</v>
      </c>
      <c r="B11" s="128" t="str">
        <f>INDEX(Tabelle4!B:B,MATCH(A11,Tabelle4!AD:AD,0))</f>
        <v>Phönix 03 Lauf</v>
      </c>
      <c r="C11" s="35">
        <f>INDEX(Tabelle1!U:U,MATCH(B11,Tabelle1!B:B,0))</f>
        <v>6702</v>
      </c>
      <c r="D11" s="36">
        <f>INDEX(Tabelle1!V:V,MATCH(B11,Tabelle1!B:B,0))</f>
        <v>41</v>
      </c>
      <c r="E11" s="35">
        <f>INDEX(Tabelle2!U:U,MATCH(B11,Tabelle2!B:B,0))</f>
        <v>6106</v>
      </c>
      <c r="F11" s="36">
        <f>INDEX(Tabelle2!V:V,MATCH(B11,Tabelle2!B:B,0))</f>
        <v>26.5</v>
      </c>
      <c r="G11" s="35">
        <f>INDEX(Tabelle3!U:U,MATCH(B11,Tabelle3!B:B,0))</f>
        <v>6120</v>
      </c>
      <c r="H11" s="38">
        <f>INDEX(Tabelle3!V:V,MATCH(B11,Tabelle3!B:B,0))</f>
        <v>38</v>
      </c>
      <c r="I11" s="35">
        <f>INDEX(Tabelle4!U:U,MATCH(B11,Tabelle4!B:B,0))</f>
        <v>6158</v>
      </c>
      <c r="J11" s="38">
        <f>INDEX(Tabelle4!V:V,MATCH(B11,Tabelle4!B:B,0))</f>
        <v>28.5</v>
      </c>
      <c r="K11" s="41">
        <f t="shared" si="0"/>
        <v>25086</v>
      </c>
      <c r="L11" s="40">
        <f t="shared" si="1"/>
        <v>134</v>
      </c>
      <c r="M11" s="37">
        <f>K11/INDEX(Tabelle4!$AE:$AE,MATCH($B11,Tabelle4!$B:$B,0))</f>
        <v>174.20833333333334</v>
      </c>
      <c r="N11" s="25"/>
    </row>
    <row r="12" spans="1:31" ht="42" customHeight="1" thickBot="1" x14ac:dyDescent="0.4">
      <c r="A12" s="34">
        <v>6</v>
      </c>
      <c r="B12" s="128" t="str">
        <f>INDEX(Tabelle4!B:B,MATCH(A12,Tabelle4!AD:AD,0))</f>
        <v>BK München 2</v>
      </c>
      <c r="C12" s="35">
        <f>INDEX(Tabelle1!U:U,MATCH(B12,Tabelle1!B:B,0))</f>
        <v>6609</v>
      </c>
      <c r="D12" s="36">
        <f>INDEX(Tabelle1!V:V,MATCH(B12,Tabelle1!B:B,0))</f>
        <v>31.5</v>
      </c>
      <c r="E12" s="35">
        <f>INDEX(Tabelle2!U:U,MATCH(B12,Tabelle2!B:B,0))</f>
        <v>6405</v>
      </c>
      <c r="F12" s="36">
        <f>INDEX(Tabelle2!V:V,MATCH(B12,Tabelle2!B:B,0))</f>
        <v>23.5</v>
      </c>
      <c r="G12" s="35">
        <f>INDEX(Tabelle3!U:U,MATCH(B12,Tabelle3!B:B,0))</f>
        <v>5683</v>
      </c>
      <c r="H12" s="38">
        <f>INDEX(Tabelle3!V:V,MATCH(B12,Tabelle3!B:B,0))</f>
        <v>19</v>
      </c>
      <c r="I12" s="35">
        <f>INDEX(Tabelle4!U:U,MATCH(B12,Tabelle4!B:B,0))</f>
        <v>6247</v>
      </c>
      <c r="J12" s="38">
        <f>INDEX(Tabelle4!V:V,MATCH(B12,Tabelle4!B:B,0))</f>
        <v>24</v>
      </c>
      <c r="K12" s="41">
        <f t="shared" si="0"/>
        <v>24944</v>
      </c>
      <c r="L12" s="40">
        <f t="shared" si="1"/>
        <v>98</v>
      </c>
      <c r="M12" s="37">
        <f>K12/INDEX(Tabelle4!$AE:$AE,MATCH($B12,Tabelle4!$B:$B,0))</f>
        <v>174.43356643356643</v>
      </c>
      <c r="N12" s="25"/>
    </row>
    <row r="13" spans="1:31" ht="42" customHeight="1" thickBot="1" x14ac:dyDescent="0.4">
      <c r="A13" s="34">
        <v>7</v>
      </c>
      <c r="B13" s="128" t="str">
        <f>INDEX(Tabelle4!B:B,MATCH(A13,Tabelle4!AD:AD,0))</f>
        <v xml:space="preserve">Weiß Blau Unterföhring </v>
      </c>
      <c r="C13" s="35">
        <f>INDEX(Tabelle1!U:U,MATCH(B13,Tabelle1!B:B,0))</f>
        <v>5883</v>
      </c>
      <c r="D13" s="36">
        <f>INDEX(Tabelle1!V:V,MATCH(B13,Tabelle1!B:B,0))</f>
        <v>16</v>
      </c>
      <c r="E13" s="35">
        <f>INDEX(Tabelle2!U:U,MATCH(B13,Tabelle2!B:B,0))</f>
        <v>6349</v>
      </c>
      <c r="F13" s="36">
        <f>INDEX(Tabelle2!V:V,MATCH(B13,Tabelle2!B:B,0))</f>
        <v>30.5</v>
      </c>
      <c r="G13" s="35">
        <f>INDEX(Tabelle3!U:U,MATCH(B13,Tabelle3!B:B,0))</f>
        <v>5825</v>
      </c>
      <c r="H13" s="38">
        <f>INDEX(Tabelle3!V:V,MATCH(B13,Tabelle3!B:B,0))</f>
        <v>27</v>
      </c>
      <c r="I13" s="35">
        <f>INDEX(Tabelle4!U:U,MATCH(B13,Tabelle4!B:B,0))</f>
        <v>6041</v>
      </c>
      <c r="J13" s="38">
        <f>INDEX(Tabelle4!V:V,MATCH(B13,Tabelle4!B:B,0))</f>
        <v>24</v>
      </c>
      <c r="K13" s="41">
        <f t="shared" si="0"/>
        <v>24098</v>
      </c>
      <c r="L13" s="40">
        <f t="shared" si="1"/>
        <v>97.5</v>
      </c>
      <c r="M13" s="37">
        <f>K13/INDEX(Tabelle4!$AE:$AE,MATCH($B13,Tabelle4!$B:$B,0))</f>
        <v>167.34722222222223</v>
      </c>
      <c r="N13" s="25"/>
    </row>
    <row r="14" spans="1:31" ht="42" customHeight="1" thickBot="1" x14ac:dyDescent="0.4">
      <c r="A14" s="34">
        <v>8</v>
      </c>
      <c r="B14" s="128" t="str">
        <f>INDEX(Tabelle4!B:B,MATCH(A14,Tabelle4!AD:AD,0))</f>
        <v>Frankenpower Nürnberg</v>
      </c>
      <c r="C14" s="35">
        <f>INDEX(Tabelle1!U:U,MATCH(B14,Tabelle1!B:B,0))</f>
        <v>6156</v>
      </c>
      <c r="D14" s="36">
        <f>INDEX(Tabelle1!V:V,MATCH(B14,Tabelle1!B:B,0))</f>
        <v>26.5</v>
      </c>
      <c r="E14" s="35">
        <f>INDEX(Tabelle2!U:U,MATCH(B14,Tabelle2!B:B,0))</f>
        <v>6235</v>
      </c>
      <c r="F14" s="36">
        <f>INDEX(Tabelle2!V:V,MATCH(B14,Tabelle2!B:B,0))</f>
        <v>25</v>
      </c>
      <c r="G14" s="35">
        <f>INDEX(Tabelle3!U:U,MATCH(B14,Tabelle3!B:B,0))</f>
        <v>6006</v>
      </c>
      <c r="H14" s="38">
        <f>INDEX(Tabelle3!V:V,MATCH(B14,Tabelle3!B:B,0))</f>
        <v>23</v>
      </c>
      <c r="I14" s="35">
        <f>INDEX(Tabelle4!U:U,MATCH(B14,Tabelle4!B:B,0))</f>
        <v>6129</v>
      </c>
      <c r="J14" s="38">
        <f>INDEX(Tabelle4!V:V,MATCH(B14,Tabelle4!B:B,0))</f>
        <v>22.5</v>
      </c>
      <c r="K14" s="41">
        <f t="shared" si="0"/>
        <v>24526</v>
      </c>
      <c r="L14" s="40">
        <f t="shared" si="1"/>
        <v>97</v>
      </c>
      <c r="M14" s="37">
        <f>K14/INDEX(Tabelle4!$AE:$AE,MATCH($B14,Tabelle4!$B:$B,0))</f>
        <v>170.31944444444446</v>
      </c>
      <c r="N14" s="25"/>
    </row>
    <row r="15" spans="1:31" ht="42" customHeight="1" thickBot="1" x14ac:dyDescent="0.4">
      <c r="A15" s="34">
        <v>9</v>
      </c>
      <c r="B15" s="128" t="str">
        <f>INDEX(Tabelle4!B:B,MATCH(A15,Tabelle4!AD:AD,0))</f>
        <v>RW Lichtenhof 69 Stein 2</v>
      </c>
      <c r="C15" s="35">
        <f>INDEX(Tabelle1!U:U,MATCH(B15,Tabelle1!B:B,0))</f>
        <v>5805</v>
      </c>
      <c r="D15" s="36">
        <f>INDEX(Tabelle1!V:V,MATCH(B15,Tabelle1!B:B,0))</f>
        <v>16</v>
      </c>
      <c r="E15" s="35">
        <f>INDEX(Tabelle2!U:U,MATCH(B15,Tabelle2!B:B,0))</f>
        <v>6208</v>
      </c>
      <c r="F15" s="36">
        <f>INDEX(Tabelle2!V:V,MATCH(B15,Tabelle2!B:B,0))</f>
        <v>28</v>
      </c>
      <c r="G15" s="35">
        <f>INDEX(Tabelle3!U:U,MATCH(B15,Tabelle3!B:B,0))</f>
        <v>5896</v>
      </c>
      <c r="H15" s="38">
        <f>INDEX(Tabelle3!V:V,MATCH(B15,Tabelle3!B:B,0))</f>
        <v>25</v>
      </c>
      <c r="I15" s="35">
        <f>INDEX(Tabelle4!U:U,MATCH(B15,Tabelle4!B:B,0))</f>
        <v>6173</v>
      </c>
      <c r="J15" s="38">
        <f>INDEX(Tabelle4!V:V,MATCH(B15,Tabelle4!B:B,0))</f>
        <v>23.5</v>
      </c>
      <c r="K15" s="41">
        <f t="shared" si="0"/>
        <v>24082</v>
      </c>
      <c r="L15" s="40">
        <f t="shared" si="1"/>
        <v>92.5</v>
      </c>
      <c r="M15" s="37">
        <f>K15/INDEX(Tabelle4!$AE:$AE,MATCH($B15,Tabelle4!$B:$B,0))</f>
        <v>167.23611111111111</v>
      </c>
      <c r="N15" s="25"/>
    </row>
    <row r="16" spans="1:31" ht="42" customHeight="1" thickBot="1" x14ac:dyDescent="0.4">
      <c r="A16" s="34">
        <v>10</v>
      </c>
      <c r="B16" s="128" t="str">
        <f>INDEX(Tabelle4!B:B,MATCH(A16,Tabelle4!AD:AD,0))</f>
        <v>BK München 3</v>
      </c>
      <c r="C16" s="35">
        <f>INDEX(Tabelle1!U:U,MATCH(B16,Tabelle1!B:B,0))</f>
        <v>0</v>
      </c>
      <c r="D16" s="36">
        <f>INDEX(Tabelle1!V:V,MATCH(B16,Tabelle1!B:B,0))</f>
        <v>0</v>
      </c>
      <c r="E16" s="35">
        <f>INDEX(Tabelle2!U:U,MATCH(B16,Tabelle2!B:B,0))</f>
        <v>0</v>
      </c>
      <c r="F16" s="36">
        <f>INDEX(Tabelle2!V:V,MATCH(B16,Tabelle2!B:B,0))</f>
        <v>0</v>
      </c>
      <c r="G16" s="35">
        <f>INDEX(Tabelle3!U:U,MATCH(B16,Tabelle3!B:B,0))</f>
        <v>0</v>
      </c>
      <c r="H16" s="38">
        <f>INDEX(Tabelle3!V:V,MATCH(B16,Tabelle3!B:B,0))</f>
        <v>0</v>
      </c>
      <c r="I16" s="35">
        <f>INDEX(Tabelle4!U:U,MATCH(B16,Tabelle4!B:B,0))</f>
        <v>0</v>
      </c>
      <c r="J16" s="38">
        <f>INDEX(Tabelle4!V:V,MATCH(B16,Tabelle4!B:B,0))</f>
        <v>0</v>
      </c>
      <c r="K16" s="41">
        <f t="shared" si="0"/>
        <v>0</v>
      </c>
      <c r="L16" s="40">
        <f t="shared" si="1"/>
        <v>0</v>
      </c>
      <c r="M16" s="37" t="e">
        <f>K16/INDEX(Tabelle4!$AE:$AE,MATCH($B16,Tabelle4!$B:$B,0))</f>
        <v>#DIV/0!</v>
      </c>
      <c r="N16" s="25"/>
    </row>
  </sheetData>
  <sheetProtection password="D19C" sheet="1" formatCells="0" formatColumns="0" formatRows="0"/>
  <mergeCells count="12">
    <mergeCell ref="C5:D5"/>
    <mergeCell ref="E5:F5"/>
    <mergeCell ref="I5:J5"/>
    <mergeCell ref="K5:L5"/>
    <mergeCell ref="A1:M1"/>
    <mergeCell ref="A2:M2"/>
    <mergeCell ref="A3:M3"/>
    <mergeCell ref="M5:M6"/>
    <mergeCell ref="G5:H5"/>
    <mergeCell ref="D4:K4"/>
    <mergeCell ref="A5:A6"/>
    <mergeCell ref="B5:B6"/>
  </mergeCells>
  <printOptions horizontalCentered="1"/>
  <pageMargins left="0.47244094488188981" right="0.47244094488188981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3">
    <tabColor rgb="FF7030A0"/>
  </sheetPr>
  <dimension ref="A1:Q104"/>
  <sheetViews>
    <sheetView view="pageBreakPreview" zoomScaleNormal="100" zoomScaleSheetLayoutView="100" workbookViewId="0">
      <selection activeCell="AH277" sqref="AH277"/>
    </sheetView>
  </sheetViews>
  <sheetFormatPr baseColWidth="10" defaultColWidth="11.33203125" defaultRowHeight="12.75" x14ac:dyDescent="0.35"/>
  <cols>
    <col min="1" max="1" width="5.265625" customWidth="1"/>
    <col min="2" max="2" width="8.265625" customWidth="1"/>
    <col min="3" max="4" width="27.73046875" customWidth="1"/>
    <col min="5" max="5" width="7.73046875" style="102" customWidth="1"/>
    <col min="6" max="6" width="7.73046875" customWidth="1"/>
    <col min="7" max="7" width="7.73046875" style="137" customWidth="1"/>
    <col min="12" max="12" width="11.33203125" style="227" hidden="1" customWidth="1"/>
    <col min="13" max="17" width="11.33203125" hidden="1" customWidth="1"/>
    <col min="18" max="18" width="11.33203125" customWidth="1"/>
  </cols>
  <sheetData>
    <row r="1" spans="1:16" ht="28.5" customHeight="1" x14ac:dyDescent="0.7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6">
      <c r="A2" s="138" t="s">
        <v>1791</v>
      </c>
      <c r="C2" s="50">
        <v>4</v>
      </c>
      <c r="D2" s="50" t="s">
        <v>1829</v>
      </c>
      <c r="E2" s="139"/>
      <c r="F2" s="54"/>
      <c r="L2" s="227">
        <f>INDEX(Starter!A:A,ROW()-1)</f>
        <v>25751</v>
      </c>
      <c r="M2">
        <f>SUMIF(Erfassung4!BD:BD,L2,Erfassung4!BW:BW)</f>
        <v>1775</v>
      </c>
      <c r="N2">
        <f>SUMIF(Erfassung4!BD:BD,L2,Erfassung4!BG:BG)</f>
        <v>9</v>
      </c>
      <c r="O2">
        <f t="shared" ref="O2:O65" si="0">IF(N2=0,0,M2/N2-ROW()/1000000000)</f>
        <v>197.22222222022222</v>
      </c>
      <c r="P2">
        <f t="shared" ref="P2:P65" si="1">RANK(O2,O:O)</f>
        <v>1</v>
      </c>
    </row>
    <row r="3" spans="1:16" x14ac:dyDescent="0.35">
      <c r="L3" s="227">
        <f>INDEX(Starter!A:A,ROW()-1)</f>
        <v>38258</v>
      </c>
      <c r="M3">
        <f>SUMIF(Erfassung4!BD:BD,L3,Erfassung4!BW:BW)</f>
        <v>1637</v>
      </c>
      <c r="N3">
        <f>SUMIF(Erfassung4!BD:BD,L3,Erfassung4!BG:BG)</f>
        <v>9</v>
      </c>
      <c r="O3">
        <f t="shared" si="0"/>
        <v>181.88888888588889</v>
      </c>
      <c r="P3">
        <f t="shared" si="1"/>
        <v>11</v>
      </c>
    </row>
    <row r="4" spans="1:16" x14ac:dyDescent="0.3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SUMIF(Erfassung4!BD:BD,L4,Erfassung4!BW:BW)</f>
        <v>1649</v>
      </c>
      <c r="N4">
        <f>SUMIF(Erfassung4!BD:BD,L4,Erfassung4!BG:BG)</f>
        <v>9</v>
      </c>
      <c r="O4">
        <f t="shared" si="0"/>
        <v>183.22222221822224</v>
      </c>
      <c r="P4">
        <f t="shared" si="1"/>
        <v>9</v>
      </c>
    </row>
    <row r="5" spans="1:16" x14ac:dyDescent="0.35">
      <c r="A5">
        <v>1</v>
      </c>
      <c r="B5">
        <f t="shared" ref="B5:B36" si="2">IFERROR(INDEX(L:L,MATCH(A5,P:P,0)),"")</f>
        <v>25751</v>
      </c>
      <c r="C5" t="str">
        <f>IFERROR(INDEX(Starter!B:B,MATCH(B5,Starter!A:A,0)),"")</f>
        <v>Schlundt, Sabrina</v>
      </c>
      <c r="D5" t="str">
        <f>IFERROR(INDEX(Starter!C:C,MATCH(B5,Starter!A:A,0)),"")</f>
        <v>BC Praetoria</v>
      </c>
      <c r="E5" s="102">
        <f t="shared" ref="E5:E36" si="3">IFERROR(INDEX(M:M,MATCH(A5,P:P,0)),"")</f>
        <v>1775</v>
      </c>
      <c r="F5">
        <f t="shared" ref="F5:F36" si="4">IFERROR(INDEX(N:N,MATCH(A5,P:P,0)),"")</f>
        <v>9</v>
      </c>
      <c r="G5" s="137">
        <f t="shared" ref="G5:G36" si="5">IFERROR(INDEX(O:O,MATCH(A5,P:P,0)),"")</f>
        <v>197.22222222022222</v>
      </c>
      <c r="L5" s="227">
        <f>INDEX(Starter!A:A,ROW()-1)</f>
        <v>7903</v>
      </c>
      <c r="M5">
        <f>SUMIF(Erfassung4!BD:BD,L5,Erfassung4!BW:BW)</f>
        <v>912</v>
      </c>
      <c r="N5">
        <f>SUMIF(Erfassung4!BD:BD,L5,Erfassung4!BG:BG)</f>
        <v>5</v>
      </c>
      <c r="O5">
        <f t="shared" si="0"/>
        <v>182.399999995</v>
      </c>
      <c r="P5">
        <f t="shared" si="1"/>
        <v>10</v>
      </c>
    </row>
    <row r="6" spans="1:16" x14ac:dyDescent="0.35">
      <c r="A6">
        <f t="shared" ref="A6:A37" si="6">IFERROR(IF(A5+1&gt;MAX(P:P)-1,"",A5+1),"")</f>
        <v>2</v>
      </c>
      <c r="B6">
        <f t="shared" si="2"/>
        <v>25714</v>
      </c>
      <c r="C6" t="str">
        <f>IFERROR(INDEX(Starter!B:B,MATCH(B6,Starter!A:A,0)),"")</f>
        <v>Schulz, Carolin</v>
      </c>
      <c r="D6" t="str">
        <f>IFERROR(INDEX(Starter!C:C,MATCH(B6,Starter!A:A,0)),"")</f>
        <v>BC E.P.A. München</v>
      </c>
      <c r="E6" s="102">
        <f t="shared" si="3"/>
        <v>1355</v>
      </c>
      <c r="F6">
        <f t="shared" si="4"/>
        <v>7</v>
      </c>
      <c r="G6" s="137">
        <f t="shared" si="5"/>
        <v>193.57142850142858</v>
      </c>
      <c r="L6" s="227">
        <f>INDEX(Starter!A:A,ROW()-1)</f>
        <v>16170</v>
      </c>
      <c r="M6">
        <f>SUMIF(Erfassung4!BD:BD,L6,Erfassung4!BW:BW)</f>
        <v>0</v>
      </c>
      <c r="N6">
        <f>SUMIF(Erfassung4!BD:BD,L6,Erfassung4!BG:BG)</f>
        <v>0</v>
      </c>
      <c r="O6">
        <f t="shared" si="0"/>
        <v>0</v>
      </c>
      <c r="P6">
        <f t="shared" si="1"/>
        <v>45</v>
      </c>
    </row>
    <row r="7" spans="1:16" x14ac:dyDescent="0.35">
      <c r="A7">
        <f t="shared" si="6"/>
        <v>3</v>
      </c>
      <c r="B7">
        <f t="shared" si="2"/>
        <v>38757</v>
      </c>
      <c r="C7" t="str">
        <f>IFERROR(INDEX(Starter!B:B,MATCH(B7,Starter!A:A,0)),"")</f>
        <v>Schanze, Bianka</v>
      </c>
      <c r="D7" t="str">
        <f>IFERROR(INDEX(Starter!C:C,MATCH(B7,Starter!A:A,0)),"")</f>
        <v>BSC Highroller Rosenheim</v>
      </c>
      <c r="E7" s="102">
        <f t="shared" si="3"/>
        <v>1717</v>
      </c>
      <c r="F7">
        <f t="shared" si="4"/>
        <v>9</v>
      </c>
      <c r="G7" s="137">
        <f t="shared" si="5"/>
        <v>190.77777775277778</v>
      </c>
      <c r="L7" s="227">
        <f>INDEX(Starter!A:A,ROW()-1)</f>
        <v>7889</v>
      </c>
      <c r="M7">
        <f>SUMIF(Erfassung4!BD:BD,L7,Erfassung4!BW:BW)</f>
        <v>676</v>
      </c>
      <c r="N7">
        <f>SUMIF(Erfassung4!BD:BD,L7,Erfassung4!BG:BG)</f>
        <v>4</v>
      </c>
      <c r="O7">
        <f t="shared" si="0"/>
        <v>168.99999999299999</v>
      </c>
      <c r="P7">
        <f t="shared" si="1"/>
        <v>32</v>
      </c>
    </row>
    <row r="8" spans="1:16" x14ac:dyDescent="0.35">
      <c r="A8">
        <f t="shared" si="6"/>
        <v>4</v>
      </c>
      <c r="B8">
        <f t="shared" si="2"/>
        <v>7534</v>
      </c>
      <c r="C8" t="str">
        <f>IFERROR(INDEX(Starter!B:B,MATCH(B8,Starter!A:A,0)),"")</f>
        <v>Lieb, Anja</v>
      </c>
      <c r="D8" t="str">
        <f>IFERROR(INDEX(Starter!C:C,MATCH(B8,Starter!A:A,0)),"")</f>
        <v>BC E.P.A. München</v>
      </c>
      <c r="E8" s="102">
        <f t="shared" si="3"/>
        <v>1706</v>
      </c>
      <c r="F8">
        <f t="shared" si="4"/>
        <v>9</v>
      </c>
      <c r="G8" s="137">
        <f t="shared" si="5"/>
        <v>189.55555548455555</v>
      </c>
      <c r="L8" s="227">
        <f>INDEX(Starter!A:A,ROW()-1)</f>
        <v>38222</v>
      </c>
      <c r="M8">
        <f>SUMIF(Erfassung4!BD:BD,L8,Erfassung4!BW:BW)</f>
        <v>0</v>
      </c>
      <c r="N8">
        <f>SUMIF(Erfassung4!BD:BD,L8,Erfassung4!BG:BG)</f>
        <v>0</v>
      </c>
      <c r="O8">
        <f t="shared" si="0"/>
        <v>0</v>
      </c>
      <c r="P8">
        <f t="shared" si="1"/>
        <v>45</v>
      </c>
    </row>
    <row r="9" spans="1:16" x14ac:dyDescent="0.35">
      <c r="A9">
        <f t="shared" si="6"/>
        <v>5</v>
      </c>
      <c r="B9">
        <f t="shared" si="2"/>
        <v>16594</v>
      </c>
      <c r="C9" t="str">
        <f>IFERROR(INDEX(Starter!B:B,MATCH(B9,Starter!A:A,0)),"")</f>
        <v>Schott, Monika</v>
      </c>
      <c r="D9" t="str">
        <f>IFERROR(INDEX(Starter!C:C,MATCH(B9,Starter!A:A,0)),"")</f>
        <v>BK München</v>
      </c>
      <c r="E9" s="102">
        <f t="shared" si="3"/>
        <v>1677</v>
      </c>
      <c r="F9">
        <f t="shared" si="4"/>
        <v>9</v>
      </c>
      <c r="G9" s="137">
        <f t="shared" si="5"/>
        <v>186.33333332133336</v>
      </c>
      <c r="L9" s="227">
        <f>INDEX(Starter!A:A,ROW()-1)</f>
        <v>38438</v>
      </c>
      <c r="M9">
        <f>SUMIF(Erfassung4!BD:BD,L9,Erfassung4!BW:BW)</f>
        <v>0</v>
      </c>
      <c r="N9">
        <f>SUMIF(Erfassung4!BD:BD,L9,Erfassung4!BG:BG)</f>
        <v>0</v>
      </c>
      <c r="O9">
        <f t="shared" si="0"/>
        <v>0</v>
      </c>
      <c r="P9">
        <f t="shared" si="1"/>
        <v>45</v>
      </c>
    </row>
    <row r="10" spans="1:16" x14ac:dyDescent="0.35">
      <c r="A10">
        <f t="shared" si="6"/>
        <v>6</v>
      </c>
      <c r="B10">
        <f t="shared" si="2"/>
        <v>25192</v>
      </c>
      <c r="C10" t="str">
        <f>IFERROR(INDEX(Starter!B:B,MATCH(B10,Starter!A:A,0)),"")</f>
        <v>Bess, Vanessa</v>
      </c>
      <c r="D10" t="str">
        <f>IFERROR(INDEX(Starter!C:C,MATCH(B10,Starter!A:A,0)),"")</f>
        <v>BC E.P.A. München</v>
      </c>
      <c r="E10" s="102">
        <f t="shared" si="3"/>
        <v>742</v>
      </c>
      <c r="F10">
        <f t="shared" si="4"/>
        <v>4</v>
      </c>
      <c r="G10" s="137">
        <f t="shared" si="5"/>
        <v>185.49999993099999</v>
      </c>
      <c r="L10" s="227">
        <f>INDEX(Starter!A:A,ROW()-1)</f>
        <v>38553</v>
      </c>
      <c r="M10">
        <f>SUMIF(Erfassung4!BD:BD,L10,Erfassung4!BW:BW)</f>
        <v>0</v>
      </c>
      <c r="N10">
        <f>SUMIF(Erfassung4!BD:BD,L10,Erfassung4!BG:BG)</f>
        <v>0</v>
      </c>
      <c r="O10">
        <f t="shared" si="0"/>
        <v>0</v>
      </c>
      <c r="P10">
        <f t="shared" si="1"/>
        <v>45</v>
      </c>
    </row>
    <row r="11" spans="1:16" x14ac:dyDescent="0.35">
      <c r="A11">
        <f t="shared" si="6"/>
        <v>7</v>
      </c>
      <c r="B11">
        <f t="shared" si="2"/>
        <v>7574</v>
      </c>
      <c r="C11" t="str">
        <f>IFERROR(INDEX(Starter!B:B,MATCH(B11,Starter!A:A,0)),"")</f>
        <v>Clemenz, Brigitte</v>
      </c>
      <c r="D11" t="str">
        <f>IFERROR(INDEX(Starter!C:C,MATCH(B11,Starter!A:A,0)),"")</f>
        <v>BK München</v>
      </c>
      <c r="E11" s="102">
        <f t="shared" si="3"/>
        <v>1288</v>
      </c>
      <c r="F11">
        <f t="shared" si="4"/>
        <v>7</v>
      </c>
      <c r="G11" s="137">
        <f t="shared" si="5"/>
        <v>183.99999998199999</v>
      </c>
      <c r="L11" s="227">
        <f>INDEX(Starter!A:A,ROW()-1)</f>
        <v>38350</v>
      </c>
      <c r="M11">
        <f>SUMIF(Erfassung4!BD:BD,L11,Erfassung4!BW:BW)</f>
        <v>1565</v>
      </c>
      <c r="N11">
        <f>SUMIF(Erfassung4!BD:BD,L11,Erfassung4!BG:BG)</f>
        <v>9</v>
      </c>
      <c r="O11">
        <f t="shared" si="0"/>
        <v>173.88888887788889</v>
      </c>
      <c r="P11">
        <f t="shared" si="1"/>
        <v>18</v>
      </c>
    </row>
    <row r="12" spans="1:16" x14ac:dyDescent="0.35">
      <c r="A12">
        <f t="shared" si="6"/>
        <v>8</v>
      </c>
      <c r="B12">
        <f t="shared" si="2"/>
        <v>25630</v>
      </c>
      <c r="C12" t="str">
        <f>IFERROR(INDEX(Starter!B:B,MATCH(B12,Starter!A:A,0)),"")</f>
        <v>Groll, Hanni</v>
      </c>
      <c r="D12" t="str">
        <f>IFERROR(INDEX(Starter!C:C,MATCH(B12,Starter!A:A,0)),"")</f>
        <v>BSC Highroller Rosenheim</v>
      </c>
      <c r="E12" s="102">
        <f t="shared" si="3"/>
        <v>1655</v>
      </c>
      <c r="F12">
        <f t="shared" si="4"/>
        <v>9</v>
      </c>
      <c r="G12" s="137">
        <f t="shared" si="5"/>
        <v>183.88888886288888</v>
      </c>
      <c r="L12" s="227">
        <f>INDEX(Starter!A:A,ROW()-1)</f>
        <v>16594</v>
      </c>
      <c r="M12">
        <f>SUMIF(Erfassung4!BD:BD,L12,Erfassung4!BW:BW)</f>
        <v>1677</v>
      </c>
      <c r="N12">
        <f>SUMIF(Erfassung4!BD:BD,L12,Erfassung4!BG:BG)</f>
        <v>9</v>
      </c>
      <c r="O12">
        <f t="shared" si="0"/>
        <v>186.33333332133336</v>
      </c>
      <c r="P12">
        <f t="shared" si="1"/>
        <v>5</v>
      </c>
    </row>
    <row r="13" spans="1:16" x14ac:dyDescent="0.35">
      <c r="A13">
        <f t="shared" si="6"/>
        <v>9</v>
      </c>
      <c r="B13">
        <f t="shared" si="2"/>
        <v>25798</v>
      </c>
      <c r="C13" t="str">
        <f>IFERROR(INDEX(Starter!B:B,MATCH(B13,Starter!A:A,0)),"")</f>
        <v>Kicker-Mihatsch, Elvira</v>
      </c>
      <c r="D13" t="str">
        <f>IFERROR(INDEX(Starter!C:C,MATCH(B13,Starter!A:A,0)),"")</f>
        <v>BC Praetoria</v>
      </c>
      <c r="E13" s="102">
        <f t="shared" si="3"/>
        <v>1649</v>
      </c>
      <c r="F13">
        <f t="shared" si="4"/>
        <v>9</v>
      </c>
      <c r="G13" s="137">
        <f t="shared" si="5"/>
        <v>183.22222221822224</v>
      </c>
      <c r="L13" s="227">
        <f>INDEX(Starter!A:A,ROW()-1)</f>
        <v>16595</v>
      </c>
      <c r="M13">
        <f>SUMIF(Erfassung4!BD:BD,L13,Erfassung4!BW:BW)</f>
        <v>1551</v>
      </c>
      <c r="N13">
        <f>SUMIF(Erfassung4!BD:BD,L13,Erfassung4!BG:BG)</f>
        <v>9</v>
      </c>
      <c r="O13">
        <f t="shared" si="0"/>
        <v>172.33333332033334</v>
      </c>
      <c r="P13">
        <f t="shared" si="1"/>
        <v>22</v>
      </c>
    </row>
    <row r="14" spans="1:16" x14ac:dyDescent="0.35">
      <c r="A14">
        <f t="shared" si="6"/>
        <v>10</v>
      </c>
      <c r="B14">
        <f t="shared" si="2"/>
        <v>7903</v>
      </c>
      <c r="C14" t="str">
        <f>IFERROR(INDEX(Starter!B:B,MATCH(B14,Starter!A:A,0)),"")</f>
        <v>Spieler, Regina</v>
      </c>
      <c r="D14" t="str">
        <f>IFERROR(INDEX(Starter!C:C,MATCH(B14,Starter!A:A,0)),"")</f>
        <v>BC Praetoria</v>
      </c>
      <c r="E14" s="102">
        <f t="shared" si="3"/>
        <v>912</v>
      </c>
      <c r="F14">
        <f t="shared" si="4"/>
        <v>5</v>
      </c>
      <c r="G14" s="137">
        <f t="shared" si="5"/>
        <v>182.399999995</v>
      </c>
      <c r="L14" s="227">
        <f>INDEX(Starter!A:A,ROW()-1)</f>
        <v>7061</v>
      </c>
      <c r="M14">
        <f>SUMIF(Erfassung4!BD:BD,L14,Erfassung4!BW:BW)</f>
        <v>1454</v>
      </c>
      <c r="N14">
        <f>SUMIF(Erfassung4!BD:BD,L14,Erfassung4!BG:BG)</f>
        <v>9</v>
      </c>
      <c r="O14">
        <f t="shared" si="0"/>
        <v>161.55555554155555</v>
      </c>
      <c r="P14">
        <f t="shared" si="1"/>
        <v>42</v>
      </c>
    </row>
    <row r="15" spans="1:16" x14ac:dyDescent="0.35">
      <c r="A15">
        <f t="shared" si="6"/>
        <v>11</v>
      </c>
      <c r="B15">
        <f t="shared" si="2"/>
        <v>38258</v>
      </c>
      <c r="C15" t="str">
        <f>IFERROR(INDEX(Starter!B:B,MATCH(B15,Starter!A:A,0)),"")</f>
        <v>Bösl, Anna</v>
      </c>
      <c r="D15" t="str">
        <f>IFERROR(INDEX(Starter!C:C,MATCH(B15,Starter!A:A,0)),"")</f>
        <v>BC Praetoria</v>
      </c>
      <c r="E15" s="102">
        <f t="shared" si="3"/>
        <v>1637</v>
      </c>
      <c r="F15">
        <f t="shared" si="4"/>
        <v>9</v>
      </c>
      <c r="G15" s="137">
        <f t="shared" si="5"/>
        <v>181.88888888588889</v>
      </c>
      <c r="L15" s="227">
        <f>INDEX(Starter!A:A,ROW()-1)</f>
        <v>25550</v>
      </c>
      <c r="M15">
        <f>SUMIF(Erfassung4!BD:BD,L15,Erfassung4!BW:BW)</f>
        <v>0</v>
      </c>
      <c r="N15">
        <f>SUMIF(Erfassung4!BD:BD,L15,Erfassung4!BG:BG)</f>
        <v>0</v>
      </c>
      <c r="O15">
        <f t="shared" si="0"/>
        <v>0</v>
      </c>
      <c r="P15">
        <f t="shared" si="1"/>
        <v>45</v>
      </c>
    </row>
    <row r="16" spans="1:16" x14ac:dyDescent="0.35">
      <c r="A16">
        <f t="shared" si="6"/>
        <v>12</v>
      </c>
      <c r="B16">
        <f t="shared" si="2"/>
        <v>7549</v>
      </c>
      <c r="C16" t="str">
        <f>IFERROR(INDEX(Starter!B:B,MATCH(B16,Starter!A:A,0)),"")</f>
        <v>Hernitschek, Angelika</v>
      </c>
      <c r="D16" t="str">
        <f>IFERROR(INDEX(Starter!C:C,MATCH(B16,Starter!A:A,0)),"")</f>
        <v>BC E.P.A. München</v>
      </c>
      <c r="E16" s="102">
        <f t="shared" si="3"/>
        <v>1636</v>
      </c>
      <c r="F16">
        <f t="shared" si="4"/>
        <v>9</v>
      </c>
      <c r="G16" s="137">
        <f t="shared" si="5"/>
        <v>181.77777770977778</v>
      </c>
      <c r="L16" s="227">
        <f>INDEX(Starter!A:A,ROW()-1)</f>
        <v>7578</v>
      </c>
      <c r="M16">
        <f>SUMIF(Erfassung4!BD:BD,L16,Erfassung4!BW:BW)</f>
        <v>1576</v>
      </c>
      <c r="N16">
        <f>SUMIF(Erfassung4!BD:BD,L16,Erfassung4!BG:BG)</f>
        <v>9</v>
      </c>
      <c r="O16">
        <f t="shared" si="0"/>
        <v>175.11111109511111</v>
      </c>
      <c r="P16">
        <f t="shared" si="1"/>
        <v>16</v>
      </c>
    </row>
    <row r="17" spans="1:16" x14ac:dyDescent="0.35">
      <c r="A17">
        <f t="shared" si="6"/>
        <v>13</v>
      </c>
      <c r="B17">
        <f t="shared" si="2"/>
        <v>38513</v>
      </c>
      <c r="C17" t="str">
        <f>IFERROR(INDEX(Starter!B:B,MATCH(B17,Starter!A:A,0)),"")</f>
        <v>Thöne, Melanie</v>
      </c>
      <c r="D17" t="str">
        <f>IFERROR(INDEX(Starter!C:C,MATCH(B17,Starter!A:A,0)),"")</f>
        <v>BF Rot-Weiß Lichtenhof 69</v>
      </c>
      <c r="E17" s="102">
        <f t="shared" si="3"/>
        <v>1240</v>
      </c>
      <c r="F17">
        <f t="shared" si="4"/>
        <v>7</v>
      </c>
      <c r="G17" s="137">
        <f t="shared" si="5"/>
        <v>177.14285708385714</v>
      </c>
      <c r="L17" s="227">
        <f>INDEX(Starter!A:A,ROW()-1)</f>
        <v>7575</v>
      </c>
      <c r="M17">
        <f>SUMIF(Erfassung4!BD:BD,L17,Erfassung4!BW:BW)</f>
        <v>1061</v>
      </c>
      <c r="N17">
        <f>SUMIF(Erfassung4!BD:BD,L17,Erfassung4!BG:BG)</f>
        <v>6</v>
      </c>
      <c r="O17">
        <f t="shared" si="0"/>
        <v>176.83333331633335</v>
      </c>
      <c r="P17">
        <f t="shared" si="1"/>
        <v>14</v>
      </c>
    </row>
    <row r="18" spans="1:16" x14ac:dyDescent="0.35">
      <c r="A18">
        <f t="shared" si="6"/>
        <v>14</v>
      </c>
      <c r="B18">
        <f t="shared" si="2"/>
        <v>7575</v>
      </c>
      <c r="C18" t="str">
        <f>IFERROR(INDEX(Starter!B:B,MATCH(B18,Starter!A:A,0)),"")</f>
        <v>Dozauer, Jessica</v>
      </c>
      <c r="D18" t="str">
        <f>IFERROR(INDEX(Starter!C:C,MATCH(B18,Starter!A:A,0)),"")</f>
        <v>BK München</v>
      </c>
      <c r="E18" s="102">
        <f t="shared" si="3"/>
        <v>1061</v>
      </c>
      <c r="F18">
        <f t="shared" si="4"/>
        <v>6</v>
      </c>
      <c r="G18" s="137">
        <f t="shared" si="5"/>
        <v>176.83333331633335</v>
      </c>
      <c r="L18" s="227">
        <f>INDEX(Starter!A:A,ROW()-1)</f>
        <v>7574</v>
      </c>
      <c r="M18">
        <f>SUMIF(Erfassung4!BD:BD,L18,Erfassung4!BW:BW)</f>
        <v>1288</v>
      </c>
      <c r="N18">
        <f>SUMIF(Erfassung4!BD:BD,L18,Erfassung4!BG:BG)</f>
        <v>7</v>
      </c>
      <c r="O18">
        <f t="shared" si="0"/>
        <v>183.99999998199999</v>
      </c>
      <c r="P18">
        <f t="shared" si="1"/>
        <v>7</v>
      </c>
    </row>
    <row r="19" spans="1:16" x14ac:dyDescent="0.35">
      <c r="A19">
        <f t="shared" si="6"/>
        <v>15</v>
      </c>
      <c r="B19">
        <f t="shared" si="2"/>
        <v>7087</v>
      </c>
      <c r="C19" t="str">
        <f>IFERROR(INDEX(Starter!B:B,MATCH(B19,Starter!A:A,0)),"")</f>
        <v>Albert, Beate</v>
      </c>
      <c r="D19" t="str">
        <f>IFERROR(INDEX(Starter!C:C,MATCH(B19,Starter!A:A,0)),"")</f>
        <v>BF Weiß-Blau</v>
      </c>
      <c r="E19" s="102">
        <f t="shared" si="3"/>
        <v>1414</v>
      </c>
      <c r="F19">
        <f t="shared" si="4"/>
        <v>8</v>
      </c>
      <c r="G19" s="137">
        <f t="shared" si="5"/>
        <v>176.74999995499999</v>
      </c>
      <c r="L19" s="227">
        <f>INDEX(Starter!A:A,ROW()-1)</f>
        <v>7576</v>
      </c>
      <c r="M19">
        <f>SUMIF(Erfassung4!BD:BD,L19,Erfassung4!BW:BW)</f>
        <v>0</v>
      </c>
      <c r="N19">
        <f>SUMIF(Erfassung4!BD:BD,L19,Erfassung4!BG:BG)</f>
        <v>0</v>
      </c>
      <c r="O19">
        <f t="shared" si="0"/>
        <v>0</v>
      </c>
      <c r="P19">
        <f t="shared" si="1"/>
        <v>45</v>
      </c>
    </row>
    <row r="20" spans="1:16" x14ac:dyDescent="0.35">
      <c r="A20">
        <f t="shared" si="6"/>
        <v>16</v>
      </c>
      <c r="B20">
        <f t="shared" si="2"/>
        <v>7578</v>
      </c>
      <c r="C20" t="str">
        <f>IFERROR(INDEX(Starter!B:B,MATCH(B20,Starter!A:A,0)),"")</f>
        <v>Hinterwimmer, Sabine</v>
      </c>
      <c r="D20" t="str">
        <f>IFERROR(INDEX(Starter!C:C,MATCH(B20,Starter!A:A,0)),"")</f>
        <v>BK München</v>
      </c>
      <c r="E20" s="102">
        <f t="shared" si="3"/>
        <v>1576</v>
      </c>
      <c r="F20">
        <f t="shared" si="4"/>
        <v>9</v>
      </c>
      <c r="G20" s="137">
        <f t="shared" si="5"/>
        <v>175.11111109511111</v>
      </c>
      <c r="L20" s="227">
        <f>INDEX(Starter!A:A,ROW()-1)</f>
        <v>12850</v>
      </c>
      <c r="M20">
        <f>SUMIF(Erfassung4!BD:BD,L20,Erfassung4!BW:BW)</f>
        <v>1202</v>
      </c>
      <c r="N20">
        <f>SUMIF(Erfassung4!BD:BD,L20,Erfassung4!BG:BG)</f>
        <v>7</v>
      </c>
      <c r="O20">
        <f t="shared" si="0"/>
        <v>171.71428569428573</v>
      </c>
      <c r="P20">
        <f t="shared" si="1"/>
        <v>24</v>
      </c>
    </row>
    <row r="21" spans="1:16" x14ac:dyDescent="0.35">
      <c r="A21">
        <f t="shared" si="6"/>
        <v>17</v>
      </c>
      <c r="B21">
        <f t="shared" si="2"/>
        <v>7801</v>
      </c>
      <c r="C21" t="str">
        <f>IFERROR(INDEX(Starter!B:B,MATCH(B21,Starter!A:A,0)),"")</f>
        <v>Schuster, Katharina</v>
      </c>
      <c r="D21" t="str">
        <f>IFERROR(INDEX(Starter!C:C,MATCH(B21,Starter!A:A,0)),"")</f>
        <v>BC Phönix 03 Lauf</v>
      </c>
      <c r="E21" s="102">
        <f t="shared" si="3"/>
        <v>1569</v>
      </c>
      <c r="F21">
        <f t="shared" si="4"/>
        <v>9</v>
      </c>
      <c r="G21" s="137">
        <f t="shared" si="5"/>
        <v>174.33333327733334</v>
      </c>
      <c r="L21" s="227">
        <f>INDEX(Starter!A:A,ROW()-1)</f>
        <v>16879</v>
      </c>
      <c r="M21">
        <f>SUMIF(Erfassung4!BD:BD,L21,Erfassung4!BW:BW)</f>
        <v>1026</v>
      </c>
      <c r="N21">
        <f>SUMIF(Erfassung4!BD:BD,L21,Erfassung4!BG:BG)</f>
        <v>6</v>
      </c>
      <c r="O21">
        <f t="shared" si="0"/>
        <v>170.99999997899999</v>
      </c>
      <c r="P21">
        <f t="shared" si="1"/>
        <v>27</v>
      </c>
    </row>
    <row r="22" spans="1:16" x14ac:dyDescent="0.35">
      <c r="A22">
        <f t="shared" si="6"/>
        <v>18</v>
      </c>
      <c r="B22">
        <f t="shared" si="2"/>
        <v>38350</v>
      </c>
      <c r="C22" t="str">
        <f>IFERROR(INDEX(Starter!B:B,MATCH(B22,Starter!A:A,0)),"")</f>
        <v>Seeger, Melanie</v>
      </c>
      <c r="D22" t="str">
        <f>IFERROR(INDEX(Starter!C:C,MATCH(B22,Starter!A:A,0)),"")</f>
        <v>BK München</v>
      </c>
      <c r="E22" s="102">
        <f t="shared" si="3"/>
        <v>1565</v>
      </c>
      <c r="F22">
        <f t="shared" si="4"/>
        <v>9</v>
      </c>
      <c r="G22" s="137">
        <f t="shared" si="5"/>
        <v>173.88888887788889</v>
      </c>
      <c r="L22" s="227">
        <f>INDEX(Starter!A:A,ROW()-1)</f>
        <v>7991</v>
      </c>
      <c r="M22">
        <f>SUMIF(Erfassung4!BD:BD,L22,Erfassung4!BW:BW)</f>
        <v>0</v>
      </c>
      <c r="N22">
        <f>SUMIF(Erfassung4!BD:BD,L22,Erfassung4!BG:BG)</f>
        <v>0</v>
      </c>
      <c r="O22">
        <f t="shared" si="0"/>
        <v>0</v>
      </c>
      <c r="P22">
        <f t="shared" si="1"/>
        <v>45</v>
      </c>
    </row>
    <row r="23" spans="1:16" x14ac:dyDescent="0.35">
      <c r="A23">
        <f t="shared" si="6"/>
        <v>19</v>
      </c>
      <c r="B23">
        <f t="shared" si="2"/>
        <v>7786</v>
      </c>
      <c r="C23" t="str">
        <f>IFERROR(INDEX(Starter!B:B,MATCH(B23,Starter!A:A,0)),"")</f>
        <v>Reichel, Christina</v>
      </c>
      <c r="D23" t="str">
        <f>IFERROR(INDEX(Starter!C:C,MATCH(B23,Starter!A:A,0)),"")</f>
        <v>BC Phönix 03 Lauf</v>
      </c>
      <c r="E23" s="102">
        <f t="shared" si="3"/>
        <v>1217</v>
      </c>
      <c r="F23">
        <f t="shared" si="4"/>
        <v>7</v>
      </c>
      <c r="G23" s="137">
        <f t="shared" si="5"/>
        <v>173.85714280214287</v>
      </c>
      <c r="L23" s="227">
        <f>INDEX(Starter!A:A,ROW()-1)</f>
        <v>7024</v>
      </c>
      <c r="M23">
        <f>SUMIF(Erfassung4!BD:BD,L23,Erfassung4!BW:BW)</f>
        <v>0</v>
      </c>
      <c r="N23">
        <f>SUMIF(Erfassung4!BD:BD,L23,Erfassung4!BG:BG)</f>
        <v>0</v>
      </c>
      <c r="O23">
        <f t="shared" si="0"/>
        <v>0</v>
      </c>
      <c r="P23">
        <f t="shared" si="1"/>
        <v>45</v>
      </c>
    </row>
    <row r="24" spans="1:16" x14ac:dyDescent="0.35">
      <c r="A24">
        <f t="shared" si="6"/>
        <v>20</v>
      </c>
      <c r="B24">
        <f t="shared" si="2"/>
        <v>7758</v>
      </c>
      <c r="C24" t="str">
        <f>IFERROR(INDEX(Starter!B:B,MATCH(B24,Starter!A:A,0)),"")</f>
        <v>Deinlein, Christine</v>
      </c>
      <c r="D24" t="str">
        <f>IFERROR(INDEX(Starter!C:C,MATCH(B24,Starter!A:A,0)),"")</f>
        <v>BC Frankenpower</v>
      </c>
      <c r="E24" s="102">
        <f t="shared" si="3"/>
        <v>1559</v>
      </c>
      <c r="F24">
        <f t="shared" si="4"/>
        <v>9</v>
      </c>
      <c r="G24" s="137">
        <f t="shared" si="5"/>
        <v>173.22222219222223</v>
      </c>
      <c r="L24" s="227">
        <f>INDEX(Starter!A:A,ROW()-1)</f>
        <v>25298</v>
      </c>
      <c r="M24">
        <f>SUMIF(Erfassung4!BD:BD,L24,Erfassung4!BW:BW)</f>
        <v>823</v>
      </c>
      <c r="N24">
        <f>SUMIF(Erfassung4!BD:BD,L24,Erfassung4!BG:BG)</f>
        <v>5</v>
      </c>
      <c r="O24">
        <f t="shared" si="0"/>
        <v>164.59999997599999</v>
      </c>
      <c r="P24">
        <f t="shared" si="1"/>
        <v>39</v>
      </c>
    </row>
    <row r="25" spans="1:16" x14ac:dyDescent="0.35">
      <c r="A25">
        <f t="shared" si="6"/>
        <v>21</v>
      </c>
      <c r="B25">
        <f t="shared" si="2"/>
        <v>7753</v>
      </c>
      <c r="C25" t="str">
        <f>IFERROR(INDEX(Starter!B:B,MATCH(B25,Starter!A:A,0)),"")</f>
        <v>Krämer, Gisela</v>
      </c>
      <c r="D25" t="str">
        <f>IFERROR(INDEX(Starter!C:C,MATCH(B25,Starter!A:A,0)),"")</f>
        <v>BC Frankenpower</v>
      </c>
      <c r="E25" s="102">
        <f t="shared" si="3"/>
        <v>1558</v>
      </c>
      <c r="F25">
        <f t="shared" si="4"/>
        <v>9</v>
      </c>
      <c r="G25" s="137">
        <f t="shared" si="5"/>
        <v>173.11111108211111</v>
      </c>
      <c r="L25" s="227">
        <f>INDEX(Starter!A:A,ROW()-1)</f>
        <v>38757</v>
      </c>
      <c r="M25">
        <f>SUMIF(Erfassung4!BD:BD,L25,Erfassung4!BW:BW)</f>
        <v>1717</v>
      </c>
      <c r="N25">
        <f>SUMIF(Erfassung4!BD:BD,L25,Erfassung4!BG:BG)</f>
        <v>9</v>
      </c>
      <c r="O25">
        <f t="shared" si="0"/>
        <v>190.77777775277778</v>
      </c>
      <c r="P25">
        <f t="shared" si="1"/>
        <v>3</v>
      </c>
    </row>
    <row r="26" spans="1:16" x14ac:dyDescent="0.35">
      <c r="A26">
        <f t="shared" si="6"/>
        <v>22</v>
      </c>
      <c r="B26">
        <f t="shared" si="2"/>
        <v>16595</v>
      </c>
      <c r="C26" t="str">
        <f>IFERROR(INDEX(Starter!B:B,MATCH(B26,Starter!A:A,0)),"")</f>
        <v>Schott, Nicole</v>
      </c>
      <c r="D26" t="str">
        <f>IFERROR(INDEX(Starter!C:C,MATCH(B26,Starter!A:A,0)),"")</f>
        <v>BK München</v>
      </c>
      <c r="E26" s="102">
        <f t="shared" si="3"/>
        <v>1551</v>
      </c>
      <c r="F26">
        <f t="shared" si="4"/>
        <v>9</v>
      </c>
      <c r="G26" s="137">
        <f t="shared" si="5"/>
        <v>172.33333332033334</v>
      </c>
      <c r="L26" s="227">
        <f>INDEX(Starter!A:A,ROW()-1)</f>
        <v>25630</v>
      </c>
      <c r="M26">
        <f>SUMIF(Erfassung4!BD:BD,L26,Erfassung4!BW:BW)</f>
        <v>1655</v>
      </c>
      <c r="N26">
        <f>SUMIF(Erfassung4!BD:BD,L26,Erfassung4!BG:BG)</f>
        <v>9</v>
      </c>
      <c r="O26">
        <f t="shared" si="0"/>
        <v>183.88888886288888</v>
      </c>
      <c r="P26">
        <f t="shared" si="1"/>
        <v>8</v>
      </c>
    </row>
    <row r="27" spans="1:16" x14ac:dyDescent="0.35">
      <c r="A27">
        <f t="shared" si="6"/>
        <v>23</v>
      </c>
      <c r="B27">
        <f t="shared" si="2"/>
        <v>7972</v>
      </c>
      <c r="C27" t="str">
        <f>IFERROR(INDEX(Starter!B:B,MATCH(B27,Starter!A:A,0)),"")</f>
        <v>Hödl, Renate</v>
      </c>
      <c r="D27" t="str">
        <f>IFERROR(INDEX(Starter!C:C,MATCH(B27,Starter!A:A,0)),"")</f>
        <v>BF Rot-Weiß Lichtenhof 69</v>
      </c>
      <c r="E27" s="102">
        <f t="shared" si="3"/>
        <v>1204</v>
      </c>
      <c r="F27">
        <f t="shared" si="4"/>
        <v>7</v>
      </c>
      <c r="G27" s="137">
        <f t="shared" si="5"/>
        <v>171.99999994000001</v>
      </c>
      <c r="L27" s="227">
        <f>INDEX(Starter!A:A,ROW()-1)</f>
        <v>38758</v>
      </c>
      <c r="M27">
        <f>SUMIF(Erfassung4!BD:BD,L27,Erfassung4!BW:BW)</f>
        <v>1371</v>
      </c>
      <c r="N27">
        <f>SUMIF(Erfassung4!BD:BD,L27,Erfassung4!BG:BG)</f>
        <v>8</v>
      </c>
      <c r="O27">
        <f t="shared" si="0"/>
        <v>171.374999973</v>
      </c>
      <c r="P27">
        <f t="shared" si="1"/>
        <v>26</v>
      </c>
    </row>
    <row r="28" spans="1:16" x14ac:dyDescent="0.35">
      <c r="A28">
        <f t="shared" si="6"/>
        <v>24</v>
      </c>
      <c r="B28">
        <f t="shared" si="2"/>
        <v>12850</v>
      </c>
      <c r="C28" t="str">
        <f>IFERROR(INDEX(Starter!B:B,MATCH(B28,Starter!A:A,0)),"")</f>
        <v>Müller, Angelika</v>
      </c>
      <c r="D28" t="str">
        <f>IFERROR(INDEX(Starter!C:C,MATCH(B28,Starter!A:A,0)),"")</f>
        <v>BK München</v>
      </c>
      <c r="E28" s="102">
        <f t="shared" si="3"/>
        <v>1202</v>
      </c>
      <c r="F28">
        <f t="shared" si="4"/>
        <v>7</v>
      </c>
      <c r="G28" s="137">
        <f t="shared" si="5"/>
        <v>171.71428569428573</v>
      </c>
      <c r="L28" s="227">
        <f>INDEX(Starter!A:A,ROW()-1)</f>
        <v>7754</v>
      </c>
      <c r="M28">
        <f>SUMIF(Erfassung4!BD:BD,L28,Erfassung4!BW:BW)</f>
        <v>0</v>
      </c>
      <c r="N28">
        <f>SUMIF(Erfassung4!BD:BD,L28,Erfassung4!BG:BG)</f>
        <v>0</v>
      </c>
      <c r="O28">
        <f t="shared" si="0"/>
        <v>0</v>
      </c>
      <c r="P28">
        <f t="shared" si="1"/>
        <v>45</v>
      </c>
    </row>
    <row r="29" spans="1:16" x14ac:dyDescent="0.35">
      <c r="A29">
        <f t="shared" si="6"/>
        <v>25</v>
      </c>
      <c r="B29">
        <f t="shared" si="2"/>
        <v>38560</v>
      </c>
      <c r="C29" t="str">
        <f>IFERROR(INDEX(Starter!B:B,MATCH(B29,Starter!A:A,0)),"")</f>
        <v>Reng, Verena</v>
      </c>
      <c r="D29" t="str">
        <f>IFERROR(INDEX(Starter!C:C,MATCH(B29,Starter!A:A,0)),"")</f>
        <v>BC Frankenpower</v>
      </c>
      <c r="E29" s="102">
        <f t="shared" si="3"/>
        <v>1545</v>
      </c>
      <c r="F29">
        <f t="shared" si="4"/>
        <v>9</v>
      </c>
      <c r="G29" s="137">
        <f t="shared" si="5"/>
        <v>171.66666663466665</v>
      </c>
      <c r="L29" s="227">
        <f>INDEX(Starter!A:A,ROW()-1)</f>
        <v>7753</v>
      </c>
      <c r="M29">
        <f>SUMIF(Erfassung4!BD:BD,L29,Erfassung4!BW:BW)</f>
        <v>1558</v>
      </c>
      <c r="N29">
        <f>SUMIF(Erfassung4!BD:BD,L29,Erfassung4!BG:BG)</f>
        <v>9</v>
      </c>
      <c r="O29">
        <f t="shared" si="0"/>
        <v>173.11111108211111</v>
      </c>
      <c r="P29">
        <f t="shared" si="1"/>
        <v>21</v>
      </c>
    </row>
    <row r="30" spans="1:16" x14ac:dyDescent="0.35">
      <c r="A30">
        <f t="shared" si="6"/>
        <v>26</v>
      </c>
      <c r="B30">
        <f t="shared" si="2"/>
        <v>38758</v>
      </c>
      <c r="C30" t="str">
        <f>IFERROR(INDEX(Starter!B:B,MATCH(B30,Starter!A:A,0)),"")</f>
        <v>Rauscher, Julia</v>
      </c>
      <c r="D30" t="str">
        <f>IFERROR(INDEX(Starter!C:C,MATCH(B30,Starter!A:A,0)),"")</f>
        <v>BSC Highroller Rosenheim</v>
      </c>
      <c r="E30" s="102">
        <f t="shared" si="3"/>
        <v>1371</v>
      </c>
      <c r="F30">
        <f t="shared" si="4"/>
        <v>8</v>
      </c>
      <c r="G30" s="137">
        <f t="shared" si="5"/>
        <v>171.374999973</v>
      </c>
      <c r="L30" s="227">
        <f>INDEX(Starter!A:A,ROW()-1)</f>
        <v>7758</v>
      </c>
      <c r="M30">
        <f>SUMIF(Erfassung4!BD:BD,L30,Erfassung4!BW:BW)</f>
        <v>1559</v>
      </c>
      <c r="N30">
        <f>SUMIF(Erfassung4!BD:BD,L30,Erfassung4!BG:BG)</f>
        <v>9</v>
      </c>
      <c r="O30">
        <f t="shared" si="0"/>
        <v>173.22222219222223</v>
      </c>
      <c r="P30">
        <f t="shared" si="1"/>
        <v>20</v>
      </c>
    </row>
    <row r="31" spans="1:16" x14ac:dyDescent="0.35">
      <c r="A31">
        <f t="shared" si="6"/>
        <v>27</v>
      </c>
      <c r="B31">
        <f t="shared" si="2"/>
        <v>16879</v>
      </c>
      <c r="C31" t="str">
        <f>IFERROR(INDEX(Starter!B:B,MATCH(B31,Starter!A:A,0)),"")</f>
        <v>Danzer, Andrea</v>
      </c>
      <c r="D31" t="str">
        <f>IFERROR(INDEX(Starter!C:C,MATCH(B31,Starter!A:A,0)),"")</f>
        <v>BK München</v>
      </c>
      <c r="E31" s="102">
        <f t="shared" si="3"/>
        <v>1026</v>
      </c>
      <c r="F31">
        <f t="shared" si="4"/>
        <v>6</v>
      </c>
      <c r="G31" s="137">
        <f t="shared" si="5"/>
        <v>170.99999997899999</v>
      </c>
      <c r="L31" s="227">
        <f>INDEX(Starter!A:A,ROW()-1)</f>
        <v>7757</v>
      </c>
      <c r="M31">
        <f>SUMIF(Erfassung4!BD:BD,L31,Erfassung4!BW:BW)</f>
        <v>1467</v>
      </c>
      <c r="N31">
        <f>SUMIF(Erfassung4!BD:BD,L31,Erfassung4!BG:BG)</f>
        <v>9</v>
      </c>
      <c r="O31">
        <f t="shared" si="0"/>
        <v>162.99999996899999</v>
      </c>
      <c r="P31">
        <f t="shared" si="1"/>
        <v>41</v>
      </c>
    </row>
    <row r="32" spans="1:16" x14ac:dyDescent="0.35">
      <c r="A32">
        <f t="shared" si="6"/>
        <v>28</v>
      </c>
      <c r="B32">
        <f t="shared" si="2"/>
        <v>38458</v>
      </c>
      <c r="C32" t="str">
        <f>IFERROR(INDEX(Starter!B:B,MATCH(B32,Starter!A:A,0)),"")</f>
        <v>Lindner, Theresa</v>
      </c>
      <c r="D32" t="str">
        <f>IFERROR(INDEX(Starter!C:C,MATCH(B32,Starter!A:A,0)),"")</f>
        <v>BSC Highroller Rosenheim</v>
      </c>
      <c r="E32" s="102">
        <f t="shared" si="3"/>
        <v>853</v>
      </c>
      <c r="F32">
        <f t="shared" si="4"/>
        <v>5</v>
      </c>
      <c r="G32" s="137">
        <f t="shared" si="5"/>
        <v>170.599999935</v>
      </c>
      <c r="L32" s="227">
        <f>INDEX(Starter!A:A,ROW()-1)</f>
        <v>38560</v>
      </c>
      <c r="M32">
        <f>SUMIF(Erfassung4!BD:BD,L32,Erfassung4!BW:BW)</f>
        <v>1545</v>
      </c>
      <c r="N32">
        <f>SUMIF(Erfassung4!BD:BD,L32,Erfassung4!BG:BG)</f>
        <v>9</v>
      </c>
      <c r="O32">
        <f t="shared" si="0"/>
        <v>171.66666663466665</v>
      </c>
      <c r="P32">
        <f t="shared" si="1"/>
        <v>25</v>
      </c>
    </row>
    <row r="33" spans="1:16" x14ac:dyDescent="0.35">
      <c r="A33">
        <f t="shared" si="6"/>
        <v>29</v>
      </c>
      <c r="B33">
        <f t="shared" si="2"/>
        <v>25982</v>
      </c>
      <c r="C33" t="str">
        <f>IFERROR(INDEX(Starter!B:B,MATCH(B33,Starter!A:A,0)),"")</f>
        <v>Panek, Sandra</v>
      </c>
      <c r="D33" t="str">
        <f>IFERROR(INDEX(Starter!C:C,MATCH(B33,Starter!A:A,0)),"")</f>
        <v>BF Rot-Weiß Lichtenhof 69</v>
      </c>
      <c r="E33" s="102">
        <f t="shared" si="3"/>
        <v>681</v>
      </c>
      <c r="F33">
        <f t="shared" si="4"/>
        <v>4</v>
      </c>
      <c r="G33" s="137">
        <f t="shared" si="5"/>
        <v>170.24999994199999</v>
      </c>
      <c r="L33" s="227">
        <f>INDEX(Starter!A:A,ROW()-1)</f>
        <v>7755</v>
      </c>
      <c r="M33">
        <f>SUMIF(Erfassung4!BD:BD,L33,Erfassung4!BW:BW)</f>
        <v>0</v>
      </c>
      <c r="N33">
        <f>SUMIF(Erfassung4!BD:BD,L33,Erfassung4!BG:BG)</f>
        <v>0</v>
      </c>
      <c r="O33">
        <f t="shared" si="0"/>
        <v>0</v>
      </c>
      <c r="P33">
        <f t="shared" si="1"/>
        <v>45</v>
      </c>
    </row>
    <row r="34" spans="1:16" x14ac:dyDescent="0.35">
      <c r="A34">
        <f t="shared" si="6"/>
        <v>30</v>
      </c>
      <c r="B34">
        <f t="shared" si="2"/>
        <v>7976</v>
      </c>
      <c r="C34" t="str">
        <f>IFERROR(INDEX(Starter!B:B,MATCH(B34,Starter!A:A,0)),"")</f>
        <v>Martisko, Petra</v>
      </c>
      <c r="D34" t="str">
        <f>IFERROR(INDEX(Starter!C:C,MATCH(B34,Starter!A:A,0)),"")</f>
        <v>BF Rot-Weiß Lichtenhof 69</v>
      </c>
      <c r="E34" s="102">
        <f t="shared" si="3"/>
        <v>1527</v>
      </c>
      <c r="F34">
        <f t="shared" si="4"/>
        <v>9</v>
      </c>
      <c r="G34" s="137">
        <f t="shared" si="5"/>
        <v>169.66666660566665</v>
      </c>
      <c r="L34" s="227">
        <f>INDEX(Starter!A:A,ROW()-1)</f>
        <v>7676</v>
      </c>
      <c r="M34">
        <f>SUMIF(Erfassung4!BD:BD,L34,Erfassung4!BW:BW)</f>
        <v>0</v>
      </c>
      <c r="N34">
        <f>SUMIF(Erfassung4!BD:BD,L34,Erfassung4!BG:BG)</f>
        <v>0</v>
      </c>
      <c r="O34">
        <f t="shared" si="0"/>
        <v>0</v>
      </c>
      <c r="P34">
        <f t="shared" si="1"/>
        <v>45</v>
      </c>
    </row>
    <row r="35" spans="1:16" x14ac:dyDescent="0.35">
      <c r="A35">
        <f t="shared" si="6"/>
        <v>31</v>
      </c>
      <c r="B35">
        <f t="shared" si="2"/>
        <v>38210</v>
      </c>
      <c r="C35" t="str">
        <f>IFERROR(INDEX(Starter!B:B,MATCH(B35,Starter!A:A,0)),"")</f>
        <v>Kulzer, Katharina</v>
      </c>
      <c r="D35" t="str">
        <f>IFERROR(INDEX(Starter!C:C,MATCH(B35,Starter!A:A,0)),"")</f>
        <v>BC Phönix 03 Lauf</v>
      </c>
      <c r="E35" s="102">
        <f t="shared" si="3"/>
        <v>677</v>
      </c>
      <c r="F35">
        <f t="shared" si="4"/>
        <v>4</v>
      </c>
      <c r="G35" s="137">
        <f t="shared" si="5"/>
        <v>169.249999933</v>
      </c>
      <c r="L35" s="227">
        <f>INDEX(Starter!A:A,ROW()-1)</f>
        <v>16804</v>
      </c>
      <c r="M35">
        <f>SUMIF(Erfassung4!BD:BD,L35,Erfassung4!BW:BW)</f>
        <v>0</v>
      </c>
      <c r="N35">
        <f>SUMIF(Erfassung4!BD:BD,L35,Erfassung4!BG:BG)</f>
        <v>0</v>
      </c>
      <c r="O35">
        <f t="shared" si="0"/>
        <v>0</v>
      </c>
      <c r="P35">
        <f t="shared" si="1"/>
        <v>45</v>
      </c>
    </row>
    <row r="36" spans="1:16" x14ac:dyDescent="0.35">
      <c r="A36">
        <f t="shared" si="6"/>
        <v>32</v>
      </c>
      <c r="B36">
        <f t="shared" si="2"/>
        <v>7889</v>
      </c>
      <c r="C36" t="str">
        <f>IFERROR(INDEX(Starter!B:B,MATCH(B36,Starter!A:A,0)),"")</f>
        <v>Zahner, Barbara</v>
      </c>
      <c r="D36" t="str">
        <f>IFERROR(INDEX(Starter!C:C,MATCH(B36,Starter!A:A,0)),"")</f>
        <v>BC Praetoria</v>
      </c>
      <c r="E36" s="102">
        <f t="shared" si="3"/>
        <v>676</v>
      </c>
      <c r="F36">
        <f t="shared" si="4"/>
        <v>4</v>
      </c>
      <c r="G36" s="137">
        <f t="shared" si="5"/>
        <v>168.99999999299999</v>
      </c>
      <c r="L36" s="227">
        <f>INDEX(Starter!A:A,ROW()-1)</f>
        <v>7978</v>
      </c>
      <c r="M36">
        <f>SUMIF(Erfassung4!BD:BD,L36,Erfassung4!BW:BW)</f>
        <v>0</v>
      </c>
      <c r="N36">
        <f>SUMIF(Erfassung4!BD:BD,L36,Erfassung4!BG:BG)</f>
        <v>0</v>
      </c>
      <c r="O36">
        <f t="shared" si="0"/>
        <v>0</v>
      </c>
      <c r="P36">
        <f t="shared" si="1"/>
        <v>45</v>
      </c>
    </row>
    <row r="37" spans="1:16" x14ac:dyDescent="0.35">
      <c r="A37">
        <f t="shared" si="6"/>
        <v>33</v>
      </c>
      <c r="B37">
        <f t="shared" ref="B37:B68" si="7">IFERROR(INDEX(L:L,MATCH(A37,P:P,0)),"")</f>
        <v>21185</v>
      </c>
      <c r="C37" t="str">
        <f>IFERROR(INDEX(Starter!B:B,MATCH(B37,Starter!A:A,0)),"")</f>
        <v>Richter, Petra</v>
      </c>
      <c r="D37" t="str">
        <f>IFERROR(INDEX(Starter!C:C,MATCH(B37,Starter!A:A,0)),"")</f>
        <v>BF Weiß-Blau</v>
      </c>
      <c r="E37" s="102">
        <f t="shared" ref="E37:E68" si="8">IFERROR(INDEX(M:M,MATCH(A37,P:P,0)),"")</f>
        <v>1521</v>
      </c>
      <c r="F37">
        <f t="shared" ref="F37:F68" si="9">IFERROR(INDEX(N:N,MATCH(A37,P:P,0)),"")</f>
        <v>9</v>
      </c>
      <c r="G37" s="137">
        <f t="shared" ref="G37:G68" si="10">IFERROR(INDEX(O:O,MATCH(A37,P:P,0)),"")</f>
        <v>168.999999949</v>
      </c>
      <c r="L37" s="227">
        <f>INDEX(Starter!A:A,ROW()-1)</f>
        <v>16029</v>
      </c>
      <c r="M37">
        <f>SUMIF(Erfassung4!BD:BD,L37,Erfassung4!BW:BW)</f>
        <v>0</v>
      </c>
      <c r="N37">
        <f>SUMIF(Erfassung4!BD:BD,L37,Erfassung4!BG:BG)</f>
        <v>0</v>
      </c>
      <c r="O37">
        <f t="shared" si="0"/>
        <v>0</v>
      </c>
      <c r="P37">
        <f t="shared" si="1"/>
        <v>45</v>
      </c>
    </row>
    <row r="38" spans="1:16" x14ac:dyDescent="0.35">
      <c r="A38">
        <f t="shared" ref="A38:A69" si="11">IFERROR(IF(A37+1&gt;MAX(P:P)-1,"",A37+1),"")</f>
        <v>34</v>
      </c>
      <c r="B38">
        <f t="shared" si="7"/>
        <v>25551</v>
      </c>
      <c r="C38" t="str">
        <f>IFERROR(INDEX(Starter!B:B,MATCH(B38,Starter!A:A,0)),"")</f>
        <v>Wahl, Alexandra</v>
      </c>
      <c r="D38" t="str">
        <f>IFERROR(INDEX(Starter!C:C,MATCH(B38,Starter!A:A,0)),"")</f>
        <v>BF Rot-Weiß Lichtenhof 69</v>
      </c>
      <c r="E38" s="102">
        <f t="shared" si="8"/>
        <v>1521</v>
      </c>
      <c r="F38">
        <f t="shared" si="9"/>
        <v>9</v>
      </c>
      <c r="G38" s="137">
        <f t="shared" si="10"/>
        <v>168.99999994300001</v>
      </c>
      <c r="L38" s="227">
        <f>INDEX(Starter!A:A,ROW()-1)</f>
        <v>7082</v>
      </c>
      <c r="M38">
        <f>SUMIF(Erfassung4!BD:BD,L38,Erfassung4!BW:BW)</f>
        <v>0</v>
      </c>
      <c r="N38">
        <f>SUMIF(Erfassung4!BD:BD,L38,Erfassung4!BG:BG)</f>
        <v>0</v>
      </c>
      <c r="O38">
        <f t="shared" si="0"/>
        <v>0</v>
      </c>
      <c r="P38">
        <f t="shared" si="1"/>
        <v>45</v>
      </c>
    </row>
    <row r="39" spans="1:16" x14ac:dyDescent="0.35">
      <c r="A39">
        <f t="shared" si="11"/>
        <v>35</v>
      </c>
      <c r="B39">
        <f t="shared" si="7"/>
        <v>7787</v>
      </c>
      <c r="C39" t="str">
        <f>IFERROR(INDEX(Starter!B:B,MATCH(B39,Starter!A:A,0)),"")</f>
        <v>Kleim, Helga</v>
      </c>
      <c r="D39" t="str">
        <f>IFERROR(INDEX(Starter!C:C,MATCH(B39,Starter!A:A,0)),"")</f>
        <v>BC Phönix 03 Lauf</v>
      </c>
      <c r="E39" s="102">
        <f t="shared" si="8"/>
        <v>1182</v>
      </c>
      <c r="F39">
        <f t="shared" si="9"/>
        <v>7</v>
      </c>
      <c r="G39" s="137">
        <f t="shared" si="10"/>
        <v>168.85714280314286</v>
      </c>
      <c r="L39" s="227">
        <f>INDEX(Starter!A:A,ROW()-1)</f>
        <v>16700</v>
      </c>
      <c r="M39">
        <f>SUMIF(Erfassung4!BD:BD,L39,Erfassung4!BW:BW)</f>
        <v>0</v>
      </c>
      <c r="N39">
        <f>SUMIF(Erfassung4!BD:BD,L39,Erfassung4!BG:BG)</f>
        <v>0</v>
      </c>
      <c r="O39">
        <f t="shared" si="0"/>
        <v>0</v>
      </c>
      <c r="P39">
        <f t="shared" si="1"/>
        <v>45</v>
      </c>
    </row>
    <row r="40" spans="1:16" x14ac:dyDescent="0.35">
      <c r="A40">
        <f t="shared" si="11"/>
        <v>36</v>
      </c>
      <c r="B40">
        <f t="shared" si="7"/>
        <v>16900</v>
      </c>
      <c r="C40" t="str">
        <f>IFERROR(INDEX(Starter!B:B,MATCH(B40,Starter!A:A,0)),"")</f>
        <v>Grom-Ruffershöfer, Ilse</v>
      </c>
      <c r="D40" t="str">
        <f>IFERROR(INDEX(Starter!C:C,MATCH(B40,Starter!A:A,0)),"")</f>
        <v>BC Phönix 03 Lauf</v>
      </c>
      <c r="E40" s="102">
        <f t="shared" si="8"/>
        <v>843</v>
      </c>
      <c r="F40">
        <f t="shared" si="9"/>
        <v>5</v>
      </c>
      <c r="G40" s="137">
        <f t="shared" si="10"/>
        <v>168.59999994699999</v>
      </c>
      <c r="L40" s="227">
        <f>INDEX(Starter!A:A,ROW()-1)</f>
        <v>38737</v>
      </c>
      <c r="M40">
        <f>SUMIF(Erfassung4!BD:BD,L40,Erfassung4!BW:BW)</f>
        <v>0</v>
      </c>
      <c r="N40">
        <f>SUMIF(Erfassung4!BD:BD,L40,Erfassung4!BG:BG)</f>
        <v>0</v>
      </c>
      <c r="O40">
        <f t="shared" si="0"/>
        <v>0</v>
      </c>
      <c r="P40">
        <f t="shared" si="1"/>
        <v>45</v>
      </c>
    </row>
    <row r="41" spans="1:16" x14ac:dyDescent="0.35">
      <c r="A41">
        <f t="shared" si="11"/>
        <v>37</v>
      </c>
      <c r="B41">
        <f t="shared" si="7"/>
        <v>16414</v>
      </c>
      <c r="C41" t="str">
        <f>IFERROR(INDEX(Starter!B:B,MATCH(B41,Starter!A:A,0)),"")</f>
        <v>Dornacher, Hannelore</v>
      </c>
      <c r="D41" t="str">
        <f>IFERROR(INDEX(Starter!C:C,MATCH(B41,Starter!A:A,0)),"")</f>
        <v>BF Weiß-Blau</v>
      </c>
      <c r="E41" s="102">
        <f t="shared" si="8"/>
        <v>1176</v>
      </c>
      <c r="F41">
        <f t="shared" si="9"/>
        <v>7</v>
      </c>
      <c r="G41" s="137">
        <f t="shared" si="10"/>
        <v>167.999999954</v>
      </c>
      <c r="L41" s="227">
        <f>INDEX(Starter!A:A,ROW()-1)</f>
        <v>7752</v>
      </c>
      <c r="M41">
        <f>SUMIF(Erfassung4!BD:BD,L41,Erfassung4!BW:BW)</f>
        <v>0</v>
      </c>
      <c r="N41">
        <f>SUMIF(Erfassung4!BD:BD,L41,Erfassung4!BG:BG)</f>
        <v>0</v>
      </c>
      <c r="O41">
        <f t="shared" si="0"/>
        <v>0</v>
      </c>
      <c r="P41">
        <f t="shared" si="1"/>
        <v>45</v>
      </c>
    </row>
    <row r="42" spans="1:16" x14ac:dyDescent="0.35">
      <c r="A42">
        <f t="shared" si="11"/>
        <v>38</v>
      </c>
      <c r="B42">
        <f t="shared" si="7"/>
        <v>38607</v>
      </c>
      <c r="C42" t="str">
        <f>IFERROR(INDEX(Starter!B:B,MATCH(B42,Starter!A:A,0)),"")</f>
        <v>Jenke, Sandra</v>
      </c>
      <c r="D42" t="str">
        <f>IFERROR(INDEX(Starter!C:C,MATCH(B42,Starter!A:A,0)),"")</f>
        <v>BC Phönix 03 Lauf</v>
      </c>
      <c r="E42" s="102">
        <f t="shared" si="8"/>
        <v>670</v>
      </c>
      <c r="F42">
        <f t="shared" si="9"/>
        <v>4</v>
      </c>
      <c r="G42" s="137">
        <f t="shared" si="10"/>
        <v>167.49999992599999</v>
      </c>
      <c r="L42" s="227">
        <f>INDEX(Starter!A:A,ROW()-1)</f>
        <v>25397</v>
      </c>
      <c r="M42">
        <f>SUMIF(Erfassung4!BD:BD,L42,Erfassung4!BW:BW)</f>
        <v>1074</v>
      </c>
      <c r="N42">
        <f>SUMIF(Erfassung4!BD:BD,L42,Erfassung4!BG:BG)</f>
        <v>7</v>
      </c>
      <c r="O42">
        <f t="shared" si="0"/>
        <v>153.42857138657141</v>
      </c>
      <c r="P42">
        <f t="shared" si="1"/>
        <v>44</v>
      </c>
    </row>
    <row r="43" spans="1:16" x14ac:dyDescent="0.35">
      <c r="A43">
        <f t="shared" si="11"/>
        <v>39</v>
      </c>
      <c r="B43">
        <f t="shared" si="7"/>
        <v>25298</v>
      </c>
      <c r="C43" t="str">
        <f>IFERROR(INDEX(Starter!B:B,MATCH(B43,Starter!A:A,0)),"")</f>
        <v>Auer, Cornelia</v>
      </c>
      <c r="D43" t="str">
        <f>IFERROR(INDEX(Starter!C:C,MATCH(B43,Starter!A:A,0)),"")</f>
        <v>BSC Highroller Rosenheim</v>
      </c>
      <c r="E43" s="102">
        <f t="shared" si="8"/>
        <v>823</v>
      </c>
      <c r="F43">
        <f t="shared" si="9"/>
        <v>5</v>
      </c>
      <c r="G43" s="137">
        <f t="shared" si="10"/>
        <v>164.59999997599999</v>
      </c>
      <c r="L43" s="227">
        <f>INDEX(Starter!A:A,ROW()-1)</f>
        <v>38061</v>
      </c>
      <c r="M43">
        <f>SUMIF(Erfassung4!BD:BD,L43,Erfassung4!BW:BW)</f>
        <v>0</v>
      </c>
      <c r="N43">
        <f>SUMIF(Erfassung4!BD:BD,L43,Erfassung4!BG:BG)</f>
        <v>0</v>
      </c>
      <c r="O43">
        <f t="shared" si="0"/>
        <v>0</v>
      </c>
      <c r="P43">
        <f t="shared" si="1"/>
        <v>45</v>
      </c>
    </row>
    <row r="44" spans="1:16" x14ac:dyDescent="0.35">
      <c r="A44">
        <f t="shared" si="11"/>
        <v>40</v>
      </c>
      <c r="B44">
        <f t="shared" si="7"/>
        <v>7551</v>
      </c>
      <c r="C44" t="str">
        <f>IFERROR(INDEX(Starter!B:B,MATCH(B44,Starter!A:A,0)),"")</f>
        <v>Zehner, Gabriele</v>
      </c>
      <c r="D44" t="str">
        <f>IFERROR(INDEX(Starter!C:C,MATCH(B44,Starter!A:A,0)),"")</f>
        <v>BF Weiß-Blau</v>
      </c>
      <c r="E44" s="102">
        <f t="shared" si="8"/>
        <v>655</v>
      </c>
      <c r="F44">
        <f t="shared" si="9"/>
        <v>4</v>
      </c>
      <c r="G44" s="137">
        <f t="shared" si="10"/>
        <v>163.74999994800001</v>
      </c>
      <c r="L44" s="227">
        <f>INDEX(Starter!A:A,ROW()-1)</f>
        <v>7431</v>
      </c>
      <c r="M44">
        <f>SUMIF(Erfassung4!BD:BD,L44,Erfassung4!BW:BW)</f>
        <v>1275</v>
      </c>
      <c r="N44">
        <f>SUMIF(Erfassung4!BD:BD,L44,Erfassung4!BG:BG)</f>
        <v>8</v>
      </c>
      <c r="O44">
        <f t="shared" si="0"/>
        <v>159.37499995600001</v>
      </c>
      <c r="P44">
        <f t="shared" si="1"/>
        <v>43</v>
      </c>
    </row>
    <row r="45" spans="1:16" x14ac:dyDescent="0.35">
      <c r="A45">
        <f t="shared" si="11"/>
        <v>41</v>
      </c>
      <c r="B45">
        <f t="shared" si="7"/>
        <v>7757</v>
      </c>
      <c r="C45" t="str">
        <f>IFERROR(INDEX(Starter!B:B,MATCH(B45,Starter!A:A,0)),"")</f>
        <v>Legl, Renate</v>
      </c>
      <c r="D45" t="str">
        <f>IFERROR(INDEX(Starter!C:C,MATCH(B45,Starter!A:A,0)),"")</f>
        <v>BC Frankenpower</v>
      </c>
      <c r="E45" s="102">
        <f t="shared" si="8"/>
        <v>1467</v>
      </c>
      <c r="F45">
        <f t="shared" si="9"/>
        <v>9</v>
      </c>
      <c r="G45" s="137">
        <f t="shared" si="10"/>
        <v>162.99999996899999</v>
      </c>
      <c r="L45" s="227">
        <f>INDEX(Starter!A:A,ROW()-1)</f>
        <v>7087</v>
      </c>
      <c r="M45">
        <f>SUMIF(Erfassung4!BD:BD,L45,Erfassung4!BW:BW)</f>
        <v>1414</v>
      </c>
      <c r="N45">
        <f>SUMIF(Erfassung4!BD:BD,L45,Erfassung4!BG:BG)</f>
        <v>8</v>
      </c>
      <c r="O45">
        <f t="shared" si="0"/>
        <v>176.74999995499999</v>
      </c>
      <c r="P45">
        <f t="shared" si="1"/>
        <v>15</v>
      </c>
    </row>
    <row r="46" spans="1:16" x14ac:dyDescent="0.35">
      <c r="A46">
        <f t="shared" si="11"/>
        <v>42</v>
      </c>
      <c r="B46">
        <f t="shared" si="7"/>
        <v>7061</v>
      </c>
      <c r="C46" t="str">
        <f>IFERROR(INDEX(Starter!B:B,MATCH(B46,Starter!A:A,0)),"")</f>
        <v>Waigel, Petra</v>
      </c>
      <c r="D46" t="str">
        <f>IFERROR(INDEX(Starter!C:C,MATCH(B46,Starter!A:A,0)),"")</f>
        <v>BK München</v>
      </c>
      <c r="E46" s="102">
        <f t="shared" si="8"/>
        <v>1454</v>
      </c>
      <c r="F46">
        <f t="shared" si="9"/>
        <v>9</v>
      </c>
      <c r="G46" s="137">
        <f t="shared" si="10"/>
        <v>161.55555554155555</v>
      </c>
      <c r="L46" s="227">
        <f>INDEX(Starter!A:A,ROW()-1)</f>
        <v>16414</v>
      </c>
      <c r="M46">
        <f>SUMIF(Erfassung4!BD:BD,L46,Erfassung4!BW:BW)</f>
        <v>1176</v>
      </c>
      <c r="N46">
        <f>SUMIF(Erfassung4!BD:BD,L46,Erfassung4!BG:BG)</f>
        <v>7</v>
      </c>
      <c r="O46">
        <f t="shared" si="0"/>
        <v>167.999999954</v>
      </c>
      <c r="P46">
        <f t="shared" si="1"/>
        <v>37</v>
      </c>
    </row>
    <row r="47" spans="1:16" x14ac:dyDescent="0.35">
      <c r="A47">
        <f t="shared" si="11"/>
        <v>43</v>
      </c>
      <c r="B47">
        <f t="shared" si="7"/>
        <v>7431</v>
      </c>
      <c r="C47" t="str">
        <f>IFERROR(INDEX(Starter!B:B,MATCH(B47,Starter!A:A,0)),"")</f>
        <v>Denz, Angelika</v>
      </c>
      <c r="D47" t="str">
        <f>IFERROR(INDEX(Starter!C:C,MATCH(B47,Starter!A:A,0)),"")</f>
        <v>BF Weiß-Blau</v>
      </c>
      <c r="E47" s="102">
        <f t="shared" si="8"/>
        <v>1275</v>
      </c>
      <c r="F47">
        <f t="shared" si="9"/>
        <v>8</v>
      </c>
      <c r="G47" s="137">
        <f t="shared" si="10"/>
        <v>159.37499995600001</v>
      </c>
      <c r="L47" s="227">
        <f>INDEX(Starter!A:A,ROW()-1)</f>
        <v>16713</v>
      </c>
      <c r="M47">
        <f>SUMIF(Erfassung4!BD:BD,L47,Erfassung4!BW:BW)</f>
        <v>0</v>
      </c>
      <c r="N47">
        <f>SUMIF(Erfassung4!BD:BD,L47,Erfassung4!BG:BG)</f>
        <v>0</v>
      </c>
      <c r="O47">
        <f t="shared" si="0"/>
        <v>0</v>
      </c>
      <c r="P47">
        <f t="shared" si="1"/>
        <v>45</v>
      </c>
    </row>
    <row r="48" spans="1:16" x14ac:dyDescent="0.35">
      <c r="A48">
        <f t="shared" si="11"/>
        <v>44</v>
      </c>
      <c r="B48">
        <f t="shared" si="7"/>
        <v>25397</v>
      </c>
      <c r="C48" t="str">
        <f>IFERROR(INDEX(Starter!B:B,MATCH(B48,Starter!A:A,0)),"")</f>
        <v>Weninger, Diana</v>
      </c>
      <c r="D48" t="str">
        <f>IFERROR(INDEX(Starter!C:C,MATCH(B48,Starter!A:A,0)),"")</f>
        <v>BC E.P.A. München</v>
      </c>
      <c r="E48" s="102">
        <f t="shared" si="8"/>
        <v>1074</v>
      </c>
      <c r="F48">
        <f t="shared" si="9"/>
        <v>7</v>
      </c>
      <c r="G48" s="137">
        <f t="shared" si="10"/>
        <v>153.42857138657141</v>
      </c>
      <c r="L48" s="227">
        <f>INDEX(Starter!A:A,ROW()-1)</f>
        <v>7541</v>
      </c>
      <c r="M48">
        <f>SUMIF(Erfassung4!BD:BD,L48,Erfassung4!BW:BW)</f>
        <v>0</v>
      </c>
      <c r="N48">
        <f>SUMIF(Erfassung4!BD:BD,L48,Erfassung4!BG:BG)</f>
        <v>0</v>
      </c>
      <c r="O48">
        <f t="shared" si="0"/>
        <v>0</v>
      </c>
      <c r="P48">
        <f t="shared" si="1"/>
        <v>45</v>
      </c>
    </row>
    <row r="49" spans="1:16" x14ac:dyDescent="0.35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7546</v>
      </c>
      <c r="M49">
        <f>SUMIF(Erfassung4!BD:BD,L49,Erfassung4!BW:BW)</f>
        <v>0</v>
      </c>
      <c r="N49">
        <f>SUMIF(Erfassung4!BD:BD,L49,Erfassung4!BG:BG)</f>
        <v>0</v>
      </c>
      <c r="O49">
        <f t="shared" si="0"/>
        <v>0</v>
      </c>
      <c r="P49">
        <f t="shared" si="1"/>
        <v>45</v>
      </c>
    </row>
    <row r="50" spans="1:16" x14ac:dyDescent="0.3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16953</v>
      </c>
      <c r="M50">
        <f>SUMIF(Erfassung4!BD:BD,L50,Erfassung4!BW:BW)</f>
        <v>0</v>
      </c>
      <c r="N50">
        <f>SUMIF(Erfassung4!BD:BD,L50,Erfassung4!BG:BG)</f>
        <v>0</v>
      </c>
      <c r="O50">
        <f t="shared" si="0"/>
        <v>0</v>
      </c>
      <c r="P50">
        <f t="shared" si="1"/>
        <v>45</v>
      </c>
    </row>
    <row r="51" spans="1:16" x14ac:dyDescent="0.3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21185</v>
      </c>
      <c r="M51">
        <f>SUMIF(Erfassung4!BD:BD,L51,Erfassung4!BW:BW)</f>
        <v>1521</v>
      </c>
      <c r="N51">
        <f>SUMIF(Erfassung4!BD:BD,L51,Erfassung4!BG:BG)</f>
        <v>9</v>
      </c>
      <c r="O51">
        <f t="shared" si="0"/>
        <v>168.999999949</v>
      </c>
      <c r="P51">
        <f t="shared" si="1"/>
        <v>33</v>
      </c>
    </row>
    <row r="52" spans="1:16" x14ac:dyDescent="0.3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7551</v>
      </c>
      <c r="M52">
        <f>SUMIF(Erfassung4!BD:BD,L52,Erfassung4!BW:BW)</f>
        <v>655</v>
      </c>
      <c r="N52">
        <f>SUMIF(Erfassung4!BD:BD,L52,Erfassung4!BG:BG)</f>
        <v>4</v>
      </c>
      <c r="O52">
        <f t="shared" si="0"/>
        <v>163.74999994800001</v>
      </c>
      <c r="P52">
        <f t="shared" si="1"/>
        <v>40</v>
      </c>
    </row>
    <row r="53" spans="1:16" x14ac:dyDescent="0.3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16900</v>
      </c>
      <c r="M53">
        <f>SUMIF(Erfassung4!BD:BD,L53,Erfassung4!BW:BW)</f>
        <v>843</v>
      </c>
      <c r="N53">
        <f>SUMIF(Erfassung4!BD:BD,L53,Erfassung4!BG:BG)</f>
        <v>5</v>
      </c>
      <c r="O53">
        <f t="shared" si="0"/>
        <v>168.59999994699999</v>
      </c>
      <c r="P53">
        <f t="shared" si="1"/>
        <v>36</v>
      </c>
    </row>
    <row r="54" spans="1:16" x14ac:dyDescent="0.3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7787</v>
      </c>
      <c r="M54">
        <f>SUMIF(Erfassung4!BD:BD,L54,Erfassung4!BW:BW)</f>
        <v>1182</v>
      </c>
      <c r="N54">
        <f>SUMIF(Erfassung4!BD:BD,L54,Erfassung4!BG:BG)</f>
        <v>7</v>
      </c>
      <c r="O54">
        <f t="shared" si="0"/>
        <v>168.85714280314286</v>
      </c>
      <c r="P54">
        <f t="shared" si="1"/>
        <v>35</v>
      </c>
    </row>
    <row r="55" spans="1:16" x14ac:dyDescent="0.3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7786</v>
      </c>
      <c r="M55">
        <f>SUMIF(Erfassung4!BD:BD,L55,Erfassung4!BW:BW)</f>
        <v>1217</v>
      </c>
      <c r="N55">
        <f>SUMIF(Erfassung4!BD:BD,L55,Erfassung4!BG:BG)</f>
        <v>7</v>
      </c>
      <c r="O55">
        <f t="shared" si="0"/>
        <v>173.85714280214287</v>
      </c>
      <c r="P55">
        <f t="shared" si="1"/>
        <v>19</v>
      </c>
    </row>
    <row r="56" spans="1:16" x14ac:dyDescent="0.3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7801</v>
      </c>
      <c r="M56">
        <f>SUMIF(Erfassung4!BD:BD,L56,Erfassung4!BW:BW)</f>
        <v>1569</v>
      </c>
      <c r="N56">
        <f>SUMIF(Erfassung4!BD:BD,L56,Erfassung4!BG:BG)</f>
        <v>9</v>
      </c>
      <c r="O56">
        <f t="shared" si="0"/>
        <v>174.33333327733334</v>
      </c>
      <c r="P56">
        <f t="shared" si="1"/>
        <v>17</v>
      </c>
    </row>
    <row r="57" spans="1:16" x14ac:dyDescent="0.3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25551</v>
      </c>
      <c r="M57">
        <f>SUMIF(Erfassung4!BD:BD,L57,Erfassung4!BW:BW)</f>
        <v>1521</v>
      </c>
      <c r="N57">
        <f>SUMIF(Erfassung4!BD:BD,L57,Erfassung4!BG:BG)</f>
        <v>9</v>
      </c>
      <c r="O57">
        <f t="shared" si="0"/>
        <v>168.99999994300001</v>
      </c>
      <c r="P57">
        <f t="shared" si="1"/>
        <v>34</v>
      </c>
    </row>
    <row r="58" spans="1:16" x14ac:dyDescent="0.3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25982</v>
      </c>
      <c r="M58">
        <f>SUMIF(Erfassung4!BD:BD,L58,Erfassung4!BW:BW)</f>
        <v>681</v>
      </c>
      <c r="N58">
        <f>SUMIF(Erfassung4!BD:BD,L58,Erfassung4!BG:BG)</f>
        <v>4</v>
      </c>
      <c r="O58">
        <f t="shared" si="0"/>
        <v>170.24999994199999</v>
      </c>
      <c r="P58">
        <f t="shared" si="1"/>
        <v>29</v>
      </c>
    </row>
    <row r="59" spans="1:16" x14ac:dyDescent="0.3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38513</v>
      </c>
      <c r="M59">
        <f>SUMIF(Erfassung4!BD:BD,L59,Erfassung4!BW:BW)</f>
        <v>1240</v>
      </c>
      <c r="N59">
        <f>SUMIF(Erfassung4!BD:BD,L59,Erfassung4!BG:BG)</f>
        <v>7</v>
      </c>
      <c r="O59">
        <f t="shared" si="0"/>
        <v>177.14285708385714</v>
      </c>
      <c r="P59">
        <f t="shared" si="1"/>
        <v>13</v>
      </c>
    </row>
    <row r="60" spans="1:16" x14ac:dyDescent="0.3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7972</v>
      </c>
      <c r="M60">
        <f>SUMIF(Erfassung4!BD:BD,L60,Erfassung4!BW:BW)</f>
        <v>1204</v>
      </c>
      <c r="N60">
        <f>SUMIF(Erfassung4!BD:BD,L60,Erfassung4!BG:BG)</f>
        <v>7</v>
      </c>
      <c r="O60">
        <f t="shared" si="0"/>
        <v>171.99999994000001</v>
      </c>
      <c r="P60">
        <f t="shared" si="1"/>
        <v>23</v>
      </c>
    </row>
    <row r="61" spans="1:16" x14ac:dyDescent="0.3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7976</v>
      </c>
      <c r="M61">
        <f>SUMIF(Erfassung4!BD:BD,L61,Erfassung4!BW:BW)</f>
        <v>1527</v>
      </c>
      <c r="N61">
        <f>SUMIF(Erfassung4!BD:BD,L61,Erfassung4!BG:BG)</f>
        <v>9</v>
      </c>
      <c r="O61">
        <f t="shared" si="0"/>
        <v>169.66666660566665</v>
      </c>
      <c r="P61">
        <f t="shared" si="1"/>
        <v>30</v>
      </c>
    </row>
    <row r="62" spans="1:16" x14ac:dyDescent="0.3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7977</v>
      </c>
      <c r="M62">
        <f>SUMIF(Erfassung4!BD:BD,L62,Erfassung4!BW:BW)</f>
        <v>0</v>
      </c>
      <c r="N62">
        <f>SUMIF(Erfassung4!BD:BD,L62,Erfassung4!BG:BG)</f>
        <v>0</v>
      </c>
      <c r="O62">
        <f t="shared" si="0"/>
        <v>0</v>
      </c>
      <c r="P62">
        <f t="shared" si="1"/>
        <v>45</v>
      </c>
    </row>
    <row r="63" spans="1:16" x14ac:dyDescent="0.3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7975</v>
      </c>
      <c r="M63">
        <f>SUMIF(Erfassung4!BD:BD,L63,Erfassung4!BW:BW)</f>
        <v>0</v>
      </c>
      <c r="N63">
        <f>SUMIF(Erfassung4!BD:BD,L63,Erfassung4!BG:BG)</f>
        <v>0</v>
      </c>
      <c r="O63">
        <f t="shared" si="0"/>
        <v>0</v>
      </c>
      <c r="P63">
        <f t="shared" si="1"/>
        <v>45</v>
      </c>
    </row>
    <row r="64" spans="1:16" x14ac:dyDescent="0.3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16475</v>
      </c>
      <c r="M64">
        <f>SUMIF(Erfassung4!BD:BD,L64,Erfassung4!BW:BW)</f>
        <v>0</v>
      </c>
      <c r="N64">
        <f>SUMIF(Erfassung4!BD:BD,L64,Erfassung4!BG:BG)</f>
        <v>0</v>
      </c>
      <c r="O64">
        <f t="shared" si="0"/>
        <v>0</v>
      </c>
      <c r="P64">
        <f t="shared" si="1"/>
        <v>45</v>
      </c>
    </row>
    <row r="65" spans="1:16" x14ac:dyDescent="0.3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38458</v>
      </c>
      <c r="M65">
        <f>SUMIF(Erfassung4!BD:BD,L65,Erfassung4!BW:BW)</f>
        <v>853</v>
      </c>
      <c r="N65">
        <f>SUMIF(Erfassung4!BD:BD,L65,Erfassung4!BG:BG)</f>
        <v>5</v>
      </c>
      <c r="O65">
        <f t="shared" si="0"/>
        <v>170.599999935</v>
      </c>
      <c r="P65">
        <f t="shared" si="1"/>
        <v>28</v>
      </c>
    </row>
    <row r="66" spans="1:16" x14ac:dyDescent="0.3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25808</v>
      </c>
      <c r="M66">
        <f>SUMIF(Erfassung4!BD:BD,L66,Erfassung4!BW:BW)</f>
        <v>0</v>
      </c>
      <c r="N66">
        <f>SUMIF(Erfassung4!BD:BD,L66,Erfassung4!BG:BG)</f>
        <v>0</v>
      </c>
      <c r="O66">
        <f t="shared" ref="O66:O104" si="12">IF(N66=0,0,M66/N66-ROW()/1000000000)</f>
        <v>0</v>
      </c>
      <c r="P66">
        <f t="shared" ref="P66:P104" si="13">RANK(O66,O:O)</f>
        <v>45</v>
      </c>
    </row>
    <row r="67" spans="1:16" x14ac:dyDescent="0.3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38210</v>
      </c>
      <c r="M67">
        <f>SUMIF(Erfassung4!BD:BD,L67,Erfassung4!BW:BW)</f>
        <v>677</v>
      </c>
      <c r="N67">
        <f>SUMIF(Erfassung4!BD:BD,L67,Erfassung4!BG:BG)</f>
        <v>4</v>
      </c>
      <c r="O67">
        <f t="shared" si="12"/>
        <v>169.249999933</v>
      </c>
      <c r="P67">
        <f t="shared" si="13"/>
        <v>31</v>
      </c>
    </row>
    <row r="68" spans="1:16" x14ac:dyDescent="0.3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7549</v>
      </c>
      <c r="M68">
        <f>SUMIF(Erfassung4!BD:BD,L68,Erfassung4!BW:BW)</f>
        <v>1636</v>
      </c>
      <c r="N68">
        <f>SUMIF(Erfassung4!BD:BD,L68,Erfassung4!BG:BG)</f>
        <v>9</v>
      </c>
      <c r="O68">
        <f t="shared" si="12"/>
        <v>181.77777770977778</v>
      </c>
      <c r="P68">
        <f t="shared" si="13"/>
        <v>12</v>
      </c>
    </row>
    <row r="69" spans="1:16" x14ac:dyDescent="0.3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25192</v>
      </c>
      <c r="M69">
        <f>SUMIF(Erfassung4!BD:BD,L69,Erfassung4!BW:BW)</f>
        <v>742</v>
      </c>
      <c r="N69">
        <f>SUMIF(Erfassung4!BD:BD,L69,Erfassung4!BG:BG)</f>
        <v>4</v>
      </c>
      <c r="O69">
        <f t="shared" si="12"/>
        <v>185.49999993099999</v>
      </c>
      <c r="P69">
        <f t="shared" si="13"/>
        <v>6</v>
      </c>
    </row>
    <row r="70" spans="1:16" x14ac:dyDescent="0.3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25714</v>
      </c>
      <c r="M70">
        <f>SUMIF(Erfassung4!BD:BD,L70,Erfassung4!BW:BW)</f>
        <v>1355</v>
      </c>
      <c r="N70">
        <f>SUMIF(Erfassung4!BD:BD,L70,Erfassung4!BG:BG)</f>
        <v>7</v>
      </c>
      <c r="O70">
        <f t="shared" si="12"/>
        <v>193.57142850142858</v>
      </c>
      <c r="P70">
        <f t="shared" si="13"/>
        <v>2</v>
      </c>
    </row>
    <row r="71" spans="1:16" x14ac:dyDescent="0.3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7534</v>
      </c>
      <c r="M71">
        <f>SUMIF(Erfassung4!BD:BD,L71,Erfassung4!BW:BW)</f>
        <v>1706</v>
      </c>
      <c r="N71">
        <f>SUMIF(Erfassung4!BD:BD,L71,Erfassung4!BG:BG)</f>
        <v>9</v>
      </c>
      <c r="O71">
        <f t="shared" si="12"/>
        <v>189.55555548455555</v>
      </c>
      <c r="P71">
        <f t="shared" si="13"/>
        <v>4</v>
      </c>
    </row>
    <row r="72" spans="1:16" x14ac:dyDescent="0.3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38289</v>
      </c>
      <c r="M72">
        <f>SUMIF(Erfassung4!BD:BD,L72,Erfassung4!BW:BW)</f>
        <v>0</v>
      </c>
      <c r="N72">
        <f>SUMIF(Erfassung4!BD:BD,L72,Erfassung4!BG:BG)</f>
        <v>0</v>
      </c>
      <c r="O72">
        <f t="shared" si="12"/>
        <v>0</v>
      </c>
      <c r="P72">
        <f t="shared" si="13"/>
        <v>45</v>
      </c>
    </row>
    <row r="73" spans="1:16" x14ac:dyDescent="0.3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25347</v>
      </c>
      <c r="M73">
        <f>SUMIF(Erfassung4!BD:BD,L73,Erfassung4!BW:BW)</f>
        <v>0</v>
      </c>
      <c r="N73">
        <f>SUMIF(Erfassung4!BD:BD,L73,Erfassung4!BG:BG)</f>
        <v>0</v>
      </c>
      <c r="O73">
        <f t="shared" si="12"/>
        <v>0</v>
      </c>
      <c r="P73">
        <f t="shared" si="13"/>
        <v>45</v>
      </c>
    </row>
    <row r="74" spans="1:16" x14ac:dyDescent="0.3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38607</v>
      </c>
      <c r="M74">
        <f>SUMIF(Erfassung4!BD:BD,L74,Erfassung4!BW:BW)</f>
        <v>670</v>
      </c>
      <c r="N74">
        <f>SUMIF(Erfassung4!BD:BD,L74,Erfassung4!BG:BG)</f>
        <v>4</v>
      </c>
      <c r="O74">
        <f t="shared" si="12"/>
        <v>167.49999992599999</v>
      </c>
      <c r="P74">
        <f t="shared" si="13"/>
        <v>38</v>
      </c>
    </row>
    <row r="75" spans="1:16" x14ac:dyDescent="0.3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SUMIF(Erfassung4!BD:BD,L75,Erfassung4!BW:BW)</f>
        <v>0</v>
      </c>
      <c r="N75">
        <f>SUMIF(Erfassung4!BD:BD,L75,Erfassung4!BG:BG)</f>
        <v>0</v>
      </c>
      <c r="O75">
        <f t="shared" si="12"/>
        <v>0</v>
      </c>
      <c r="P75">
        <f t="shared" si="13"/>
        <v>45</v>
      </c>
    </row>
    <row r="76" spans="1:16" x14ac:dyDescent="0.3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SUMIF(Erfassung4!BD:BD,L76,Erfassung4!BW:BW)</f>
        <v>0</v>
      </c>
      <c r="N76">
        <f>SUMIF(Erfassung4!BD:BD,L76,Erfassung4!BG:BG)</f>
        <v>0</v>
      </c>
      <c r="O76">
        <f t="shared" si="12"/>
        <v>0</v>
      </c>
      <c r="P76">
        <f t="shared" si="13"/>
        <v>45</v>
      </c>
    </row>
    <row r="77" spans="1:16" x14ac:dyDescent="0.3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SUMIF(Erfassung4!BD:BD,L77,Erfassung4!BW:BW)</f>
        <v>0</v>
      </c>
      <c r="N77">
        <f>SUMIF(Erfassung4!BD:BD,L77,Erfassung4!BG:BG)</f>
        <v>0</v>
      </c>
      <c r="O77">
        <f t="shared" si="12"/>
        <v>0</v>
      </c>
      <c r="P77">
        <f t="shared" si="13"/>
        <v>45</v>
      </c>
    </row>
    <row r="78" spans="1:16" x14ac:dyDescent="0.3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SUMIF(Erfassung4!BD:BD,L78,Erfassung4!BW:BW)</f>
        <v>0</v>
      </c>
      <c r="N78">
        <f>SUMIF(Erfassung4!BD:BD,L78,Erfassung4!BG:BG)</f>
        <v>0</v>
      </c>
      <c r="O78">
        <f t="shared" si="12"/>
        <v>0</v>
      </c>
      <c r="P78">
        <f t="shared" si="13"/>
        <v>45</v>
      </c>
    </row>
    <row r="79" spans="1:16" x14ac:dyDescent="0.3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SUMIF(Erfassung4!BD:BD,L79,Erfassung4!BW:BW)</f>
        <v>0</v>
      </c>
      <c r="N79">
        <f>SUMIF(Erfassung4!BD:BD,L79,Erfassung4!BG:BG)</f>
        <v>0</v>
      </c>
      <c r="O79">
        <f t="shared" si="12"/>
        <v>0</v>
      </c>
      <c r="P79">
        <f t="shared" si="13"/>
        <v>45</v>
      </c>
    </row>
    <row r="80" spans="1:16" x14ac:dyDescent="0.3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SUMIF(Erfassung4!BD:BD,L80,Erfassung4!BW:BW)</f>
        <v>0</v>
      </c>
      <c r="N80">
        <f>SUMIF(Erfassung4!BD:BD,L80,Erfassung4!BG:BG)</f>
        <v>0</v>
      </c>
      <c r="O80">
        <f t="shared" si="12"/>
        <v>0</v>
      </c>
      <c r="P80">
        <f t="shared" si="13"/>
        <v>45</v>
      </c>
    </row>
    <row r="81" spans="1:16" x14ac:dyDescent="0.3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SUMIF(Erfassung4!BD:BD,L81,Erfassung4!BW:BW)</f>
        <v>0</v>
      </c>
      <c r="N81">
        <f>SUMIF(Erfassung4!BD:BD,L81,Erfassung4!BG:BG)</f>
        <v>0</v>
      </c>
      <c r="O81">
        <f t="shared" si="12"/>
        <v>0</v>
      </c>
      <c r="P81">
        <f t="shared" si="13"/>
        <v>45</v>
      </c>
    </row>
    <row r="82" spans="1:16" x14ac:dyDescent="0.3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SUMIF(Erfassung4!BD:BD,L82,Erfassung4!BW:BW)</f>
        <v>0</v>
      </c>
      <c r="N82">
        <f>SUMIF(Erfassung4!BD:BD,L82,Erfassung4!BG:BG)</f>
        <v>0</v>
      </c>
      <c r="O82">
        <f t="shared" si="12"/>
        <v>0</v>
      </c>
      <c r="P82">
        <f t="shared" si="13"/>
        <v>45</v>
      </c>
    </row>
    <row r="83" spans="1:16" x14ac:dyDescent="0.3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SUMIF(Erfassung4!BD:BD,L83,Erfassung4!BW:BW)</f>
        <v>0</v>
      </c>
      <c r="N83">
        <f>SUMIF(Erfassung4!BD:BD,L83,Erfassung4!BG:BG)</f>
        <v>0</v>
      </c>
      <c r="O83">
        <f t="shared" si="12"/>
        <v>0</v>
      </c>
      <c r="P83">
        <f t="shared" si="13"/>
        <v>45</v>
      </c>
    </row>
    <row r="84" spans="1:16" x14ac:dyDescent="0.3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SUMIF(Erfassung4!BD:BD,L84,Erfassung4!BW:BW)</f>
        <v>0</v>
      </c>
      <c r="N84">
        <f>SUMIF(Erfassung4!BD:BD,L84,Erfassung4!BG:BG)</f>
        <v>0</v>
      </c>
      <c r="O84">
        <f t="shared" si="12"/>
        <v>0</v>
      </c>
      <c r="P84">
        <f t="shared" si="13"/>
        <v>45</v>
      </c>
    </row>
    <row r="85" spans="1:16" x14ac:dyDescent="0.3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SUMIF(Erfassung4!BD:BD,L85,Erfassung4!BW:BW)</f>
        <v>0</v>
      </c>
      <c r="N85">
        <f>SUMIF(Erfassung4!BD:BD,L85,Erfassung4!BG:BG)</f>
        <v>0</v>
      </c>
      <c r="O85">
        <f t="shared" si="12"/>
        <v>0</v>
      </c>
      <c r="P85">
        <f t="shared" si="13"/>
        <v>45</v>
      </c>
    </row>
    <row r="86" spans="1:16" x14ac:dyDescent="0.3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SUMIF(Erfassung4!BD:BD,L86,Erfassung4!BW:BW)</f>
        <v>0</v>
      </c>
      <c r="N86">
        <f>SUMIF(Erfassung4!BD:BD,L86,Erfassung4!BG:BG)</f>
        <v>0</v>
      </c>
      <c r="O86">
        <f t="shared" si="12"/>
        <v>0</v>
      </c>
      <c r="P86">
        <f t="shared" si="13"/>
        <v>45</v>
      </c>
    </row>
    <row r="87" spans="1:16" x14ac:dyDescent="0.3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SUMIF(Erfassung4!BD:BD,L87,Erfassung4!BW:BW)</f>
        <v>0</v>
      </c>
      <c r="N87">
        <f>SUMIF(Erfassung4!BD:BD,L87,Erfassung4!BG:BG)</f>
        <v>0</v>
      </c>
      <c r="O87">
        <f t="shared" si="12"/>
        <v>0</v>
      </c>
      <c r="P87">
        <f t="shared" si="13"/>
        <v>45</v>
      </c>
    </row>
    <row r="88" spans="1:16" x14ac:dyDescent="0.3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SUMIF(Erfassung4!BD:BD,L88,Erfassung4!BW:BW)</f>
        <v>0</v>
      </c>
      <c r="N88">
        <f>SUMIF(Erfassung4!BD:BD,L88,Erfassung4!BG:BG)</f>
        <v>0</v>
      </c>
      <c r="O88">
        <f t="shared" si="12"/>
        <v>0</v>
      </c>
      <c r="P88">
        <f t="shared" si="13"/>
        <v>45</v>
      </c>
    </row>
    <row r="89" spans="1:16" x14ac:dyDescent="0.3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SUMIF(Erfassung4!BD:BD,L89,Erfassung4!BW:BW)</f>
        <v>0</v>
      </c>
      <c r="N89">
        <f>SUMIF(Erfassung4!BD:BD,L89,Erfassung4!BG:BG)</f>
        <v>0</v>
      </c>
      <c r="O89">
        <f t="shared" si="12"/>
        <v>0</v>
      </c>
      <c r="P89">
        <f t="shared" si="13"/>
        <v>45</v>
      </c>
    </row>
    <row r="90" spans="1:16" x14ac:dyDescent="0.3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SUMIF(Erfassung4!BD:BD,L90,Erfassung4!BW:BW)</f>
        <v>0</v>
      </c>
      <c r="N90">
        <f>SUMIF(Erfassung4!BD:BD,L90,Erfassung4!BG:BG)</f>
        <v>0</v>
      </c>
      <c r="O90">
        <f t="shared" si="12"/>
        <v>0</v>
      </c>
      <c r="P90">
        <f t="shared" si="13"/>
        <v>45</v>
      </c>
    </row>
    <row r="91" spans="1:16" x14ac:dyDescent="0.3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SUMIF(Erfassung4!BD:BD,L91,Erfassung4!BW:BW)</f>
        <v>0</v>
      </c>
      <c r="N91">
        <f>SUMIF(Erfassung4!BD:BD,L91,Erfassung4!BG:BG)</f>
        <v>0</v>
      </c>
      <c r="O91">
        <f t="shared" si="12"/>
        <v>0</v>
      </c>
      <c r="P91">
        <f t="shared" si="13"/>
        <v>45</v>
      </c>
    </row>
    <row r="92" spans="1:16" x14ac:dyDescent="0.3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SUMIF(Erfassung4!BD:BD,L92,Erfassung4!BW:BW)</f>
        <v>0</v>
      </c>
      <c r="N92">
        <f>SUMIF(Erfassung4!BD:BD,L92,Erfassung4!BG:BG)</f>
        <v>0</v>
      </c>
      <c r="O92">
        <f t="shared" si="12"/>
        <v>0</v>
      </c>
      <c r="P92">
        <f t="shared" si="13"/>
        <v>45</v>
      </c>
    </row>
    <row r="93" spans="1:16" x14ac:dyDescent="0.3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SUMIF(Erfassung4!BD:BD,L93,Erfassung4!BW:BW)</f>
        <v>0</v>
      </c>
      <c r="N93">
        <f>SUMIF(Erfassung4!BD:BD,L93,Erfassung4!BG:BG)</f>
        <v>0</v>
      </c>
      <c r="O93">
        <f t="shared" si="12"/>
        <v>0</v>
      </c>
      <c r="P93">
        <f t="shared" si="13"/>
        <v>45</v>
      </c>
    </row>
    <row r="94" spans="1:16" x14ac:dyDescent="0.3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SUMIF(Erfassung4!BD:BD,L94,Erfassung4!BW:BW)</f>
        <v>0</v>
      </c>
      <c r="N94">
        <f>SUMIF(Erfassung4!BD:BD,L94,Erfassung4!BG:BG)</f>
        <v>0</v>
      </c>
      <c r="O94">
        <f t="shared" si="12"/>
        <v>0</v>
      </c>
      <c r="P94">
        <f t="shared" si="13"/>
        <v>45</v>
      </c>
    </row>
    <row r="95" spans="1:16" x14ac:dyDescent="0.3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SUMIF(Erfassung4!BD:BD,L95,Erfassung4!BW:BW)</f>
        <v>0</v>
      </c>
      <c r="N95">
        <f>SUMIF(Erfassung4!BD:BD,L95,Erfassung4!BG:BG)</f>
        <v>0</v>
      </c>
      <c r="O95">
        <f t="shared" si="12"/>
        <v>0</v>
      </c>
      <c r="P95">
        <f t="shared" si="13"/>
        <v>45</v>
      </c>
    </row>
    <row r="96" spans="1:16" x14ac:dyDescent="0.3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SUMIF(Erfassung4!BD:BD,L96,Erfassung4!BW:BW)</f>
        <v>0</v>
      </c>
      <c r="N96">
        <f>SUMIF(Erfassung4!BD:BD,L96,Erfassung4!BG:BG)</f>
        <v>0</v>
      </c>
      <c r="O96">
        <f t="shared" si="12"/>
        <v>0</v>
      </c>
      <c r="P96">
        <f t="shared" si="13"/>
        <v>45</v>
      </c>
    </row>
    <row r="97" spans="1:16" x14ac:dyDescent="0.3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SUMIF(Erfassung4!BD:BD,L97,Erfassung4!BW:BW)</f>
        <v>0</v>
      </c>
      <c r="N97">
        <f>SUMIF(Erfassung4!BD:BD,L97,Erfassung4!BG:BG)</f>
        <v>0</v>
      </c>
      <c r="O97">
        <f t="shared" si="12"/>
        <v>0</v>
      </c>
      <c r="P97">
        <f t="shared" si="13"/>
        <v>45</v>
      </c>
    </row>
    <row r="98" spans="1:16" x14ac:dyDescent="0.3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SUMIF(Erfassung4!BD:BD,L98,Erfassung4!BW:BW)</f>
        <v>0</v>
      </c>
      <c r="N98">
        <f>SUMIF(Erfassung4!BD:BD,L98,Erfassung4!BG:BG)</f>
        <v>0</v>
      </c>
      <c r="O98">
        <f t="shared" si="12"/>
        <v>0</v>
      </c>
      <c r="P98">
        <f t="shared" si="13"/>
        <v>45</v>
      </c>
    </row>
    <row r="99" spans="1:16" x14ac:dyDescent="0.3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SUMIF(Erfassung4!BD:BD,L99,Erfassung4!BW:BW)</f>
        <v>0</v>
      </c>
      <c r="N99">
        <f>SUMIF(Erfassung4!BD:BD,L99,Erfassung4!BG:BG)</f>
        <v>0</v>
      </c>
      <c r="O99">
        <f t="shared" si="12"/>
        <v>0</v>
      </c>
      <c r="P99">
        <f t="shared" si="13"/>
        <v>45</v>
      </c>
    </row>
    <row r="100" spans="1:16" x14ac:dyDescent="0.3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SUMIF(Erfassung4!BD:BD,L100,Erfassung4!BW:BW)</f>
        <v>0</v>
      </c>
      <c r="N100">
        <f>SUMIF(Erfassung4!BD:BD,L100,Erfassung4!BG:BG)</f>
        <v>0</v>
      </c>
      <c r="O100">
        <f t="shared" si="12"/>
        <v>0</v>
      </c>
      <c r="P100">
        <f t="shared" si="13"/>
        <v>45</v>
      </c>
    </row>
    <row r="101" spans="1:16" x14ac:dyDescent="0.3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SUMIF(Erfassung4!BD:BD,L101,Erfassung4!BW:BW)</f>
        <v>0</v>
      </c>
      <c r="N101">
        <f>SUMIF(Erfassung4!BD:BD,L101,Erfassung4!BG:BG)</f>
        <v>0</v>
      </c>
      <c r="O101">
        <f t="shared" si="12"/>
        <v>0</v>
      </c>
      <c r="P101">
        <f t="shared" si="13"/>
        <v>45</v>
      </c>
    </row>
    <row r="102" spans="1:16" x14ac:dyDescent="0.3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SUMIF(Erfassung4!BD:BD,L102,Erfassung4!BW:BW)</f>
        <v>0</v>
      </c>
      <c r="N102">
        <f>SUMIF(Erfassung4!BD:BD,L102,Erfassung4!BG:BG)</f>
        <v>0</v>
      </c>
      <c r="O102">
        <f t="shared" si="12"/>
        <v>0</v>
      </c>
      <c r="P102">
        <f t="shared" si="13"/>
        <v>45</v>
      </c>
    </row>
    <row r="103" spans="1:16" x14ac:dyDescent="0.3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SUMIF(Erfassung4!BD:BD,L103,Erfassung4!BW:BW)</f>
        <v>0</v>
      </c>
      <c r="N103">
        <f>SUMIF(Erfassung4!BD:BD,L103,Erfassung4!BG:BG)</f>
        <v>0</v>
      </c>
      <c r="O103">
        <f t="shared" si="12"/>
        <v>0</v>
      </c>
      <c r="P103">
        <f t="shared" si="13"/>
        <v>45</v>
      </c>
    </row>
    <row r="104" spans="1:16" x14ac:dyDescent="0.3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SUMIF(Erfassung4!BD:BD,L104,Erfassung4!BW:BW)</f>
        <v>0</v>
      </c>
      <c r="N104">
        <f>SUMIF(Erfassung4!BD:BD,L104,Erfassung4!BG:BG)</f>
        <v>0</v>
      </c>
      <c r="O104">
        <f t="shared" si="12"/>
        <v>0</v>
      </c>
      <c r="P104">
        <f t="shared" si="13"/>
        <v>45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24">
    <tabColor rgb="FF7030A0"/>
  </sheetPr>
  <dimension ref="A1:P104"/>
  <sheetViews>
    <sheetView view="pageBreakPreview" zoomScaleNormal="100" zoomScaleSheetLayoutView="100" workbookViewId="0">
      <selection activeCell="AH277" sqref="AH277"/>
    </sheetView>
  </sheetViews>
  <sheetFormatPr baseColWidth="10" defaultColWidth="11.33203125" defaultRowHeight="12.75" x14ac:dyDescent="0.35"/>
  <cols>
    <col min="1" max="1" width="5.265625" customWidth="1"/>
    <col min="2" max="2" width="8.265625" customWidth="1"/>
    <col min="3" max="4" width="27.73046875" customWidth="1"/>
    <col min="5" max="5" width="7.73046875" style="102" customWidth="1"/>
    <col min="6" max="6" width="7.73046875" customWidth="1"/>
    <col min="7" max="7" width="7.73046875" style="137" customWidth="1"/>
    <col min="12" max="12" width="11.33203125" style="227" hidden="1" customWidth="1"/>
    <col min="13" max="16" width="11.33203125" hidden="1" customWidth="1"/>
  </cols>
  <sheetData>
    <row r="1" spans="1:16" ht="28.5" customHeight="1" x14ac:dyDescent="0.7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6">
      <c r="A2" s="138" t="s">
        <v>1791</v>
      </c>
      <c r="C2" s="50">
        <v>4</v>
      </c>
      <c r="D2" s="50" t="s">
        <v>1835</v>
      </c>
      <c r="E2" s="139"/>
      <c r="F2" s="54"/>
      <c r="L2" s="227">
        <f>INDEX(Starter!A:A,ROW()-1)</f>
        <v>25751</v>
      </c>
      <c r="M2">
        <f>INDEX(SchnittGes3!M:M,MATCH(L2,SchnittGes3!L:L,0))+INDEX(Schnitt4!M:M,MATCH(L2,Schnitt4!L:L,0))</f>
        <v>6257</v>
      </c>
      <c r="N2">
        <f>INDEX(SchnittGes3!N:N,MATCH(L2,SchnittGes3!L:L,0))+INDEX(Schnitt4!N:N,MATCH(L2,Schnitt4!L:L,0))</f>
        <v>34</v>
      </c>
      <c r="O2">
        <f t="shared" ref="O2:O11" si="0">IF(N2=0,0,M2/N2-ROW()/1000000000)</f>
        <v>184.02941176270588</v>
      </c>
      <c r="P2">
        <f t="shared" ref="P2:P33" si="1">RANK(O2,O:O)</f>
        <v>7</v>
      </c>
    </row>
    <row r="3" spans="1:16" x14ac:dyDescent="0.35">
      <c r="L3" s="227">
        <f>INDEX(Starter!A:A,ROW()-1)</f>
        <v>38258</v>
      </c>
      <c r="M3">
        <f>INDEX(SchnittGes3!M:M,MATCH(L3,SchnittGes3!L:L,0))+INDEX(Schnitt4!M:M,MATCH(L3,Schnitt4!L:L,0))</f>
        <v>3963</v>
      </c>
      <c r="N3">
        <f>INDEX(SchnittGes3!N:N,MATCH(L3,SchnittGes3!L:L,0))+INDEX(Schnitt4!N:N,MATCH(L3,Schnitt4!L:L,0))</f>
        <v>23</v>
      </c>
      <c r="O3">
        <f t="shared" si="0"/>
        <v>172.30434782308697</v>
      </c>
      <c r="P3">
        <f t="shared" si="1"/>
        <v>29</v>
      </c>
    </row>
    <row r="4" spans="1:16" x14ac:dyDescent="0.3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INDEX(SchnittGes3!M:M,MATCH(L4,SchnittGes3!L:L,0))+INDEX(Schnitt4!M:M,MATCH(L4,Schnitt4!L:L,0))</f>
        <v>4934</v>
      </c>
      <c r="N4">
        <f>INDEX(SchnittGes3!N:N,MATCH(L4,SchnittGes3!L:L,0))+INDEX(Schnitt4!N:N,MATCH(L4,Schnitt4!L:L,0))</f>
        <v>27</v>
      </c>
      <c r="O4">
        <f t="shared" si="0"/>
        <v>182.74074073674075</v>
      </c>
      <c r="P4">
        <f t="shared" si="1"/>
        <v>10</v>
      </c>
    </row>
    <row r="5" spans="1:16" x14ac:dyDescent="0.35">
      <c r="A5">
        <v>1</v>
      </c>
      <c r="B5">
        <f t="shared" ref="B5:B36" si="2">IFERROR(INDEX(L:L,MATCH(A5,P:P,0)),"")</f>
        <v>25714</v>
      </c>
      <c r="C5" t="str">
        <f>IFERROR(INDEX(Starter!B:B,MATCH(B5,Starter!A:A,0)),"")</f>
        <v>Schulz, Carolin</v>
      </c>
      <c r="D5" t="str">
        <f>IFERROR(INDEX(Starter!C:C,MATCH(B5,Starter!A:A,0)),"")</f>
        <v>BC E.P.A. München</v>
      </c>
      <c r="E5" s="102">
        <f t="shared" ref="E5:E36" si="3">IFERROR(INDEX(M:M,MATCH(A5,P:P,0)),"")</f>
        <v>5908</v>
      </c>
      <c r="F5">
        <f t="shared" ref="F5:F36" si="4">IFERROR(INDEX(N:N,MATCH(A5,P:P,0)),"")</f>
        <v>31</v>
      </c>
      <c r="G5" s="137">
        <f t="shared" ref="G5:G36" si="5">IFERROR(INDEX(O:O,MATCH(A5,P:P,0)),"")</f>
        <v>190.58064509129034</v>
      </c>
      <c r="L5" s="227">
        <f>INDEX(Starter!A:A,ROW()-1)</f>
        <v>7903</v>
      </c>
      <c r="M5">
        <f>INDEX(SchnittGes3!M:M,MATCH(L5,SchnittGes3!L:L,0))+INDEX(Schnitt4!M:M,MATCH(L5,Schnitt4!L:L,0))</f>
        <v>2338</v>
      </c>
      <c r="N5">
        <f>INDEX(SchnittGes3!N:N,MATCH(L5,SchnittGes3!L:L,0))+INDEX(Schnitt4!N:N,MATCH(L5,Schnitt4!L:L,0))</f>
        <v>14</v>
      </c>
      <c r="O5">
        <f t="shared" si="0"/>
        <v>166.999999995</v>
      </c>
      <c r="P5">
        <f t="shared" si="1"/>
        <v>38</v>
      </c>
    </row>
    <row r="6" spans="1:16" x14ac:dyDescent="0.35">
      <c r="A6">
        <f t="shared" ref="A6:A37" si="6">IFERROR(IF(A5+1&gt;MAX(P:P)-1,"",A5+1),"")</f>
        <v>2</v>
      </c>
      <c r="B6">
        <f t="shared" si="2"/>
        <v>7801</v>
      </c>
      <c r="C6" t="str">
        <f>IFERROR(INDEX(Starter!B:B,MATCH(B6,Starter!A:A,0)),"")</f>
        <v>Schuster, Katharina</v>
      </c>
      <c r="D6" t="str">
        <f>IFERROR(INDEX(Starter!C:C,MATCH(B6,Starter!A:A,0)),"")</f>
        <v>BC Phönix 03 Lauf</v>
      </c>
      <c r="E6" s="102">
        <f t="shared" si="3"/>
        <v>6839</v>
      </c>
      <c r="F6">
        <f t="shared" si="4"/>
        <v>36</v>
      </c>
      <c r="G6" s="137">
        <f t="shared" si="5"/>
        <v>189.97222216622222</v>
      </c>
      <c r="L6" s="227">
        <f>INDEX(Starter!A:A,ROW()-1)</f>
        <v>16170</v>
      </c>
      <c r="M6">
        <f>INDEX(SchnittGes3!M:M,MATCH(L6,SchnittGes3!L:L,0))+INDEX(Schnitt4!M:M,MATCH(L6,Schnitt4!L:L,0))</f>
        <v>2673</v>
      </c>
      <c r="N6">
        <f>INDEX(SchnittGes3!N:N,MATCH(L6,SchnittGes3!L:L,0))+INDEX(Schnitt4!N:N,MATCH(L6,Schnitt4!L:L,0))</f>
        <v>15</v>
      </c>
      <c r="O6">
        <f t="shared" si="0"/>
        <v>178.199999994</v>
      </c>
      <c r="P6">
        <f t="shared" si="1"/>
        <v>19</v>
      </c>
    </row>
    <row r="7" spans="1:16" x14ac:dyDescent="0.35">
      <c r="A7">
        <f t="shared" si="6"/>
        <v>3</v>
      </c>
      <c r="B7">
        <f t="shared" si="2"/>
        <v>16594</v>
      </c>
      <c r="C7" t="str">
        <f>IFERROR(INDEX(Starter!B:B,MATCH(B7,Starter!A:A,0)),"")</f>
        <v>Schott, Monika</v>
      </c>
      <c r="D7" t="str">
        <f>IFERROR(INDEX(Starter!C:C,MATCH(B7,Starter!A:A,0)),"")</f>
        <v>BK München</v>
      </c>
      <c r="E7" s="102">
        <f t="shared" si="3"/>
        <v>1677</v>
      </c>
      <c r="F7">
        <f t="shared" si="4"/>
        <v>9</v>
      </c>
      <c r="G7" s="137">
        <f t="shared" si="5"/>
        <v>186.33333332133336</v>
      </c>
      <c r="L7" s="227">
        <f>INDEX(Starter!A:A,ROW()-1)</f>
        <v>7889</v>
      </c>
      <c r="M7">
        <f>INDEX(SchnittGes3!M:M,MATCH(L7,SchnittGes3!L:L,0))+INDEX(Schnitt4!M:M,MATCH(L7,Schnitt4!L:L,0))</f>
        <v>5530</v>
      </c>
      <c r="N7">
        <f>INDEX(SchnittGes3!N:N,MATCH(L7,SchnittGes3!L:L,0))+INDEX(Schnitt4!N:N,MATCH(L7,Schnitt4!L:L,0))</f>
        <v>31</v>
      </c>
      <c r="O7">
        <f t="shared" si="0"/>
        <v>178.38709676719353</v>
      </c>
      <c r="P7">
        <f t="shared" si="1"/>
        <v>17</v>
      </c>
    </row>
    <row r="8" spans="1:16" x14ac:dyDescent="0.35">
      <c r="A8">
        <f t="shared" si="6"/>
        <v>4</v>
      </c>
      <c r="B8">
        <f t="shared" si="2"/>
        <v>38438</v>
      </c>
      <c r="C8" t="str">
        <f>IFERROR(INDEX(Starter!B:B,MATCH(B8,Starter!A:A,0)),"")</f>
        <v>Hassforth, Lea</v>
      </c>
      <c r="D8" t="str">
        <f>IFERROR(INDEX(Starter!C:C,MATCH(B8,Starter!A:A,0)),"")</f>
        <v>BK München</v>
      </c>
      <c r="E8" s="102">
        <f t="shared" si="3"/>
        <v>5010</v>
      </c>
      <c r="F8">
        <f t="shared" si="4"/>
        <v>27</v>
      </c>
      <c r="G8" s="137">
        <f t="shared" si="5"/>
        <v>185.55555554655555</v>
      </c>
      <c r="L8" s="227">
        <f>INDEX(Starter!A:A,ROW()-1)</f>
        <v>38222</v>
      </c>
      <c r="M8">
        <f>INDEX(SchnittGes3!M:M,MATCH(L8,SchnittGes3!L:L,0))+INDEX(Schnitt4!M:M,MATCH(L8,Schnitt4!L:L,0))</f>
        <v>1479</v>
      </c>
      <c r="N8">
        <f>INDEX(SchnittGes3!N:N,MATCH(L8,SchnittGes3!L:L,0))+INDEX(Schnitt4!N:N,MATCH(L8,Schnitt4!L:L,0))</f>
        <v>9</v>
      </c>
      <c r="O8">
        <f t="shared" si="0"/>
        <v>164.33333332533334</v>
      </c>
      <c r="P8">
        <f t="shared" si="1"/>
        <v>42</v>
      </c>
    </row>
    <row r="9" spans="1:16" x14ac:dyDescent="0.35">
      <c r="A9">
        <f t="shared" si="6"/>
        <v>5</v>
      </c>
      <c r="B9">
        <f t="shared" si="2"/>
        <v>38458</v>
      </c>
      <c r="C9" t="str">
        <f>IFERROR(INDEX(Starter!B:B,MATCH(B9,Starter!A:A,0)),"")</f>
        <v>Lindner, Theresa</v>
      </c>
      <c r="D9" t="str">
        <f>IFERROR(INDEX(Starter!C:C,MATCH(B9,Starter!A:A,0)),"")</f>
        <v>BSC Highroller Rosenheim</v>
      </c>
      <c r="E9" s="102">
        <f t="shared" si="3"/>
        <v>4996</v>
      </c>
      <c r="F9">
        <f t="shared" si="4"/>
        <v>27</v>
      </c>
      <c r="G9" s="137">
        <f t="shared" si="5"/>
        <v>185.03703697203704</v>
      </c>
      <c r="L9" s="227">
        <f>INDEX(Starter!A:A,ROW()-1)</f>
        <v>38438</v>
      </c>
      <c r="M9">
        <f>INDEX(SchnittGes3!M:M,MATCH(L9,SchnittGes3!L:L,0))+INDEX(Schnitt4!M:M,MATCH(L9,Schnitt4!L:L,0))</f>
        <v>5010</v>
      </c>
      <c r="N9">
        <f>INDEX(SchnittGes3!N:N,MATCH(L9,SchnittGes3!L:L,0))+INDEX(Schnitt4!N:N,MATCH(L9,Schnitt4!L:L,0))</f>
        <v>27</v>
      </c>
      <c r="O9">
        <f t="shared" si="0"/>
        <v>185.55555554655555</v>
      </c>
      <c r="P9">
        <f t="shared" si="1"/>
        <v>4</v>
      </c>
    </row>
    <row r="10" spans="1:16" x14ac:dyDescent="0.35">
      <c r="A10">
        <f t="shared" si="6"/>
        <v>6</v>
      </c>
      <c r="B10">
        <f t="shared" si="2"/>
        <v>7574</v>
      </c>
      <c r="C10" t="str">
        <f>IFERROR(INDEX(Starter!B:B,MATCH(B10,Starter!A:A,0)),"")</f>
        <v>Clemenz, Brigitte</v>
      </c>
      <c r="D10" t="str">
        <f>IFERROR(INDEX(Starter!C:C,MATCH(B10,Starter!A:A,0)),"")</f>
        <v>BK München</v>
      </c>
      <c r="E10" s="102">
        <f t="shared" si="3"/>
        <v>4605</v>
      </c>
      <c r="F10">
        <f t="shared" si="4"/>
        <v>25</v>
      </c>
      <c r="G10" s="137">
        <f t="shared" si="5"/>
        <v>184.19999998199998</v>
      </c>
      <c r="L10" s="227">
        <f>INDEX(Starter!A:A,ROW()-1)</f>
        <v>38553</v>
      </c>
      <c r="M10">
        <f>INDEX(SchnittGes3!M:M,MATCH(L10,SchnittGes3!L:L,0))+INDEX(Schnitt4!M:M,MATCH(L10,Schnitt4!L:L,0))</f>
        <v>4889</v>
      </c>
      <c r="N10">
        <f>INDEX(SchnittGes3!N:N,MATCH(L10,SchnittGes3!L:L,0))+INDEX(Schnitt4!N:N,MATCH(L10,Schnitt4!L:L,0))</f>
        <v>27</v>
      </c>
      <c r="O10">
        <f t="shared" si="0"/>
        <v>181.07407406407407</v>
      </c>
      <c r="P10">
        <f t="shared" si="1"/>
        <v>14</v>
      </c>
    </row>
    <row r="11" spans="1:16" x14ac:dyDescent="0.35">
      <c r="A11">
        <f t="shared" si="6"/>
        <v>7</v>
      </c>
      <c r="B11">
        <f t="shared" si="2"/>
        <v>25751</v>
      </c>
      <c r="C11" t="str">
        <f>IFERROR(INDEX(Starter!B:B,MATCH(B11,Starter!A:A,0)),"")</f>
        <v>Schlundt, Sabrina</v>
      </c>
      <c r="D11" t="str">
        <f>IFERROR(INDEX(Starter!C:C,MATCH(B11,Starter!A:A,0)),"")</f>
        <v>BC Praetoria</v>
      </c>
      <c r="E11" s="102">
        <f t="shared" si="3"/>
        <v>6257</v>
      </c>
      <c r="F11">
        <f t="shared" si="4"/>
        <v>34</v>
      </c>
      <c r="G11" s="137">
        <f t="shared" si="5"/>
        <v>184.02941176270588</v>
      </c>
      <c r="L11" s="227">
        <f>INDEX(Starter!A:A,ROW()-1)</f>
        <v>38350</v>
      </c>
      <c r="M11">
        <f>INDEX(SchnittGes3!M:M,MATCH(L11,SchnittGes3!L:L,0))+INDEX(Schnitt4!M:M,MATCH(L11,Schnitt4!L:L,0))</f>
        <v>6059</v>
      </c>
      <c r="N11">
        <f>INDEX(SchnittGes3!N:N,MATCH(L11,SchnittGes3!L:L,0))+INDEX(Schnitt4!N:N,MATCH(L11,Schnitt4!L:L,0))</f>
        <v>36</v>
      </c>
      <c r="O11">
        <f t="shared" si="0"/>
        <v>168.30555554455555</v>
      </c>
      <c r="P11">
        <f t="shared" si="1"/>
        <v>33</v>
      </c>
    </row>
    <row r="12" spans="1:16" x14ac:dyDescent="0.35">
      <c r="A12">
        <f t="shared" si="6"/>
        <v>8</v>
      </c>
      <c r="B12">
        <f t="shared" si="2"/>
        <v>7752</v>
      </c>
      <c r="C12" t="str">
        <f>IFERROR(INDEX(Starter!B:B,MATCH(B12,Starter!A:A,0)),"")</f>
        <v>Treffke, Helga</v>
      </c>
      <c r="D12" t="str">
        <f>IFERROR(INDEX(Starter!C:C,MATCH(B12,Starter!A:A,0)),"")</f>
        <v>BC E.P.A. München</v>
      </c>
      <c r="E12" s="102">
        <f t="shared" si="3"/>
        <v>1288</v>
      </c>
      <c r="F12">
        <f t="shared" si="4"/>
        <v>7</v>
      </c>
      <c r="G12" s="137">
        <f t="shared" si="5"/>
        <v>183.99999995900001</v>
      </c>
      <c r="L12" s="227">
        <f>INDEX(Starter!A:A,ROW()-1)</f>
        <v>16594</v>
      </c>
      <c r="M12">
        <f>INDEX(SchnittGes3!M:M,MATCH(L12,SchnittGes3!L:L,0))+INDEX(Schnitt4!M:M,MATCH(L12,Schnitt4!L:L,0))</f>
        <v>1677</v>
      </c>
      <c r="N12">
        <f>INDEX(SchnittGes3!N:N,MATCH(L12,SchnittGes3!L:L,0))+INDEX(Schnitt4!N:N,MATCH(L12,Schnitt4!L:L,0))</f>
        <v>9</v>
      </c>
      <c r="O12">
        <f t="shared" ref="O12:O75" si="7">IF(N12=0,0,M12/N12-ROW()/1000000000)</f>
        <v>186.33333332133336</v>
      </c>
      <c r="P12">
        <f t="shared" si="1"/>
        <v>3</v>
      </c>
    </row>
    <row r="13" spans="1:16" x14ac:dyDescent="0.35">
      <c r="A13">
        <f t="shared" si="6"/>
        <v>9</v>
      </c>
      <c r="B13">
        <f t="shared" si="2"/>
        <v>7578</v>
      </c>
      <c r="C13" t="str">
        <f>IFERROR(INDEX(Starter!B:B,MATCH(B13,Starter!A:A,0)),"")</f>
        <v>Hinterwimmer, Sabine</v>
      </c>
      <c r="D13" t="str">
        <f>IFERROR(INDEX(Starter!C:C,MATCH(B13,Starter!A:A,0)),"")</f>
        <v>BK München</v>
      </c>
      <c r="E13" s="102">
        <f t="shared" si="3"/>
        <v>6435</v>
      </c>
      <c r="F13">
        <f t="shared" si="4"/>
        <v>35</v>
      </c>
      <c r="G13" s="137">
        <f t="shared" si="5"/>
        <v>183.85714284114286</v>
      </c>
      <c r="L13" s="227">
        <f>INDEX(Starter!A:A,ROW()-1)</f>
        <v>16595</v>
      </c>
      <c r="M13">
        <f>INDEX(SchnittGes3!M:M,MATCH(L13,SchnittGes3!L:L,0))+INDEX(Schnitt4!M:M,MATCH(L13,Schnitt4!L:L,0))</f>
        <v>1551</v>
      </c>
      <c r="N13">
        <f>INDEX(SchnittGes3!N:N,MATCH(L13,SchnittGes3!L:L,0))+INDEX(Schnitt4!N:N,MATCH(L13,Schnitt4!L:L,0))</f>
        <v>9</v>
      </c>
      <c r="O13">
        <f t="shared" si="7"/>
        <v>172.33333332033334</v>
      </c>
      <c r="P13">
        <f t="shared" si="1"/>
        <v>27</v>
      </c>
    </row>
    <row r="14" spans="1:16" x14ac:dyDescent="0.35">
      <c r="A14">
        <f t="shared" si="6"/>
        <v>10</v>
      </c>
      <c r="B14">
        <f t="shared" si="2"/>
        <v>25798</v>
      </c>
      <c r="C14" t="str">
        <f>IFERROR(INDEX(Starter!B:B,MATCH(B14,Starter!A:A,0)),"")</f>
        <v>Kicker-Mihatsch, Elvira</v>
      </c>
      <c r="D14" t="str">
        <f>IFERROR(INDEX(Starter!C:C,MATCH(B14,Starter!A:A,0)),"")</f>
        <v>BC Praetoria</v>
      </c>
      <c r="E14" s="102">
        <f t="shared" si="3"/>
        <v>4934</v>
      </c>
      <c r="F14">
        <f t="shared" si="4"/>
        <v>27</v>
      </c>
      <c r="G14" s="137">
        <f t="shared" si="5"/>
        <v>182.74074073674075</v>
      </c>
      <c r="L14" s="227">
        <f>INDEX(Starter!A:A,ROW()-1)</f>
        <v>7061</v>
      </c>
      <c r="M14">
        <f>INDEX(SchnittGes3!M:M,MATCH(L14,SchnittGes3!L:L,0))+INDEX(Schnitt4!M:M,MATCH(L14,Schnitt4!L:L,0))</f>
        <v>1454</v>
      </c>
      <c r="N14">
        <f>INDEX(SchnittGes3!N:N,MATCH(L14,SchnittGes3!L:L,0))+INDEX(Schnitt4!N:N,MATCH(L14,Schnitt4!L:L,0))</f>
        <v>9</v>
      </c>
      <c r="O14">
        <f t="shared" si="7"/>
        <v>161.55555554155555</v>
      </c>
      <c r="P14">
        <f t="shared" si="1"/>
        <v>45</v>
      </c>
    </row>
    <row r="15" spans="1:16" x14ac:dyDescent="0.35">
      <c r="A15">
        <f t="shared" si="6"/>
        <v>11</v>
      </c>
      <c r="B15">
        <f t="shared" si="2"/>
        <v>7575</v>
      </c>
      <c r="C15" t="str">
        <f>IFERROR(INDEX(Starter!B:B,MATCH(B15,Starter!A:A,0)),"")</f>
        <v>Dozauer, Jessica</v>
      </c>
      <c r="D15" t="str">
        <f>IFERROR(INDEX(Starter!C:C,MATCH(B15,Starter!A:A,0)),"")</f>
        <v>BK München</v>
      </c>
      <c r="E15" s="102">
        <f t="shared" si="3"/>
        <v>4373</v>
      </c>
      <c r="F15">
        <f t="shared" si="4"/>
        <v>24</v>
      </c>
      <c r="G15" s="137">
        <f t="shared" si="5"/>
        <v>182.20833331633335</v>
      </c>
      <c r="L15" s="227">
        <f>INDEX(Starter!A:A,ROW()-1)</f>
        <v>25550</v>
      </c>
      <c r="M15">
        <f>INDEX(SchnittGes3!M:M,MATCH(L15,SchnittGes3!L:L,0))+INDEX(Schnitt4!M:M,MATCH(L15,Schnitt4!L:L,0))</f>
        <v>0</v>
      </c>
      <c r="N15">
        <f>INDEX(SchnittGes3!N:N,MATCH(L15,SchnittGes3!L:L,0))+INDEX(Schnitt4!N:N,MATCH(L15,Schnitt4!L:L,0))</f>
        <v>0</v>
      </c>
      <c r="O15">
        <f t="shared" si="7"/>
        <v>0</v>
      </c>
      <c r="P15">
        <f t="shared" si="1"/>
        <v>55</v>
      </c>
    </row>
    <row r="16" spans="1:16" x14ac:dyDescent="0.35">
      <c r="A16">
        <f t="shared" si="6"/>
        <v>12</v>
      </c>
      <c r="B16">
        <f t="shared" si="2"/>
        <v>38757</v>
      </c>
      <c r="C16" t="str">
        <f>IFERROR(INDEX(Starter!B:B,MATCH(B16,Starter!A:A,0)),"")</f>
        <v>Schanze, Bianka</v>
      </c>
      <c r="D16" t="str">
        <f>IFERROR(INDEX(Starter!C:C,MATCH(B16,Starter!A:A,0)),"")</f>
        <v>BSC Highroller Rosenheim</v>
      </c>
      <c r="E16" s="102">
        <f t="shared" si="3"/>
        <v>6192</v>
      </c>
      <c r="F16">
        <f t="shared" si="4"/>
        <v>34</v>
      </c>
      <c r="G16" s="137">
        <f t="shared" si="5"/>
        <v>182.11764703382354</v>
      </c>
      <c r="L16" s="227">
        <f>INDEX(Starter!A:A,ROW()-1)</f>
        <v>7578</v>
      </c>
      <c r="M16">
        <f>INDEX(SchnittGes3!M:M,MATCH(L16,SchnittGes3!L:L,0))+INDEX(Schnitt4!M:M,MATCH(L16,Schnitt4!L:L,0))</f>
        <v>6435</v>
      </c>
      <c r="N16">
        <f>INDEX(SchnittGes3!N:N,MATCH(L16,SchnittGes3!L:L,0))+INDEX(Schnitt4!N:N,MATCH(L16,Schnitt4!L:L,0))</f>
        <v>35</v>
      </c>
      <c r="O16">
        <f t="shared" si="7"/>
        <v>183.85714284114286</v>
      </c>
      <c r="P16">
        <f t="shared" si="1"/>
        <v>9</v>
      </c>
    </row>
    <row r="17" spans="1:16" x14ac:dyDescent="0.35">
      <c r="A17">
        <f t="shared" si="6"/>
        <v>13</v>
      </c>
      <c r="B17">
        <f t="shared" si="2"/>
        <v>25298</v>
      </c>
      <c r="C17" t="str">
        <f>IFERROR(INDEX(Starter!B:B,MATCH(B17,Starter!A:A,0)),"")</f>
        <v>Auer, Cornelia</v>
      </c>
      <c r="D17" t="str">
        <f>IFERROR(INDEX(Starter!C:C,MATCH(B17,Starter!A:A,0)),"")</f>
        <v>BSC Highroller Rosenheim</v>
      </c>
      <c r="E17" s="102">
        <f t="shared" si="3"/>
        <v>4899</v>
      </c>
      <c r="F17">
        <f t="shared" si="4"/>
        <v>27</v>
      </c>
      <c r="G17" s="137">
        <f t="shared" si="5"/>
        <v>181.44444442044446</v>
      </c>
      <c r="L17" s="227">
        <f>INDEX(Starter!A:A,ROW()-1)</f>
        <v>7575</v>
      </c>
      <c r="M17">
        <f>INDEX(SchnittGes3!M:M,MATCH(L17,SchnittGes3!L:L,0))+INDEX(Schnitt4!M:M,MATCH(L17,Schnitt4!L:L,0))</f>
        <v>4373</v>
      </c>
      <c r="N17">
        <f>INDEX(SchnittGes3!N:N,MATCH(L17,SchnittGes3!L:L,0))+INDEX(Schnitt4!N:N,MATCH(L17,Schnitt4!L:L,0))</f>
        <v>24</v>
      </c>
      <c r="O17">
        <f t="shared" si="7"/>
        <v>182.20833331633335</v>
      </c>
      <c r="P17">
        <f t="shared" si="1"/>
        <v>11</v>
      </c>
    </row>
    <row r="18" spans="1:16" x14ac:dyDescent="0.35">
      <c r="A18">
        <f t="shared" si="6"/>
        <v>14</v>
      </c>
      <c r="B18">
        <f t="shared" si="2"/>
        <v>38553</v>
      </c>
      <c r="C18" t="str">
        <f>IFERROR(INDEX(Starter!B:B,MATCH(B18,Starter!A:A,0)),"")</f>
        <v>Kirschke, Saskia</v>
      </c>
      <c r="D18" t="str">
        <f>IFERROR(INDEX(Starter!C:C,MATCH(B18,Starter!A:A,0)),"")</f>
        <v>BK München</v>
      </c>
      <c r="E18" s="102">
        <f t="shared" si="3"/>
        <v>4889</v>
      </c>
      <c r="F18">
        <f t="shared" si="4"/>
        <v>27</v>
      </c>
      <c r="G18" s="137">
        <f t="shared" si="5"/>
        <v>181.07407406407407</v>
      </c>
      <c r="L18" s="227">
        <f>INDEX(Starter!A:A,ROW()-1)</f>
        <v>7574</v>
      </c>
      <c r="M18">
        <f>INDEX(SchnittGes3!M:M,MATCH(L18,SchnittGes3!L:L,0))+INDEX(Schnitt4!M:M,MATCH(L18,Schnitt4!L:L,0))</f>
        <v>4605</v>
      </c>
      <c r="N18">
        <f>INDEX(SchnittGes3!N:N,MATCH(L18,SchnittGes3!L:L,0))+INDEX(Schnitt4!N:N,MATCH(L18,Schnitt4!L:L,0))</f>
        <v>25</v>
      </c>
      <c r="O18">
        <f t="shared" si="7"/>
        <v>184.19999998199998</v>
      </c>
      <c r="P18">
        <f t="shared" si="1"/>
        <v>6</v>
      </c>
    </row>
    <row r="19" spans="1:16" x14ac:dyDescent="0.35">
      <c r="A19">
        <f t="shared" si="6"/>
        <v>15</v>
      </c>
      <c r="B19">
        <f t="shared" si="2"/>
        <v>25192</v>
      </c>
      <c r="C19" t="str">
        <f>IFERROR(INDEX(Starter!B:B,MATCH(B19,Starter!A:A,0)),"")</f>
        <v>Bess, Vanessa</v>
      </c>
      <c r="D19" t="str">
        <f>IFERROR(INDEX(Starter!C:C,MATCH(B19,Starter!A:A,0)),"")</f>
        <v>BC E.P.A. München</v>
      </c>
      <c r="E19" s="102">
        <f t="shared" si="3"/>
        <v>5243</v>
      </c>
      <c r="F19">
        <f t="shared" si="4"/>
        <v>29</v>
      </c>
      <c r="G19" s="137">
        <f t="shared" si="5"/>
        <v>180.79310337927586</v>
      </c>
      <c r="L19" s="227">
        <f>INDEX(Starter!A:A,ROW()-1)</f>
        <v>7576</v>
      </c>
      <c r="M19">
        <f>INDEX(SchnittGes3!M:M,MATCH(L19,SchnittGes3!L:L,0))+INDEX(Schnitt4!M:M,MATCH(L19,Schnitt4!L:L,0))</f>
        <v>2553</v>
      </c>
      <c r="N19">
        <f>INDEX(SchnittGes3!N:N,MATCH(L19,SchnittGes3!L:L,0))+INDEX(Schnitt4!N:N,MATCH(L19,Schnitt4!L:L,0))</f>
        <v>15</v>
      </c>
      <c r="O19">
        <f t="shared" si="7"/>
        <v>170.19999998099999</v>
      </c>
      <c r="P19">
        <f t="shared" si="1"/>
        <v>31</v>
      </c>
    </row>
    <row r="20" spans="1:16" x14ac:dyDescent="0.35">
      <c r="A20">
        <f t="shared" si="6"/>
        <v>16</v>
      </c>
      <c r="B20">
        <f t="shared" si="2"/>
        <v>7534</v>
      </c>
      <c r="C20" t="str">
        <f>IFERROR(INDEX(Starter!B:B,MATCH(B20,Starter!A:A,0)),"")</f>
        <v>Lieb, Anja</v>
      </c>
      <c r="D20" t="str">
        <f>IFERROR(INDEX(Starter!C:C,MATCH(B20,Starter!A:A,0)),"")</f>
        <v>BC E.P.A. München</v>
      </c>
      <c r="E20" s="102">
        <f t="shared" si="3"/>
        <v>6143</v>
      </c>
      <c r="F20">
        <f t="shared" si="4"/>
        <v>34</v>
      </c>
      <c r="G20" s="137">
        <f t="shared" si="5"/>
        <v>180.67647051723532</v>
      </c>
      <c r="L20" s="227">
        <f>INDEX(Starter!A:A,ROW()-1)</f>
        <v>12850</v>
      </c>
      <c r="M20">
        <f>INDEX(SchnittGes3!M:M,MATCH(L20,SchnittGes3!L:L,0))+INDEX(Schnitt4!M:M,MATCH(L20,Schnitt4!L:L,0))</f>
        <v>4009</v>
      </c>
      <c r="N20">
        <f>INDEX(SchnittGes3!N:N,MATCH(L20,SchnittGes3!L:L,0))+INDEX(Schnitt4!N:N,MATCH(L20,Schnitt4!L:L,0))</f>
        <v>25</v>
      </c>
      <c r="O20">
        <f t="shared" si="7"/>
        <v>160.35999998000003</v>
      </c>
      <c r="P20">
        <f t="shared" si="1"/>
        <v>48</v>
      </c>
    </row>
    <row r="21" spans="1:16" x14ac:dyDescent="0.35">
      <c r="A21">
        <f t="shared" si="6"/>
        <v>17</v>
      </c>
      <c r="B21">
        <f t="shared" si="2"/>
        <v>7889</v>
      </c>
      <c r="C21" t="str">
        <f>IFERROR(INDEX(Starter!B:B,MATCH(B21,Starter!A:A,0)),"")</f>
        <v>Zahner, Barbara</v>
      </c>
      <c r="D21" t="str">
        <f>IFERROR(INDEX(Starter!C:C,MATCH(B21,Starter!A:A,0)),"")</f>
        <v>BC Praetoria</v>
      </c>
      <c r="E21" s="102">
        <f t="shared" si="3"/>
        <v>5530</v>
      </c>
      <c r="F21">
        <f t="shared" si="4"/>
        <v>31</v>
      </c>
      <c r="G21" s="137">
        <f t="shared" si="5"/>
        <v>178.38709676719353</v>
      </c>
      <c r="L21" s="227">
        <f>INDEX(Starter!A:A,ROW()-1)</f>
        <v>16879</v>
      </c>
      <c r="M21">
        <f>INDEX(SchnittGes3!M:M,MATCH(L21,SchnittGes3!L:L,0))+INDEX(Schnitt4!M:M,MATCH(L21,Schnitt4!L:L,0))</f>
        <v>3059</v>
      </c>
      <c r="N21">
        <f>INDEX(SchnittGes3!N:N,MATCH(L21,SchnittGes3!L:L,0))+INDEX(Schnitt4!N:N,MATCH(L21,Schnitt4!L:L,0))</f>
        <v>19</v>
      </c>
      <c r="O21">
        <f t="shared" si="7"/>
        <v>160.99999997899999</v>
      </c>
      <c r="P21">
        <f t="shared" si="1"/>
        <v>46</v>
      </c>
    </row>
    <row r="22" spans="1:16" x14ac:dyDescent="0.35">
      <c r="A22">
        <f t="shared" si="6"/>
        <v>18</v>
      </c>
      <c r="B22">
        <f t="shared" si="2"/>
        <v>7549</v>
      </c>
      <c r="C22" t="str">
        <f>IFERROR(INDEX(Starter!B:B,MATCH(B22,Starter!A:A,0)),"")</f>
        <v>Hernitschek, Angelika</v>
      </c>
      <c r="D22" t="str">
        <f>IFERROR(INDEX(Starter!C:C,MATCH(B22,Starter!A:A,0)),"")</f>
        <v>BC E.P.A. München</v>
      </c>
      <c r="E22" s="102">
        <f t="shared" si="3"/>
        <v>4101</v>
      </c>
      <c r="F22">
        <f t="shared" si="4"/>
        <v>23</v>
      </c>
      <c r="G22" s="137">
        <f t="shared" si="5"/>
        <v>178.30434775808698</v>
      </c>
      <c r="L22" s="227">
        <f>INDEX(Starter!A:A,ROW()-1)</f>
        <v>7991</v>
      </c>
      <c r="M22">
        <f>INDEX(SchnittGes3!M:M,MATCH(L22,SchnittGes3!L:L,0))+INDEX(Schnitt4!M:M,MATCH(L22,Schnitt4!L:L,0))</f>
        <v>792</v>
      </c>
      <c r="N22">
        <f>INDEX(SchnittGes3!N:N,MATCH(L22,SchnittGes3!L:L,0))+INDEX(Schnitt4!N:N,MATCH(L22,Schnitt4!L:L,0))</f>
        <v>5</v>
      </c>
      <c r="O22">
        <f t="shared" si="7"/>
        <v>158.39999997800001</v>
      </c>
      <c r="P22">
        <f t="shared" si="1"/>
        <v>51</v>
      </c>
    </row>
    <row r="23" spans="1:16" x14ac:dyDescent="0.35">
      <c r="A23">
        <f t="shared" si="6"/>
        <v>19</v>
      </c>
      <c r="B23">
        <f t="shared" si="2"/>
        <v>16170</v>
      </c>
      <c r="C23" t="str">
        <f>IFERROR(INDEX(Starter!B:B,MATCH(B23,Starter!A:A,0)),"")</f>
        <v>Wölki, Elisabeth</v>
      </c>
      <c r="D23" t="str">
        <f>IFERROR(INDEX(Starter!C:C,MATCH(B23,Starter!A:A,0)),"")</f>
        <v>BC Praetoria</v>
      </c>
      <c r="E23" s="102">
        <f t="shared" si="3"/>
        <v>2673</v>
      </c>
      <c r="F23">
        <f t="shared" si="4"/>
        <v>15</v>
      </c>
      <c r="G23" s="137">
        <f t="shared" si="5"/>
        <v>178.199999994</v>
      </c>
      <c r="L23" s="227">
        <f>INDEX(Starter!A:A,ROW()-1)</f>
        <v>7024</v>
      </c>
      <c r="M23">
        <f>INDEX(SchnittGes3!M:M,MATCH(L23,SchnittGes3!L:L,0))+INDEX(Schnitt4!M:M,MATCH(L23,Schnitt4!L:L,0))</f>
        <v>0</v>
      </c>
      <c r="N23">
        <f>INDEX(SchnittGes3!N:N,MATCH(L23,SchnittGes3!L:L,0))+INDEX(Schnitt4!N:N,MATCH(L23,Schnitt4!L:L,0))</f>
        <v>0</v>
      </c>
      <c r="O23">
        <f t="shared" si="7"/>
        <v>0</v>
      </c>
      <c r="P23">
        <f t="shared" si="1"/>
        <v>55</v>
      </c>
    </row>
    <row r="24" spans="1:16" x14ac:dyDescent="0.35">
      <c r="A24">
        <f t="shared" si="6"/>
        <v>20</v>
      </c>
      <c r="B24">
        <f t="shared" si="2"/>
        <v>7753</v>
      </c>
      <c r="C24" t="str">
        <f>IFERROR(INDEX(Starter!B:B,MATCH(B24,Starter!A:A,0)),"")</f>
        <v>Krämer, Gisela</v>
      </c>
      <c r="D24" t="str">
        <f>IFERROR(INDEX(Starter!C:C,MATCH(B24,Starter!A:A,0)),"")</f>
        <v>BC Frankenpower</v>
      </c>
      <c r="E24" s="102">
        <f t="shared" si="3"/>
        <v>6366</v>
      </c>
      <c r="F24">
        <f t="shared" si="4"/>
        <v>36</v>
      </c>
      <c r="G24" s="137">
        <f t="shared" si="5"/>
        <v>176.83333330433334</v>
      </c>
      <c r="L24" s="227">
        <f>INDEX(Starter!A:A,ROW()-1)</f>
        <v>25298</v>
      </c>
      <c r="M24">
        <f>INDEX(SchnittGes3!M:M,MATCH(L24,SchnittGes3!L:L,0))+INDEX(Schnitt4!M:M,MATCH(L24,Schnitt4!L:L,0))</f>
        <v>4899</v>
      </c>
      <c r="N24">
        <f>INDEX(SchnittGes3!N:N,MATCH(L24,SchnittGes3!L:L,0))+INDEX(Schnitt4!N:N,MATCH(L24,Schnitt4!L:L,0))</f>
        <v>27</v>
      </c>
      <c r="O24">
        <f t="shared" si="7"/>
        <v>181.44444442044446</v>
      </c>
      <c r="P24">
        <f t="shared" si="1"/>
        <v>13</v>
      </c>
    </row>
    <row r="25" spans="1:16" x14ac:dyDescent="0.35">
      <c r="A25">
        <f t="shared" si="6"/>
        <v>21</v>
      </c>
      <c r="B25">
        <f t="shared" si="2"/>
        <v>7786</v>
      </c>
      <c r="C25" t="str">
        <f>IFERROR(INDEX(Starter!B:B,MATCH(B25,Starter!A:A,0)),"")</f>
        <v>Reichel, Christina</v>
      </c>
      <c r="D25" t="str">
        <f>IFERROR(INDEX(Starter!C:C,MATCH(B25,Starter!A:A,0)),"")</f>
        <v>BC Phönix 03 Lauf</v>
      </c>
      <c r="E25" s="102">
        <f t="shared" si="3"/>
        <v>6006</v>
      </c>
      <c r="F25">
        <f t="shared" si="4"/>
        <v>34</v>
      </c>
      <c r="G25" s="137">
        <f t="shared" si="5"/>
        <v>176.64705876852943</v>
      </c>
      <c r="L25" s="227">
        <f>INDEX(Starter!A:A,ROW()-1)</f>
        <v>38757</v>
      </c>
      <c r="M25">
        <f>INDEX(SchnittGes3!M:M,MATCH(L25,SchnittGes3!L:L,0))+INDEX(Schnitt4!M:M,MATCH(L25,Schnitt4!L:L,0))</f>
        <v>6192</v>
      </c>
      <c r="N25">
        <f>INDEX(SchnittGes3!N:N,MATCH(L25,SchnittGes3!L:L,0))+INDEX(Schnitt4!N:N,MATCH(L25,Schnitt4!L:L,0))</f>
        <v>34</v>
      </c>
      <c r="O25">
        <f t="shared" si="7"/>
        <v>182.11764703382354</v>
      </c>
      <c r="P25">
        <f t="shared" si="1"/>
        <v>12</v>
      </c>
    </row>
    <row r="26" spans="1:16" x14ac:dyDescent="0.35">
      <c r="A26">
        <f t="shared" si="6"/>
        <v>22</v>
      </c>
      <c r="B26">
        <f t="shared" si="2"/>
        <v>7976</v>
      </c>
      <c r="C26" t="str">
        <f>IFERROR(INDEX(Starter!B:B,MATCH(B26,Starter!A:A,0)),"")</f>
        <v>Martisko, Petra</v>
      </c>
      <c r="D26" t="str">
        <f>IFERROR(INDEX(Starter!C:C,MATCH(B26,Starter!A:A,0)),"")</f>
        <v>BF Rot-Weiß Lichtenhof 69</v>
      </c>
      <c r="E26" s="102">
        <f t="shared" si="3"/>
        <v>6330</v>
      </c>
      <c r="F26">
        <f t="shared" si="4"/>
        <v>36</v>
      </c>
      <c r="G26" s="137">
        <f t="shared" si="5"/>
        <v>175.83333327233333</v>
      </c>
      <c r="L26" s="227">
        <f>INDEX(Starter!A:A,ROW()-1)</f>
        <v>25630</v>
      </c>
      <c r="M26">
        <f>INDEX(SchnittGes3!M:M,MATCH(L26,SchnittGes3!L:L,0))+INDEX(Schnitt4!M:M,MATCH(L26,Schnitt4!L:L,0))</f>
        <v>4664</v>
      </c>
      <c r="N26">
        <f>INDEX(SchnittGes3!N:N,MATCH(L26,SchnittGes3!L:L,0))+INDEX(Schnitt4!N:N,MATCH(L26,Schnitt4!L:L,0))</f>
        <v>27</v>
      </c>
      <c r="O26">
        <f t="shared" si="7"/>
        <v>172.74074071474072</v>
      </c>
      <c r="P26">
        <f t="shared" si="1"/>
        <v>26</v>
      </c>
    </row>
    <row r="27" spans="1:16" x14ac:dyDescent="0.35">
      <c r="A27">
        <f t="shared" si="6"/>
        <v>23</v>
      </c>
      <c r="B27">
        <f t="shared" si="2"/>
        <v>7087</v>
      </c>
      <c r="C27" t="str">
        <f>IFERROR(INDEX(Starter!B:B,MATCH(B27,Starter!A:A,0)),"")</f>
        <v>Albert, Beate</v>
      </c>
      <c r="D27" t="str">
        <f>IFERROR(INDEX(Starter!C:C,MATCH(B27,Starter!A:A,0)),"")</f>
        <v>BF Weiß-Blau</v>
      </c>
      <c r="E27" s="102">
        <f t="shared" si="3"/>
        <v>6120</v>
      </c>
      <c r="F27">
        <f t="shared" si="4"/>
        <v>35</v>
      </c>
      <c r="G27" s="137">
        <f t="shared" si="5"/>
        <v>174.85714281214285</v>
      </c>
      <c r="L27" s="227">
        <f>INDEX(Starter!A:A,ROW()-1)</f>
        <v>38758</v>
      </c>
      <c r="M27">
        <f>INDEX(SchnittGes3!M:M,MATCH(L27,SchnittGes3!L:L,0))+INDEX(Schnitt4!M:M,MATCH(L27,Schnitt4!L:L,0))</f>
        <v>4985</v>
      </c>
      <c r="N27">
        <f>INDEX(SchnittGes3!N:N,MATCH(L27,SchnittGes3!L:L,0))+INDEX(Schnitt4!N:N,MATCH(L27,Schnitt4!L:L,0))</f>
        <v>29</v>
      </c>
      <c r="O27">
        <f t="shared" si="7"/>
        <v>171.89655169713794</v>
      </c>
      <c r="P27">
        <f t="shared" si="1"/>
        <v>30</v>
      </c>
    </row>
    <row r="28" spans="1:16" x14ac:dyDescent="0.35">
      <c r="A28">
        <f t="shared" si="6"/>
        <v>24</v>
      </c>
      <c r="B28">
        <f t="shared" si="2"/>
        <v>38560</v>
      </c>
      <c r="C28" t="str">
        <f>IFERROR(INDEX(Starter!B:B,MATCH(B28,Starter!A:A,0)),"")</f>
        <v>Reng, Verena</v>
      </c>
      <c r="D28" t="str">
        <f>IFERROR(INDEX(Starter!C:C,MATCH(B28,Starter!A:A,0)),"")</f>
        <v>BC Frankenpower</v>
      </c>
      <c r="E28" s="102">
        <f t="shared" si="3"/>
        <v>6282</v>
      </c>
      <c r="F28">
        <f t="shared" si="4"/>
        <v>36</v>
      </c>
      <c r="G28" s="137">
        <f t="shared" si="5"/>
        <v>174.499999968</v>
      </c>
      <c r="L28" s="227">
        <f>INDEX(Starter!A:A,ROW()-1)</f>
        <v>7754</v>
      </c>
      <c r="M28">
        <f>INDEX(SchnittGes3!M:M,MATCH(L28,SchnittGes3!L:L,0))+INDEX(Schnitt4!M:M,MATCH(L28,Schnitt4!L:L,0))</f>
        <v>0</v>
      </c>
      <c r="N28">
        <f>INDEX(SchnittGes3!N:N,MATCH(L28,SchnittGes3!L:L,0))+INDEX(Schnitt4!N:N,MATCH(L28,Schnitt4!L:L,0))</f>
        <v>0</v>
      </c>
      <c r="O28">
        <f t="shared" si="7"/>
        <v>0</v>
      </c>
      <c r="P28">
        <f t="shared" si="1"/>
        <v>55</v>
      </c>
    </row>
    <row r="29" spans="1:16" x14ac:dyDescent="0.35">
      <c r="A29">
        <f t="shared" si="6"/>
        <v>25</v>
      </c>
      <c r="B29">
        <f t="shared" si="2"/>
        <v>25982</v>
      </c>
      <c r="C29" t="str">
        <f>IFERROR(INDEX(Starter!B:B,MATCH(B29,Starter!A:A,0)),"")</f>
        <v>Panek, Sandra</v>
      </c>
      <c r="D29" t="str">
        <f>IFERROR(INDEX(Starter!C:C,MATCH(B29,Starter!A:A,0)),"")</f>
        <v>BF Rot-Weiß Lichtenhof 69</v>
      </c>
      <c r="E29" s="102">
        <f t="shared" si="3"/>
        <v>2246</v>
      </c>
      <c r="F29">
        <f t="shared" si="4"/>
        <v>13</v>
      </c>
      <c r="G29" s="137">
        <f t="shared" si="5"/>
        <v>172.76923071123076</v>
      </c>
      <c r="L29" s="227">
        <f>INDEX(Starter!A:A,ROW()-1)</f>
        <v>7753</v>
      </c>
      <c r="M29">
        <f>INDEX(SchnittGes3!M:M,MATCH(L29,SchnittGes3!L:L,0))+INDEX(Schnitt4!M:M,MATCH(L29,Schnitt4!L:L,0))</f>
        <v>6366</v>
      </c>
      <c r="N29">
        <f>INDEX(SchnittGes3!N:N,MATCH(L29,SchnittGes3!L:L,0))+INDEX(Schnitt4!N:N,MATCH(L29,Schnitt4!L:L,0))</f>
        <v>36</v>
      </c>
      <c r="O29">
        <f t="shared" si="7"/>
        <v>176.83333330433334</v>
      </c>
      <c r="P29">
        <f t="shared" si="1"/>
        <v>20</v>
      </c>
    </row>
    <row r="30" spans="1:16" x14ac:dyDescent="0.35">
      <c r="A30">
        <f t="shared" si="6"/>
        <v>26</v>
      </c>
      <c r="B30">
        <f t="shared" si="2"/>
        <v>25630</v>
      </c>
      <c r="C30" t="str">
        <f>IFERROR(INDEX(Starter!B:B,MATCH(B30,Starter!A:A,0)),"")</f>
        <v>Groll, Hanni</v>
      </c>
      <c r="D30" t="str">
        <f>IFERROR(INDEX(Starter!C:C,MATCH(B30,Starter!A:A,0)),"")</f>
        <v>BSC Highroller Rosenheim</v>
      </c>
      <c r="E30" s="102">
        <f t="shared" si="3"/>
        <v>4664</v>
      </c>
      <c r="F30">
        <f t="shared" si="4"/>
        <v>27</v>
      </c>
      <c r="G30" s="137">
        <f t="shared" si="5"/>
        <v>172.74074071474072</v>
      </c>
      <c r="L30" s="227">
        <f>INDEX(Starter!A:A,ROW()-1)</f>
        <v>7758</v>
      </c>
      <c r="M30">
        <f>INDEX(SchnittGes3!M:M,MATCH(L30,SchnittGes3!L:L,0))+INDEX(Schnitt4!M:M,MATCH(L30,Schnitt4!L:L,0))</f>
        <v>6019</v>
      </c>
      <c r="N30">
        <f>INDEX(SchnittGes3!N:N,MATCH(L30,SchnittGes3!L:L,0))+INDEX(Schnitt4!N:N,MATCH(L30,Schnitt4!L:L,0))</f>
        <v>36</v>
      </c>
      <c r="O30">
        <f t="shared" si="7"/>
        <v>167.19444441444446</v>
      </c>
      <c r="P30">
        <f t="shared" si="1"/>
        <v>37</v>
      </c>
    </row>
    <row r="31" spans="1:16" x14ac:dyDescent="0.35">
      <c r="A31">
        <f t="shared" si="6"/>
        <v>27</v>
      </c>
      <c r="B31">
        <f t="shared" si="2"/>
        <v>16595</v>
      </c>
      <c r="C31" t="str">
        <f>IFERROR(INDEX(Starter!B:B,MATCH(B31,Starter!A:A,0)),"")</f>
        <v>Schott, Nicole</v>
      </c>
      <c r="D31" t="str">
        <f>IFERROR(INDEX(Starter!C:C,MATCH(B31,Starter!A:A,0)),"")</f>
        <v>BK München</v>
      </c>
      <c r="E31" s="102">
        <f t="shared" si="3"/>
        <v>1551</v>
      </c>
      <c r="F31">
        <f t="shared" si="4"/>
        <v>9</v>
      </c>
      <c r="G31" s="137">
        <f t="shared" si="5"/>
        <v>172.33333332033334</v>
      </c>
      <c r="L31" s="227">
        <f>INDEX(Starter!A:A,ROW()-1)</f>
        <v>7757</v>
      </c>
      <c r="M31">
        <f>INDEX(SchnittGes3!M:M,MATCH(L31,SchnittGes3!L:L,0))+INDEX(Schnitt4!M:M,MATCH(L31,Schnitt4!L:L,0))</f>
        <v>5859</v>
      </c>
      <c r="N31">
        <f>INDEX(SchnittGes3!N:N,MATCH(L31,SchnittGes3!L:L,0))+INDEX(Schnitt4!N:N,MATCH(L31,Schnitt4!L:L,0))</f>
        <v>36</v>
      </c>
      <c r="O31">
        <f t="shared" si="7"/>
        <v>162.74999996899999</v>
      </c>
      <c r="P31">
        <f t="shared" si="1"/>
        <v>43</v>
      </c>
    </row>
    <row r="32" spans="1:16" x14ac:dyDescent="0.35">
      <c r="A32">
        <f t="shared" si="6"/>
        <v>28</v>
      </c>
      <c r="B32">
        <f t="shared" si="2"/>
        <v>7431</v>
      </c>
      <c r="C32" t="str">
        <f>IFERROR(INDEX(Starter!B:B,MATCH(B32,Starter!A:A,0)),"")</f>
        <v>Denz, Angelika</v>
      </c>
      <c r="D32" t="str">
        <f>IFERROR(INDEX(Starter!C:C,MATCH(B32,Starter!A:A,0)),"")</f>
        <v>BF Weiß-Blau</v>
      </c>
      <c r="E32" s="102">
        <f t="shared" si="3"/>
        <v>5342</v>
      </c>
      <c r="F32">
        <f t="shared" si="4"/>
        <v>31</v>
      </c>
      <c r="G32" s="137">
        <f t="shared" si="5"/>
        <v>172.32258060116129</v>
      </c>
      <c r="L32" s="227">
        <f>INDEX(Starter!A:A,ROW()-1)</f>
        <v>38560</v>
      </c>
      <c r="M32">
        <f>INDEX(SchnittGes3!M:M,MATCH(L32,SchnittGes3!L:L,0))+INDEX(Schnitt4!M:M,MATCH(L32,Schnitt4!L:L,0))</f>
        <v>6282</v>
      </c>
      <c r="N32">
        <f>INDEX(SchnittGes3!N:N,MATCH(L32,SchnittGes3!L:L,0))+INDEX(Schnitt4!N:N,MATCH(L32,Schnitt4!L:L,0))</f>
        <v>36</v>
      </c>
      <c r="O32">
        <f t="shared" si="7"/>
        <v>174.499999968</v>
      </c>
      <c r="P32">
        <f t="shared" si="1"/>
        <v>24</v>
      </c>
    </row>
    <row r="33" spans="1:16" x14ac:dyDescent="0.35">
      <c r="A33">
        <f t="shared" si="6"/>
        <v>29</v>
      </c>
      <c r="B33">
        <f t="shared" si="2"/>
        <v>38258</v>
      </c>
      <c r="C33" t="str">
        <f>IFERROR(INDEX(Starter!B:B,MATCH(B33,Starter!A:A,0)),"")</f>
        <v>Bösl, Anna</v>
      </c>
      <c r="D33" t="str">
        <f>IFERROR(INDEX(Starter!C:C,MATCH(B33,Starter!A:A,0)),"")</f>
        <v>BC Praetoria</v>
      </c>
      <c r="E33" s="102">
        <f t="shared" si="3"/>
        <v>3963</v>
      </c>
      <c r="F33">
        <f t="shared" si="4"/>
        <v>23</v>
      </c>
      <c r="G33" s="137">
        <f t="shared" si="5"/>
        <v>172.30434782308697</v>
      </c>
      <c r="L33" s="227">
        <f>INDEX(Starter!A:A,ROW()-1)</f>
        <v>7755</v>
      </c>
      <c r="M33">
        <f>INDEX(SchnittGes3!M:M,MATCH(L33,SchnittGes3!L:L,0))+INDEX(Schnitt4!M:M,MATCH(L33,Schnitt4!L:L,0))</f>
        <v>0</v>
      </c>
      <c r="N33">
        <f>INDEX(SchnittGes3!N:N,MATCH(L33,SchnittGes3!L:L,0))+INDEX(Schnitt4!N:N,MATCH(L33,Schnitt4!L:L,0))</f>
        <v>0</v>
      </c>
      <c r="O33">
        <f t="shared" si="7"/>
        <v>0</v>
      </c>
      <c r="P33">
        <f t="shared" si="1"/>
        <v>55</v>
      </c>
    </row>
    <row r="34" spans="1:16" x14ac:dyDescent="0.35">
      <c r="A34">
        <f t="shared" si="6"/>
        <v>30</v>
      </c>
      <c r="B34">
        <f t="shared" si="2"/>
        <v>38758</v>
      </c>
      <c r="C34" t="str">
        <f>IFERROR(INDEX(Starter!B:B,MATCH(B34,Starter!A:A,0)),"")</f>
        <v>Rauscher, Julia</v>
      </c>
      <c r="D34" t="str">
        <f>IFERROR(INDEX(Starter!C:C,MATCH(B34,Starter!A:A,0)),"")</f>
        <v>BSC Highroller Rosenheim</v>
      </c>
      <c r="E34" s="102">
        <f t="shared" si="3"/>
        <v>4985</v>
      </c>
      <c r="F34">
        <f t="shared" si="4"/>
        <v>29</v>
      </c>
      <c r="G34" s="137">
        <f t="shared" si="5"/>
        <v>171.89655169713794</v>
      </c>
      <c r="L34" s="227">
        <f>INDEX(Starter!A:A,ROW()-1)</f>
        <v>7676</v>
      </c>
      <c r="M34">
        <f>INDEX(SchnittGes3!M:M,MATCH(L34,SchnittGes3!L:L,0))+INDEX(Schnitt4!M:M,MATCH(L34,Schnitt4!L:L,0))</f>
        <v>0</v>
      </c>
      <c r="N34">
        <f>INDEX(SchnittGes3!N:N,MATCH(L34,SchnittGes3!L:L,0))+INDEX(Schnitt4!N:N,MATCH(L34,Schnitt4!L:L,0))</f>
        <v>0</v>
      </c>
      <c r="O34">
        <f t="shared" si="7"/>
        <v>0</v>
      </c>
      <c r="P34">
        <f t="shared" ref="P34:P65" si="8">RANK(O34,O:O)</f>
        <v>55</v>
      </c>
    </row>
    <row r="35" spans="1:16" x14ac:dyDescent="0.35">
      <c r="A35">
        <f t="shared" si="6"/>
        <v>31</v>
      </c>
      <c r="B35">
        <f t="shared" si="2"/>
        <v>7576</v>
      </c>
      <c r="C35" t="str">
        <f>IFERROR(INDEX(Starter!B:B,MATCH(B35,Starter!A:A,0)),"")</f>
        <v>Laub, Angela</v>
      </c>
      <c r="D35" t="str">
        <f>IFERROR(INDEX(Starter!C:C,MATCH(B35,Starter!A:A,0)),"")</f>
        <v>BK München</v>
      </c>
      <c r="E35" s="102">
        <f t="shared" si="3"/>
        <v>2553</v>
      </c>
      <c r="F35">
        <f t="shared" si="4"/>
        <v>15</v>
      </c>
      <c r="G35" s="137">
        <f t="shared" si="5"/>
        <v>170.19999998099999</v>
      </c>
      <c r="L35" s="227">
        <f>INDEX(Starter!A:A,ROW()-1)</f>
        <v>16804</v>
      </c>
      <c r="M35">
        <f>INDEX(SchnittGes3!M:M,MATCH(L35,SchnittGes3!L:L,0))+INDEX(Schnitt4!M:M,MATCH(L35,Schnitt4!L:L,0))</f>
        <v>0</v>
      </c>
      <c r="N35">
        <f>INDEX(SchnittGes3!N:N,MATCH(L35,SchnittGes3!L:L,0))+INDEX(Schnitt4!N:N,MATCH(L35,Schnitt4!L:L,0))</f>
        <v>0</v>
      </c>
      <c r="O35">
        <f t="shared" si="7"/>
        <v>0</v>
      </c>
      <c r="P35">
        <f t="shared" si="8"/>
        <v>55</v>
      </c>
    </row>
    <row r="36" spans="1:16" x14ac:dyDescent="0.35">
      <c r="A36">
        <f t="shared" si="6"/>
        <v>32</v>
      </c>
      <c r="B36">
        <f t="shared" si="2"/>
        <v>38289</v>
      </c>
      <c r="C36" t="str">
        <f>IFERROR(INDEX(Starter!B:B,MATCH(B36,Starter!A:A,0)),"")</f>
        <v>Kirschke, Sandra</v>
      </c>
      <c r="D36" t="str">
        <f>IFERROR(INDEX(Starter!C:C,MATCH(B36,Starter!A:A,0)),"")</f>
        <v>BC LA Bowling</v>
      </c>
      <c r="E36" s="102">
        <f t="shared" si="3"/>
        <v>2033</v>
      </c>
      <c r="F36">
        <f t="shared" si="4"/>
        <v>12</v>
      </c>
      <c r="G36" s="137">
        <f t="shared" si="5"/>
        <v>169.41666659466665</v>
      </c>
      <c r="L36" s="227">
        <f>INDEX(Starter!A:A,ROW()-1)</f>
        <v>7978</v>
      </c>
      <c r="M36">
        <f>INDEX(SchnittGes3!M:M,MATCH(L36,SchnittGes3!L:L,0))+INDEX(Schnitt4!M:M,MATCH(L36,Schnitt4!L:L,0))</f>
        <v>0</v>
      </c>
      <c r="N36">
        <f>INDEX(SchnittGes3!N:N,MATCH(L36,SchnittGes3!L:L,0))+INDEX(Schnitt4!N:N,MATCH(L36,Schnitt4!L:L,0))</f>
        <v>0</v>
      </c>
      <c r="O36">
        <f t="shared" si="7"/>
        <v>0</v>
      </c>
      <c r="P36">
        <f t="shared" si="8"/>
        <v>55</v>
      </c>
    </row>
    <row r="37" spans="1:16" x14ac:dyDescent="0.35">
      <c r="A37">
        <f t="shared" si="6"/>
        <v>33</v>
      </c>
      <c r="B37">
        <f t="shared" ref="B37:B68" si="9">IFERROR(INDEX(L:L,MATCH(A37,P:P,0)),"")</f>
        <v>38350</v>
      </c>
      <c r="C37" t="str">
        <f>IFERROR(INDEX(Starter!B:B,MATCH(B37,Starter!A:A,0)),"")</f>
        <v>Seeger, Melanie</v>
      </c>
      <c r="D37" t="str">
        <f>IFERROR(INDEX(Starter!C:C,MATCH(B37,Starter!A:A,0)),"")</f>
        <v>BK München</v>
      </c>
      <c r="E37" s="102">
        <f t="shared" ref="E37:E68" si="10">IFERROR(INDEX(M:M,MATCH(A37,P:P,0)),"")</f>
        <v>6059</v>
      </c>
      <c r="F37">
        <f t="shared" ref="F37:F68" si="11">IFERROR(INDEX(N:N,MATCH(A37,P:P,0)),"")</f>
        <v>36</v>
      </c>
      <c r="G37" s="137">
        <f t="shared" ref="G37:G68" si="12">IFERROR(INDEX(O:O,MATCH(A37,P:P,0)),"")</f>
        <v>168.30555554455555</v>
      </c>
      <c r="L37" s="227">
        <f>INDEX(Starter!A:A,ROW()-1)</f>
        <v>16029</v>
      </c>
      <c r="M37">
        <f>INDEX(SchnittGes3!M:M,MATCH(L37,SchnittGes3!L:L,0))+INDEX(Schnitt4!M:M,MATCH(L37,Schnitt4!L:L,0))</f>
        <v>0</v>
      </c>
      <c r="N37">
        <f>INDEX(SchnittGes3!N:N,MATCH(L37,SchnittGes3!L:L,0))+INDEX(Schnitt4!N:N,MATCH(L37,Schnitt4!L:L,0))</f>
        <v>0</v>
      </c>
      <c r="O37">
        <f t="shared" si="7"/>
        <v>0</v>
      </c>
      <c r="P37">
        <f t="shared" si="8"/>
        <v>55</v>
      </c>
    </row>
    <row r="38" spans="1:16" x14ac:dyDescent="0.35">
      <c r="A38">
        <f t="shared" ref="A38:A69" si="13">IFERROR(IF(A37+1&gt;MAX(P:P)-1,"",A37+1),"")</f>
        <v>34</v>
      </c>
      <c r="B38">
        <f t="shared" si="9"/>
        <v>7787</v>
      </c>
      <c r="C38" t="str">
        <f>IFERROR(INDEX(Starter!B:B,MATCH(B38,Starter!A:A,0)),"")</f>
        <v>Kleim, Helga</v>
      </c>
      <c r="D38" t="str">
        <f>IFERROR(INDEX(Starter!C:C,MATCH(B38,Starter!A:A,0)),"")</f>
        <v>BC Phönix 03 Lauf</v>
      </c>
      <c r="E38" s="102">
        <f t="shared" si="10"/>
        <v>5207</v>
      </c>
      <c r="F38">
        <f t="shared" si="11"/>
        <v>31</v>
      </c>
      <c r="G38" s="137">
        <f t="shared" si="12"/>
        <v>167.96774188148387</v>
      </c>
      <c r="L38" s="227">
        <f>INDEX(Starter!A:A,ROW()-1)</f>
        <v>7082</v>
      </c>
      <c r="M38">
        <f>INDEX(SchnittGes3!M:M,MATCH(L38,SchnittGes3!L:L,0))+INDEX(Schnitt4!M:M,MATCH(L38,Schnitt4!L:L,0))</f>
        <v>0</v>
      </c>
      <c r="N38">
        <f>INDEX(SchnittGes3!N:N,MATCH(L38,SchnittGes3!L:L,0))+INDEX(Schnitt4!N:N,MATCH(L38,Schnitt4!L:L,0))</f>
        <v>0</v>
      </c>
      <c r="O38">
        <f t="shared" si="7"/>
        <v>0</v>
      </c>
      <c r="P38">
        <f t="shared" si="8"/>
        <v>55</v>
      </c>
    </row>
    <row r="39" spans="1:16" x14ac:dyDescent="0.35">
      <c r="A39">
        <f t="shared" si="13"/>
        <v>35</v>
      </c>
      <c r="B39">
        <f t="shared" si="9"/>
        <v>38607</v>
      </c>
      <c r="C39" t="str">
        <f>IFERROR(INDEX(Starter!B:B,MATCH(B39,Starter!A:A,0)),"")</f>
        <v>Jenke, Sandra</v>
      </c>
      <c r="D39" t="str">
        <f>IFERROR(INDEX(Starter!C:C,MATCH(B39,Starter!A:A,0)),"")</f>
        <v>BC Phönix 03 Lauf</v>
      </c>
      <c r="E39" s="102">
        <f t="shared" si="10"/>
        <v>670</v>
      </c>
      <c r="F39">
        <f t="shared" si="11"/>
        <v>4</v>
      </c>
      <c r="G39" s="137">
        <f t="shared" si="12"/>
        <v>167.49999992599999</v>
      </c>
      <c r="L39" s="227">
        <f>INDEX(Starter!A:A,ROW()-1)</f>
        <v>16700</v>
      </c>
      <c r="M39">
        <f>INDEX(SchnittGes3!M:M,MATCH(L39,SchnittGes3!L:L,0))+INDEX(Schnitt4!M:M,MATCH(L39,Schnitt4!L:L,0))</f>
        <v>0</v>
      </c>
      <c r="N39">
        <f>INDEX(SchnittGes3!N:N,MATCH(L39,SchnittGes3!L:L,0))+INDEX(Schnitt4!N:N,MATCH(L39,Schnitt4!L:L,0))</f>
        <v>0</v>
      </c>
      <c r="O39">
        <f t="shared" si="7"/>
        <v>0</v>
      </c>
      <c r="P39">
        <f t="shared" si="8"/>
        <v>55</v>
      </c>
    </row>
    <row r="40" spans="1:16" x14ac:dyDescent="0.35">
      <c r="A40">
        <f t="shared" si="13"/>
        <v>36</v>
      </c>
      <c r="B40">
        <f t="shared" si="9"/>
        <v>38513</v>
      </c>
      <c r="C40" t="str">
        <f>IFERROR(INDEX(Starter!B:B,MATCH(B40,Starter!A:A,0)),"")</f>
        <v>Thöne, Melanie</v>
      </c>
      <c r="D40" t="str">
        <f>IFERROR(INDEX(Starter!C:C,MATCH(B40,Starter!A:A,0)),"")</f>
        <v>BF Rot-Weiß Lichtenhof 69</v>
      </c>
      <c r="E40" s="102">
        <f t="shared" si="10"/>
        <v>5352</v>
      </c>
      <c r="F40">
        <f t="shared" si="11"/>
        <v>32</v>
      </c>
      <c r="G40" s="137">
        <f t="shared" si="12"/>
        <v>167.249999941</v>
      </c>
      <c r="L40" s="227">
        <f>INDEX(Starter!A:A,ROW()-1)</f>
        <v>38737</v>
      </c>
      <c r="M40">
        <f>INDEX(SchnittGes3!M:M,MATCH(L40,SchnittGes3!L:L,0))+INDEX(Schnitt4!M:M,MATCH(L40,Schnitt4!L:L,0))</f>
        <v>0</v>
      </c>
      <c r="N40">
        <f>INDEX(SchnittGes3!N:N,MATCH(L40,SchnittGes3!L:L,0))+INDEX(Schnitt4!N:N,MATCH(L40,Schnitt4!L:L,0))</f>
        <v>0</v>
      </c>
      <c r="O40">
        <f t="shared" si="7"/>
        <v>0</v>
      </c>
      <c r="P40">
        <f t="shared" si="8"/>
        <v>55</v>
      </c>
    </row>
    <row r="41" spans="1:16" x14ac:dyDescent="0.35">
      <c r="A41">
        <f t="shared" si="13"/>
        <v>37</v>
      </c>
      <c r="B41">
        <f t="shared" si="9"/>
        <v>7758</v>
      </c>
      <c r="C41" t="str">
        <f>IFERROR(INDEX(Starter!B:B,MATCH(B41,Starter!A:A,0)),"")</f>
        <v>Deinlein, Christine</v>
      </c>
      <c r="D41" t="str">
        <f>IFERROR(INDEX(Starter!C:C,MATCH(B41,Starter!A:A,0)),"")</f>
        <v>BC Frankenpower</v>
      </c>
      <c r="E41" s="102">
        <f t="shared" si="10"/>
        <v>6019</v>
      </c>
      <c r="F41">
        <f t="shared" si="11"/>
        <v>36</v>
      </c>
      <c r="G41" s="137">
        <f t="shared" si="12"/>
        <v>167.19444441444446</v>
      </c>
      <c r="L41" s="227">
        <f>INDEX(Starter!A:A,ROW()-1)</f>
        <v>7752</v>
      </c>
      <c r="M41">
        <f>INDEX(SchnittGes3!M:M,MATCH(L41,SchnittGes3!L:L,0))+INDEX(Schnitt4!M:M,MATCH(L41,Schnitt4!L:L,0))</f>
        <v>1288</v>
      </c>
      <c r="N41">
        <f>INDEX(SchnittGes3!N:N,MATCH(L41,SchnittGes3!L:L,0))+INDEX(Schnitt4!N:N,MATCH(L41,Schnitt4!L:L,0))</f>
        <v>7</v>
      </c>
      <c r="O41">
        <f t="shared" si="7"/>
        <v>183.99999995900001</v>
      </c>
      <c r="P41">
        <f t="shared" si="8"/>
        <v>8</v>
      </c>
    </row>
    <row r="42" spans="1:16" x14ac:dyDescent="0.35">
      <c r="A42">
        <f t="shared" si="13"/>
        <v>38</v>
      </c>
      <c r="B42">
        <f t="shared" si="9"/>
        <v>7903</v>
      </c>
      <c r="C42" t="str">
        <f>IFERROR(INDEX(Starter!B:B,MATCH(B42,Starter!A:A,0)),"")</f>
        <v>Spieler, Regina</v>
      </c>
      <c r="D42" t="str">
        <f>IFERROR(INDEX(Starter!C:C,MATCH(B42,Starter!A:A,0)),"")</f>
        <v>BC Praetoria</v>
      </c>
      <c r="E42" s="102">
        <f t="shared" si="10"/>
        <v>2338</v>
      </c>
      <c r="F42">
        <f t="shared" si="11"/>
        <v>14</v>
      </c>
      <c r="G42" s="137">
        <f t="shared" si="12"/>
        <v>166.999999995</v>
      </c>
      <c r="L42" s="227">
        <f>INDEX(Starter!A:A,ROW()-1)</f>
        <v>25397</v>
      </c>
      <c r="M42">
        <f>INDEX(SchnittGes3!M:M,MATCH(L42,SchnittGes3!L:L,0))+INDEX(Schnitt4!M:M,MATCH(L42,Schnitt4!L:L,0))</f>
        <v>3033</v>
      </c>
      <c r="N42">
        <f>INDEX(SchnittGes3!N:N,MATCH(L42,SchnittGes3!L:L,0))+INDEX(Schnitt4!N:N,MATCH(L42,Schnitt4!L:L,0))</f>
        <v>19</v>
      </c>
      <c r="O42">
        <f t="shared" si="7"/>
        <v>159.6315789053684</v>
      </c>
      <c r="P42">
        <f t="shared" si="8"/>
        <v>50</v>
      </c>
    </row>
    <row r="43" spans="1:16" x14ac:dyDescent="0.35">
      <c r="A43">
        <f t="shared" si="13"/>
        <v>39</v>
      </c>
      <c r="B43">
        <f t="shared" si="9"/>
        <v>16414</v>
      </c>
      <c r="C43" t="str">
        <f>IFERROR(INDEX(Starter!B:B,MATCH(B43,Starter!A:A,0)),"")</f>
        <v>Dornacher, Hannelore</v>
      </c>
      <c r="D43" t="str">
        <f>IFERROR(INDEX(Starter!C:C,MATCH(B43,Starter!A:A,0)),"")</f>
        <v>BF Weiß-Blau</v>
      </c>
      <c r="E43" s="102">
        <f t="shared" si="10"/>
        <v>5145</v>
      </c>
      <c r="F43">
        <f t="shared" si="11"/>
        <v>31</v>
      </c>
      <c r="G43" s="137">
        <f t="shared" si="12"/>
        <v>165.96774188948388</v>
      </c>
      <c r="L43" s="227">
        <f>INDEX(Starter!A:A,ROW()-1)</f>
        <v>38061</v>
      </c>
      <c r="M43">
        <f>INDEX(SchnittGes3!M:M,MATCH(L43,SchnittGes3!L:L,0))+INDEX(Schnitt4!M:M,MATCH(L43,Schnitt4!L:L,0))</f>
        <v>0</v>
      </c>
      <c r="N43">
        <f>INDEX(SchnittGes3!N:N,MATCH(L43,SchnittGes3!L:L,0))+INDEX(Schnitt4!N:N,MATCH(L43,Schnitt4!L:L,0))</f>
        <v>0</v>
      </c>
      <c r="O43">
        <f t="shared" si="7"/>
        <v>0</v>
      </c>
      <c r="P43">
        <f t="shared" si="8"/>
        <v>55</v>
      </c>
    </row>
    <row r="44" spans="1:16" x14ac:dyDescent="0.35">
      <c r="A44">
        <f t="shared" si="13"/>
        <v>40</v>
      </c>
      <c r="B44">
        <f t="shared" si="9"/>
        <v>38210</v>
      </c>
      <c r="C44" t="str">
        <f>IFERROR(INDEX(Starter!B:B,MATCH(B44,Starter!A:A,0)),"")</f>
        <v>Kulzer, Katharina</v>
      </c>
      <c r="D44" t="str">
        <f>IFERROR(INDEX(Starter!C:C,MATCH(B44,Starter!A:A,0)),"")</f>
        <v>BC Phönix 03 Lauf</v>
      </c>
      <c r="E44" s="102">
        <f t="shared" si="10"/>
        <v>3976</v>
      </c>
      <c r="F44">
        <f t="shared" si="11"/>
        <v>24</v>
      </c>
      <c r="G44" s="137">
        <f t="shared" si="12"/>
        <v>165.66666659966666</v>
      </c>
      <c r="L44" s="227">
        <f>INDEX(Starter!A:A,ROW()-1)</f>
        <v>7431</v>
      </c>
      <c r="M44">
        <f>INDEX(SchnittGes3!M:M,MATCH(L44,SchnittGes3!L:L,0))+INDEX(Schnitt4!M:M,MATCH(L44,Schnitt4!L:L,0))</f>
        <v>5342</v>
      </c>
      <c r="N44">
        <f>INDEX(SchnittGes3!N:N,MATCH(L44,SchnittGes3!L:L,0))+INDEX(Schnitt4!N:N,MATCH(L44,Schnitt4!L:L,0))</f>
        <v>31</v>
      </c>
      <c r="O44">
        <f t="shared" si="7"/>
        <v>172.32258060116129</v>
      </c>
      <c r="P44">
        <f t="shared" si="8"/>
        <v>28</v>
      </c>
    </row>
    <row r="45" spans="1:16" x14ac:dyDescent="0.35">
      <c r="A45">
        <f t="shared" si="13"/>
        <v>41</v>
      </c>
      <c r="B45">
        <f t="shared" si="9"/>
        <v>21185</v>
      </c>
      <c r="C45" t="str">
        <f>IFERROR(INDEX(Starter!B:B,MATCH(B45,Starter!A:A,0)),"")</f>
        <v>Richter, Petra</v>
      </c>
      <c r="D45" t="str">
        <f>IFERROR(INDEX(Starter!C:C,MATCH(B45,Starter!A:A,0)),"")</f>
        <v>BF Weiß-Blau</v>
      </c>
      <c r="E45" s="102">
        <f t="shared" si="10"/>
        <v>4120</v>
      </c>
      <c r="F45">
        <f t="shared" si="11"/>
        <v>25</v>
      </c>
      <c r="G45" s="137">
        <f t="shared" si="12"/>
        <v>164.79999994900001</v>
      </c>
      <c r="L45" s="227">
        <f>INDEX(Starter!A:A,ROW()-1)</f>
        <v>7087</v>
      </c>
      <c r="M45">
        <f>INDEX(SchnittGes3!M:M,MATCH(L45,SchnittGes3!L:L,0))+INDEX(Schnitt4!M:M,MATCH(L45,Schnitt4!L:L,0))</f>
        <v>6120</v>
      </c>
      <c r="N45">
        <f>INDEX(SchnittGes3!N:N,MATCH(L45,SchnittGes3!L:L,0))+INDEX(Schnitt4!N:N,MATCH(L45,Schnitt4!L:L,0))</f>
        <v>35</v>
      </c>
      <c r="O45">
        <f t="shared" si="7"/>
        <v>174.85714281214285</v>
      </c>
      <c r="P45">
        <f t="shared" si="8"/>
        <v>23</v>
      </c>
    </row>
    <row r="46" spans="1:16" x14ac:dyDescent="0.35">
      <c r="A46">
        <f t="shared" si="13"/>
        <v>42</v>
      </c>
      <c r="B46">
        <f t="shared" si="9"/>
        <v>38222</v>
      </c>
      <c r="C46" t="str">
        <f>IFERROR(INDEX(Starter!B:B,MATCH(B46,Starter!A:A,0)),"")</f>
        <v>Helmbrecht, Carolin</v>
      </c>
      <c r="D46" t="str">
        <f>IFERROR(INDEX(Starter!C:C,MATCH(B46,Starter!A:A,0)),"")</f>
        <v>BK München</v>
      </c>
      <c r="E46" s="102">
        <f t="shared" si="10"/>
        <v>1479</v>
      </c>
      <c r="F46">
        <f t="shared" si="11"/>
        <v>9</v>
      </c>
      <c r="G46" s="137">
        <f t="shared" si="12"/>
        <v>164.33333332533334</v>
      </c>
      <c r="L46" s="227">
        <f>INDEX(Starter!A:A,ROW()-1)</f>
        <v>16414</v>
      </c>
      <c r="M46">
        <f>INDEX(SchnittGes3!M:M,MATCH(L46,SchnittGes3!L:L,0))+INDEX(Schnitt4!M:M,MATCH(L46,Schnitt4!L:L,0))</f>
        <v>5145</v>
      </c>
      <c r="N46">
        <f>INDEX(SchnittGes3!N:N,MATCH(L46,SchnittGes3!L:L,0))+INDEX(Schnitt4!N:N,MATCH(L46,Schnitt4!L:L,0))</f>
        <v>31</v>
      </c>
      <c r="O46">
        <f t="shared" si="7"/>
        <v>165.96774188948388</v>
      </c>
      <c r="P46">
        <f t="shared" si="8"/>
        <v>39</v>
      </c>
    </row>
    <row r="47" spans="1:16" x14ac:dyDescent="0.35">
      <c r="A47">
        <f t="shared" si="13"/>
        <v>43</v>
      </c>
      <c r="B47">
        <f t="shared" si="9"/>
        <v>7757</v>
      </c>
      <c r="C47" t="str">
        <f>IFERROR(INDEX(Starter!B:B,MATCH(B47,Starter!A:A,0)),"")</f>
        <v>Legl, Renate</v>
      </c>
      <c r="D47" t="str">
        <f>IFERROR(INDEX(Starter!C:C,MATCH(B47,Starter!A:A,0)),"")</f>
        <v>BC Frankenpower</v>
      </c>
      <c r="E47" s="102">
        <f t="shared" si="10"/>
        <v>5859</v>
      </c>
      <c r="F47">
        <f t="shared" si="11"/>
        <v>36</v>
      </c>
      <c r="G47" s="137">
        <f t="shared" si="12"/>
        <v>162.74999996899999</v>
      </c>
      <c r="L47" s="227">
        <f>INDEX(Starter!A:A,ROW()-1)</f>
        <v>16713</v>
      </c>
      <c r="M47">
        <f>INDEX(SchnittGes3!M:M,MATCH(L47,SchnittGes3!L:L,0))+INDEX(Schnitt4!M:M,MATCH(L47,Schnitt4!L:L,0))</f>
        <v>0</v>
      </c>
      <c r="N47">
        <f>INDEX(SchnittGes3!N:N,MATCH(L47,SchnittGes3!L:L,0))+INDEX(Schnitt4!N:N,MATCH(L47,Schnitt4!L:L,0))</f>
        <v>0</v>
      </c>
      <c r="O47">
        <f t="shared" si="7"/>
        <v>0</v>
      </c>
      <c r="P47">
        <f t="shared" si="8"/>
        <v>55</v>
      </c>
    </row>
    <row r="48" spans="1:16" x14ac:dyDescent="0.35">
      <c r="A48">
        <f t="shared" si="13"/>
        <v>44</v>
      </c>
      <c r="B48">
        <f t="shared" si="9"/>
        <v>7972</v>
      </c>
      <c r="C48" t="str">
        <f>IFERROR(INDEX(Starter!B:B,MATCH(B48,Starter!A:A,0)),"")</f>
        <v>Hödl, Renate</v>
      </c>
      <c r="D48" t="str">
        <f>IFERROR(INDEX(Starter!C:C,MATCH(B48,Starter!A:A,0)),"")</f>
        <v>BF Rot-Weiß Lichtenhof 69</v>
      </c>
      <c r="E48" s="102">
        <f t="shared" si="10"/>
        <v>4705</v>
      </c>
      <c r="F48">
        <f t="shared" si="11"/>
        <v>29</v>
      </c>
      <c r="G48" s="137">
        <f t="shared" si="12"/>
        <v>162.24137925034483</v>
      </c>
      <c r="L48" s="227">
        <f>INDEX(Starter!A:A,ROW()-1)</f>
        <v>7541</v>
      </c>
      <c r="M48">
        <f>INDEX(SchnittGes3!M:M,MATCH(L48,SchnittGes3!L:L,0))+INDEX(Schnitt4!M:M,MATCH(L48,Schnitt4!L:L,0))</f>
        <v>0</v>
      </c>
      <c r="N48">
        <f>INDEX(SchnittGes3!N:N,MATCH(L48,SchnittGes3!L:L,0))+INDEX(Schnitt4!N:N,MATCH(L48,Schnitt4!L:L,0))</f>
        <v>0</v>
      </c>
      <c r="O48">
        <f t="shared" si="7"/>
        <v>0</v>
      </c>
      <c r="P48">
        <f t="shared" si="8"/>
        <v>55</v>
      </c>
    </row>
    <row r="49" spans="1:16" x14ac:dyDescent="0.35">
      <c r="A49">
        <f t="shared" si="13"/>
        <v>45</v>
      </c>
      <c r="B49">
        <f t="shared" si="9"/>
        <v>7061</v>
      </c>
      <c r="C49" t="str">
        <f>IFERROR(INDEX(Starter!B:B,MATCH(B49,Starter!A:A,0)),"")</f>
        <v>Waigel, Petra</v>
      </c>
      <c r="D49" t="str">
        <f>IFERROR(INDEX(Starter!C:C,MATCH(B49,Starter!A:A,0)),"")</f>
        <v>BK München</v>
      </c>
      <c r="E49" s="102">
        <f t="shared" si="10"/>
        <v>1454</v>
      </c>
      <c r="F49">
        <f t="shared" si="11"/>
        <v>9</v>
      </c>
      <c r="G49" s="137">
        <f t="shared" si="12"/>
        <v>161.55555554155555</v>
      </c>
      <c r="L49" s="227">
        <f>INDEX(Starter!A:A,ROW()-1)</f>
        <v>7546</v>
      </c>
      <c r="M49">
        <f>INDEX(SchnittGes3!M:M,MATCH(L49,SchnittGes3!L:L,0))+INDEX(Schnitt4!M:M,MATCH(L49,Schnitt4!L:L,0))</f>
        <v>1018</v>
      </c>
      <c r="N49">
        <f>INDEX(SchnittGes3!N:N,MATCH(L49,SchnittGes3!L:L,0))+INDEX(Schnitt4!N:N,MATCH(L49,Schnitt4!L:L,0))</f>
        <v>7</v>
      </c>
      <c r="O49">
        <f t="shared" si="7"/>
        <v>145.42857137957142</v>
      </c>
      <c r="P49">
        <f t="shared" si="8"/>
        <v>54</v>
      </c>
    </row>
    <row r="50" spans="1:16" x14ac:dyDescent="0.35">
      <c r="A50">
        <f t="shared" si="13"/>
        <v>46</v>
      </c>
      <c r="B50">
        <f t="shared" si="9"/>
        <v>16879</v>
      </c>
      <c r="C50" t="str">
        <f>IFERROR(INDEX(Starter!B:B,MATCH(B50,Starter!A:A,0)),"")</f>
        <v>Danzer, Andrea</v>
      </c>
      <c r="D50" t="str">
        <f>IFERROR(INDEX(Starter!C:C,MATCH(B50,Starter!A:A,0)),"")</f>
        <v>BK München</v>
      </c>
      <c r="E50" s="102">
        <f t="shared" si="10"/>
        <v>3059</v>
      </c>
      <c r="F50">
        <f t="shared" si="11"/>
        <v>19</v>
      </c>
      <c r="G50" s="137">
        <f t="shared" si="12"/>
        <v>160.99999997899999</v>
      </c>
      <c r="L50" s="227">
        <f>INDEX(Starter!A:A,ROW()-1)</f>
        <v>16953</v>
      </c>
      <c r="M50">
        <f>INDEX(SchnittGes3!M:M,MATCH(L50,SchnittGes3!L:L,0))+INDEX(Schnitt4!M:M,MATCH(L50,Schnitt4!L:L,0))</f>
        <v>0</v>
      </c>
      <c r="N50">
        <f>INDEX(SchnittGes3!N:N,MATCH(L50,SchnittGes3!L:L,0))+INDEX(Schnitt4!N:N,MATCH(L50,Schnitt4!L:L,0))</f>
        <v>0</v>
      </c>
      <c r="O50">
        <f t="shared" si="7"/>
        <v>0</v>
      </c>
      <c r="P50">
        <f t="shared" si="8"/>
        <v>55</v>
      </c>
    </row>
    <row r="51" spans="1:16" x14ac:dyDescent="0.35">
      <c r="A51">
        <f t="shared" si="13"/>
        <v>47</v>
      </c>
      <c r="B51">
        <f t="shared" si="9"/>
        <v>25347</v>
      </c>
      <c r="C51" t="str">
        <f>IFERROR(INDEX(Starter!B:B,MATCH(B51,Starter!A:A,0)),"")</f>
        <v>Schulz-Burkert, Roswitha</v>
      </c>
      <c r="D51" t="str">
        <f>IFERROR(INDEX(Starter!C:C,MATCH(B51,Starter!A:A,0)),"")</f>
        <v>BC Phönix 03 Lauf</v>
      </c>
      <c r="E51" s="102">
        <f t="shared" si="10"/>
        <v>1125</v>
      </c>
      <c r="F51">
        <f t="shared" si="11"/>
        <v>7</v>
      </c>
      <c r="G51" s="137">
        <f t="shared" si="12"/>
        <v>160.71428564128573</v>
      </c>
      <c r="L51" s="227">
        <f>INDEX(Starter!A:A,ROW()-1)</f>
        <v>21185</v>
      </c>
      <c r="M51">
        <f>INDEX(SchnittGes3!M:M,MATCH(L51,SchnittGes3!L:L,0))+INDEX(Schnitt4!M:M,MATCH(L51,Schnitt4!L:L,0))</f>
        <v>4120</v>
      </c>
      <c r="N51">
        <f>INDEX(SchnittGes3!N:N,MATCH(L51,SchnittGes3!L:L,0))+INDEX(Schnitt4!N:N,MATCH(L51,Schnitt4!L:L,0))</f>
        <v>25</v>
      </c>
      <c r="O51">
        <f t="shared" si="7"/>
        <v>164.79999994900001</v>
      </c>
      <c r="P51">
        <f t="shared" si="8"/>
        <v>41</v>
      </c>
    </row>
    <row r="52" spans="1:16" x14ac:dyDescent="0.35">
      <c r="A52">
        <f t="shared" si="13"/>
        <v>48</v>
      </c>
      <c r="B52">
        <f t="shared" si="9"/>
        <v>12850</v>
      </c>
      <c r="C52" t="str">
        <f>IFERROR(INDEX(Starter!B:B,MATCH(B52,Starter!A:A,0)),"")</f>
        <v>Müller, Angelika</v>
      </c>
      <c r="D52" t="str">
        <f>IFERROR(INDEX(Starter!C:C,MATCH(B52,Starter!A:A,0)),"")</f>
        <v>BK München</v>
      </c>
      <c r="E52" s="102">
        <f t="shared" si="10"/>
        <v>4009</v>
      </c>
      <c r="F52">
        <f t="shared" si="11"/>
        <v>25</v>
      </c>
      <c r="G52" s="137">
        <f t="shared" si="12"/>
        <v>160.35999998000003</v>
      </c>
      <c r="L52" s="227">
        <f>INDEX(Starter!A:A,ROW()-1)</f>
        <v>7551</v>
      </c>
      <c r="M52">
        <f>INDEX(SchnittGes3!M:M,MATCH(L52,SchnittGes3!L:L,0))+INDEX(Schnitt4!M:M,MATCH(L52,Schnitt4!L:L,0))</f>
        <v>2353</v>
      </c>
      <c r="N52">
        <f>INDEX(SchnittGes3!N:N,MATCH(L52,SchnittGes3!L:L,0))+INDEX(Schnitt4!N:N,MATCH(L52,Schnitt4!L:L,0))</f>
        <v>15</v>
      </c>
      <c r="O52">
        <f t="shared" si="7"/>
        <v>156.86666661466668</v>
      </c>
      <c r="P52">
        <f t="shared" si="8"/>
        <v>53</v>
      </c>
    </row>
    <row r="53" spans="1:16" x14ac:dyDescent="0.35">
      <c r="A53">
        <f t="shared" si="13"/>
        <v>49</v>
      </c>
      <c r="B53">
        <f t="shared" si="9"/>
        <v>25551</v>
      </c>
      <c r="C53" t="str">
        <f>IFERROR(INDEX(Starter!B:B,MATCH(B53,Starter!A:A,0)),"")</f>
        <v>Wahl, Alexandra</v>
      </c>
      <c r="D53" t="str">
        <f>IFERROR(INDEX(Starter!C:C,MATCH(B53,Starter!A:A,0)),"")</f>
        <v>BF Rot-Weiß Lichtenhof 69</v>
      </c>
      <c r="E53" s="102">
        <f t="shared" si="10"/>
        <v>5449</v>
      </c>
      <c r="F53">
        <f t="shared" si="11"/>
        <v>34</v>
      </c>
      <c r="G53" s="137">
        <f t="shared" si="12"/>
        <v>160.26470582535293</v>
      </c>
      <c r="L53" s="227">
        <f>INDEX(Starter!A:A,ROW()-1)</f>
        <v>16900</v>
      </c>
      <c r="M53">
        <f>INDEX(SchnittGes3!M:M,MATCH(L53,SchnittGes3!L:L,0))+INDEX(Schnitt4!M:M,MATCH(L53,Schnitt4!L:L,0))</f>
        <v>1263</v>
      </c>
      <c r="N53">
        <f>INDEX(SchnittGes3!N:N,MATCH(L53,SchnittGes3!L:L,0))+INDEX(Schnitt4!N:N,MATCH(L53,Schnitt4!L:L,0))</f>
        <v>8</v>
      </c>
      <c r="O53">
        <f t="shared" si="7"/>
        <v>157.87499994699999</v>
      </c>
      <c r="P53">
        <f t="shared" si="8"/>
        <v>52</v>
      </c>
    </row>
    <row r="54" spans="1:16" x14ac:dyDescent="0.35">
      <c r="A54">
        <f t="shared" si="13"/>
        <v>50</v>
      </c>
      <c r="B54">
        <f t="shared" si="9"/>
        <v>25397</v>
      </c>
      <c r="C54" t="str">
        <f>IFERROR(INDEX(Starter!B:B,MATCH(B54,Starter!A:A,0)),"")</f>
        <v>Weninger, Diana</v>
      </c>
      <c r="D54" t="str">
        <f>IFERROR(INDEX(Starter!C:C,MATCH(B54,Starter!A:A,0)),"")</f>
        <v>BC E.P.A. München</v>
      </c>
      <c r="E54" s="102">
        <f t="shared" si="10"/>
        <v>3033</v>
      </c>
      <c r="F54">
        <f t="shared" si="11"/>
        <v>19</v>
      </c>
      <c r="G54" s="137">
        <f t="shared" si="12"/>
        <v>159.6315789053684</v>
      </c>
      <c r="L54" s="227">
        <f>INDEX(Starter!A:A,ROW()-1)</f>
        <v>7787</v>
      </c>
      <c r="M54">
        <f>INDEX(SchnittGes3!M:M,MATCH(L54,SchnittGes3!L:L,0))+INDEX(Schnitt4!M:M,MATCH(L54,Schnitt4!L:L,0))</f>
        <v>5207</v>
      </c>
      <c r="N54">
        <f>INDEX(SchnittGes3!N:N,MATCH(L54,SchnittGes3!L:L,0))+INDEX(Schnitt4!N:N,MATCH(L54,Schnitt4!L:L,0))</f>
        <v>31</v>
      </c>
      <c r="O54">
        <f t="shared" si="7"/>
        <v>167.96774188148387</v>
      </c>
      <c r="P54">
        <f t="shared" si="8"/>
        <v>34</v>
      </c>
    </row>
    <row r="55" spans="1:16" x14ac:dyDescent="0.35">
      <c r="A55">
        <f t="shared" si="13"/>
        <v>51</v>
      </c>
      <c r="B55">
        <f t="shared" si="9"/>
        <v>7991</v>
      </c>
      <c r="C55" t="str">
        <f>IFERROR(INDEX(Starter!B:B,MATCH(B55,Starter!A:A,0)),"")</f>
        <v>Strahl, Pakwipa</v>
      </c>
      <c r="D55" t="str">
        <f>IFERROR(INDEX(Starter!C:C,MATCH(B55,Starter!A:A,0)),"")</f>
        <v>BK München</v>
      </c>
      <c r="E55" s="102">
        <f t="shared" si="10"/>
        <v>792</v>
      </c>
      <c r="F55">
        <f t="shared" si="11"/>
        <v>5</v>
      </c>
      <c r="G55" s="137">
        <f t="shared" si="12"/>
        <v>158.39999997800001</v>
      </c>
      <c r="L55" s="227">
        <f>INDEX(Starter!A:A,ROW()-1)</f>
        <v>7786</v>
      </c>
      <c r="M55">
        <f>INDEX(SchnittGes3!M:M,MATCH(L55,SchnittGes3!L:L,0))+INDEX(Schnitt4!M:M,MATCH(L55,Schnitt4!L:L,0))</f>
        <v>6006</v>
      </c>
      <c r="N55">
        <f>INDEX(SchnittGes3!N:N,MATCH(L55,SchnittGes3!L:L,0))+INDEX(Schnitt4!N:N,MATCH(L55,Schnitt4!L:L,0))</f>
        <v>34</v>
      </c>
      <c r="O55">
        <f t="shared" si="7"/>
        <v>176.64705876852943</v>
      </c>
      <c r="P55">
        <f t="shared" si="8"/>
        <v>21</v>
      </c>
    </row>
    <row r="56" spans="1:16" x14ac:dyDescent="0.35">
      <c r="A56">
        <f t="shared" si="13"/>
        <v>52</v>
      </c>
      <c r="B56">
        <f t="shared" si="9"/>
        <v>16900</v>
      </c>
      <c r="C56" t="str">
        <f>IFERROR(INDEX(Starter!B:B,MATCH(B56,Starter!A:A,0)),"")</f>
        <v>Grom-Ruffershöfer, Ilse</v>
      </c>
      <c r="D56" t="str">
        <f>IFERROR(INDEX(Starter!C:C,MATCH(B56,Starter!A:A,0)),"")</f>
        <v>BC Phönix 03 Lauf</v>
      </c>
      <c r="E56" s="102">
        <f t="shared" si="10"/>
        <v>1263</v>
      </c>
      <c r="F56">
        <f t="shared" si="11"/>
        <v>8</v>
      </c>
      <c r="G56" s="137">
        <f t="shared" si="12"/>
        <v>157.87499994699999</v>
      </c>
      <c r="L56" s="227">
        <f>INDEX(Starter!A:A,ROW()-1)</f>
        <v>7801</v>
      </c>
      <c r="M56">
        <f>INDEX(SchnittGes3!M:M,MATCH(L56,SchnittGes3!L:L,0))+INDEX(Schnitt4!M:M,MATCH(L56,Schnitt4!L:L,0))</f>
        <v>6839</v>
      </c>
      <c r="N56">
        <f>INDEX(SchnittGes3!N:N,MATCH(L56,SchnittGes3!L:L,0))+INDEX(Schnitt4!N:N,MATCH(L56,Schnitt4!L:L,0))</f>
        <v>36</v>
      </c>
      <c r="O56">
        <f t="shared" si="7"/>
        <v>189.97222216622222</v>
      </c>
      <c r="P56">
        <f t="shared" si="8"/>
        <v>2</v>
      </c>
    </row>
    <row r="57" spans="1:16" x14ac:dyDescent="0.35">
      <c r="A57">
        <f t="shared" si="13"/>
        <v>53</v>
      </c>
      <c r="B57">
        <f t="shared" si="9"/>
        <v>7551</v>
      </c>
      <c r="C57" t="str">
        <f>IFERROR(INDEX(Starter!B:B,MATCH(B57,Starter!A:A,0)),"")</f>
        <v>Zehner, Gabriele</v>
      </c>
      <c r="D57" t="str">
        <f>IFERROR(INDEX(Starter!C:C,MATCH(B57,Starter!A:A,0)),"")</f>
        <v>BF Weiß-Blau</v>
      </c>
      <c r="E57" s="102">
        <f t="shared" si="10"/>
        <v>2353</v>
      </c>
      <c r="F57">
        <f t="shared" si="11"/>
        <v>15</v>
      </c>
      <c r="G57" s="137">
        <f t="shared" si="12"/>
        <v>156.86666661466668</v>
      </c>
      <c r="L57" s="227">
        <f>INDEX(Starter!A:A,ROW()-1)</f>
        <v>25551</v>
      </c>
      <c r="M57">
        <f>INDEX(SchnittGes3!M:M,MATCH(L57,SchnittGes3!L:L,0))+INDEX(Schnitt4!M:M,MATCH(L57,Schnitt4!L:L,0))</f>
        <v>5449</v>
      </c>
      <c r="N57">
        <f>INDEX(SchnittGes3!N:N,MATCH(L57,SchnittGes3!L:L,0))+INDEX(Schnitt4!N:N,MATCH(L57,Schnitt4!L:L,0))</f>
        <v>34</v>
      </c>
      <c r="O57">
        <f t="shared" si="7"/>
        <v>160.26470582535293</v>
      </c>
      <c r="P57">
        <f t="shared" si="8"/>
        <v>49</v>
      </c>
    </row>
    <row r="58" spans="1:16" x14ac:dyDescent="0.35">
      <c r="A58">
        <f t="shared" si="13"/>
        <v>54</v>
      </c>
      <c r="B58">
        <f t="shared" si="9"/>
        <v>7546</v>
      </c>
      <c r="C58" t="str">
        <f>IFERROR(INDEX(Starter!B:B,MATCH(B58,Starter!A:A,0)),"")</f>
        <v>Mc Fadden, Brigitte</v>
      </c>
      <c r="D58" t="str">
        <f>IFERROR(INDEX(Starter!C:C,MATCH(B58,Starter!A:A,0)),"")</f>
        <v>BF Weiß-Blau</v>
      </c>
      <c r="E58" s="102">
        <f t="shared" si="10"/>
        <v>1018</v>
      </c>
      <c r="F58">
        <f t="shared" si="11"/>
        <v>7</v>
      </c>
      <c r="G58" s="137">
        <f t="shared" si="12"/>
        <v>145.42857137957142</v>
      </c>
      <c r="L58" s="227">
        <f>INDEX(Starter!A:A,ROW()-1)</f>
        <v>25982</v>
      </c>
      <c r="M58">
        <f>INDEX(SchnittGes3!M:M,MATCH(L58,SchnittGes3!L:L,0))+INDEX(Schnitt4!M:M,MATCH(L58,Schnitt4!L:L,0))</f>
        <v>2246</v>
      </c>
      <c r="N58">
        <f>INDEX(SchnittGes3!N:N,MATCH(L58,SchnittGes3!L:L,0))+INDEX(Schnitt4!N:N,MATCH(L58,Schnitt4!L:L,0))</f>
        <v>13</v>
      </c>
      <c r="O58">
        <f t="shared" si="7"/>
        <v>172.76923071123076</v>
      </c>
      <c r="P58">
        <f t="shared" si="8"/>
        <v>25</v>
      </c>
    </row>
    <row r="59" spans="1:16" x14ac:dyDescent="0.35">
      <c r="A59" t="str">
        <f t="shared" si="13"/>
        <v/>
      </c>
      <c r="B59" t="str">
        <f t="shared" si="9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10"/>
        <v/>
      </c>
      <c r="F59" t="str">
        <f t="shared" si="11"/>
        <v/>
      </c>
      <c r="G59" s="137" t="str">
        <f t="shared" si="12"/>
        <v/>
      </c>
      <c r="L59" s="227">
        <f>INDEX(Starter!A:A,ROW()-1)</f>
        <v>38513</v>
      </c>
      <c r="M59">
        <f>INDEX(SchnittGes3!M:M,MATCH(L59,SchnittGes3!L:L,0))+INDEX(Schnitt4!M:M,MATCH(L59,Schnitt4!L:L,0))</f>
        <v>5352</v>
      </c>
      <c r="N59">
        <f>INDEX(SchnittGes3!N:N,MATCH(L59,SchnittGes3!L:L,0))+INDEX(Schnitt4!N:N,MATCH(L59,Schnitt4!L:L,0))</f>
        <v>32</v>
      </c>
      <c r="O59">
        <f t="shared" si="7"/>
        <v>167.249999941</v>
      </c>
      <c r="P59">
        <f t="shared" si="8"/>
        <v>36</v>
      </c>
    </row>
    <row r="60" spans="1:16" x14ac:dyDescent="0.35">
      <c r="A60" t="str">
        <f t="shared" si="13"/>
        <v/>
      </c>
      <c r="B60" t="str">
        <f t="shared" si="9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10"/>
        <v/>
      </c>
      <c r="F60" t="str">
        <f t="shared" si="11"/>
        <v/>
      </c>
      <c r="G60" s="137" t="str">
        <f t="shared" si="12"/>
        <v/>
      </c>
      <c r="L60" s="227">
        <f>INDEX(Starter!A:A,ROW()-1)</f>
        <v>7972</v>
      </c>
      <c r="M60">
        <f>INDEX(SchnittGes3!M:M,MATCH(L60,SchnittGes3!L:L,0))+INDEX(Schnitt4!M:M,MATCH(L60,Schnitt4!L:L,0))</f>
        <v>4705</v>
      </c>
      <c r="N60">
        <f>INDEX(SchnittGes3!N:N,MATCH(L60,SchnittGes3!L:L,0))+INDEX(Schnitt4!N:N,MATCH(L60,Schnitt4!L:L,0))</f>
        <v>29</v>
      </c>
      <c r="O60">
        <f t="shared" si="7"/>
        <v>162.24137925034483</v>
      </c>
      <c r="P60">
        <f t="shared" si="8"/>
        <v>44</v>
      </c>
    </row>
    <row r="61" spans="1:16" x14ac:dyDescent="0.35">
      <c r="A61" t="str">
        <f t="shared" si="13"/>
        <v/>
      </c>
      <c r="B61" t="str">
        <f t="shared" si="9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10"/>
        <v/>
      </c>
      <c r="F61" t="str">
        <f t="shared" si="11"/>
        <v/>
      </c>
      <c r="G61" s="137" t="str">
        <f t="shared" si="12"/>
        <v/>
      </c>
      <c r="L61" s="227">
        <f>INDEX(Starter!A:A,ROW()-1)</f>
        <v>7976</v>
      </c>
      <c r="M61">
        <f>INDEX(SchnittGes3!M:M,MATCH(L61,SchnittGes3!L:L,0))+INDEX(Schnitt4!M:M,MATCH(L61,Schnitt4!L:L,0))</f>
        <v>6330</v>
      </c>
      <c r="N61">
        <f>INDEX(SchnittGes3!N:N,MATCH(L61,SchnittGes3!L:L,0))+INDEX(Schnitt4!N:N,MATCH(L61,Schnitt4!L:L,0))</f>
        <v>36</v>
      </c>
      <c r="O61">
        <f t="shared" si="7"/>
        <v>175.83333327233333</v>
      </c>
      <c r="P61">
        <f t="shared" si="8"/>
        <v>22</v>
      </c>
    </row>
    <row r="62" spans="1:16" x14ac:dyDescent="0.35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10"/>
        <v/>
      </c>
      <c r="F62" t="str">
        <f t="shared" si="11"/>
        <v/>
      </c>
      <c r="G62" s="137" t="str">
        <f t="shared" si="12"/>
        <v/>
      </c>
      <c r="L62" s="227">
        <f>INDEX(Starter!A:A,ROW()-1)</f>
        <v>7977</v>
      </c>
      <c r="M62">
        <f>INDEX(SchnittGes3!M:M,MATCH(L62,SchnittGes3!L:L,0))+INDEX(Schnitt4!M:M,MATCH(L62,Schnitt4!L:L,0))</f>
        <v>0</v>
      </c>
      <c r="N62">
        <f>INDEX(SchnittGes3!N:N,MATCH(L62,SchnittGes3!L:L,0))+INDEX(Schnitt4!N:N,MATCH(L62,Schnitt4!L:L,0))</f>
        <v>0</v>
      </c>
      <c r="O62">
        <f t="shared" si="7"/>
        <v>0</v>
      </c>
      <c r="P62">
        <f t="shared" si="8"/>
        <v>55</v>
      </c>
    </row>
    <row r="63" spans="1:16" x14ac:dyDescent="0.3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10"/>
        <v/>
      </c>
      <c r="F63" t="str">
        <f t="shared" si="11"/>
        <v/>
      </c>
      <c r="G63" s="137" t="str">
        <f t="shared" si="12"/>
        <v/>
      </c>
      <c r="L63" s="227">
        <f>INDEX(Starter!A:A,ROW()-1)</f>
        <v>7975</v>
      </c>
      <c r="M63">
        <f>INDEX(SchnittGes3!M:M,MATCH(L63,SchnittGes3!L:L,0))+INDEX(Schnitt4!M:M,MATCH(L63,Schnitt4!L:L,0))</f>
        <v>0</v>
      </c>
      <c r="N63">
        <f>INDEX(SchnittGes3!N:N,MATCH(L63,SchnittGes3!L:L,0))+INDEX(Schnitt4!N:N,MATCH(L63,Schnitt4!L:L,0))</f>
        <v>0</v>
      </c>
      <c r="O63">
        <f t="shared" si="7"/>
        <v>0</v>
      </c>
      <c r="P63">
        <f t="shared" si="8"/>
        <v>55</v>
      </c>
    </row>
    <row r="64" spans="1:16" x14ac:dyDescent="0.3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16475</v>
      </c>
      <c r="M64">
        <f>INDEX(SchnittGes3!M:M,MATCH(L64,SchnittGes3!L:L,0))+INDEX(Schnitt4!M:M,MATCH(L64,Schnitt4!L:L,0))</f>
        <v>0</v>
      </c>
      <c r="N64">
        <f>INDEX(SchnittGes3!N:N,MATCH(L64,SchnittGes3!L:L,0))+INDEX(Schnitt4!N:N,MATCH(L64,Schnitt4!L:L,0))</f>
        <v>0</v>
      </c>
      <c r="O64">
        <f t="shared" si="7"/>
        <v>0</v>
      </c>
      <c r="P64">
        <f t="shared" si="8"/>
        <v>55</v>
      </c>
    </row>
    <row r="65" spans="1:16" x14ac:dyDescent="0.3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38458</v>
      </c>
      <c r="M65">
        <f>INDEX(SchnittGes3!M:M,MATCH(L65,SchnittGes3!L:L,0))+INDEX(Schnitt4!M:M,MATCH(L65,Schnitt4!L:L,0))</f>
        <v>4996</v>
      </c>
      <c r="N65">
        <f>INDEX(SchnittGes3!N:N,MATCH(L65,SchnittGes3!L:L,0))+INDEX(Schnitt4!N:N,MATCH(L65,Schnitt4!L:L,0))</f>
        <v>27</v>
      </c>
      <c r="O65">
        <f t="shared" si="7"/>
        <v>185.03703697203704</v>
      </c>
      <c r="P65">
        <f t="shared" si="8"/>
        <v>5</v>
      </c>
    </row>
    <row r="66" spans="1:16" x14ac:dyDescent="0.3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25808</v>
      </c>
      <c r="M66">
        <f>INDEX(SchnittGes3!M:M,MATCH(L66,SchnittGes3!L:L,0))+INDEX(Schnitt4!M:M,MATCH(L66,Schnitt4!L:L,0))</f>
        <v>0</v>
      </c>
      <c r="N66">
        <f>INDEX(SchnittGes3!N:N,MATCH(L66,SchnittGes3!L:L,0))+INDEX(Schnitt4!N:N,MATCH(L66,Schnitt4!L:L,0))</f>
        <v>0</v>
      </c>
      <c r="O66">
        <f t="shared" si="7"/>
        <v>0</v>
      </c>
      <c r="P66">
        <f t="shared" ref="P66:P97" si="14">RANK(O66,O:O)</f>
        <v>55</v>
      </c>
    </row>
    <row r="67" spans="1:16" x14ac:dyDescent="0.3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38210</v>
      </c>
      <c r="M67">
        <f>INDEX(SchnittGes3!M:M,MATCH(L67,SchnittGes3!L:L,0))+INDEX(Schnitt4!M:M,MATCH(L67,Schnitt4!L:L,0))</f>
        <v>3976</v>
      </c>
      <c r="N67">
        <f>INDEX(SchnittGes3!N:N,MATCH(L67,SchnittGes3!L:L,0))+INDEX(Schnitt4!N:N,MATCH(L67,Schnitt4!L:L,0))</f>
        <v>24</v>
      </c>
      <c r="O67">
        <f t="shared" si="7"/>
        <v>165.66666659966666</v>
      </c>
      <c r="P67">
        <f t="shared" si="14"/>
        <v>40</v>
      </c>
    </row>
    <row r="68" spans="1:16" x14ac:dyDescent="0.3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7549</v>
      </c>
      <c r="M68">
        <f>INDEX(SchnittGes3!M:M,MATCH(L68,SchnittGes3!L:L,0))+INDEX(Schnitt4!M:M,MATCH(L68,Schnitt4!L:L,0))</f>
        <v>4101</v>
      </c>
      <c r="N68">
        <f>INDEX(SchnittGes3!N:N,MATCH(L68,SchnittGes3!L:L,0))+INDEX(Schnitt4!N:N,MATCH(L68,Schnitt4!L:L,0))</f>
        <v>23</v>
      </c>
      <c r="O68">
        <f t="shared" si="7"/>
        <v>178.30434775808698</v>
      </c>
      <c r="P68">
        <f t="shared" si="14"/>
        <v>18</v>
      </c>
    </row>
    <row r="69" spans="1:16" x14ac:dyDescent="0.3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INDEX(SchnittGes3!M:M,MATCH(L69,SchnittGes3!L:L,0))+INDEX(Schnitt4!M:M,MATCH(L69,Schnitt4!L:L,0))</f>
        <v>5243</v>
      </c>
      <c r="N69">
        <f>INDEX(SchnittGes3!N:N,MATCH(L69,SchnittGes3!L:L,0))+INDEX(Schnitt4!N:N,MATCH(L69,Schnitt4!L:L,0))</f>
        <v>29</v>
      </c>
      <c r="O69">
        <f t="shared" si="7"/>
        <v>180.79310337927586</v>
      </c>
      <c r="P69">
        <f t="shared" si="14"/>
        <v>15</v>
      </c>
    </row>
    <row r="70" spans="1:16" x14ac:dyDescent="0.3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INDEX(SchnittGes3!M:M,MATCH(L70,SchnittGes3!L:L,0))+INDEX(Schnitt4!M:M,MATCH(L70,Schnitt4!L:L,0))</f>
        <v>5908</v>
      </c>
      <c r="N70">
        <f>INDEX(SchnittGes3!N:N,MATCH(L70,SchnittGes3!L:L,0))+INDEX(Schnitt4!N:N,MATCH(L70,Schnitt4!L:L,0))</f>
        <v>31</v>
      </c>
      <c r="O70">
        <f t="shared" si="7"/>
        <v>190.58064509129034</v>
      </c>
      <c r="P70">
        <f t="shared" si="14"/>
        <v>1</v>
      </c>
    </row>
    <row r="71" spans="1:16" x14ac:dyDescent="0.3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INDEX(SchnittGes3!M:M,MATCH(L71,SchnittGes3!L:L,0))+INDEX(Schnitt4!M:M,MATCH(L71,Schnitt4!L:L,0))</f>
        <v>6143</v>
      </c>
      <c r="N71">
        <f>INDEX(SchnittGes3!N:N,MATCH(L71,SchnittGes3!L:L,0))+INDEX(Schnitt4!N:N,MATCH(L71,Schnitt4!L:L,0))</f>
        <v>34</v>
      </c>
      <c r="O71">
        <f t="shared" si="7"/>
        <v>180.67647051723532</v>
      </c>
      <c r="P71">
        <f t="shared" si="14"/>
        <v>16</v>
      </c>
    </row>
    <row r="72" spans="1:16" x14ac:dyDescent="0.3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INDEX(SchnittGes3!M:M,MATCH(L72,SchnittGes3!L:L,0))+INDEX(Schnitt4!M:M,MATCH(L72,Schnitt4!L:L,0))</f>
        <v>2033</v>
      </c>
      <c r="N72">
        <f>INDEX(SchnittGes3!N:N,MATCH(L72,SchnittGes3!L:L,0))+INDEX(Schnitt4!N:N,MATCH(L72,Schnitt4!L:L,0))</f>
        <v>12</v>
      </c>
      <c r="O72">
        <f t="shared" si="7"/>
        <v>169.41666659466665</v>
      </c>
      <c r="P72">
        <f t="shared" si="14"/>
        <v>32</v>
      </c>
    </row>
    <row r="73" spans="1:16" x14ac:dyDescent="0.3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INDEX(SchnittGes3!M:M,MATCH(L73,SchnittGes3!L:L,0))+INDEX(Schnitt4!M:M,MATCH(L73,Schnitt4!L:L,0))</f>
        <v>1125</v>
      </c>
      <c r="N73">
        <f>INDEX(SchnittGes3!N:N,MATCH(L73,SchnittGes3!L:L,0))+INDEX(Schnitt4!N:N,MATCH(L73,Schnitt4!L:L,0))</f>
        <v>7</v>
      </c>
      <c r="O73">
        <f t="shared" si="7"/>
        <v>160.71428564128573</v>
      </c>
      <c r="P73">
        <f t="shared" si="14"/>
        <v>47</v>
      </c>
    </row>
    <row r="74" spans="1:16" x14ac:dyDescent="0.3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38607</v>
      </c>
      <c r="M74">
        <f>INDEX(SchnittGes3!M:M,MATCH(L74,SchnittGes3!L:L,0))+INDEX(Schnitt4!M:M,MATCH(L74,Schnitt4!L:L,0))</f>
        <v>670</v>
      </c>
      <c r="N74">
        <f>INDEX(SchnittGes3!N:N,MATCH(L74,SchnittGes3!L:L,0))+INDEX(Schnitt4!N:N,MATCH(L74,Schnitt4!L:L,0))</f>
        <v>4</v>
      </c>
      <c r="O74">
        <f t="shared" si="7"/>
        <v>167.49999992599999</v>
      </c>
      <c r="P74">
        <f t="shared" si="14"/>
        <v>35</v>
      </c>
    </row>
    <row r="75" spans="1:16" x14ac:dyDescent="0.3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INDEX(SchnittGes3!M:M,MATCH(L75,SchnittGes3!L:L,0))+INDEX(Schnitt4!M:M,MATCH(L75,Schnitt4!L:L,0))</f>
        <v>0</v>
      </c>
      <c r="N75">
        <f>INDEX(SchnittGes3!N:N,MATCH(L75,SchnittGes3!L:L,0))+INDEX(Schnitt4!N:N,MATCH(L75,Schnitt4!L:L,0))</f>
        <v>0</v>
      </c>
      <c r="O75">
        <f t="shared" si="7"/>
        <v>0</v>
      </c>
      <c r="P75">
        <f t="shared" si="14"/>
        <v>55</v>
      </c>
    </row>
    <row r="76" spans="1:16" x14ac:dyDescent="0.3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INDEX(SchnittGes3!M:M,MATCH(L76,SchnittGes3!L:L,0))+INDEX(Schnitt4!M:M,MATCH(L76,Schnitt4!L:L,0))</f>
        <v>0</v>
      </c>
      <c r="N76">
        <f>INDEX(SchnittGes3!N:N,MATCH(L76,SchnittGes3!L:L,0))+INDEX(Schnitt4!N:N,MATCH(L76,Schnitt4!L:L,0))</f>
        <v>0</v>
      </c>
      <c r="O76">
        <f t="shared" ref="O76:O104" si="20">IF(N76=0,0,M76/N76-ROW()/1000000000)</f>
        <v>0</v>
      </c>
      <c r="P76">
        <f t="shared" si="14"/>
        <v>55</v>
      </c>
    </row>
    <row r="77" spans="1:16" x14ac:dyDescent="0.3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INDEX(SchnittGes3!M:M,MATCH(L77,SchnittGes3!L:L,0))+INDEX(Schnitt4!M:M,MATCH(L77,Schnitt4!L:L,0))</f>
        <v>0</v>
      </c>
      <c r="N77">
        <f>INDEX(SchnittGes3!N:N,MATCH(L77,SchnittGes3!L:L,0))+INDEX(Schnitt4!N:N,MATCH(L77,Schnitt4!L:L,0))</f>
        <v>0</v>
      </c>
      <c r="O77">
        <f t="shared" si="20"/>
        <v>0</v>
      </c>
      <c r="P77">
        <f t="shared" si="14"/>
        <v>55</v>
      </c>
    </row>
    <row r="78" spans="1:16" x14ac:dyDescent="0.3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INDEX(SchnittGes3!M:M,MATCH(L78,SchnittGes3!L:L,0))+INDEX(Schnitt4!M:M,MATCH(L78,Schnitt4!L:L,0))</f>
        <v>0</v>
      </c>
      <c r="N78">
        <f>INDEX(SchnittGes3!N:N,MATCH(L78,SchnittGes3!L:L,0))+INDEX(Schnitt4!N:N,MATCH(L78,Schnitt4!L:L,0))</f>
        <v>0</v>
      </c>
      <c r="O78">
        <f t="shared" si="20"/>
        <v>0</v>
      </c>
      <c r="P78">
        <f t="shared" si="14"/>
        <v>55</v>
      </c>
    </row>
    <row r="79" spans="1:16" x14ac:dyDescent="0.3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INDEX(SchnittGes3!M:M,MATCH(L79,SchnittGes3!L:L,0))+INDEX(Schnitt4!M:M,MATCH(L79,Schnitt4!L:L,0))</f>
        <v>0</v>
      </c>
      <c r="N79">
        <f>INDEX(SchnittGes3!N:N,MATCH(L79,SchnittGes3!L:L,0))+INDEX(Schnitt4!N:N,MATCH(L79,Schnitt4!L:L,0))</f>
        <v>0</v>
      </c>
      <c r="O79">
        <f t="shared" si="20"/>
        <v>0</v>
      </c>
      <c r="P79">
        <f t="shared" si="14"/>
        <v>55</v>
      </c>
    </row>
    <row r="80" spans="1:16" x14ac:dyDescent="0.3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INDEX(SchnittGes3!M:M,MATCH(L80,SchnittGes3!L:L,0))+INDEX(Schnitt4!M:M,MATCH(L80,Schnitt4!L:L,0))</f>
        <v>0</v>
      </c>
      <c r="N80">
        <f>INDEX(SchnittGes3!N:N,MATCH(L80,SchnittGes3!L:L,0))+INDEX(Schnitt4!N:N,MATCH(L80,Schnitt4!L:L,0))</f>
        <v>0</v>
      </c>
      <c r="O80">
        <f t="shared" si="20"/>
        <v>0</v>
      </c>
      <c r="P80">
        <f t="shared" si="14"/>
        <v>55</v>
      </c>
    </row>
    <row r="81" spans="1:16" x14ac:dyDescent="0.3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INDEX(SchnittGes3!M:M,MATCH(L81,SchnittGes3!L:L,0))+INDEX(Schnitt4!M:M,MATCH(L81,Schnitt4!L:L,0))</f>
        <v>0</v>
      </c>
      <c r="N81">
        <f>INDEX(SchnittGes3!N:N,MATCH(L81,SchnittGes3!L:L,0))+INDEX(Schnitt4!N:N,MATCH(L81,Schnitt4!L:L,0))</f>
        <v>0</v>
      </c>
      <c r="O81">
        <f t="shared" si="20"/>
        <v>0</v>
      </c>
      <c r="P81">
        <f t="shared" si="14"/>
        <v>55</v>
      </c>
    </row>
    <row r="82" spans="1:16" x14ac:dyDescent="0.3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INDEX(SchnittGes3!M:M,MATCH(L82,SchnittGes3!L:L,0))+INDEX(Schnitt4!M:M,MATCH(L82,Schnitt4!L:L,0))</f>
        <v>0</v>
      </c>
      <c r="N82">
        <f>INDEX(SchnittGes3!N:N,MATCH(L82,SchnittGes3!L:L,0))+INDEX(Schnitt4!N:N,MATCH(L82,Schnitt4!L:L,0))</f>
        <v>0</v>
      </c>
      <c r="O82">
        <f t="shared" si="20"/>
        <v>0</v>
      </c>
      <c r="P82">
        <f t="shared" si="14"/>
        <v>55</v>
      </c>
    </row>
    <row r="83" spans="1:16" x14ac:dyDescent="0.3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INDEX(SchnittGes3!M:M,MATCH(L83,SchnittGes3!L:L,0))+INDEX(Schnitt4!M:M,MATCH(L83,Schnitt4!L:L,0))</f>
        <v>0</v>
      </c>
      <c r="N83">
        <f>INDEX(SchnittGes3!N:N,MATCH(L83,SchnittGes3!L:L,0))+INDEX(Schnitt4!N:N,MATCH(L83,Schnitt4!L:L,0))</f>
        <v>0</v>
      </c>
      <c r="O83">
        <f t="shared" si="20"/>
        <v>0</v>
      </c>
      <c r="P83">
        <f t="shared" si="14"/>
        <v>55</v>
      </c>
    </row>
    <row r="84" spans="1:16" x14ac:dyDescent="0.3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INDEX(SchnittGes3!M:M,MATCH(L84,SchnittGes3!L:L,0))+INDEX(Schnitt4!M:M,MATCH(L84,Schnitt4!L:L,0))</f>
        <v>0</v>
      </c>
      <c r="N84">
        <f>INDEX(SchnittGes3!N:N,MATCH(L84,SchnittGes3!L:L,0))+INDEX(Schnitt4!N:N,MATCH(L84,Schnitt4!L:L,0))</f>
        <v>0</v>
      </c>
      <c r="O84">
        <f t="shared" si="20"/>
        <v>0</v>
      </c>
      <c r="P84">
        <f t="shared" si="14"/>
        <v>55</v>
      </c>
    </row>
    <row r="85" spans="1:16" x14ac:dyDescent="0.3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INDEX(SchnittGes3!M:M,MATCH(L85,SchnittGes3!L:L,0))+INDEX(Schnitt4!M:M,MATCH(L85,Schnitt4!L:L,0))</f>
        <v>0</v>
      </c>
      <c r="N85">
        <f>INDEX(SchnittGes3!N:N,MATCH(L85,SchnittGes3!L:L,0))+INDEX(Schnitt4!N:N,MATCH(L85,Schnitt4!L:L,0))</f>
        <v>0</v>
      </c>
      <c r="O85">
        <f t="shared" si="20"/>
        <v>0</v>
      </c>
      <c r="P85">
        <f t="shared" si="14"/>
        <v>55</v>
      </c>
    </row>
    <row r="86" spans="1:16" x14ac:dyDescent="0.3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INDEX(SchnittGes3!M:M,MATCH(L86,SchnittGes3!L:L,0))+INDEX(Schnitt4!M:M,MATCH(L86,Schnitt4!L:L,0))</f>
        <v>0</v>
      </c>
      <c r="N86">
        <f>INDEX(SchnittGes3!N:N,MATCH(L86,SchnittGes3!L:L,0))+INDEX(Schnitt4!N:N,MATCH(L86,Schnitt4!L:L,0))</f>
        <v>0</v>
      </c>
      <c r="O86">
        <f t="shared" si="20"/>
        <v>0</v>
      </c>
      <c r="P86">
        <f t="shared" si="14"/>
        <v>55</v>
      </c>
    </row>
    <row r="87" spans="1:16" x14ac:dyDescent="0.3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INDEX(SchnittGes3!M:M,MATCH(L87,SchnittGes3!L:L,0))+INDEX(Schnitt4!M:M,MATCH(L87,Schnitt4!L:L,0))</f>
        <v>0</v>
      </c>
      <c r="N87">
        <f>INDEX(SchnittGes3!N:N,MATCH(L87,SchnittGes3!L:L,0))+INDEX(Schnitt4!N:N,MATCH(L87,Schnitt4!L:L,0))</f>
        <v>0</v>
      </c>
      <c r="O87">
        <f t="shared" si="20"/>
        <v>0</v>
      </c>
      <c r="P87">
        <f t="shared" si="14"/>
        <v>55</v>
      </c>
    </row>
    <row r="88" spans="1:16" x14ac:dyDescent="0.3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INDEX(SchnittGes3!M:M,MATCH(L88,SchnittGes3!L:L,0))+INDEX(Schnitt4!M:M,MATCH(L88,Schnitt4!L:L,0))</f>
        <v>0</v>
      </c>
      <c r="N88">
        <f>INDEX(SchnittGes3!N:N,MATCH(L88,SchnittGes3!L:L,0))+INDEX(Schnitt4!N:N,MATCH(L88,Schnitt4!L:L,0))</f>
        <v>0</v>
      </c>
      <c r="O88">
        <f t="shared" si="20"/>
        <v>0</v>
      </c>
      <c r="P88">
        <f t="shared" si="14"/>
        <v>55</v>
      </c>
    </row>
    <row r="89" spans="1:16" x14ac:dyDescent="0.3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INDEX(SchnittGes3!M:M,MATCH(L89,SchnittGes3!L:L,0))+INDEX(Schnitt4!M:M,MATCH(L89,Schnitt4!L:L,0))</f>
        <v>0</v>
      </c>
      <c r="N89">
        <f>INDEX(SchnittGes3!N:N,MATCH(L89,SchnittGes3!L:L,0))+INDEX(Schnitt4!N:N,MATCH(L89,Schnitt4!L:L,0))</f>
        <v>0</v>
      </c>
      <c r="O89">
        <f t="shared" si="20"/>
        <v>0</v>
      </c>
      <c r="P89">
        <f t="shared" si="14"/>
        <v>55</v>
      </c>
    </row>
    <row r="90" spans="1:16" x14ac:dyDescent="0.3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INDEX(SchnittGes3!M:M,MATCH(L90,SchnittGes3!L:L,0))+INDEX(Schnitt4!M:M,MATCH(L90,Schnitt4!L:L,0))</f>
        <v>0</v>
      </c>
      <c r="N90">
        <f>INDEX(SchnittGes3!N:N,MATCH(L90,SchnittGes3!L:L,0))+INDEX(Schnitt4!N:N,MATCH(L90,Schnitt4!L:L,0))</f>
        <v>0</v>
      </c>
      <c r="O90">
        <f t="shared" si="20"/>
        <v>0</v>
      </c>
      <c r="P90">
        <f t="shared" si="14"/>
        <v>55</v>
      </c>
    </row>
    <row r="91" spans="1:16" x14ac:dyDescent="0.3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INDEX(SchnittGes3!M:M,MATCH(L91,SchnittGes3!L:L,0))+INDEX(Schnitt4!M:M,MATCH(L91,Schnitt4!L:L,0))</f>
        <v>0</v>
      </c>
      <c r="N91">
        <f>INDEX(SchnittGes3!N:N,MATCH(L91,SchnittGes3!L:L,0))+INDEX(Schnitt4!N:N,MATCH(L91,Schnitt4!L:L,0))</f>
        <v>0</v>
      </c>
      <c r="O91">
        <f t="shared" si="20"/>
        <v>0</v>
      </c>
      <c r="P91">
        <f t="shared" si="14"/>
        <v>55</v>
      </c>
    </row>
    <row r="92" spans="1:16" x14ac:dyDescent="0.3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INDEX(SchnittGes3!M:M,MATCH(L92,SchnittGes3!L:L,0))+INDEX(Schnitt4!M:M,MATCH(L92,Schnitt4!L:L,0))</f>
        <v>0</v>
      </c>
      <c r="N92">
        <f>INDEX(SchnittGes3!N:N,MATCH(L92,SchnittGes3!L:L,0))+INDEX(Schnitt4!N:N,MATCH(L92,Schnitt4!L:L,0))</f>
        <v>0</v>
      </c>
      <c r="O92">
        <f t="shared" si="20"/>
        <v>0</v>
      </c>
      <c r="P92">
        <f t="shared" si="14"/>
        <v>55</v>
      </c>
    </row>
    <row r="93" spans="1:16" x14ac:dyDescent="0.3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INDEX(SchnittGes3!M:M,MATCH(L93,SchnittGes3!L:L,0))+INDEX(Schnitt4!M:M,MATCH(L93,Schnitt4!L:L,0))</f>
        <v>0</v>
      </c>
      <c r="N93">
        <f>INDEX(SchnittGes3!N:N,MATCH(L93,SchnittGes3!L:L,0))+INDEX(Schnitt4!N:N,MATCH(L93,Schnitt4!L:L,0))</f>
        <v>0</v>
      </c>
      <c r="O93">
        <f t="shared" si="20"/>
        <v>0</v>
      </c>
      <c r="P93">
        <f t="shared" si="14"/>
        <v>55</v>
      </c>
    </row>
    <row r="94" spans="1:16" x14ac:dyDescent="0.3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INDEX(SchnittGes3!M:M,MATCH(L94,SchnittGes3!L:L,0))+INDEX(Schnitt4!M:M,MATCH(L94,Schnitt4!L:L,0))</f>
        <v>0</v>
      </c>
      <c r="N94">
        <f>INDEX(SchnittGes3!N:N,MATCH(L94,SchnittGes3!L:L,0))+INDEX(Schnitt4!N:N,MATCH(L94,Schnitt4!L:L,0))</f>
        <v>0</v>
      </c>
      <c r="O94">
        <f t="shared" si="20"/>
        <v>0</v>
      </c>
      <c r="P94">
        <f t="shared" si="14"/>
        <v>55</v>
      </c>
    </row>
    <row r="95" spans="1:16" x14ac:dyDescent="0.3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INDEX(SchnittGes3!M:M,MATCH(L95,SchnittGes3!L:L,0))+INDEX(Schnitt4!M:M,MATCH(L95,Schnitt4!L:L,0))</f>
        <v>0</v>
      </c>
      <c r="N95">
        <f>INDEX(SchnittGes3!N:N,MATCH(L95,SchnittGes3!L:L,0))+INDEX(Schnitt4!N:N,MATCH(L95,Schnitt4!L:L,0))</f>
        <v>0</v>
      </c>
      <c r="O95">
        <f t="shared" si="20"/>
        <v>0</v>
      </c>
      <c r="P95">
        <f t="shared" si="14"/>
        <v>55</v>
      </c>
    </row>
    <row r="96" spans="1:16" x14ac:dyDescent="0.3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INDEX(SchnittGes3!M:M,MATCH(L96,SchnittGes3!L:L,0))+INDEX(Schnitt4!M:M,MATCH(L96,Schnitt4!L:L,0))</f>
        <v>0</v>
      </c>
      <c r="N96">
        <f>INDEX(SchnittGes3!N:N,MATCH(L96,SchnittGes3!L:L,0))+INDEX(Schnitt4!N:N,MATCH(L96,Schnitt4!L:L,0))</f>
        <v>0</v>
      </c>
      <c r="O96">
        <f t="shared" si="20"/>
        <v>0</v>
      </c>
      <c r="P96">
        <f t="shared" si="14"/>
        <v>55</v>
      </c>
    </row>
    <row r="97" spans="1:16" x14ac:dyDescent="0.3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INDEX(SchnittGes3!M:M,MATCH(L97,SchnittGes3!L:L,0))+INDEX(Schnitt4!M:M,MATCH(L97,Schnitt4!L:L,0))</f>
        <v>0</v>
      </c>
      <c r="N97">
        <f>INDEX(SchnittGes3!N:N,MATCH(L97,SchnittGes3!L:L,0))+INDEX(Schnitt4!N:N,MATCH(L97,Schnitt4!L:L,0))</f>
        <v>0</v>
      </c>
      <c r="O97">
        <f t="shared" si="20"/>
        <v>0</v>
      </c>
      <c r="P97">
        <f t="shared" si="14"/>
        <v>55</v>
      </c>
    </row>
    <row r="98" spans="1:16" x14ac:dyDescent="0.3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INDEX(SchnittGes3!M:M,MATCH(L98,SchnittGes3!L:L,0))+INDEX(Schnitt4!M:M,MATCH(L98,Schnitt4!L:L,0))</f>
        <v>0</v>
      </c>
      <c r="N98">
        <f>INDEX(SchnittGes3!N:N,MATCH(L98,SchnittGes3!L:L,0))+INDEX(Schnitt4!N:N,MATCH(L98,Schnitt4!L:L,0))</f>
        <v>0</v>
      </c>
      <c r="O98">
        <f t="shared" si="20"/>
        <v>0</v>
      </c>
      <c r="P98">
        <f t="shared" ref="P98:P104" si="21">RANK(O98,O:O)</f>
        <v>55</v>
      </c>
    </row>
    <row r="99" spans="1:16" x14ac:dyDescent="0.3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INDEX(SchnittGes3!M:M,MATCH(L99,SchnittGes3!L:L,0))+INDEX(Schnitt4!M:M,MATCH(L99,Schnitt4!L:L,0))</f>
        <v>0</v>
      </c>
      <c r="N99">
        <f>INDEX(SchnittGes3!N:N,MATCH(L99,SchnittGes3!L:L,0))+INDEX(Schnitt4!N:N,MATCH(L99,Schnitt4!L:L,0))</f>
        <v>0</v>
      </c>
      <c r="O99">
        <f t="shared" si="20"/>
        <v>0</v>
      </c>
      <c r="P99">
        <f t="shared" si="21"/>
        <v>55</v>
      </c>
    </row>
    <row r="100" spans="1:16" x14ac:dyDescent="0.3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INDEX(SchnittGes3!M:M,MATCH(L100,SchnittGes3!L:L,0))+INDEX(Schnitt4!M:M,MATCH(L100,Schnitt4!L:L,0))</f>
        <v>0</v>
      </c>
      <c r="N100">
        <f>INDEX(SchnittGes3!N:N,MATCH(L100,SchnittGes3!L:L,0))+INDEX(Schnitt4!N:N,MATCH(L100,Schnitt4!L:L,0))</f>
        <v>0</v>
      </c>
      <c r="O100">
        <f t="shared" si="20"/>
        <v>0</v>
      </c>
      <c r="P100">
        <f t="shared" si="21"/>
        <v>55</v>
      </c>
    </row>
    <row r="101" spans="1:16" x14ac:dyDescent="0.3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INDEX(SchnittGes3!M:M,MATCH(L101,SchnittGes3!L:L,0))+INDEX(Schnitt4!M:M,MATCH(L101,Schnitt4!L:L,0))</f>
        <v>0</v>
      </c>
      <c r="N101">
        <f>INDEX(SchnittGes3!N:N,MATCH(L101,SchnittGes3!L:L,0))+INDEX(Schnitt4!N:N,MATCH(L101,Schnitt4!L:L,0))</f>
        <v>0</v>
      </c>
      <c r="O101">
        <f t="shared" si="20"/>
        <v>0</v>
      </c>
      <c r="P101">
        <f t="shared" si="21"/>
        <v>55</v>
      </c>
    </row>
    <row r="102" spans="1:16" x14ac:dyDescent="0.3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INDEX(SchnittGes3!M:M,MATCH(L102,SchnittGes3!L:L,0))+INDEX(Schnitt4!M:M,MATCH(L102,Schnitt4!L:L,0))</f>
        <v>0</v>
      </c>
      <c r="N102">
        <f>INDEX(SchnittGes3!N:N,MATCH(L102,SchnittGes3!L:L,0))+INDEX(Schnitt4!N:N,MATCH(L102,Schnitt4!L:L,0))</f>
        <v>0</v>
      </c>
      <c r="O102">
        <f t="shared" si="20"/>
        <v>0</v>
      </c>
      <c r="P102">
        <f t="shared" si="21"/>
        <v>55</v>
      </c>
    </row>
    <row r="103" spans="1:16" x14ac:dyDescent="0.3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INDEX(SchnittGes3!M:M,MATCH(L103,SchnittGes3!L:L,0))+INDEX(Schnitt4!M:M,MATCH(L103,Schnitt4!L:L,0))</f>
        <v>0</v>
      </c>
      <c r="N103">
        <f>INDEX(SchnittGes3!N:N,MATCH(L103,SchnittGes3!L:L,0))+INDEX(Schnitt4!N:N,MATCH(L103,Schnitt4!L:L,0))</f>
        <v>0</v>
      </c>
      <c r="O103">
        <f t="shared" si="20"/>
        <v>0</v>
      </c>
      <c r="P103">
        <f t="shared" si="21"/>
        <v>55</v>
      </c>
    </row>
    <row r="104" spans="1:16" x14ac:dyDescent="0.3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INDEX(SchnittGes3!M:M,MATCH(L104,SchnittGes3!L:L,0))+INDEX(Schnitt4!M:M,MATCH(L104,Schnitt4!L:L,0))</f>
        <v>0</v>
      </c>
      <c r="N104">
        <f>INDEX(SchnittGes3!N:N,MATCH(L104,SchnittGes3!L:L,0))+INDEX(Schnitt4!N:N,MATCH(L104,Schnitt4!L:L,0))</f>
        <v>0</v>
      </c>
      <c r="O104">
        <f t="shared" si="20"/>
        <v>0</v>
      </c>
      <c r="P104">
        <f t="shared" si="21"/>
        <v>55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1"/>
    <pageSetUpPr autoPageBreaks="0"/>
  </sheetPr>
  <dimension ref="A1:V81"/>
  <sheetViews>
    <sheetView showGridLines="0" zoomScaleNormal="100" workbookViewId="0">
      <selection activeCell="F22" sqref="F22:G22"/>
    </sheetView>
  </sheetViews>
  <sheetFormatPr baseColWidth="10" defaultColWidth="0" defaultRowHeight="12.75" x14ac:dyDescent="0.35"/>
  <cols>
    <col min="1" max="1" width="1.06640625" customWidth="1"/>
    <col min="2" max="2" width="3.59765625" customWidth="1"/>
    <col min="3" max="3" width="10.796875" customWidth="1"/>
    <col min="4" max="4" width="1.33203125" customWidth="1"/>
    <col min="5" max="5" width="3.73046875" customWidth="1"/>
    <col min="6" max="6" width="3" customWidth="1"/>
    <col min="7" max="7" width="2" customWidth="1"/>
    <col min="8" max="8" width="11.06640625" customWidth="1"/>
    <col min="9" max="9" width="2.06640625" customWidth="1"/>
    <col min="10" max="10" width="3.06640625" customWidth="1"/>
    <col min="11" max="11" width="0.796875" customWidth="1"/>
    <col min="12" max="12" width="9.265625" customWidth="1"/>
    <col min="13" max="13" width="2.06640625" customWidth="1"/>
    <col min="14" max="14" width="3.06640625" customWidth="1"/>
    <col min="15" max="15" width="0.796875" customWidth="1"/>
    <col min="16" max="16" width="11.06640625" customWidth="1"/>
    <col min="17" max="17" width="2.06640625" customWidth="1"/>
    <col min="18" max="18" width="3.06640625" customWidth="1"/>
    <col min="19" max="19" width="0.796875" customWidth="1"/>
    <col min="20" max="20" width="11.796875" customWidth="1"/>
    <col min="21" max="21" width="2.06640625" customWidth="1"/>
    <col min="22" max="22" width="1" customWidth="1"/>
    <col min="23" max="16384" width="9.06640625" hidden="1"/>
  </cols>
  <sheetData>
    <row r="1" spans="2:21" ht="3.75" customHeight="1" x14ac:dyDescent="0.35"/>
    <row r="2" spans="2:21" ht="25.15" x14ac:dyDescent="0.7">
      <c r="B2" s="314" t="s">
        <v>1837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</row>
    <row r="3" spans="2:21" ht="11.25" customHeight="1" x14ac:dyDescent="0.7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4">
      <c r="P4" s="157"/>
      <c r="Q4" s="315"/>
      <c r="R4" s="315"/>
      <c r="S4" s="315"/>
      <c r="T4" s="315"/>
      <c r="U4" s="315"/>
    </row>
    <row r="5" spans="2:21" ht="11.25" customHeight="1" x14ac:dyDescent="0.3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35">
      <c r="B6" s="17"/>
      <c r="C6" s="140" t="s">
        <v>1795</v>
      </c>
      <c r="D6" s="140"/>
      <c r="E6" s="316">
        <f>+Spielzettel5!T2</f>
        <v>5</v>
      </c>
      <c r="F6" s="317"/>
      <c r="P6" s="140" t="s">
        <v>1838</v>
      </c>
      <c r="Q6" s="318" t="str">
        <f>+Spielzettel5!U1</f>
        <v>15.03./16.03.</v>
      </c>
      <c r="R6" s="319">
        <v>0</v>
      </c>
      <c r="S6" s="319">
        <v>0</v>
      </c>
      <c r="T6" s="320">
        <v>0</v>
      </c>
      <c r="U6" s="18"/>
    </row>
    <row r="7" spans="2:21" x14ac:dyDescent="0.35">
      <c r="B7" s="17"/>
      <c r="C7" s="140"/>
      <c r="D7" s="140"/>
      <c r="U7" s="18"/>
    </row>
    <row r="8" spans="2:21" x14ac:dyDescent="0.35">
      <c r="B8" s="17"/>
      <c r="C8" s="140" t="s">
        <v>1839</v>
      </c>
      <c r="D8" s="140"/>
      <c r="E8" s="321" t="str">
        <f>+Spielzettel5!F2</f>
        <v>Brunnthal Max Munich</v>
      </c>
      <c r="F8" s="322"/>
      <c r="G8" s="322"/>
      <c r="H8" s="322">
        <v>0</v>
      </c>
      <c r="I8" s="322"/>
      <c r="J8" s="323"/>
      <c r="N8" s="140" t="s">
        <v>1840</v>
      </c>
      <c r="P8" s="321" t="str">
        <f>+Spielzettel5!F1</f>
        <v>Bayernliga Frauen</v>
      </c>
      <c r="Q8" s="322"/>
      <c r="R8" s="322"/>
      <c r="S8" s="322"/>
      <c r="T8" s="323"/>
      <c r="U8" s="18"/>
    </row>
    <row r="9" spans="2:21" ht="11.25" customHeight="1" thickBot="1" x14ac:dyDescent="0.4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15" thickBot="1" x14ac:dyDescent="0.4"/>
    <row r="11" spans="2:21" s="1" customFormat="1" ht="30" customHeight="1" thickBot="1" x14ac:dyDescent="0.4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4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/>
      <c r="M12" s="165" t="s">
        <v>1843</v>
      </c>
      <c r="P12" s="166"/>
      <c r="U12" s="18"/>
    </row>
    <row r="13" spans="2:21" ht="6.75" customHeight="1" thickBot="1" x14ac:dyDescent="0.55000000000000004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35">
      <c r="B14" s="17"/>
      <c r="U14" s="18"/>
    </row>
    <row r="15" spans="2:21" ht="13.15" x14ac:dyDescent="0.4">
      <c r="B15" s="17"/>
      <c r="C15" s="148" t="s">
        <v>1844</v>
      </c>
      <c r="D15" s="148"/>
      <c r="F15" s="151"/>
      <c r="G15" s="154"/>
      <c r="H15" t="s">
        <v>1845</v>
      </c>
      <c r="J15" s="151"/>
      <c r="L15" t="s">
        <v>1846</v>
      </c>
      <c r="U15" s="18"/>
    </row>
    <row r="16" spans="2:21" ht="13.15" x14ac:dyDescent="0.4">
      <c r="B16" s="17"/>
      <c r="C16" s="148"/>
      <c r="D16" s="148"/>
      <c r="F16" s="44"/>
      <c r="J16" s="153"/>
      <c r="U16" s="18"/>
    </row>
    <row r="17" spans="2:21" ht="13.15" x14ac:dyDescent="0.4">
      <c r="B17" s="17"/>
      <c r="C17" s="148" t="s">
        <v>1847</v>
      </c>
      <c r="D17" s="148"/>
      <c r="F17" s="151"/>
      <c r="G17" s="154"/>
      <c r="H17" t="s">
        <v>1845</v>
      </c>
      <c r="J17" s="151"/>
      <c r="L17" t="s">
        <v>1846</v>
      </c>
      <c r="U17" s="18"/>
    </row>
    <row r="18" spans="2:21" ht="18.75" customHeight="1" x14ac:dyDescent="0.3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200000000000003" customHeight="1" x14ac:dyDescent="0.35">
      <c r="B19" s="17"/>
      <c r="C19" s="326"/>
      <c r="D19" s="327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9"/>
      <c r="U19" s="18"/>
    </row>
    <row r="20" spans="2:21" ht="12.75" customHeight="1" x14ac:dyDescent="0.3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35">
      <c r="B21" s="17"/>
      <c r="C21" s="148" t="s">
        <v>1849</v>
      </c>
      <c r="D21" s="148"/>
      <c r="U21" s="18"/>
    </row>
    <row r="22" spans="2:21" ht="13.15" x14ac:dyDescent="0.4">
      <c r="B22" s="17"/>
      <c r="C22" s="148" t="s">
        <v>1850</v>
      </c>
      <c r="D22" s="148"/>
      <c r="F22" s="151"/>
      <c r="H22" t="s">
        <v>1845</v>
      </c>
      <c r="J22" s="151"/>
      <c r="L22" t="s">
        <v>1846</v>
      </c>
      <c r="U22" s="18"/>
    </row>
    <row r="23" spans="2:21" ht="18.75" customHeight="1" x14ac:dyDescent="0.3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200000000000003" customHeight="1" x14ac:dyDescent="0.35">
      <c r="B24" s="17"/>
      <c r="C24" s="326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30"/>
      <c r="U24" s="18"/>
    </row>
    <row r="25" spans="2:21" ht="12.75" customHeight="1" thickBot="1" x14ac:dyDescent="0.4">
      <c r="B25" s="17"/>
      <c r="C25" s="171"/>
      <c r="D25" s="171"/>
      <c r="U25" s="18"/>
    </row>
    <row r="26" spans="2:21" s="175" customFormat="1" ht="21.75" customHeight="1" x14ac:dyDescent="0.4">
      <c r="B26" s="172" t="s">
        <v>1852</v>
      </c>
      <c r="C26" s="173"/>
      <c r="D26" s="173"/>
      <c r="E26" s="173"/>
      <c r="F26" s="173"/>
      <c r="G26" s="173"/>
      <c r="H26" s="152"/>
      <c r="I26" s="173"/>
      <c r="J26" s="174" t="s">
        <v>1853</v>
      </c>
      <c r="K26" s="174"/>
      <c r="L26" s="152"/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55000000000000004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5">
      <c r="B28" s="177"/>
      <c r="U28" s="18"/>
    </row>
    <row r="29" spans="2:21" ht="13.15" x14ac:dyDescent="0.4">
      <c r="B29" s="17"/>
      <c r="C29" s="148" t="s">
        <v>1854</v>
      </c>
      <c r="D29" s="148"/>
      <c r="F29" s="151"/>
      <c r="H29" t="s">
        <v>1845</v>
      </c>
      <c r="J29" s="151"/>
      <c r="L29" t="s">
        <v>1846</v>
      </c>
      <c r="U29" s="18"/>
    </row>
    <row r="30" spans="2:21" ht="17.25" customHeight="1" x14ac:dyDescent="0.35">
      <c r="B30" s="17"/>
      <c r="C30" s="148" t="s">
        <v>1855</v>
      </c>
      <c r="D30" s="148"/>
      <c r="F30" s="331"/>
      <c r="G30" s="331"/>
      <c r="H30" s="148"/>
      <c r="U30" s="18"/>
    </row>
    <row r="31" spans="2:21" ht="17.25" customHeight="1" x14ac:dyDescent="0.3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200000000000003" customHeight="1" x14ac:dyDescent="0.35">
      <c r="B32" s="17"/>
      <c r="C32" s="326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30"/>
      <c r="U32" s="18"/>
    </row>
    <row r="33" spans="2:21" x14ac:dyDescent="0.35">
      <c r="B33" s="17"/>
      <c r="C33" s="171"/>
      <c r="D33" s="171"/>
      <c r="U33" s="18"/>
    </row>
    <row r="34" spans="2:21" ht="6.75" customHeight="1" x14ac:dyDescent="0.35">
      <c r="B34" s="17"/>
      <c r="C34" s="171"/>
      <c r="D34" s="171"/>
      <c r="U34" s="18"/>
    </row>
    <row r="35" spans="2:21" ht="13.15" x14ac:dyDescent="0.4">
      <c r="B35" s="17"/>
      <c r="C35" s="148" t="s">
        <v>1857</v>
      </c>
      <c r="D35" s="148"/>
      <c r="F35" s="151"/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35">
      <c r="B36" s="17"/>
      <c r="C36" s="149" t="s">
        <v>1861</v>
      </c>
      <c r="D36" s="149"/>
      <c r="F36" s="332"/>
      <c r="G36" s="332"/>
      <c r="H36" s="332"/>
      <c r="U36" s="18"/>
    </row>
    <row r="37" spans="2:21" ht="11.25" customHeight="1" x14ac:dyDescent="0.35">
      <c r="B37" s="17"/>
      <c r="U37" s="18"/>
    </row>
    <row r="38" spans="2:21" ht="13.9" x14ac:dyDescent="0.4">
      <c r="B38" s="179" t="s">
        <v>1862</v>
      </c>
      <c r="U38" s="18"/>
    </row>
    <row r="39" spans="2:21" ht="9" customHeight="1" x14ac:dyDescent="0.35">
      <c r="B39" s="17"/>
      <c r="U39" s="18"/>
    </row>
    <row r="40" spans="2:21" ht="80.25" customHeight="1" x14ac:dyDescent="0.35">
      <c r="B40" s="17"/>
      <c r="C40" s="326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30"/>
      <c r="U40" s="18"/>
    </row>
    <row r="41" spans="2:21" ht="11.25" customHeight="1" thickBot="1" x14ac:dyDescent="0.4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.15" thickBot="1" x14ac:dyDescent="0.4"/>
    <row r="43" spans="2:21" s="1" customFormat="1" ht="30" customHeight="1" thickBot="1" x14ac:dyDescent="0.4">
      <c r="B43" s="162"/>
      <c r="C43" s="324" t="s">
        <v>1863</v>
      </c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163"/>
    </row>
    <row r="44" spans="2:21" ht="9" customHeight="1" x14ac:dyDescent="0.35">
      <c r="B44" s="17"/>
      <c r="U44" s="18"/>
    </row>
    <row r="45" spans="2:21" ht="13.9" x14ac:dyDescent="0.4">
      <c r="B45" s="179"/>
      <c r="C45" s="166" t="s">
        <v>1864</v>
      </c>
      <c r="D45" s="166"/>
      <c r="U45" s="18"/>
    </row>
    <row r="46" spans="2:21" ht="9" customHeight="1" x14ac:dyDescent="0.35">
      <c r="B46" s="17"/>
      <c r="U46" s="18"/>
    </row>
    <row r="47" spans="2:21" ht="36.75" customHeight="1" x14ac:dyDescent="0.35">
      <c r="B47" s="17"/>
      <c r="C47" s="326"/>
      <c r="D47" s="327"/>
      <c r="E47" s="327"/>
      <c r="F47" s="327"/>
      <c r="G47" s="327"/>
      <c r="H47" s="327"/>
      <c r="I47" s="327"/>
      <c r="J47" s="327"/>
      <c r="K47" s="327"/>
      <c r="L47" s="327"/>
      <c r="M47" s="327"/>
      <c r="N47" s="327"/>
      <c r="O47" s="327"/>
      <c r="P47" s="327"/>
      <c r="Q47" s="327"/>
      <c r="R47" s="327"/>
      <c r="S47" s="327"/>
      <c r="T47" s="330"/>
      <c r="U47" s="18"/>
    </row>
    <row r="48" spans="2:21" ht="12.75" customHeight="1" x14ac:dyDescent="0.35">
      <c r="B48" s="17"/>
      <c r="C48" s="171"/>
      <c r="D48" s="171"/>
      <c r="U48" s="18"/>
    </row>
    <row r="49" spans="2:21" ht="12.75" customHeight="1" x14ac:dyDescent="0.4">
      <c r="B49" s="179"/>
      <c r="C49" s="166" t="s">
        <v>1865</v>
      </c>
      <c r="D49" s="166"/>
      <c r="U49" s="18"/>
    </row>
    <row r="50" spans="2:21" ht="6.75" customHeight="1" x14ac:dyDescent="0.35">
      <c r="B50" s="17"/>
      <c r="U50" s="18"/>
    </row>
    <row r="51" spans="2:21" ht="36.75" customHeight="1" x14ac:dyDescent="0.35">
      <c r="B51" s="17"/>
      <c r="C51" s="326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30"/>
      <c r="U51" s="18"/>
    </row>
    <row r="52" spans="2:21" ht="12.75" customHeight="1" x14ac:dyDescent="0.35">
      <c r="B52" s="17"/>
      <c r="C52" s="171"/>
      <c r="D52" s="171"/>
      <c r="U52" s="18"/>
    </row>
    <row r="53" spans="2:21" ht="12.75" customHeight="1" x14ac:dyDescent="0.4">
      <c r="B53" s="179"/>
      <c r="C53" s="166" t="s">
        <v>1866</v>
      </c>
      <c r="D53" s="166"/>
      <c r="U53" s="18"/>
    </row>
    <row r="54" spans="2:21" ht="6.75" customHeight="1" x14ac:dyDescent="0.35">
      <c r="B54" s="17"/>
      <c r="U54" s="18"/>
    </row>
    <row r="55" spans="2:21" ht="36.75" customHeight="1" x14ac:dyDescent="0.35">
      <c r="B55" s="17"/>
      <c r="C55" s="326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7"/>
      <c r="Q55" s="327"/>
      <c r="R55" s="327"/>
      <c r="S55" s="327"/>
      <c r="T55" s="330"/>
      <c r="U55" s="18"/>
    </row>
    <row r="56" spans="2:21" ht="11.25" customHeight="1" x14ac:dyDescent="0.35">
      <c r="B56" s="17"/>
      <c r="C56" s="171"/>
      <c r="D56" s="171"/>
      <c r="U56" s="18"/>
    </row>
    <row r="57" spans="2:21" ht="13.5" customHeight="1" x14ac:dyDescent="0.4">
      <c r="B57" s="179"/>
      <c r="C57" s="166" t="s">
        <v>1867</v>
      </c>
      <c r="D57" s="166"/>
      <c r="U57" s="18"/>
    </row>
    <row r="58" spans="2:21" ht="6.75" customHeight="1" x14ac:dyDescent="0.35">
      <c r="B58" s="17"/>
      <c r="U58" s="18"/>
    </row>
    <row r="59" spans="2:21" ht="36.75" customHeight="1" x14ac:dyDescent="0.35">
      <c r="B59" s="17"/>
      <c r="C59" s="326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30"/>
      <c r="U59" s="18"/>
    </row>
    <row r="60" spans="2:21" ht="11.25" customHeight="1" x14ac:dyDescent="0.35">
      <c r="B60" s="17"/>
      <c r="C60" s="171"/>
      <c r="D60" s="171"/>
      <c r="U60" s="18"/>
    </row>
    <row r="61" spans="2:21" ht="13.9" x14ac:dyDescent="0.4">
      <c r="B61" s="179"/>
      <c r="C61" s="166" t="s">
        <v>1868</v>
      </c>
      <c r="D61" s="166"/>
      <c r="U61" s="18"/>
    </row>
    <row r="62" spans="2:21" ht="6" customHeight="1" x14ac:dyDescent="0.35">
      <c r="B62" s="17"/>
      <c r="U62" s="18"/>
    </row>
    <row r="63" spans="2:21" ht="36.75" customHeight="1" x14ac:dyDescent="0.35">
      <c r="B63" s="17"/>
      <c r="C63" s="326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  <c r="T63" s="330"/>
      <c r="U63" s="18"/>
    </row>
    <row r="64" spans="2:21" ht="12.75" customHeight="1" x14ac:dyDescent="0.35">
      <c r="B64" s="17"/>
      <c r="C64" s="171"/>
      <c r="D64" s="171"/>
      <c r="U64" s="18"/>
    </row>
    <row r="65" spans="1:21" ht="12.75" customHeight="1" x14ac:dyDescent="0.4">
      <c r="B65" s="179"/>
      <c r="C65" s="166" t="s">
        <v>1869</v>
      </c>
      <c r="D65" s="166"/>
      <c r="U65" s="18"/>
    </row>
    <row r="66" spans="1:21" ht="6.75" customHeight="1" x14ac:dyDescent="0.35">
      <c r="B66" s="17"/>
      <c r="U66" s="18"/>
    </row>
    <row r="67" spans="1:21" ht="36.75" customHeight="1" x14ac:dyDescent="0.35">
      <c r="B67" s="17"/>
      <c r="C67" s="326"/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30"/>
      <c r="U67" s="18"/>
    </row>
    <row r="68" spans="1:21" ht="11.25" customHeight="1" thickBot="1" x14ac:dyDescent="0.4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4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5">
      <c r="B70" s="177"/>
      <c r="U70" s="18"/>
    </row>
    <row r="71" spans="1:21" s="52" customFormat="1" ht="18" customHeight="1" x14ac:dyDescent="0.5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35">
      <c r="B72" s="17"/>
      <c r="P72" s="52"/>
      <c r="Q72" s="52"/>
      <c r="U72" s="18"/>
    </row>
    <row r="73" spans="1:21" ht="6" customHeight="1" x14ac:dyDescent="0.3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200000000000003" customHeight="1" x14ac:dyDescent="0.35">
      <c r="B74" s="17"/>
      <c r="C74" s="391"/>
      <c r="D74" s="392"/>
      <c r="E74" s="392"/>
      <c r="F74" s="392"/>
      <c r="G74" s="392"/>
      <c r="H74" s="392"/>
      <c r="I74" s="392"/>
      <c r="J74" s="392"/>
      <c r="K74" s="392"/>
      <c r="L74" s="392"/>
      <c r="M74" s="392"/>
      <c r="N74" s="392"/>
      <c r="O74" s="392"/>
      <c r="P74" s="392"/>
      <c r="Q74" s="392"/>
      <c r="R74" s="392"/>
      <c r="S74" s="392"/>
      <c r="T74" s="393"/>
      <c r="U74" s="18"/>
    </row>
    <row r="75" spans="1:21" ht="11.25" customHeight="1" thickBot="1" x14ac:dyDescent="0.4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35"/>
    <row r="77" spans="1:21" ht="13.15" x14ac:dyDescent="0.4">
      <c r="B77" s="166" t="s">
        <v>1871</v>
      </c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P77" s="334"/>
      <c r="Q77" s="334"/>
      <c r="R77" s="334"/>
      <c r="S77" s="334"/>
      <c r="T77" s="334"/>
      <c r="U77" s="334"/>
    </row>
    <row r="78" spans="1:21" x14ac:dyDescent="0.3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35"/>
    <row r="80" spans="1:21" ht="13.15" x14ac:dyDescent="0.4">
      <c r="B80" s="166" t="s">
        <v>1874</v>
      </c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P80" s="334"/>
      <c r="Q80" s="334"/>
      <c r="R80" s="334"/>
      <c r="S80" s="334"/>
      <c r="T80" s="334"/>
      <c r="U80" s="334"/>
    </row>
    <row r="81" spans="3:16" x14ac:dyDescent="0.3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F36:H36"/>
    <mergeCell ref="C40:T40"/>
    <mergeCell ref="C43:T43"/>
    <mergeCell ref="C47:T47"/>
    <mergeCell ref="C51:T51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5">
    <tabColor indexed="10"/>
    <pageSetUpPr fitToPage="1"/>
  </sheetPr>
  <dimension ref="A1:AC290"/>
  <sheetViews>
    <sheetView showGridLines="0" view="pageBreakPreview" zoomScaleNormal="100" zoomScaleSheetLayoutView="100" workbookViewId="0">
      <selection activeCell="F22" sqref="F22:G22"/>
    </sheetView>
  </sheetViews>
  <sheetFormatPr baseColWidth="10" defaultColWidth="11.33203125" defaultRowHeight="12.75" x14ac:dyDescent="0.35"/>
  <cols>
    <col min="1" max="1" width="4.33203125" customWidth="1"/>
    <col min="2" max="2" width="18.06640625" customWidth="1"/>
    <col min="3" max="3" width="6.33203125" customWidth="1"/>
    <col min="4" max="21" width="5.73046875" customWidth="1"/>
    <col min="22" max="22" width="8.33203125" customWidth="1"/>
    <col min="23" max="23" width="6.73046875" customWidth="1"/>
    <col min="25" max="25" width="7.73046875" customWidth="1"/>
    <col min="26" max="26" width="2.73046875" customWidth="1"/>
    <col min="27" max="27" width="7.73046875" customWidth="1"/>
    <col min="28" max="28" width="2.73046875" customWidth="1"/>
  </cols>
  <sheetData>
    <row r="1" spans="1:29" ht="21" customHeight="1" x14ac:dyDescent="0.7">
      <c r="B1" s="44" t="s">
        <v>1813</v>
      </c>
      <c r="C1" s="45"/>
      <c r="D1" s="46" t="s">
        <v>1792</v>
      </c>
      <c r="E1" s="47"/>
      <c r="F1" s="359" t="str">
        <f>Schlüssel!$C$1</f>
        <v>Bayernliga Frauen</v>
      </c>
      <c r="G1" s="359"/>
      <c r="H1" s="359"/>
      <c r="I1" s="359"/>
      <c r="J1" s="359"/>
      <c r="K1" s="359"/>
      <c r="L1" s="359"/>
      <c r="M1" s="359"/>
      <c r="N1" s="359"/>
      <c r="O1" s="359"/>
      <c r="P1" s="45"/>
      <c r="Q1" s="45"/>
      <c r="R1" s="48"/>
      <c r="S1" s="49" t="s">
        <v>1794</v>
      </c>
      <c r="T1" s="50"/>
      <c r="U1" s="360" t="str">
        <f>Schlüssel!$CO$1</f>
        <v>15.03./16.03.</v>
      </c>
      <c r="V1" s="361"/>
      <c r="W1" s="362"/>
      <c r="AC1" s="51" t="s">
        <v>1836</v>
      </c>
    </row>
    <row r="2" spans="1:29" ht="17.25" customHeight="1" thickBot="1" x14ac:dyDescent="0.65">
      <c r="A2" s="52"/>
      <c r="B2" s="96">
        <v>1</v>
      </c>
      <c r="D2" s="46" t="s">
        <v>1793</v>
      </c>
      <c r="E2" s="54"/>
      <c r="F2" s="358" t="str">
        <f>Schlüssel!$CE$2</f>
        <v>Brunnthal Max Munich</v>
      </c>
      <c r="G2" s="358"/>
      <c r="H2" s="358"/>
      <c r="I2" s="358"/>
      <c r="J2" s="358"/>
      <c r="K2" s="358"/>
      <c r="L2" s="358"/>
      <c r="M2" s="358"/>
      <c r="N2" s="358"/>
      <c r="O2" s="358"/>
      <c r="P2" s="55"/>
      <c r="Q2" s="55"/>
      <c r="S2" s="49" t="s">
        <v>1791</v>
      </c>
      <c r="T2" s="56">
        <v>5</v>
      </c>
      <c r="U2" s="50"/>
      <c r="V2" s="50"/>
      <c r="AC2" s="97">
        <v>1</v>
      </c>
    </row>
    <row r="3" spans="1:29" ht="15.75" customHeight="1" thickBot="1" x14ac:dyDescent="0.4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5" thickBot="1" x14ac:dyDescent="0.45">
      <c r="A4" s="2"/>
      <c r="B4" s="44"/>
      <c r="C4" s="63"/>
      <c r="D4" s="64" t="s">
        <v>10</v>
      </c>
      <c r="E4" s="44">
        <f>VLOOKUP($B2,Schlüssel!$A$5:$DZ$14,93)</f>
        <v>9</v>
      </c>
      <c r="F4" s="65" t="s">
        <v>10</v>
      </c>
      <c r="G4" s="44">
        <f>VLOOKUP($B2,Schlüssel!$A$5:$DZ$14,94)</f>
        <v>6</v>
      </c>
      <c r="H4" s="65" t="s">
        <v>10</v>
      </c>
      <c r="I4" s="44">
        <f>VLOOKUP($B2,Schlüssel!$A$5:$DZ$14,95)</f>
        <v>8</v>
      </c>
      <c r="J4" s="65" t="s">
        <v>10</v>
      </c>
      <c r="K4" s="44">
        <f>VLOOKUP($B2,Schlüssel!$A$5:$DZ$14,96)</f>
        <v>10</v>
      </c>
      <c r="L4" s="65" t="s">
        <v>10</v>
      </c>
      <c r="M4" s="44">
        <f>VLOOKUP($B2,Schlüssel!$A$5:$DZ$14,97)</f>
        <v>2</v>
      </c>
      <c r="N4" s="65" t="s">
        <v>10</v>
      </c>
      <c r="O4" s="44">
        <f>VLOOKUP($B2,Schlüssel!$A$5:$DZ$14,98)</f>
        <v>4</v>
      </c>
      <c r="P4" s="65" t="s">
        <v>10</v>
      </c>
      <c r="Q4" s="44">
        <f>VLOOKUP($B2,Schlüssel!$A$5:$DZ$14,99)</f>
        <v>7</v>
      </c>
      <c r="R4" s="65" t="s">
        <v>10</v>
      </c>
      <c r="S4" s="44">
        <f>VLOOKUP($B2,Schlüssel!$A$5:$DZ$14,100)</f>
        <v>5</v>
      </c>
      <c r="T4" s="65" t="s">
        <v>10</v>
      </c>
      <c r="U4" s="66">
        <f>VLOOKUP($B2,Schlüssel!$A$5:$DZ$14,101)</f>
        <v>1</v>
      </c>
    </row>
    <row r="5" spans="1:29" ht="20.25" customHeight="1" x14ac:dyDescent="0.35">
      <c r="B5" s="67" t="s">
        <v>1</v>
      </c>
      <c r="C5" s="68"/>
      <c r="D5" s="354" t="s">
        <v>1800</v>
      </c>
      <c r="E5" s="355"/>
      <c r="F5" s="354" t="s">
        <v>1801</v>
      </c>
      <c r="G5" s="355"/>
      <c r="H5" s="354" t="s">
        <v>1802</v>
      </c>
      <c r="I5" s="355"/>
      <c r="J5" s="354" t="s">
        <v>1803</v>
      </c>
      <c r="K5" s="355"/>
      <c r="L5" s="354" t="s">
        <v>1804</v>
      </c>
      <c r="M5" s="355"/>
      <c r="N5" s="354" t="s">
        <v>1805</v>
      </c>
      <c r="O5" s="355"/>
      <c r="P5" s="354" t="s">
        <v>1806</v>
      </c>
      <c r="Q5" s="355"/>
      <c r="R5" s="354" t="s">
        <v>1807</v>
      </c>
      <c r="S5" s="355"/>
      <c r="T5" s="354" t="s">
        <v>1808</v>
      </c>
      <c r="U5" s="355"/>
      <c r="V5" s="356" t="s">
        <v>1799</v>
      </c>
      <c r="W5" s="357"/>
    </row>
    <row r="6" spans="1:29" ht="15" customHeight="1" thickBot="1" x14ac:dyDescent="0.4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2" customHeight="1" x14ac:dyDescent="0.35">
      <c r="A7" s="351" t="s">
        <v>0</v>
      </c>
      <c r="B7" s="73"/>
      <c r="C7" s="74"/>
      <c r="D7" s="75"/>
      <c r="E7" s="348"/>
      <c r="F7" s="75"/>
      <c r="G7" s="348"/>
      <c r="H7" s="75"/>
      <c r="I7" s="348"/>
      <c r="J7" s="75"/>
      <c r="K7" s="348"/>
      <c r="L7" s="75"/>
      <c r="M7" s="348"/>
      <c r="N7" s="75"/>
      <c r="O7" s="348"/>
      <c r="P7" s="75"/>
      <c r="Q7" s="348"/>
      <c r="R7" s="75"/>
      <c r="S7" s="348"/>
      <c r="T7" s="75"/>
      <c r="U7" s="348"/>
      <c r="V7" s="75"/>
      <c r="W7" s="348"/>
    </row>
    <row r="8" spans="1:29" ht="17.2" customHeight="1" x14ac:dyDescent="0.35">
      <c r="A8" s="352"/>
      <c r="B8" s="76"/>
      <c r="C8" s="77"/>
      <c r="D8" s="78"/>
      <c r="E8" s="349"/>
      <c r="F8" s="78"/>
      <c r="G8" s="349"/>
      <c r="H8" s="78"/>
      <c r="I8" s="349"/>
      <c r="J8" s="78"/>
      <c r="K8" s="349"/>
      <c r="L8" s="78"/>
      <c r="M8" s="349"/>
      <c r="N8" s="78"/>
      <c r="O8" s="349"/>
      <c r="P8" s="78"/>
      <c r="Q8" s="349"/>
      <c r="R8" s="78"/>
      <c r="S8" s="349"/>
      <c r="T8" s="78"/>
      <c r="U8" s="349"/>
      <c r="V8" s="78"/>
      <c r="W8" s="349"/>
    </row>
    <row r="9" spans="1:29" ht="17.2" customHeight="1" thickBot="1" x14ac:dyDescent="0.4">
      <c r="A9" s="353"/>
      <c r="B9" s="79"/>
      <c r="C9" s="80"/>
      <c r="D9" s="69"/>
      <c r="E9" s="350"/>
      <c r="F9" s="69"/>
      <c r="G9" s="350"/>
      <c r="H9" s="69"/>
      <c r="I9" s="350"/>
      <c r="J9" s="69"/>
      <c r="K9" s="350"/>
      <c r="L9" s="69"/>
      <c r="M9" s="350"/>
      <c r="N9" s="69"/>
      <c r="O9" s="350"/>
      <c r="P9" s="69"/>
      <c r="Q9" s="350"/>
      <c r="R9" s="69"/>
      <c r="S9" s="350"/>
      <c r="T9" s="69"/>
      <c r="U9" s="350"/>
      <c r="V9" s="69"/>
      <c r="W9" s="350"/>
    </row>
    <row r="10" spans="1:29" ht="17.2" customHeight="1" x14ac:dyDescent="0.35">
      <c r="A10" s="351" t="s">
        <v>2</v>
      </c>
      <c r="B10" s="73"/>
      <c r="C10" s="74"/>
      <c r="D10" s="75"/>
      <c r="E10" s="348"/>
      <c r="F10" s="75"/>
      <c r="G10" s="348"/>
      <c r="H10" s="75"/>
      <c r="I10" s="348"/>
      <c r="J10" s="75"/>
      <c r="K10" s="348"/>
      <c r="L10" s="75"/>
      <c r="M10" s="348"/>
      <c r="N10" s="75"/>
      <c r="O10" s="348"/>
      <c r="P10" s="75"/>
      <c r="Q10" s="348"/>
      <c r="R10" s="75"/>
      <c r="S10" s="348"/>
      <c r="T10" s="75"/>
      <c r="U10" s="348"/>
      <c r="V10" s="75"/>
      <c r="W10" s="348"/>
    </row>
    <row r="11" spans="1:29" ht="17.2" customHeight="1" x14ac:dyDescent="0.35">
      <c r="A11" s="352"/>
      <c r="B11" s="76"/>
      <c r="C11" s="77"/>
      <c r="D11" s="78"/>
      <c r="E11" s="349"/>
      <c r="F11" s="78"/>
      <c r="G11" s="349"/>
      <c r="H11" s="78"/>
      <c r="I11" s="349"/>
      <c r="J11" s="78"/>
      <c r="K11" s="349"/>
      <c r="L11" s="78"/>
      <c r="M11" s="349"/>
      <c r="N11" s="78"/>
      <c r="O11" s="349"/>
      <c r="P11" s="78"/>
      <c r="Q11" s="349"/>
      <c r="R11" s="78"/>
      <c r="S11" s="349"/>
      <c r="T11" s="78"/>
      <c r="U11" s="349"/>
      <c r="V11" s="78"/>
      <c r="W11" s="349"/>
    </row>
    <row r="12" spans="1:29" ht="17.2" customHeight="1" thickBot="1" x14ac:dyDescent="0.4">
      <c r="A12" s="353"/>
      <c r="B12" s="79"/>
      <c r="C12" s="80"/>
      <c r="D12" s="69"/>
      <c r="E12" s="350"/>
      <c r="F12" s="69"/>
      <c r="G12" s="350"/>
      <c r="H12" s="69"/>
      <c r="I12" s="350"/>
      <c r="J12" s="69"/>
      <c r="K12" s="350"/>
      <c r="L12" s="69"/>
      <c r="M12" s="350"/>
      <c r="N12" s="69"/>
      <c r="O12" s="350"/>
      <c r="P12" s="69"/>
      <c r="Q12" s="350"/>
      <c r="R12" s="69"/>
      <c r="S12" s="350"/>
      <c r="T12" s="69"/>
      <c r="U12" s="350"/>
      <c r="V12" s="69"/>
      <c r="W12" s="350"/>
    </row>
    <row r="13" spans="1:29" ht="17.2" customHeight="1" x14ac:dyDescent="0.35">
      <c r="A13" s="351" t="s">
        <v>3</v>
      </c>
      <c r="B13" s="73"/>
      <c r="C13" s="74"/>
      <c r="D13" s="75"/>
      <c r="E13" s="348"/>
      <c r="F13" s="75"/>
      <c r="G13" s="348"/>
      <c r="H13" s="75"/>
      <c r="I13" s="348"/>
      <c r="J13" s="75"/>
      <c r="K13" s="348"/>
      <c r="L13" s="75"/>
      <c r="M13" s="348"/>
      <c r="N13" s="75"/>
      <c r="O13" s="348"/>
      <c r="P13" s="75"/>
      <c r="Q13" s="348"/>
      <c r="R13" s="75"/>
      <c r="S13" s="348"/>
      <c r="T13" s="75"/>
      <c r="U13" s="348"/>
      <c r="V13" s="75"/>
      <c r="W13" s="348"/>
    </row>
    <row r="14" spans="1:29" ht="17.2" customHeight="1" x14ac:dyDescent="0.35">
      <c r="A14" s="352"/>
      <c r="B14" s="76"/>
      <c r="C14" s="77"/>
      <c r="D14" s="78"/>
      <c r="E14" s="349"/>
      <c r="F14" s="78"/>
      <c r="G14" s="349"/>
      <c r="H14" s="78"/>
      <c r="I14" s="349"/>
      <c r="J14" s="78"/>
      <c r="K14" s="349"/>
      <c r="L14" s="78"/>
      <c r="M14" s="349"/>
      <c r="N14" s="78"/>
      <c r="O14" s="349"/>
      <c r="P14" s="78"/>
      <c r="Q14" s="349"/>
      <c r="R14" s="78"/>
      <c r="S14" s="349"/>
      <c r="T14" s="78"/>
      <c r="U14" s="349"/>
      <c r="V14" s="78"/>
      <c r="W14" s="349"/>
    </row>
    <row r="15" spans="1:29" ht="17.2" customHeight="1" thickBot="1" x14ac:dyDescent="0.4">
      <c r="A15" s="353"/>
      <c r="B15" s="79"/>
      <c r="C15" s="80"/>
      <c r="D15" s="69"/>
      <c r="E15" s="350"/>
      <c r="F15" s="69"/>
      <c r="G15" s="350"/>
      <c r="H15" s="69"/>
      <c r="I15" s="350"/>
      <c r="J15" s="69"/>
      <c r="K15" s="350"/>
      <c r="L15" s="69"/>
      <c r="M15" s="350"/>
      <c r="N15" s="69"/>
      <c r="O15" s="350"/>
      <c r="P15" s="69"/>
      <c r="Q15" s="350"/>
      <c r="R15" s="69"/>
      <c r="S15" s="350"/>
      <c r="T15" s="69"/>
      <c r="U15" s="350"/>
      <c r="V15" s="69"/>
      <c r="W15" s="350"/>
    </row>
    <row r="16" spans="1:29" ht="17.2" customHeight="1" x14ac:dyDescent="0.35">
      <c r="A16" s="351" t="s">
        <v>11</v>
      </c>
      <c r="B16" s="73"/>
      <c r="C16" s="74"/>
      <c r="D16" s="75"/>
      <c r="E16" s="348"/>
      <c r="F16" s="75"/>
      <c r="G16" s="348"/>
      <c r="H16" s="75"/>
      <c r="I16" s="348"/>
      <c r="J16" s="75"/>
      <c r="K16" s="348"/>
      <c r="L16" s="75"/>
      <c r="M16" s="348"/>
      <c r="N16" s="75"/>
      <c r="O16" s="348"/>
      <c r="P16" s="75"/>
      <c r="Q16" s="348"/>
      <c r="R16" s="75"/>
      <c r="S16" s="348"/>
      <c r="T16" s="75"/>
      <c r="U16" s="348"/>
      <c r="V16" s="75"/>
      <c r="W16" s="348"/>
    </row>
    <row r="17" spans="1:29" ht="17.2" customHeight="1" x14ac:dyDescent="0.35">
      <c r="A17" s="352"/>
      <c r="B17" s="76"/>
      <c r="C17" s="77"/>
      <c r="D17" s="78"/>
      <c r="E17" s="349"/>
      <c r="F17" s="78"/>
      <c r="G17" s="349"/>
      <c r="H17" s="78"/>
      <c r="I17" s="349"/>
      <c r="J17" s="78"/>
      <c r="K17" s="349"/>
      <c r="L17" s="78"/>
      <c r="M17" s="349"/>
      <c r="N17" s="78"/>
      <c r="O17" s="349"/>
      <c r="P17" s="78"/>
      <c r="Q17" s="349"/>
      <c r="R17" s="78"/>
      <c r="S17" s="349"/>
      <c r="T17" s="78"/>
      <c r="U17" s="349"/>
      <c r="V17" s="78"/>
      <c r="W17" s="349"/>
    </row>
    <row r="18" spans="1:29" ht="17.2" customHeight="1" thickBot="1" x14ac:dyDescent="0.4">
      <c r="A18" s="353"/>
      <c r="B18" s="79"/>
      <c r="C18" s="80"/>
      <c r="D18" s="69"/>
      <c r="E18" s="350"/>
      <c r="F18" s="69"/>
      <c r="G18" s="350"/>
      <c r="H18" s="69"/>
      <c r="I18" s="350"/>
      <c r="J18" s="69"/>
      <c r="K18" s="350"/>
      <c r="L18" s="69"/>
      <c r="M18" s="350"/>
      <c r="N18" s="69"/>
      <c r="O18" s="350"/>
      <c r="P18" s="69"/>
      <c r="Q18" s="350"/>
      <c r="R18" s="69"/>
      <c r="S18" s="350"/>
      <c r="T18" s="69"/>
      <c r="U18" s="350"/>
      <c r="V18" s="69"/>
      <c r="W18" s="350"/>
    </row>
    <row r="19" spans="1:29" ht="27.75" customHeight="1" thickBot="1" x14ac:dyDescent="0.4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4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3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35">
      <c r="B22" s="88" t="s">
        <v>1797</v>
      </c>
      <c r="C22" s="89" t="s">
        <v>1798</v>
      </c>
      <c r="D22" s="346">
        <f>VLOOKUP(B2,Schlüssel!$A$5:$DZ$14,83)</f>
        <v>2</v>
      </c>
      <c r="E22" s="346"/>
      <c r="F22" s="346">
        <f>VLOOKUP(B2,Schlüssel!$A$5:$DZ$14,84)</f>
        <v>6</v>
      </c>
      <c r="G22" s="346"/>
      <c r="H22" s="346">
        <f>VLOOKUP(B2,Schlüssel!$A$5:$DZ$14,85)</f>
        <v>10</v>
      </c>
      <c r="I22" s="346"/>
      <c r="J22" s="346">
        <f>VLOOKUP(B2,Schlüssel!$A$5:$DZ$14,86)</f>
        <v>9</v>
      </c>
      <c r="K22" s="346"/>
      <c r="L22" s="346">
        <f>VLOOKUP(B2,Schlüssel!$A$5:$DZ$14,87)</f>
        <v>4</v>
      </c>
      <c r="M22" s="346"/>
      <c r="N22" s="346">
        <f>VLOOKUP(B2,Schlüssel!$A$5:$DZ$14,88)</f>
        <v>3</v>
      </c>
      <c r="O22" s="346"/>
      <c r="P22" s="346">
        <f>VLOOKUP(B2,Schlüssel!$A$5:$DZ$14,89)</f>
        <v>5</v>
      </c>
      <c r="Q22" s="346"/>
      <c r="R22" s="346">
        <f>VLOOKUP(B2,Schlüssel!$A$5:$DZ$14,90)</f>
        <v>8</v>
      </c>
      <c r="S22" s="346"/>
      <c r="T22" s="346">
        <f>VLOOKUP(B2,Schlüssel!$A$5:$DZ$14,91)</f>
        <v>7</v>
      </c>
      <c r="U22" s="346"/>
      <c r="V22" s="347"/>
      <c r="W22" s="347"/>
    </row>
    <row r="23" spans="1:29" ht="28.5" customHeight="1" x14ac:dyDescent="0.35">
      <c r="B23" s="90"/>
      <c r="C23" s="86"/>
      <c r="D23" s="343" t="str">
        <f>VLOOKUP(D22,Schlüssel!$A$5:$K$14,2)</f>
        <v>BK München 2</v>
      </c>
      <c r="E23" s="344"/>
      <c r="F23" s="343" t="str">
        <f>VLOOKUP(F22,Schlüssel!$A$5:$K$14,2)</f>
        <v>Phönix 03 Lauf</v>
      </c>
      <c r="G23" s="344"/>
      <c r="H23" s="343" t="str">
        <f>VLOOKUP(H22,Schlüssel!$A$5:$K$14,2)</f>
        <v>BK München 4</v>
      </c>
      <c r="I23" s="344"/>
      <c r="J23" s="343" t="str">
        <f>VLOOKUP(J22,Schlüssel!$A$5:$K$14,2)</f>
        <v>RW Lichtenhof 69 Stein 2</v>
      </c>
      <c r="K23" s="344"/>
      <c r="L23" s="343" t="str">
        <f>VLOOKUP(L22,Schlüssel!$A$5:$K$14,2)</f>
        <v>BK München 3</v>
      </c>
      <c r="M23" s="344"/>
      <c r="N23" s="343" t="str">
        <f>VLOOKUP(N22,Schlüssel!$A$5:$K$14,2)</f>
        <v>Highroller Rosenheim</v>
      </c>
      <c r="O23" s="344"/>
      <c r="P23" s="343" t="str">
        <f>VLOOKUP(P22,Schlüssel!$A$5:$K$14,2)</f>
        <v xml:space="preserve">Weiß Blau Unterföhring </v>
      </c>
      <c r="Q23" s="344"/>
      <c r="R23" s="343" t="str">
        <f>VLOOKUP(R22,Schlüssel!$A$5:$K$14,2)</f>
        <v>EPA München 1</v>
      </c>
      <c r="S23" s="344"/>
      <c r="T23" s="343" t="str">
        <f>VLOOKUP(T22,Schlüssel!$A$5:$K$14,2)</f>
        <v>Frankenpower Nürnberg</v>
      </c>
      <c r="U23" s="344"/>
      <c r="V23" s="345"/>
      <c r="W23" s="345"/>
    </row>
    <row r="24" spans="1:29" ht="12" customHeight="1" x14ac:dyDescent="0.35">
      <c r="B24" s="90"/>
      <c r="C24" s="86"/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2"/>
      <c r="V24" s="301"/>
      <c r="W24" s="301"/>
    </row>
    <row r="25" spans="1:29" ht="16.05" customHeight="1" x14ac:dyDescent="0.35">
      <c r="B25" s="91" t="s">
        <v>0</v>
      </c>
      <c r="C25" s="92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40"/>
      <c r="W25" s="340"/>
    </row>
    <row r="26" spans="1:29" ht="16.05" customHeight="1" x14ac:dyDescent="0.35">
      <c r="B26" s="91" t="s">
        <v>2</v>
      </c>
      <c r="C26" s="92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40"/>
      <c r="W26" s="340"/>
    </row>
    <row r="27" spans="1:29" ht="16.05" customHeight="1" x14ac:dyDescent="0.35">
      <c r="B27" s="91" t="s">
        <v>3</v>
      </c>
      <c r="C27" s="92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40"/>
      <c r="W27" s="340"/>
    </row>
    <row r="28" spans="1:29" ht="16.05" customHeight="1" x14ac:dyDescent="0.35">
      <c r="B28" s="91" t="s">
        <v>11</v>
      </c>
      <c r="C28" s="92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40"/>
      <c r="W28" s="340"/>
    </row>
    <row r="29" spans="1:29" ht="16.05" customHeight="1" x14ac:dyDescent="0.35">
      <c r="B29" s="93" t="s">
        <v>1799</v>
      </c>
      <c r="C29" s="94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290"/>
      <c r="W29" s="290"/>
    </row>
    <row r="30" spans="1:29" ht="21" customHeight="1" x14ac:dyDescent="0.7">
      <c r="B30" s="44" t="s">
        <v>1813</v>
      </c>
      <c r="C30" s="45"/>
      <c r="D30" s="46" t="s">
        <v>1792</v>
      </c>
      <c r="E30" s="47"/>
      <c r="F30" s="359" t="str">
        <f>Schlüssel!$C$1</f>
        <v>Bayernliga Frauen</v>
      </c>
      <c r="G30" s="359"/>
      <c r="H30" s="359"/>
      <c r="I30" s="359"/>
      <c r="J30" s="359"/>
      <c r="K30" s="359"/>
      <c r="L30" s="359"/>
      <c r="M30" s="359"/>
      <c r="N30" s="359"/>
      <c r="O30" s="359"/>
      <c r="P30" s="45"/>
      <c r="Q30" s="45"/>
      <c r="R30" s="48"/>
      <c r="S30" s="49" t="s">
        <v>1794</v>
      </c>
      <c r="T30" s="50"/>
      <c r="U30" s="360" t="str">
        <f>Schlüssel!$CO$1</f>
        <v>15.03./16.03.</v>
      </c>
      <c r="V30" s="361"/>
      <c r="W30" s="362"/>
      <c r="AC30" s="51"/>
    </row>
    <row r="31" spans="1:29" ht="17.25" customHeight="1" thickBot="1" x14ac:dyDescent="0.65">
      <c r="A31" s="52"/>
      <c r="B31" s="96">
        <f>+B2+1</f>
        <v>2</v>
      </c>
      <c r="D31" s="46" t="s">
        <v>1793</v>
      </c>
      <c r="E31" s="54"/>
      <c r="F31" s="358" t="str">
        <f>Schlüssel!$CE$2</f>
        <v>Brunnthal Max Munich</v>
      </c>
      <c r="G31" s="358"/>
      <c r="H31" s="358"/>
      <c r="I31" s="358"/>
      <c r="J31" s="358"/>
      <c r="K31" s="358"/>
      <c r="L31" s="358"/>
      <c r="M31" s="358"/>
      <c r="N31" s="358"/>
      <c r="O31" s="358"/>
      <c r="P31" s="55"/>
      <c r="Q31" s="55"/>
      <c r="S31" s="49" t="s">
        <v>1791</v>
      </c>
      <c r="T31" s="56">
        <v>5</v>
      </c>
      <c r="U31" s="50"/>
      <c r="V31" s="50"/>
      <c r="AC31" s="97"/>
    </row>
    <row r="32" spans="1:29" ht="15.75" customHeight="1" thickBot="1" x14ac:dyDescent="0.4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5" thickBot="1" x14ac:dyDescent="0.45">
      <c r="A33" s="2"/>
      <c r="B33" s="44"/>
      <c r="C33" s="63"/>
      <c r="D33" s="64" t="s">
        <v>10</v>
      </c>
      <c r="E33" s="44">
        <f>VLOOKUP($B31,Schlüssel!$A$5:$DZ$14,93)</f>
        <v>10</v>
      </c>
      <c r="F33" s="65" t="s">
        <v>10</v>
      </c>
      <c r="G33" s="44">
        <f>VLOOKUP($B31,Schlüssel!$A$5:$DZ$14,94)</f>
        <v>7</v>
      </c>
      <c r="H33" s="65" t="s">
        <v>10</v>
      </c>
      <c r="I33" s="44">
        <f>VLOOKUP($B31,Schlüssel!$A$5:$DZ$14,95)</f>
        <v>2</v>
      </c>
      <c r="J33" s="65" t="s">
        <v>10</v>
      </c>
      <c r="K33" s="44">
        <f>VLOOKUP($B31,Schlüssel!$A$5:$DZ$14,96)</f>
        <v>3</v>
      </c>
      <c r="L33" s="65" t="s">
        <v>10</v>
      </c>
      <c r="M33" s="44">
        <f>VLOOKUP($B31,Schlüssel!$A$5:$DZ$14,97)</f>
        <v>5</v>
      </c>
      <c r="N33" s="65" t="s">
        <v>10</v>
      </c>
      <c r="O33" s="44">
        <f>VLOOKUP($B31,Schlüssel!$A$5:$DZ$14,98)</f>
        <v>8</v>
      </c>
      <c r="P33" s="65" t="s">
        <v>10</v>
      </c>
      <c r="Q33" s="44">
        <f>VLOOKUP($B31,Schlüssel!$A$5:$DZ$14,99)</f>
        <v>4</v>
      </c>
      <c r="R33" s="65" t="s">
        <v>10</v>
      </c>
      <c r="S33" s="44">
        <f>VLOOKUP($B31,Schlüssel!$A$5:$DZ$14,100)</f>
        <v>1</v>
      </c>
      <c r="T33" s="65" t="s">
        <v>10</v>
      </c>
      <c r="U33" s="66">
        <f>VLOOKUP($B31,Schlüssel!$A$5:$DZ$14,101)</f>
        <v>6</v>
      </c>
    </row>
    <row r="34" spans="1:23" ht="20.25" customHeight="1" x14ac:dyDescent="0.35">
      <c r="B34" s="67" t="s">
        <v>1</v>
      </c>
      <c r="C34" s="68"/>
      <c r="D34" s="354" t="s">
        <v>1800</v>
      </c>
      <c r="E34" s="355"/>
      <c r="F34" s="354" t="s">
        <v>1801</v>
      </c>
      <c r="G34" s="355"/>
      <c r="H34" s="354" t="s">
        <v>1802</v>
      </c>
      <c r="I34" s="355"/>
      <c r="J34" s="354" t="s">
        <v>1803</v>
      </c>
      <c r="K34" s="355"/>
      <c r="L34" s="354" t="s">
        <v>1804</v>
      </c>
      <c r="M34" s="355"/>
      <c r="N34" s="354" t="s">
        <v>1805</v>
      </c>
      <c r="O34" s="355"/>
      <c r="P34" s="354" t="s">
        <v>1806</v>
      </c>
      <c r="Q34" s="355"/>
      <c r="R34" s="354" t="s">
        <v>1807</v>
      </c>
      <c r="S34" s="355"/>
      <c r="T34" s="354" t="s">
        <v>1808</v>
      </c>
      <c r="U34" s="355"/>
      <c r="V34" s="356" t="s">
        <v>1799</v>
      </c>
      <c r="W34" s="357"/>
    </row>
    <row r="35" spans="1:23" ht="15" customHeight="1" thickBot="1" x14ac:dyDescent="0.4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2" customHeight="1" x14ac:dyDescent="0.35">
      <c r="A36" s="351" t="s">
        <v>0</v>
      </c>
      <c r="B36" s="73"/>
      <c r="C36" s="74"/>
      <c r="D36" s="75"/>
      <c r="E36" s="348"/>
      <c r="F36" s="75"/>
      <c r="G36" s="348"/>
      <c r="H36" s="75"/>
      <c r="I36" s="348"/>
      <c r="J36" s="75"/>
      <c r="K36" s="348"/>
      <c r="L36" s="75"/>
      <c r="M36" s="348"/>
      <c r="N36" s="75"/>
      <c r="O36" s="348"/>
      <c r="P36" s="75"/>
      <c r="Q36" s="348"/>
      <c r="R36" s="75"/>
      <c r="S36" s="348"/>
      <c r="T36" s="75"/>
      <c r="U36" s="348"/>
      <c r="V36" s="75"/>
      <c r="W36" s="348"/>
    </row>
    <row r="37" spans="1:23" ht="17.2" customHeight="1" x14ac:dyDescent="0.35">
      <c r="A37" s="352"/>
      <c r="B37" s="76"/>
      <c r="C37" s="77"/>
      <c r="D37" s="78"/>
      <c r="E37" s="349"/>
      <c r="F37" s="78"/>
      <c r="G37" s="349"/>
      <c r="H37" s="78"/>
      <c r="I37" s="349"/>
      <c r="J37" s="78"/>
      <c r="K37" s="349"/>
      <c r="L37" s="78"/>
      <c r="M37" s="349"/>
      <c r="N37" s="78"/>
      <c r="O37" s="349"/>
      <c r="P37" s="78"/>
      <c r="Q37" s="349"/>
      <c r="R37" s="78"/>
      <c r="S37" s="349"/>
      <c r="T37" s="78"/>
      <c r="U37" s="349"/>
      <c r="V37" s="78"/>
      <c r="W37" s="349"/>
    </row>
    <row r="38" spans="1:23" ht="17.2" customHeight="1" thickBot="1" x14ac:dyDescent="0.4">
      <c r="A38" s="353"/>
      <c r="B38" s="79"/>
      <c r="C38" s="80"/>
      <c r="D38" s="69"/>
      <c r="E38" s="350"/>
      <c r="F38" s="69"/>
      <c r="G38" s="350"/>
      <c r="H38" s="69"/>
      <c r="I38" s="350"/>
      <c r="J38" s="69"/>
      <c r="K38" s="350"/>
      <c r="L38" s="69"/>
      <c r="M38" s="350"/>
      <c r="N38" s="69"/>
      <c r="O38" s="350"/>
      <c r="P38" s="69"/>
      <c r="Q38" s="350"/>
      <c r="R38" s="69"/>
      <c r="S38" s="350"/>
      <c r="T38" s="69"/>
      <c r="U38" s="350"/>
      <c r="V38" s="69"/>
      <c r="W38" s="350"/>
    </row>
    <row r="39" spans="1:23" ht="17.2" customHeight="1" x14ac:dyDescent="0.35">
      <c r="A39" s="351" t="s">
        <v>2</v>
      </c>
      <c r="B39" s="73"/>
      <c r="C39" s="74"/>
      <c r="D39" s="75"/>
      <c r="E39" s="348"/>
      <c r="F39" s="75"/>
      <c r="G39" s="348"/>
      <c r="H39" s="75"/>
      <c r="I39" s="348"/>
      <c r="J39" s="75"/>
      <c r="K39" s="348"/>
      <c r="L39" s="75"/>
      <c r="M39" s="348"/>
      <c r="N39" s="75"/>
      <c r="O39" s="348"/>
      <c r="P39" s="75"/>
      <c r="Q39" s="348"/>
      <c r="R39" s="75"/>
      <c r="S39" s="348"/>
      <c r="T39" s="75"/>
      <c r="U39" s="348"/>
      <c r="V39" s="75"/>
      <c r="W39" s="348"/>
    </row>
    <row r="40" spans="1:23" ht="17.2" customHeight="1" x14ac:dyDescent="0.35">
      <c r="A40" s="352"/>
      <c r="B40" s="76"/>
      <c r="C40" s="77"/>
      <c r="D40" s="78"/>
      <c r="E40" s="349"/>
      <c r="F40" s="78"/>
      <c r="G40" s="349"/>
      <c r="H40" s="78"/>
      <c r="I40" s="349"/>
      <c r="J40" s="78"/>
      <c r="K40" s="349"/>
      <c r="L40" s="78"/>
      <c r="M40" s="349"/>
      <c r="N40" s="78"/>
      <c r="O40" s="349"/>
      <c r="P40" s="78"/>
      <c r="Q40" s="349"/>
      <c r="R40" s="78"/>
      <c r="S40" s="349"/>
      <c r="T40" s="78"/>
      <c r="U40" s="349"/>
      <c r="V40" s="78"/>
      <c r="W40" s="349"/>
    </row>
    <row r="41" spans="1:23" ht="17.2" customHeight="1" thickBot="1" x14ac:dyDescent="0.4">
      <c r="A41" s="353"/>
      <c r="B41" s="79"/>
      <c r="C41" s="80"/>
      <c r="D41" s="69"/>
      <c r="E41" s="350"/>
      <c r="F41" s="69"/>
      <c r="G41" s="350"/>
      <c r="H41" s="69"/>
      <c r="I41" s="350"/>
      <c r="J41" s="69"/>
      <c r="K41" s="350"/>
      <c r="L41" s="69"/>
      <c r="M41" s="350"/>
      <c r="N41" s="69"/>
      <c r="O41" s="350"/>
      <c r="P41" s="69"/>
      <c r="Q41" s="350"/>
      <c r="R41" s="69"/>
      <c r="S41" s="350"/>
      <c r="T41" s="69"/>
      <c r="U41" s="350"/>
      <c r="V41" s="69"/>
      <c r="W41" s="350"/>
    </row>
    <row r="42" spans="1:23" ht="17.2" customHeight="1" x14ac:dyDescent="0.35">
      <c r="A42" s="351" t="s">
        <v>3</v>
      </c>
      <c r="B42" s="73"/>
      <c r="C42" s="74"/>
      <c r="D42" s="75"/>
      <c r="E42" s="348"/>
      <c r="F42" s="75"/>
      <c r="G42" s="348"/>
      <c r="H42" s="75"/>
      <c r="I42" s="348"/>
      <c r="J42" s="75"/>
      <c r="K42" s="348"/>
      <c r="L42" s="75"/>
      <c r="M42" s="348"/>
      <c r="N42" s="75"/>
      <c r="O42" s="348"/>
      <c r="P42" s="75"/>
      <c r="Q42" s="348"/>
      <c r="R42" s="75"/>
      <c r="S42" s="348"/>
      <c r="T42" s="75"/>
      <c r="U42" s="348"/>
      <c r="V42" s="75"/>
      <c r="W42" s="348"/>
    </row>
    <row r="43" spans="1:23" ht="17.2" customHeight="1" x14ac:dyDescent="0.35">
      <c r="A43" s="352"/>
      <c r="B43" s="76"/>
      <c r="C43" s="77"/>
      <c r="D43" s="78"/>
      <c r="E43" s="349"/>
      <c r="F43" s="78"/>
      <c r="G43" s="349"/>
      <c r="H43" s="78"/>
      <c r="I43" s="349"/>
      <c r="J43" s="78"/>
      <c r="K43" s="349"/>
      <c r="L43" s="78"/>
      <c r="M43" s="349"/>
      <c r="N43" s="78"/>
      <c r="O43" s="349"/>
      <c r="P43" s="78"/>
      <c r="Q43" s="349"/>
      <c r="R43" s="78"/>
      <c r="S43" s="349"/>
      <c r="T43" s="78"/>
      <c r="U43" s="349"/>
      <c r="V43" s="78"/>
      <c r="W43" s="349"/>
    </row>
    <row r="44" spans="1:23" ht="17.2" customHeight="1" thickBot="1" x14ac:dyDescent="0.4">
      <c r="A44" s="353"/>
      <c r="B44" s="79"/>
      <c r="C44" s="80"/>
      <c r="D44" s="69"/>
      <c r="E44" s="350"/>
      <c r="F44" s="69"/>
      <c r="G44" s="350"/>
      <c r="H44" s="69"/>
      <c r="I44" s="350"/>
      <c r="J44" s="69"/>
      <c r="K44" s="350"/>
      <c r="L44" s="69"/>
      <c r="M44" s="350"/>
      <c r="N44" s="69"/>
      <c r="O44" s="350"/>
      <c r="P44" s="69"/>
      <c r="Q44" s="350"/>
      <c r="R44" s="69"/>
      <c r="S44" s="350"/>
      <c r="T44" s="69"/>
      <c r="U44" s="350"/>
      <c r="V44" s="69"/>
      <c r="W44" s="350"/>
    </row>
    <row r="45" spans="1:23" ht="17.2" customHeight="1" x14ac:dyDescent="0.35">
      <c r="A45" s="351" t="s">
        <v>11</v>
      </c>
      <c r="B45" s="73"/>
      <c r="C45" s="74"/>
      <c r="D45" s="75"/>
      <c r="E45" s="348"/>
      <c r="F45" s="75"/>
      <c r="G45" s="348"/>
      <c r="H45" s="75"/>
      <c r="I45" s="348"/>
      <c r="J45" s="75"/>
      <c r="K45" s="348"/>
      <c r="L45" s="75"/>
      <c r="M45" s="348"/>
      <c r="N45" s="75"/>
      <c r="O45" s="348"/>
      <c r="P45" s="75"/>
      <c r="Q45" s="348"/>
      <c r="R45" s="75"/>
      <c r="S45" s="348"/>
      <c r="T45" s="75"/>
      <c r="U45" s="348"/>
      <c r="V45" s="75"/>
      <c r="W45" s="348"/>
    </row>
    <row r="46" spans="1:23" ht="17.2" customHeight="1" x14ac:dyDescent="0.35">
      <c r="A46" s="352"/>
      <c r="B46" s="76"/>
      <c r="C46" s="77"/>
      <c r="D46" s="78"/>
      <c r="E46" s="349"/>
      <c r="F46" s="78"/>
      <c r="G46" s="349"/>
      <c r="H46" s="78"/>
      <c r="I46" s="349"/>
      <c r="J46" s="78"/>
      <c r="K46" s="349"/>
      <c r="L46" s="78"/>
      <c r="M46" s="349"/>
      <c r="N46" s="78"/>
      <c r="O46" s="349"/>
      <c r="P46" s="78"/>
      <c r="Q46" s="349"/>
      <c r="R46" s="78"/>
      <c r="S46" s="349"/>
      <c r="T46" s="78"/>
      <c r="U46" s="349"/>
      <c r="V46" s="78"/>
      <c r="W46" s="349"/>
    </row>
    <row r="47" spans="1:23" ht="17.2" customHeight="1" thickBot="1" x14ac:dyDescent="0.4">
      <c r="A47" s="353"/>
      <c r="B47" s="79"/>
      <c r="C47" s="80"/>
      <c r="D47" s="69"/>
      <c r="E47" s="350"/>
      <c r="F47" s="69"/>
      <c r="G47" s="350"/>
      <c r="H47" s="69"/>
      <c r="I47" s="350"/>
      <c r="J47" s="69"/>
      <c r="K47" s="350"/>
      <c r="L47" s="69"/>
      <c r="M47" s="350"/>
      <c r="N47" s="69"/>
      <c r="O47" s="350"/>
      <c r="P47" s="69"/>
      <c r="Q47" s="350"/>
      <c r="R47" s="69"/>
      <c r="S47" s="350"/>
      <c r="T47" s="69"/>
      <c r="U47" s="350"/>
      <c r="V47" s="69"/>
      <c r="W47" s="350"/>
    </row>
    <row r="48" spans="1:23" ht="27.75" customHeight="1" thickBot="1" x14ac:dyDescent="0.4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4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3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35">
      <c r="B51" s="88" t="s">
        <v>1797</v>
      </c>
      <c r="C51" s="89" t="s">
        <v>1798</v>
      </c>
      <c r="D51" s="346">
        <f>VLOOKUP(B31,Schlüssel!$A$5:$DZ$14,83)</f>
        <v>1</v>
      </c>
      <c r="E51" s="346"/>
      <c r="F51" s="346">
        <f>VLOOKUP(B31,Schlüssel!$A$5:$DZ$14,84)</f>
        <v>9</v>
      </c>
      <c r="G51" s="346"/>
      <c r="H51" s="346">
        <f>VLOOKUP(B31,Schlüssel!$A$5:$DZ$14,85)</f>
        <v>3</v>
      </c>
      <c r="I51" s="346"/>
      <c r="J51" s="346">
        <f>VLOOKUP(B31,Schlüssel!$A$5:$DZ$14,86)</f>
        <v>10</v>
      </c>
      <c r="K51" s="346"/>
      <c r="L51" s="346">
        <f>VLOOKUP(B31,Schlüssel!$A$5:$DZ$14,87)</f>
        <v>6</v>
      </c>
      <c r="M51" s="346"/>
      <c r="N51" s="346">
        <f>VLOOKUP(B31,Schlüssel!$A$5:$DZ$14,88)</f>
        <v>7</v>
      </c>
      <c r="O51" s="346"/>
      <c r="P51" s="346">
        <f>VLOOKUP(B31,Schlüssel!$A$5:$DZ$14,89)</f>
        <v>8</v>
      </c>
      <c r="Q51" s="346"/>
      <c r="R51" s="346">
        <f>VLOOKUP(B31,Schlüssel!$A$5:$DZ$14,90)</f>
        <v>4</v>
      </c>
      <c r="S51" s="346"/>
      <c r="T51" s="346">
        <f>VLOOKUP(B31,Schlüssel!$A$5:$DZ$14,91)</f>
        <v>5</v>
      </c>
      <c r="U51" s="346"/>
      <c r="V51" s="347"/>
      <c r="W51" s="347"/>
    </row>
    <row r="52" spans="1:29" ht="28.5" customHeight="1" x14ac:dyDescent="0.35">
      <c r="B52" s="90"/>
      <c r="C52" s="86"/>
      <c r="D52" s="343" t="str">
        <f>VLOOKUP(D51,Schlüssel!$A$5:$K$14,2)</f>
        <v>Praetoria Regensburg</v>
      </c>
      <c r="E52" s="344"/>
      <c r="F52" s="343" t="str">
        <f>VLOOKUP(F51,Schlüssel!$A$5:$K$14,2)</f>
        <v>RW Lichtenhof 69 Stein 2</v>
      </c>
      <c r="G52" s="344"/>
      <c r="H52" s="343" t="str">
        <f>VLOOKUP(H51,Schlüssel!$A$5:$K$14,2)</f>
        <v>Highroller Rosenheim</v>
      </c>
      <c r="I52" s="344"/>
      <c r="J52" s="343" t="str">
        <f>VLOOKUP(J51,Schlüssel!$A$5:$K$14,2)</f>
        <v>BK München 4</v>
      </c>
      <c r="K52" s="344"/>
      <c r="L52" s="343" t="str">
        <f>VLOOKUP(L51,Schlüssel!$A$5:$K$14,2)</f>
        <v>Phönix 03 Lauf</v>
      </c>
      <c r="M52" s="344"/>
      <c r="N52" s="343" t="str">
        <f>VLOOKUP(N51,Schlüssel!$A$5:$K$14,2)</f>
        <v>Frankenpower Nürnberg</v>
      </c>
      <c r="O52" s="344"/>
      <c r="P52" s="343" t="str">
        <f>VLOOKUP(P51,Schlüssel!$A$5:$K$14,2)</f>
        <v>EPA München 1</v>
      </c>
      <c r="Q52" s="344"/>
      <c r="R52" s="343" t="str">
        <f>VLOOKUP(R51,Schlüssel!$A$5:$K$14,2)</f>
        <v>BK München 3</v>
      </c>
      <c r="S52" s="344"/>
      <c r="T52" s="343" t="str">
        <f>VLOOKUP(T51,Schlüssel!$A$5:$K$14,2)</f>
        <v xml:space="preserve">Weiß Blau Unterföhring </v>
      </c>
      <c r="U52" s="344"/>
      <c r="V52" s="345"/>
      <c r="W52" s="345"/>
    </row>
    <row r="53" spans="1:29" ht="12" customHeight="1" x14ac:dyDescent="0.35">
      <c r="B53" s="90"/>
      <c r="C53" s="86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2"/>
      <c r="V53" s="301"/>
      <c r="W53" s="301"/>
    </row>
    <row r="54" spans="1:29" ht="16.05" customHeight="1" x14ac:dyDescent="0.35">
      <c r="B54" s="91" t="s">
        <v>0</v>
      </c>
      <c r="C54" s="92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40"/>
      <c r="W54" s="340"/>
    </row>
    <row r="55" spans="1:29" ht="16.05" customHeight="1" x14ac:dyDescent="0.35">
      <c r="B55" s="91" t="s">
        <v>2</v>
      </c>
      <c r="C55" s="92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40"/>
      <c r="W55" s="340"/>
    </row>
    <row r="56" spans="1:29" ht="16.05" customHeight="1" x14ac:dyDescent="0.35">
      <c r="B56" s="91" t="s">
        <v>3</v>
      </c>
      <c r="C56" s="92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  <c r="S56" s="339"/>
      <c r="T56" s="339"/>
      <c r="U56" s="339"/>
      <c r="V56" s="340"/>
      <c r="W56" s="340"/>
    </row>
    <row r="57" spans="1:29" ht="16.05" customHeight="1" x14ac:dyDescent="0.35">
      <c r="B57" s="91" t="s">
        <v>11</v>
      </c>
      <c r="C57" s="92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39"/>
      <c r="V57" s="340"/>
      <c r="W57" s="340"/>
    </row>
    <row r="58" spans="1:29" ht="16.05" customHeight="1" x14ac:dyDescent="0.35">
      <c r="B58" s="93" t="s">
        <v>1799</v>
      </c>
      <c r="C58" s="94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38"/>
      <c r="R58" s="338"/>
      <c r="S58" s="338"/>
      <c r="T58" s="338"/>
      <c r="U58" s="338"/>
      <c r="V58" s="290"/>
      <c r="W58" s="290"/>
    </row>
    <row r="59" spans="1:29" ht="21" customHeight="1" x14ac:dyDescent="0.7">
      <c r="B59" s="44" t="s">
        <v>1813</v>
      </c>
      <c r="C59" s="45"/>
      <c r="D59" s="46" t="s">
        <v>1792</v>
      </c>
      <c r="E59" s="47"/>
      <c r="F59" s="359" t="str">
        <f>Schlüssel!$C$1</f>
        <v>Bayernliga Frauen</v>
      </c>
      <c r="G59" s="359"/>
      <c r="H59" s="359"/>
      <c r="I59" s="359"/>
      <c r="J59" s="359"/>
      <c r="K59" s="359"/>
      <c r="L59" s="359"/>
      <c r="M59" s="359"/>
      <c r="N59" s="359"/>
      <c r="O59" s="359"/>
      <c r="P59" s="45"/>
      <c r="Q59" s="45"/>
      <c r="R59" s="48"/>
      <c r="S59" s="49" t="s">
        <v>1794</v>
      </c>
      <c r="T59" s="50"/>
      <c r="U59" s="360" t="str">
        <f>Schlüssel!$CO$1</f>
        <v>15.03./16.03.</v>
      </c>
      <c r="V59" s="361"/>
      <c r="W59" s="362"/>
      <c r="AC59" s="51"/>
    </row>
    <row r="60" spans="1:29" ht="17.25" customHeight="1" thickBot="1" x14ac:dyDescent="0.65">
      <c r="A60" s="52"/>
      <c r="B60" s="96">
        <f>+B31+1</f>
        <v>3</v>
      </c>
      <c r="D60" s="46" t="s">
        <v>1793</v>
      </c>
      <c r="E60" s="54"/>
      <c r="F60" s="358" t="str">
        <f>Schlüssel!$CE$2</f>
        <v>Brunnthal Max Munich</v>
      </c>
      <c r="G60" s="358"/>
      <c r="H60" s="358"/>
      <c r="I60" s="358"/>
      <c r="J60" s="358"/>
      <c r="K60" s="358"/>
      <c r="L60" s="358"/>
      <c r="M60" s="358"/>
      <c r="N60" s="358"/>
      <c r="O60" s="358"/>
      <c r="P60" s="55"/>
      <c r="Q60" s="55"/>
      <c r="S60" s="49" t="s">
        <v>1791</v>
      </c>
      <c r="T60" s="56">
        <v>5</v>
      </c>
      <c r="U60" s="50"/>
      <c r="V60" s="50"/>
      <c r="AC60" s="97"/>
    </row>
    <row r="61" spans="1:29" ht="15.75" customHeight="1" thickBot="1" x14ac:dyDescent="0.4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5" thickBot="1" x14ac:dyDescent="0.45">
      <c r="A62" s="2"/>
      <c r="B62" s="44"/>
      <c r="C62" s="63"/>
      <c r="D62" s="64" t="s">
        <v>10</v>
      </c>
      <c r="E62" s="44">
        <f>VLOOKUP($B60,Schlüssel!$A$5:$DZ$14,93)</f>
        <v>6</v>
      </c>
      <c r="F62" s="65" t="s">
        <v>10</v>
      </c>
      <c r="G62" s="44">
        <f>VLOOKUP($B60,Schlüssel!$A$5:$DZ$14,94)</f>
        <v>10</v>
      </c>
      <c r="H62" s="65" t="s">
        <v>10</v>
      </c>
      <c r="I62" s="44">
        <f>VLOOKUP($B60,Schlüssel!$A$5:$DZ$14,95)</f>
        <v>1</v>
      </c>
      <c r="J62" s="65" t="s">
        <v>10</v>
      </c>
      <c r="K62" s="44">
        <f>VLOOKUP($B60,Schlüssel!$A$5:$DZ$14,96)</f>
        <v>5</v>
      </c>
      <c r="L62" s="65" t="s">
        <v>10</v>
      </c>
      <c r="M62" s="44">
        <f>VLOOKUP($B60,Schlüssel!$A$5:$DZ$14,97)</f>
        <v>7</v>
      </c>
      <c r="N62" s="65" t="s">
        <v>10</v>
      </c>
      <c r="O62" s="44">
        <f>VLOOKUP($B60,Schlüssel!$A$5:$DZ$14,98)</f>
        <v>3</v>
      </c>
      <c r="P62" s="65" t="s">
        <v>10</v>
      </c>
      <c r="Q62" s="44">
        <f>VLOOKUP($B60,Schlüssel!$A$5:$DZ$14,99)</f>
        <v>2</v>
      </c>
      <c r="R62" s="65" t="s">
        <v>10</v>
      </c>
      <c r="S62" s="44">
        <f>VLOOKUP($B60,Schlüssel!$A$5:$DZ$14,100)</f>
        <v>9</v>
      </c>
      <c r="T62" s="65" t="s">
        <v>10</v>
      </c>
      <c r="U62" s="66">
        <f>VLOOKUP($B60,Schlüssel!$A$5:$DZ$14,101)</f>
        <v>4</v>
      </c>
    </row>
    <row r="63" spans="1:29" ht="20.25" customHeight="1" x14ac:dyDescent="0.35">
      <c r="B63" s="67" t="s">
        <v>1</v>
      </c>
      <c r="C63" s="68"/>
      <c r="D63" s="354" t="s">
        <v>1800</v>
      </c>
      <c r="E63" s="355"/>
      <c r="F63" s="354" t="s">
        <v>1801</v>
      </c>
      <c r="G63" s="355"/>
      <c r="H63" s="354" t="s">
        <v>1802</v>
      </c>
      <c r="I63" s="355"/>
      <c r="J63" s="354" t="s">
        <v>1803</v>
      </c>
      <c r="K63" s="355"/>
      <c r="L63" s="354" t="s">
        <v>1804</v>
      </c>
      <c r="M63" s="355"/>
      <c r="N63" s="354" t="s">
        <v>1805</v>
      </c>
      <c r="O63" s="355"/>
      <c r="P63" s="354" t="s">
        <v>1806</v>
      </c>
      <c r="Q63" s="355"/>
      <c r="R63" s="354" t="s">
        <v>1807</v>
      </c>
      <c r="S63" s="355"/>
      <c r="T63" s="354" t="s">
        <v>1808</v>
      </c>
      <c r="U63" s="355"/>
      <c r="V63" s="356" t="s">
        <v>1799</v>
      </c>
      <c r="W63" s="357"/>
    </row>
    <row r="64" spans="1:29" ht="15" customHeight="1" thickBot="1" x14ac:dyDescent="0.4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2" customHeight="1" x14ac:dyDescent="0.35">
      <c r="A65" s="351" t="s">
        <v>0</v>
      </c>
      <c r="B65" s="73"/>
      <c r="C65" s="74"/>
      <c r="D65" s="75"/>
      <c r="E65" s="348"/>
      <c r="F65" s="75"/>
      <c r="G65" s="348"/>
      <c r="H65" s="75"/>
      <c r="I65" s="348"/>
      <c r="J65" s="75"/>
      <c r="K65" s="348"/>
      <c r="L65" s="75"/>
      <c r="M65" s="348"/>
      <c r="N65" s="75"/>
      <c r="O65" s="348"/>
      <c r="P65" s="75"/>
      <c r="Q65" s="348"/>
      <c r="R65" s="75"/>
      <c r="S65" s="348"/>
      <c r="T65" s="75"/>
      <c r="U65" s="348"/>
      <c r="V65" s="75"/>
      <c r="W65" s="348"/>
    </row>
    <row r="66" spans="1:23" ht="17.2" customHeight="1" x14ac:dyDescent="0.35">
      <c r="A66" s="352"/>
      <c r="B66" s="76"/>
      <c r="C66" s="77"/>
      <c r="D66" s="78"/>
      <c r="E66" s="349"/>
      <c r="F66" s="78"/>
      <c r="G66" s="349"/>
      <c r="H66" s="78"/>
      <c r="I66" s="349"/>
      <c r="J66" s="78"/>
      <c r="K66" s="349"/>
      <c r="L66" s="78"/>
      <c r="M66" s="349"/>
      <c r="N66" s="78"/>
      <c r="O66" s="349"/>
      <c r="P66" s="78"/>
      <c r="Q66" s="349"/>
      <c r="R66" s="78"/>
      <c r="S66" s="349"/>
      <c r="T66" s="78"/>
      <c r="U66" s="349"/>
      <c r="V66" s="78"/>
      <c r="W66" s="349"/>
    </row>
    <row r="67" spans="1:23" ht="17.2" customHeight="1" thickBot="1" x14ac:dyDescent="0.4">
      <c r="A67" s="353"/>
      <c r="B67" s="79"/>
      <c r="C67" s="80"/>
      <c r="D67" s="69"/>
      <c r="E67" s="350"/>
      <c r="F67" s="69"/>
      <c r="G67" s="350"/>
      <c r="H67" s="69"/>
      <c r="I67" s="350"/>
      <c r="J67" s="69"/>
      <c r="K67" s="350"/>
      <c r="L67" s="69"/>
      <c r="M67" s="350"/>
      <c r="N67" s="69"/>
      <c r="O67" s="350"/>
      <c r="P67" s="69"/>
      <c r="Q67" s="350"/>
      <c r="R67" s="69"/>
      <c r="S67" s="350"/>
      <c r="T67" s="69"/>
      <c r="U67" s="350"/>
      <c r="V67" s="69"/>
      <c r="W67" s="350"/>
    </row>
    <row r="68" spans="1:23" ht="17.2" customHeight="1" x14ac:dyDescent="0.35">
      <c r="A68" s="351" t="s">
        <v>2</v>
      </c>
      <c r="B68" s="73"/>
      <c r="C68" s="74"/>
      <c r="D68" s="75"/>
      <c r="E68" s="348"/>
      <c r="F68" s="75"/>
      <c r="G68" s="348"/>
      <c r="H68" s="75"/>
      <c r="I68" s="348"/>
      <c r="J68" s="75"/>
      <c r="K68" s="348"/>
      <c r="L68" s="75"/>
      <c r="M68" s="348"/>
      <c r="N68" s="75"/>
      <c r="O68" s="348"/>
      <c r="P68" s="75"/>
      <c r="Q68" s="348"/>
      <c r="R68" s="75"/>
      <c r="S68" s="348"/>
      <c r="T68" s="75"/>
      <c r="U68" s="348"/>
      <c r="V68" s="75"/>
      <c r="W68" s="348"/>
    </row>
    <row r="69" spans="1:23" ht="17.2" customHeight="1" x14ac:dyDescent="0.35">
      <c r="A69" s="352"/>
      <c r="B69" s="76"/>
      <c r="C69" s="77"/>
      <c r="D69" s="78"/>
      <c r="E69" s="349"/>
      <c r="F69" s="78"/>
      <c r="G69" s="349"/>
      <c r="H69" s="78"/>
      <c r="I69" s="349"/>
      <c r="J69" s="78"/>
      <c r="K69" s="349"/>
      <c r="L69" s="78"/>
      <c r="M69" s="349"/>
      <c r="N69" s="78"/>
      <c r="O69" s="349"/>
      <c r="P69" s="78"/>
      <c r="Q69" s="349"/>
      <c r="R69" s="78"/>
      <c r="S69" s="349"/>
      <c r="T69" s="78"/>
      <c r="U69" s="349"/>
      <c r="V69" s="78"/>
      <c r="W69" s="349"/>
    </row>
    <row r="70" spans="1:23" ht="17.2" customHeight="1" thickBot="1" x14ac:dyDescent="0.4">
      <c r="A70" s="353"/>
      <c r="B70" s="79"/>
      <c r="C70" s="80"/>
      <c r="D70" s="69"/>
      <c r="E70" s="350"/>
      <c r="F70" s="69"/>
      <c r="G70" s="350"/>
      <c r="H70" s="69"/>
      <c r="I70" s="350"/>
      <c r="J70" s="69"/>
      <c r="K70" s="350"/>
      <c r="L70" s="69"/>
      <c r="M70" s="350"/>
      <c r="N70" s="69"/>
      <c r="O70" s="350"/>
      <c r="P70" s="69"/>
      <c r="Q70" s="350"/>
      <c r="R70" s="69"/>
      <c r="S70" s="350"/>
      <c r="T70" s="69"/>
      <c r="U70" s="350"/>
      <c r="V70" s="69"/>
      <c r="W70" s="350"/>
    </row>
    <row r="71" spans="1:23" ht="17.2" customHeight="1" x14ac:dyDescent="0.35">
      <c r="A71" s="351" t="s">
        <v>3</v>
      </c>
      <c r="B71" s="73"/>
      <c r="C71" s="74"/>
      <c r="D71" s="75"/>
      <c r="E71" s="348"/>
      <c r="F71" s="75"/>
      <c r="G71" s="348"/>
      <c r="H71" s="75"/>
      <c r="I71" s="348"/>
      <c r="J71" s="75"/>
      <c r="K71" s="348"/>
      <c r="L71" s="75"/>
      <c r="M71" s="348"/>
      <c r="N71" s="75"/>
      <c r="O71" s="348"/>
      <c r="P71" s="75"/>
      <c r="Q71" s="348"/>
      <c r="R71" s="75"/>
      <c r="S71" s="348"/>
      <c r="T71" s="75"/>
      <c r="U71" s="348"/>
      <c r="V71" s="75"/>
      <c r="W71" s="348"/>
    </row>
    <row r="72" spans="1:23" ht="17.2" customHeight="1" x14ac:dyDescent="0.35">
      <c r="A72" s="352"/>
      <c r="B72" s="76"/>
      <c r="C72" s="77"/>
      <c r="D72" s="78"/>
      <c r="E72" s="349"/>
      <c r="F72" s="78"/>
      <c r="G72" s="349"/>
      <c r="H72" s="78"/>
      <c r="I72" s="349"/>
      <c r="J72" s="78"/>
      <c r="K72" s="349"/>
      <c r="L72" s="78"/>
      <c r="M72" s="349"/>
      <c r="N72" s="78"/>
      <c r="O72" s="349"/>
      <c r="P72" s="78"/>
      <c r="Q72" s="349"/>
      <c r="R72" s="78"/>
      <c r="S72" s="349"/>
      <c r="T72" s="78"/>
      <c r="U72" s="349"/>
      <c r="V72" s="78"/>
      <c r="W72" s="349"/>
    </row>
    <row r="73" spans="1:23" ht="17.2" customHeight="1" thickBot="1" x14ac:dyDescent="0.4">
      <c r="A73" s="353"/>
      <c r="B73" s="79"/>
      <c r="C73" s="80"/>
      <c r="D73" s="69"/>
      <c r="E73" s="350"/>
      <c r="F73" s="69"/>
      <c r="G73" s="350"/>
      <c r="H73" s="69"/>
      <c r="I73" s="350"/>
      <c r="J73" s="69"/>
      <c r="K73" s="350"/>
      <c r="L73" s="69"/>
      <c r="M73" s="350"/>
      <c r="N73" s="69"/>
      <c r="O73" s="350"/>
      <c r="P73" s="69"/>
      <c r="Q73" s="350"/>
      <c r="R73" s="69"/>
      <c r="S73" s="350"/>
      <c r="T73" s="69"/>
      <c r="U73" s="350"/>
      <c r="V73" s="69"/>
      <c r="W73" s="350"/>
    </row>
    <row r="74" spans="1:23" ht="17.2" customHeight="1" x14ac:dyDescent="0.35">
      <c r="A74" s="351" t="s">
        <v>11</v>
      </c>
      <c r="B74" s="73"/>
      <c r="C74" s="74"/>
      <c r="D74" s="75"/>
      <c r="E74" s="348"/>
      <c r="F74" s="75"/>
      <c r="G74" s="348"/>
      <c r="H74" s="75"/>
      <c r="I74" s="348"/>
      <c r="J74" s="75"/>
      <c r="K74" s="348"/>
      <c r="L74" s="75"/>
      <c r="M74" s="348"/>
      <c r="N74" s="75"/>
      <c r="O74" s="348"/>
      <c r="P74" s="75"/>
      <c r="Q74" s="348"/>
      <c r="R74" s="75"/>
      <c r="S74" s="348"/>
      <c r="T74" s="75"/>
      <c r="U74" s="348"/>
      <c r="V74" s="75"/>
      <c r="W74" s="348"/>
    </row>
    <row r="75" spans="1:23" ht="17.2" customHeight="1" x14ac:dyDescent="0.35">
      <c r="A75" s="352"/>
      <c r="B75" s="76"/>
      <c r="C75" s="77"/>
      <c r="D75" s="78"/>
      <c r="E75" s="349"/>
      <c r="F75" s="78"/>
      <c r="G75" s="349"/>
      <c r="H75" s="78"/>
      <c r="I75" s="349"/>
      <c r="J75" s="78"/>
      <c r="K75" s="349"/>
      <c r="L75" s="78"/>
      <c r="M75" s="349"/>
      <c r="N75" s="78"/>
      <c r="O75" s="349"/>
      <c r="P75" s="78"/>
      <c r="Q75" s="349"/>
      <c r="R75" s="78"/>
      <c r="S75" s="349"/>
      <c r="T75" s="78"/>
      <c r="U75" s="349"/>
      <c r="V75" s="78"/>
      <c r="W75" s="349"/>
    </row>
    <row r="76" spans="1:23" ht="17.2" customHeight="1" thickBot="1" x14ac:dyDescent="0.4">
      <c r="A76" s="353"/>
      <c r="B76" s="79"/>
      <c r="C76" s="80"/>
      <c r="D76" s="69"/>
      <c r="E76" s="350"/>
      <c r="F76" s="69"/>
      <c r="G76" s="350"/>
      <c r="H76" s="69"/>
      <c r="I76" s="350"/>
      <c r="J76" s="69"/>
      <c r="K76" s="350"/>
      <c r="L76" s="69"/>
      <c r="M76" s="350"/>
      <c r="N76" s="69"/>
      <c r="O76" s="350"/>
      <c r="P76" s="69"/>
      <c r="Q76" s="350"/>
      <c r="R76" s="69"/>
      <c r="S76" s="350"/>
      <c r="T76" s="69"/>
      <c r="U76" s="350"/>
      <c r="V76" s="69"/>
      <c r="W76" s="350"/>
    </row>
    <row r="77" spans="1:23" ht="27.75" customHeight="1" thickBot="1" x14ac:dyDescent="0.4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4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3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35">
      <c r="B80" s="88" t="s">
        <v>1797</v>
      </c>
      <c r="C80" s="89" t="s">
        <v>1798</v>
      </c>
      <c r="D80" s="346">
        <f>VLOOKUP(B60,Schlüssel!$A$5:$DZ$14,83)</f>
        <v>4</v>
      </c>
      <c r="E80" s="346"/>
      <c r="F80" s="346">
        <f>VLOOKUP(B60,Schlüssel!$A$5:$DZ$14,84)</f>
        <v>7</v>
      </c>
      <c r="G80" s="346"/>
      <c r="H80" s="346">
        <f>VLOOKUP(B60,Schlüssel!$A$5:$DZ$14,85)</f>
        <v>2</v>
      </c>
      <c r="I80" s="346"/>
      <c r="J80" s="346">
        <f>VLOOKUP(B60,Schlüssel!$A$5:$DZ$14,86)</f>
        <v>5</v>
      </c>
      <c r="K80" s="346"/>
      <c r="L80" s="346">
        <f>VLOOKUP(B60,Schlüssel!$A$5:$DZ$14,87)</f>
        <v>8</v>
      </c>
      <c r="M80" s="346"/>
      <c r="N80" s="346">
        <f>VLOOKUP(B60,Schlüssel!$A$5:$DZ$14,88)</f>
        <v>1</v>
      </c>
      <c r="O80" s="346"/>
      <c r="P80" s="346">
        <f>VLOOKUP(B60,Schlüssel!$A$5:$DZ$14,89)</f>
        <v>10</v>
      </c>
      <c r="Q80" s="346"/>
      <c r="R80" s="346">
        <f>VLOOKUP(B60,Schlüssel!$A$5:$DZ$14,90)</f>
        <v>9</v>
      </c>
      <c r="S80" s="346"/>
      <c r="T80" s="346">
        <f>VLOOKUP(B60,Schlüssel!$A$5:$DZ$14,91)</f>
        <v>6</v>
      </c>
      <c r="U80" s="346"/>
      <c r="V80" s="347"/>
      <c r="W80" s="347"/>
    </row>
    <row r="81" spans="1:29" ht="28.5" customHeight="1" x14ac:dyDescent="0.35">
      <c r="B81" s="90"/>
      <c r="C81" s="86"/>
      <c r="D81" s="343" t="str">
        <f>VLOOKUP(D80,Schlüssel!$A$5:$K$14,2)</f>
        <v>BK München 3</v>
      </c>
      <c r="E81" s="344"/>
      <c r="F81" s="343" t="str">
        <f>VLOOKUP(F80,Schlüssel!$A$5:$K$14,2)</f>
        <v>Frankenpower Nürnberg</v>
      </c>
      <c r="G81" s="344"/>
      <c r="H81" s="343" t="str">
        <f>VLOOKUP(H80,Schlüssel!$A$5:$K$14,2)</f>
        <v>BK München 2</v>
      </c>
      <c r="I81" s="344"/>
      <c r="J81" s="343" t="str">
        <f>VLOOKUP(J80,Schlüssel!$A$5:$K$14,2)</f>
        <v xml:space="preserve">Weiß Blau Unterföhring </v>
      </c>
      <c r="K81" s="344"/>
      <c r="L81" s="343" t="str">
        <f>VLOOKUP(L80,Schlüssel!$A$5:$K$14,2)</f>
        <v>EPA München 1</v>
      </c>
      <c r="M81" s="344"/>
      <c r="N81" s="343" t="str">
        <f>VLOOKUP(N80,Schlüssel!$A$5:$K$14,2)</f>
        <v>Praetoria Regensburg</v>
      </c>
      <c r="O81" s="344"/>
      <c r="P81" s="343" t="str">
        <f>VLOOKUP(P80,Schlüssel!$A$5:$K$14,2)</f>
        <v>BK München 4</v>
      </c>
      <c r="Q81" s="344"/>
      <c r="R81" s="343" t="str">
        <f>VLOOKUP(R80,Schlüssel!$A$5:$K$14,2)</f>
        <v>RW Lichtenhof 69 Stein 2</v>
      </c>
      <c r="S81" s="344"/>
      <c r="T81" s="343" t="str">
        <f>VLOOKUP(T80,Schlüssel!$A$5:$K$14,2)</f>
        <v>Phönix 03 Lauf</v>
      </c>
      <c r="U81" s="344"/>
      <c r="V81" s="345"/>
      <c r="W81" s="345"/>
    </row>
    <row r="82" spans="1:29" ht="12" customHeight="1" x14ac:dyDescent="0.35">
      <c r="B82" s="90"/>
      <c r="C82" s="86"/>
      <c r="D82" s="341"/>
      <c r="E82" s="341"/>
      <c r="F82" s="341"/>
      <c r="G82" s="341"/>
      <c r="H82" s="341"/>
      <c r="I82" s="341"/>
      <c r="J82" s="341"/>
      <c r="K82" s="341"/>
      <c r="L82" s="341"/>
      <c r="M82" s="341"/>
      <c r="N82" s="341"/>
      <c r="O82" s="341"/>
      <c r="P82" s="341"/>
      <c r="Q82" s="341"/>
      <c r="R82" s="341"/>
      <c r="S82" s="341"/>
      <c r="T82" s="341"/>
      <c r="U82" s="342"/>
      <c r="V82" s="301"/>
      <c r="W82" s="301"/>
    </row>
    <row r="83" spans="1:29" ht="16.05" customHeight="1" x14ac:dyDescent="0.35">
      <c r="B83" s="91" t="s">
        <v>0</v>
      </c>
      <c r="C83" s="92"/>
      <c r="D83" s="339"/>
      <c r="E83" s="339"/>
      <c r="F83" s="339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39"/>
      <c r="S83" s="339"/>
      <c r="T83" s="339"/>
      <c r="U83" s="339"/>
      <c r="V83" s="340"/>
      <c r="W83" s="340"/>
    </row>
    <row r="84" spans="1:29" ht="16.05" customHeight="1" x14ac:dyDescent="0.35">
      <c r="B84" s="91" t="s">
        <v>2</v>
      </c>
      <c r="C84" s="92"/>
      <c r="D84" s="339"/>
      <c r="E84" s="339"/>
      <c r="F84" s="339"/>
      <c r="G84" s="339"/>
      <c r="H84" s="339"/>
      <c r="I84" s="339"/>
      <c r="J84" s="339"/>
      <c r="K84" s="339"/>
      <c r="L84" s="339"/>
      <c r="M84" s="339"/>
      <c r="N84" s="339"/>
      <c r="O84" s="339"/>
      <c r="P84" s="339"/>
      <c r="Q84" s="339"/>
      <c r="R84" s="339"/>
      <c r="S84" s="339"/>
      <c r="T84" s="339"/>
      <c r="U84" s="339"/>
      <c r="V84" s="340"/>
      <c r="W84" s="340"/>
    </row>
    <row r="85" spans="1:29" ht="16.05" customHeight="1" x14ac:dyDescent="0.35">
      <c r="B85" s="91" t="s">
        <v>3</v>
      </c>
      <c r="C85" s="92"/>
      <c r="D85" s="339"/>
      <c r="E85" s="339"/>
      <c r="F85" s="339"/>
      <c r="G85" s="339"/>
      <c r="H85" s="339"/>
      <c r="I85" s="339"/>
      <c r="J85" s="339"/>
      <c r="K85" s="339"/>
      <c r="L85" s="339"/>
      <c r="M85" s="339"/>
      <c r="N85" s="339"/>
      <c r="O85" s="339"/>
      <c r="P85" s="339"/>
      <c r="Q85" s="339"/>
      <c r="R85" s="339"/>
      <c r="S85" s="339"/>
      <c r="T85" s="339"/>
      <c r="U85" s="339"/>
      <c r="V85" s="340"/>
      <c r="W85" s="340"/>
    </row>
    <row r="86" spans="1:29" ht="16.05" customHeight="1" x14ac:dyDescent="0.35">
      <c r="B86" s="91" t="s">
        <v>11</v>
      </c>
      <c r="C86" s="92"/>
      <c r="D86" s="339"/>
      <c r="E86" s="339"/>
      <c r="F86" s="339"/>
      <c r="G86" s="339"/>
      <c r="H86" s="339"/>
      <c r="I86" s="339"/>
      <c r="J86" s="339"/>
      <c r="K86" s="339"/>
      <c r="L86" s="339"/>
      <c r="M86" s="339"/>
      <c r="N86" s="339"/>
      <c r="O86" s="339"/>
      <c r="P86" s="339"/>
      <c r="Q86" s="339"/>
      <c r="R86" s="339"/>
      <c r="S86" s="339"/>
      <c r="T86" s="339"/>
      <c r="U86" s="339"/>
      <c r="V86" s="340"/>
      <c r="W86" s="340"/>
    </row>
    <row r="87" spans="1:29" ht="16.05" customHeight="1" x14ac:dyDescent="0.35">
      <c r="B87" s="93" t="s">
        <v>1799</v>
      </c>
      <c r="C87" s="94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38"/>
      <c r="R87" s="338"/>
      <c r="S87" s="338"/>
      <c r="T87" s="338"/>
      <c r="U87" s="338"/>
      <c r="V87" s="290"/>
      <c r="W87" s="290"/>
    </row>
    <row r="88" spans="1:29" ht="21" customHeight="1" x14ac:dyDescent="0.7">
      <c r="B88" s="44" t="s">
        <v>1813</v>
      </c>
      <c r="C88" s="45"/>
      <c r="D88" s="46" t="s">
        <v>1792</v>
      </c>
      <c r="E88" s="47"/>
      <c r="F88" s="359" t="str">
        <f>Schlüssel!$C$1</f>
        <v>Bayernliga Frauen</v>
      </c>
      <c r="G88" s="359"/>
      <c r="H88" s="359"/>
      <c r="I88" s="359"/>
      <c r="J88" s="359"/>
      <c r="K88" s="359"/>
      <c r="L88" s="359"/>
      <c r="M88" s="359"/>
      <c r="N88" s="359"/>
      <c r="O88" s="359"/>
      <c r="P88" s="45"/>
      <c r="Q88" s="45"/>
      <c r="R88" s="48"/>
      <c r="S88" s="49" t="s">
        <v>1794</v>
      </c>
      <c r="T88" s="50"/>
      <c r="U88" s="360" t="str">
        <f>Schlüssel!$CO$1</f>
        <v>15.03./16.03.</v>
      </c>
      <c r="V88" s="361"/>
      <c r="W88" s="362"/>
      <c r="AC88" s="51"/>
    </row>
    <row r="89" spans="1:29" ht="17.25" customHeight="1" thickBot="1" x14ac:dyDescent="0.65">
      <c r="A89" s="52"/>
      <c r="B89" s="96">
        <f>+B60+1</f>
        <v>4</v>
      </c>
      <c r="D89" s="46" t="s">
        <v>1793</v>
      </c>
      <c r="E89" s="54"/>
      <c r="F89" s="358" t="str">
        <f>Schlüssel!$CE$2</f>
        <v>Brunnthal Max Munich</v>
      </c>
      <c r="G89" s="358"/>
      <c r="H89" s="358"/>
      <c r="I89" s="358"/>
      <c r="J89" s="358"/>
      <c r="K89" s="358"/>
      <c r="L89" s="358"/>
      <c r="M89" s="358"/>
      <c r="N89" s="358"/>
      <c r="O89" s="358"/>
      <c r="P89" s="55"/>
      <c r="Q89" s="55"/>
      <c r="S89" s="49" t="s">
        <v>1791</v>
      </c>
      <c r="T89" s="56">
        <v>5</v>
      </c>
      <c r="U89" s="50"/>
      <c r="V89" s="50"/>
      <c r="AC89" s="97"/>
    </row>
    <row r="90" spans="1:29" ht="15.75" customHeight="1" thickBot="1" x14ac:dyDescent="0.4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5" thickBot="1" x14ac:dyDescent="0.45">
      <c r="A91" s="2"/>
      <c r="B91" s="44"/>
      <c r="C91" s="63"/>
      <c r="D91" s="64" t="s">
        <v>10</v>
      </c>
      <c r="E91" s="44">
        <f>VLOOKUP($B89,Schlüssel!$A$5:$DZ$14,93)</f>
        <v>5</v>
      </c>
      <c r="F91" s="65" t="s">
        <v>10</v>
      </c>
      <c r="G91" s="44">
        <f>VLOOKUP($B89,Schlüssel!$A$5:$DZ$14,94)</f>
        <v>3</v>
      </c>
      <c r="H91" s="65" t="s">
        <v>10</v>
      </c>
      <c r="I91" s="44">
        <f>VLOOKUP($B89,Schlüssel!$A$5:$DZ$14,95)</f>
        <v>9</v>
      </c>
      <c r="J91" s="65" t="s">
        <v>10</v>
      </c>
      <c r="K91" s="44">
        <f>VLOOKUP($B89,Schlüssel!$A$5:$DZ$14,96)</f>
        <v>7</v>
      </c>
      <c r="L91" s="65" t="s">
        <v>10</v>
      </c>
      <c r="M91" s="44">
        <f>VLOOKUP($B89,Schlüssel!$A$5:$DZ$14,97)</f>
        <v>1</v>
      </c>
      <c r="N91" s="65" t="s">
        <v>10</v>
      </c>
      <c r="O91" s="44">
        <f>VLOOKUP($B89,Schlüssel!$A$5:$DZ$14,98)</f>
        <v>6</v>
      </c>
      <c r="P91" s="65" t="s">
        <v>10</v>
      </c>
      <c r="Q91" s="44">
        <f>VLOOKUP($B89,Schlüssel!$A$5:$DZ$14,99)</f>
        <v>10</v>
      </c>
      <c r="R91" s="65" t="s">
        <v>10</v>
      </c>
      <c r="S91" s="44">
        <f>VLOOKUP($B89,Schlüssel!$A$5:$DZ$14,100)</f>
        <v>2</v>
      </c>
      <c r="T91" s="65" t="s">
        <v>10</v>
      </c>
      <c r="U91" s="66">
        <f>VLOOKUP($B89,Schlüssel!$A$5:$DZ$14,101)</f>
        <v>8</v>
      </c>
    </row>
    <row r="92" spans="1:29" ht="20.25" customHeight="1" x14ac:dyDescent="0.35">
      <c r="B92" s="67" t="s">
        <v>1</v>
      </c>
      <c r="C92" s="68"/>
      <c r="D92" s="354" t="s">
        <v>1800</v>
      </c>
      <c r="E92" s="355"/>
      <c r="F92" s="354" t="s">
        <v>1801</v>
      </c>
      <c r="G92" s="355"/>
      <c r="H92" s="354" t="s">
        <v>1802</v>
      </c>
      <c r="I92" s="355"/>
      <c r="J92" s="354" t="s">
        <v>1803</v>
      </c>
      <c r="K92" s="355"/>
      <c r="L92" s="354" t="s">
        <v>1804</v>
      </c>
      <c r="M92" s="355"/>
      <c r="N92" s="354" t="s">
        <v>1805</v>
      </c>
      <c r="O92" s="355"/>
      <c r="P92" s="354" t="s">
        <v>1806</v>
      </c>
      <c r="Q92" s="355"/>
      <c r="R92" s="354" t="s">
        <v>1807</v>
      </c>
      <c r="S92" s="355"/>
      <c r="T92" s="354" t="s">
        <v>1808</v>
      </c>
      <c r="U92" s="355"/>
      <c r="V92" s="356" t="s">
        <v>1799</v>
      </c>
      <c r="W92" s="357"/>
    </row>
    <row r="93" spans="1:29" ht="15" customHeight="1" thickBot="1" x14ac:dyDescent="0.4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2" customHeight="1" x14ac:dyDescent="0.35">
      <c r="A94" s="351" t="s">
        <v>0</v>
      </c>
      <c r="B94" s="73"/>
      <c r="C94" s="74"/>
      <c r="D94" s="75"/>
      <c r="E94" s="348"/>
      <c r="F94" s="75"/>
      <c r="G94" s="348"/>
      <c r="H94" s="75"/>
      <c r="I94" s="348"/>
      <c r="J94" s="75"/>
      <c r="K94" s="348"/>
      <c r="L94" s="75"/>
      <c r="M94" s="348"/>
      <c r="N94" s="75"/>
      <c r="O94" s="348"/>
      <c r="P94" s="75"/>
      <c r="Q94" s="348"/>
      <c r="R94" s="75"/>
      <c r="S94" s="348"/>
      <c r="T94" s="75"/>
      <c r="U94" s="348"/>
      <c r="V94" s="75"/>
      <c r="W94" s="348"/>
    </row>
    <row r="95" spans="1:29" ht="17.2" customHeight="1" x14ac:dyDescent="0.35">
      <c r="A95" s="352"/>
      <c r="B95" s="76"/>
      <c r="C95" s="77"/>
      <c r="D95" s="78"/>
      <c r="E95" s="349"/>
      <c r="F95" s="78"/>
      <c r="G95" s="349"/>
      <c r="H95" s="78"/>
      <c r="I95" s="349"/>
      <c r="J95" s="78"/>
      <c r="K95" s="349"/>
      <c r="L95" s="78"/>
      <c r="M95" s="349"/>
      <c r="N95" s="78"/>
      <c r="O95" s="349"/>
      <c r="P95" s="78"/>
      <c r="Q95" s="349"/>
      <c r="R95" s="78"/>
      <c r="S95" s="349"/>
      <c r="T95" s="78"/>
      <c r="U95" s="349"/>
      <c r="V95" s="78"/>
      <c r="W95" s="349"/>
    </row>
    <row r="96" spans="1:29" ht="17.2" customHeight="1" thickBot="1" x14ac:dyDescent="0.4">
      <c r="A96" s="353"/>
      <c r="B96" s="79"/>
      <c r="C96" s="80"/>
      <c r="D96" s="69"/>
      <c r="E96" s="350"/>
      <c r="F96" s="69"/>
      <c r="G96" s="350"/>
      <c r="H96" s="69"/>
      <c r="I96" s="350"/>
      <c r="J96" s="69"/>
      <c r="K96" s="350"/>
      <c r="L96" s="69"/>
      <c r="M96" s="350"/>
      <c r="N96" s="69"/>
      <c r="O96" s="350"/>
      <c r="P96" s="69"/>
      <c r="Q96" s="350"/>
      <c r="R96" s="69"/>
      <c r="S96" s="350"/>
      <c r="T96" s="69"/>
      <c r="U96" s="350"/>
      <c r="V96" s="69"/>
      <c r="W96" s="350"/>
    </row>
    <row r="97" spans="1:23" ht="17.2" customHeight="1" x14ac:dyDescent="0.35">
      <c r="A97" s="351" t="s">
        <v>2</v>
      </c>
      <c r="B97" s="73"/>
      <c r="C97" s="74"/>
      <c r="D97" s="75"/>
      <c r="E97" s="348"/>
      <c r="F97" s="75"/>
      <c r="G97" s="348"/>
      <c r="H97" s="75"/>
      <c r="I97" s="348"/>
      <c r="J97" s="75"/>
      <c r="K97" s="348"/>
      <c r="L97" s="75"/>
      <c r="M97" s="348"/>
      <c r="N97" s="75"/>
      <c r="O97" s="348"/>
      <c r="P97" s="75"/>
      <c r="Q97" s="348"/>
      <c r="R97" s="75"/>
      <c r="S97" s="348"/>
      <c r="T97" s="75"/>
      <c r="U97" s="348"/>
      <c r="V97" s="75"/>
      <c r="W97" s="348"/>
    </row>
    <row r="98" spans="1:23" ht="17.2" customHeight="1" x14ac:dyDescent="0.35">
      <c r="A98" s="352"/>
      <c r="B98" s="76"/>
      <c r="C98" s="77"/>
      <c r="D98" s="78"/>
      <c r="E98" s="349"/>
      <c r="F98" s="78"/>
      <c r="G98" s="349"/>
      <c r="H98" s="78"/>
      <c r="I98" s="349"/>
      <c r="J98" s="78"/>
      <c r="K98" s="349"/>
      <c r="L98" s="78"/>
      <c r="M98" s="349"/>
      <c r="N98" s="78"/>
      <c r="O98" s="349"/>
      <c r="P98" s="78"/>
      <c r="Q98" s="349"/>
      <c r="R98" s="78"/>
      <c r="S98" s="349"/>
      <c r="T98" s="78"/>
      <c r="U98" s="349"/>
      <c r="V98" s="78"/>
      <c r="W98" s="349"/>
    </row>
    <row r="99" spans="1:23" ht="17.2" customHeight="1" thickBot="1" x14ac:dyDescent="0.4">
      <c r="A99" s="353"/>
      <c r="B99" s="79"/>
      <c r="C99" s="80"/>
      <c r="D99" s="69"/>
      <c r="E99" s="350"/>
      <c r="F99" s="69"/>
      <c r="G99" s="350"/>
      <c r="H99" s="69"/>
      <c r="I99" s="350"/>
      <c r="J99" s="69"/>
      <c r="K99" s="350"/>
      <c r="L99" s="69"/>
      <c r="M99" s="350"/>
      <c r="N99" s="69"/>
      <c r="O99" s="350"/>
      <c r="P99" s="69"/>
      <c r="Q99" s="350"/>
      <c r="R99" s="69"/>
      <c r="S99" s="350"/>
      <c r="T99" s="69"/>
      <c r="U99" s="350"/>
      <c r="V99" s="69"/>
      <c r="W99" s="350"/>
    </row>
    <row r="100" spans="1:23" ht="17.2" customHeight="1" x14ac:dyDescent="0.35">
      <c r="A100" s="351" t="s">
        <v>3</v>
      </c>
      <c r="B100" s="73"/>
      <c r="C100" s="74"/>
      <c r="D100" s="75"/>
      <c r="E100" s="348"/>
      <c r="F100" s="75"/>
      <c r="G100" s="348"/>
      <c r="H100" s="75"/>
      <c r="I100" s="348"/>
      <c r="J100" s="75"/>
      <c r="K100" s="348"/>
      <c r="L100" s="75"/>
      <c r="M100" s="348"/>
      <c r="N100" s="75"/>
      <c r="O100" s="348"/>
      <c r="P100" s="75"/>
      <c r="Q100" s="348"/>
      <c r="R100" s="75"/>
      <c r="S100" s="348"/>
      <c r="T100" s="75"/>
      <c r="U100" s="348"/>
      <c r="V100" s="75"/>
      <c r="W100" s="348"/>
    </row>
    <row r="101" spans="1:23" ht="17.2" customHeight="1" x14ac:dyDescent="0.35">
      <c r="A101" s="352"/>
      <c r="B101" s="76"/>
      <c r="C101" s="77"/>
      <c r="D101" s="78"/>
      <c r="E101" s="349"/>
      <c r="F101" s="78"/>
      <c r="G101" s="349"/>
      <c r="H101" s="78"/>
      <c r="I101" s="349"/>
      <c r="J101" s="78"/>
      <c r="K101" s="349"/>
      <c r="L101" s="78"/>
      <c r="M101" s="349"/>
      <c r="N101" s="78"/>
      <c r="O101" s="349"/>
      <c r="P101" s="78"/>
      <c r="Q101" s="349"/>
      <c r="R101" s="78"/>
      <c r="S101" s="349"/>
      <c r="T101" s="78"/>
      <c r="U101" s="349"/>
      <c r="V101" s="78"/>
      <c r="W101" s="349"/>
    </row>
    <row r="102" spans="1:23" ht="17.2" customHeight="1" thickBot="1" x14ac:dyDescent="0.4">
      <c r="A102" s="353"/>
      <c r="B102" s="79"/>
      <c r="C102" s="80"/>
      <c r="D102" s="69"/>
      <c r="E102" s="350"/>
      <c r="F102" s="69"/>
      <c r="G102" s="350"/>
      <c r="H102" s="69"/>
      <c r="I102" s="350"/>
      <c r="J102" s="69"/>
      <c r="K102" s="350"/>
      <c r="L102" s="69"/>
      <c r="M102" s="350"/>
      <c r="N102" s="69"/>
      <c r="O102" s="350"/>
      <c r="P102" s="69"/>
      <c r="Q102" s="350"/>
      <c r="R102" s="69"/>
      <c r="S102" s="350"/>
      <c r="T102" s="69"/>
      <c r="U102" s="350"/>
      <c r="V102" s="69"/>
      <c r="W102" s="350"/>
    </row>
    <row r="103" spans="1:23" ht="17.2" customHeight="1" x14ac:dyDescent="0.35">
      <c r="A103" s="351" t="s">
        <v>11</v>
      </c>
      <c r="B103" s="73"/>
      <c r="C103" s="74"/>
      <c r="D103" s="75"/>
      <c r="E103" s="348"/>
      <c r="F103" s="75"/>
      <c r="G103" s="348"/>
      <c r="H103" s="75"/>
      <c r="I103" s="348"/>
      <c r="J103" s="75"/>
      <c r="K103" s="348"/>
      <c r="L103" s="75"/>
      <c r="M103" s="348"/>
      <c r="N103" s="75"/>
      <c r="O103" s="348"/>
      <c r="P103" s="75"/>
      <c r="Q103" s="348"/>
      <c r="R103" s="75"/>
      <c r="S103" s="348"/>
      <c r="T103" s="75"/>
      <c r="U103" s="348"/>
      <c r="V103" s="75"/>
      <c r="W103" s="348"/>
    </row>
    <row r="104" spans="1:23" ht="17.2" customHeight="1" x14ac:dyDescent="0.35">
      <c r="A104" s="352"/>
      <c r="B104" s="76"/>
      <c r="C104" s="77"/>
      <c r="D104" s="78"/>
      <c r="E104" s="349"/>
      <c r="F104" s="78"/>
      <c r="G104" s="349"/>
      <c r="H104" s="78"/>
      <c r="I104" s="349"/>
      <c r="J104" s="78"/>
      <c r="K104" s="349"/>
      <c r="L104" s="78"/>
      <c r="M104" s="349"/>
      <c r="N104" s="78"/>
      <c r="O104" s="349"/>
      <c r="P104" s="78"/>
      <c r="Q104" s="349"/>
      <c r="R104" s="78"/>
      <c r="S104" s="349"/>
      <c r="T104" s="78"/>
      <c r="U104" s="349"/>
      <c r="V104" s="78"/>
      <c r="W104" s="349"/>
    </row>
    <row r="105" spans="1:23" ht="17.2" customHeight="1" thickBot="1" x14ac:dyDescent="0.4">
      <c r="A105" s="353"/>
      <c r="B105" s="79"/>
      <c r="C105" s="80"/>
      <c r="D105" s="69"/>
      <c r="E105" s="350"/>
      <c r="F105" s="69"/>
      <c r="G105" s="350"/>
      <c r="H105" s="69"/>
      <c r="I105" s="350"/>
      <c r="J105" s="69"/>
      <c r="K105" s="350"/>
      <c r="L105" s="69"/>
      <c r="M105" s="350"/>
      <c r="N105" s="69"/>
      <c r="O105" s="350"/>
      <c r="P105" s="69"/>
      <c r="Q105" s="350"/>
      <c r="R105" s="69"/>
      <c r="S105" s="350"/>
      <c r="T105" s="69"/>
      <c r="U105" s="350"/>
      <c r="V105" s="69"/>
      <c r="W105" s="350"/>
    </row>
    <row r="106" spans="1:23" ht="27.75" customHeight="1" thickBot="1" x14ac:dyDescent="0.4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4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3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35">
      <c r="B109" s="88" t="s">
        <v>1797</v>
      </c>
      <c r="C109" s="89" t="s">
        <v>1798</v>
      </c>
      <c r="D109" s="346">
        <f>VLOOKUP(B89,Schlüssel!$A$5:$DZ$14,83)</f>
        <v>3</v>
      </c>
      <c r="E109" s="346"/>
      <c r="F109" s="346">
        <f>VLOOKUP(B89,Schlüssel!$A$5:$DZ$14,84)</f>
        <v>8</v>
      </c>
      <c r="G109" s="346"/>
      <c r="H109" s="346">
        <f>VLOOKUP(B89,Schlüssel!$A$5:$DZ$14,85)</f>
        <v>5</v>
      </c>
      <c r="I109" s="346"/>
      <c r="J109" s="346">
        <f>VLOOKUP(B89,Schlüssel!$A$5:$DZ$14,86)</f>
        <v>7</v>
      </c>
      <c r="K109" s="346"/>
      <c r="L109" s="346">
        <f>VLOOKUP(B89,Schlüssel!$A$5:$DZ$14,87)</f>
        <v>1</v>
      </c>
      <c r="M109" s="346"/>
      <c r="N109" s="346">
        <f>VLOOKUP(B89,Schlüssel!$A$5:$DZ$14,88)</f>
        <v>10</v>
      </c>
      <c r="O109" s="346"/>
      <c r="P109" s="346">
        <f>VLOOKUP(B89,Schlüssel!$A$5:$DZ$14,89)</f>
        <v>6</v>
      </c>
      <c r="Q109" s="346"/>
      <c r="R109" s="346">
        <f>VLOOKUP(B89,Schlüssel!$A$5:$DZ$14,90)</f>
        <v>2</v>
      </c>
      <c r="S109" s="346"/>
      <c r="T109" s="346">
        <f>VLOOKUP(B89,Schlüssel!$A$5:$DZ$14,91)</f>
        <v>9</v>
      </c>
      <c r="U109" s="346"/>
      <c r="V109" s="347"/>
      <c r="W109" s="347"/>
    </row>
    <row r="110" spans="1:23" ht="28.5" customHeight="1" x14ac:dyDescent="0.35">
      <c r="B110" s="90"/>
      <c r="C110" s="86"/>
      <c r="D110" s="343" t="str">
        <f>VLOOKUP(D109,Schlüssel!$A$5:$K$14,2)</f>
        <v>Highroller Rosenheim</v>
      </c>
      <c r="E110" s="344"/>
      <c r="F110" s="343" t="str">
        <f>VLOOKUP(F109,Schlüssel!$A$5:$K$14,2)</f>
        <v>EPA München 1</v>
      </c>
      <c r="G110" s="344"/>
      <c r="H110" s="343" t="str">
        <f>VLOOKUP(H109,Schlüssel!$A$5:$K$14,2)</f>
        <v xml:space="preserve">Weiß Blau Unterföhring </v>
      </c>
      <c r="I110" s="344"/>
      <c r="J110" s="343" t="str">
        <f>VLOOKUP(J109,Schlüssel!$A$5:$K$14,2)</f>
        <v>Frankenpower Nürnberg</v>
      </c>
      <c r="K110" s="344"/>
      <c r="L110" s="343" t="str">
        <f>VLOOKUP(L109,Schlüssel!$A$5:$K$14,2)</f>
        <v>Praetoria Regensburg</v>
      </c>
      <c r="M110" s="344"/>
      <c r="N110" s="343" t="str">
        <f>VLOOKUP(N109,Schlüssel!$A$5:$K$14,2)</f>
        <v>BK München 4</v>
      </c>
      <c r="O110" s="344"/>
      <c r="P110" s="343" t="str">
        <f>VLOOKUP(P109,Schlüssel!$A$5:$K$14,2)</f>
        <v>Phönix 03 Lauf</v>
      </c>
      <c r="Q110" s="344"/>
      <c r="R110" s="343" t="str">
        <f>VLOOKUP(R109,Schlüssel!$A$5:$K$14,2)</f>
        <v>BK München 2</v>
      </c>
      <c r="S110" s="344"/>
      <c r="T110" s="343" t="str">
        <f>VLOOKUP(T109,Schlüssel!$A$5:$K$14,2)</f>
        <v>RW Lichtenhof 69 Stein 2</v>
      </c>
      <c r="U110" s="344"/>
      <c r="V110" s="345"/>
      <c r="W110" s="345"/>
    </row>
    <row r="111" spans="1:23" ht="12" customHeight="1" x14ac:dyDescent="0.35">
      <c r="B111" s="90"/>
      <c r="C111" s="86"/>
      <c r="D111" s="341"/>
      <c r="E111" s="341"/>
      <c r="F111" s="341"/>
      <c r="G111" s="341"/>
      <c r="H111" s="341"/>
      <c r="I111" s="341"/>
      <c r="J111" s="341"/>
      <c r="K111" s="341"/>
      <c r="L111" s="341"/>
      <c r="M111" s="341"/>
      <c r="N111" s="341"/>
      <c r="O111" s="341"/>
      <c r="P111" s="341"/>
      <c r="Q111" s="341"/>
      <c r="R111" s="341"/>
      <c r="S111" s="341"/>
      <c r="T111" s="341"/>
      <c r="U111" s="342"/>
      <c r="V111" s="301"/>
      <c r="W111" s="301"/>
    </row>
    <row r="112" spans="1:23" ht="16.05" customHeight="1" x14ac:dyDescent="0.35">
      <c r="B112" s="91" t="s">
        <v>0</v>
      </c>
      <c r="C112" s="92"/>
      <c r="D112" s="339"/>
      <c r="E112" s="339"/>
      <c r="F112" s="339"/>
      <c r="G112" s="339"/>
      <c r="H112" s="339"/>
      <c r="I112" s="339"/>
      <c r="J112" s="339"/>
      <c r="K112" s="339"/>
      <c r="L112" s="339"/>
      <c r="M112" s="339"/>
      <c r="N112" s="339"/>
      <c r="O112" s="339"/>
      <c r="P112" s="339"/>
      <c r="Q112" s="339"/>
      <c r="R112" s="339"/>
      <c r="S112" s="339"/>
      <c r="T112" s="339"/>
      <c r="U112" s="339"/>
      <c r="V112" s="340"/>
      <c r="W112" s="340"/>
    </row>
    <row r="113" spans="1:29" ht="16.05" customHeight="1" x14ac:dyDescent="0.35">
      <c r="B113" s="91" t="s">
        <v>2</v>
      </c>
      <c r="C113" s="92"/>
      <c r="D113" s="339"/>
      <c r="E113" s="339"/>
      <c r="F113" s="339"/>
      <c r="G113" s="339"/>
      <c r="H113" s="339"/>
      <c r="I113" s="339"/>
      <c r="J113" s="339"/>
      <c r="K113" s="339"/>
      <c r="L113" s="339"/>
      <c r="M113" s="339"/>
      <c r="N113" s="339"/>
      <c r="O113" s="339"/>
      <c r="P113" s="339"/>
      <c r="Q113" s="339"/>
      <c r="R113" s="339"/>
      <c r="S113" s="339"/>
      <c r="T113" s="339"/>
      <c r="U113" s="339"/>
      <c r="V113" s="340"/>
      <c r="W113" s="340"/>
    </row>
    <row r="114" spans="1:29" ht="16.05" customHeight="1" x14ac:dyDescent="0.35">
      <c r="B114" s="91" t="s">
        <v>3</v>
      </c>
      <c r="C114" s="92"/>
      <c r="D114" s="339"/>
      <c r="E114" s="339"/>
      <c r="F114" s="339"/>
      <c r="G114" s="339"/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40"/>
      <c r="W114" s="340"/>
    </row>
    <row r="115" spans="1:29" ht="16.05" customHeight="1" x14ac:dyDescent="0.35">
      <c r="B115" s="91" t="s">
        <v>11</v>
      </c>
      <c r="C115" s="92"/>
      <c r="D115" s="339"/>
      <c r="E115" s="339"/>
      <c r="F115" s="339"/>
      <c r="G115" s="339"/>
      <c r="H115" s="339"/>
      <c r="I115" s="339"/>
      <c r="J115" s="339"/>
      <c r="K115" s="339"/>
      <c r="L115" s="339"/>
      <c r="M115" s="339"/>
      <c r="N115" s="339"/>
      <c r="O115" s="339"/>
      <c r="P115" s="339"/>
      <c r="Q115" s="339"/>
      <c r="R115" s="339"/>
      <c r="S115" s="339"/>
      <c r="T115" s="339"/>
      <c r="U115" s="339"/>
      <c r="V115" s="340"/>
      <c r="W115" s="340"/>
    </row>
    <row r="116" spans="1:29" ht="16.05" customHeight="1" x14ac:dyDescent="0.35">
      <c r="B116" s="93" t="s">
        <v>1799</v>
      </c>
      <c r="C116" s="94"/>
      <c r="D116" s="338"/>
      <c r="E116" s="338"/>
      <c r="F116" s="338"/>
      <c r="G116" s="338"/>
      <c r="H116" s="338"/>
      <c r="I116" s="338"/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  <c r="U116" s="338"/>
      <c r="V116" s="290"/>
      <c r="W116" s="290"/>
    </row>
    <row r="117" spans="1:29" ht="21" customHeight="1" x14ac:dyDescent="0.7">
      <c r="B117" s="44" t="s">
        <v>1813</v>
      </c>
      <c r="C117" s="45"/>
      <c r="D117" s="46" t="s">
        <v>1792</v>
      </c>
      <c r="E117" s="47"/>
      <c r="F117" s="359" t="str">
        <f>Schlüssel!$C$1</f>
        <v>Bayernliga Frauen</v>
      </c>
      <c r="G117" s="359"/>
      <c r="H117" s="359"/>
      <c r="I117" s="359"/>
      <c r="J117" s="359"/>
      <c r="K117" s="359"/>
      <c r="L117" s="359"/>
      <c r="M117" s="359"/>
      <c r="N117" s="359"/>
      <c r="O117" s="359"/>
      <c r="P117" s="45"/>
      <c r="Q117" s="45"/>
      <c r="R117" s="48"/>
      <c r="S117" s="49" t="s">
        <v>1794</v>
      </c>
      <c r="T117" s="50"/>
      <c r="U117" s="360" t="str">
        <f>Schlüssel!$CO$1</f>
        <v>15.03./16.03.</v>
      </c>
      <c r="V117" s="361"/>
      <c r="W117" s="362"/>
      <c r="AC117" s="51"/>
    </row>
    <row r="118" spans="1:29" ht="17.25" customHeight="1" thickBot="1" x14ac:dyDescent="0.65">
      <c r="A118" s="52"/>
      <c r="B118" s="96">
        <f>+B89+1</f>
        <v>5</v>
      </c>
      <c r="D118" s="46" t="s">
        <v>1793</v>
      </c>
      <c r="E118" s="54"/>
      <c r="F118" s="358" t="str">
        <f>Schlüssel!$CE$2</f>
        <v>Brunnthal Max Munich</v>
      </c>
      <c r="G118" s="358"/>
      <c r="H118" s="358"/>
      <c r="I118" s="358"/>
      <c r="J118" s="358"/>
      <c r="K118" s="358"/>
      <c r="L118" s="358"/>
      <c r="M118" s="358"/>
      <c r="N118" s="358"/>
      <c r="O118" s="358"/>
      <c r="P118" s="55"/>
      <c r="Q118" s="55"/>
      <c r="S118" s="49" t="s">
        <v>1791</v>
      </c>
      <c r="T118" s="56">
        <v>5</v>
      </c>
      <c r="U118" s="50"/>
      <c r="V118" s="50"/>
      <c r="AC118" s="97"/>
    </row>
    <row r="119" spans="1:29" ht="15.75" customHeight="1" thickBot="1" x14ac:dyDescent="0.4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5" thickBot="1" x14ac:dyDescent="0.45">
      <c r="A120" s="2"/>
      <c r="B120" s="44"/>
      <c r="C120" s="63"/>
      <c r="D120" s="64" t="s">
        <v>10</v>
      </c>
      <c r="E120" s="44">
        <f>VLOOKUP($B118,Schlüssel!$A$5:$DZ$14,93)</f>
        <v>7</v>
      </c>
      <c r="F120" s="65" t="s">
        <v>10</v>
      </c>
      <c r="G120" s="44">
        <f>VLOOKUP($B118,Schlüssel!$A$5:$DZ$14,94)</f>
        <v>1</v>
      </c>
      <c r="H120" s="65" t="s">
        <v>10</v>
      </c>
      <c r="I120" s="44">
        <f>VLOOKUP($B118,Schlüssel!$A$5:$DZ$14,95)</f>
        <v>10</v>
      </c>
      <c r="J120" s="65" t="s">
        <v>10</v>
      </c>
      <c r="K120" s="44">
        <f>VLOOKUP($B118,Schlüssel!$A$5:$DZ$14,96)</f>
        <v>6</v>
      </c>
      <c r="L120" s="65" t="s">
        <v>10</v>
      </c>
      <c r="M120" s="44">
        <f>VLOOKUP($B118,Schlüssel!$A$5:$DZ$14,97)</f>
        <v>4</v>
      </c>
      <c r="N120" s="65" t="s">
        <v>10</v>
      </c>
      <c r="O120" s="44">
        <f>VLOOKUP($B118,Schlüssel!$A$5:$DZ$14,98)</f>
        <v>9</v>
      </c>
      <c r="P120" s="65" t="s">
        <v>10</v>
      </c>
      <c r="Q120" s="44">
        <f>VLOOKUP($B118,Schlüssel!$A$5:$DZ$14,99)</f>
        <v>8</v>
      </c>
      <c r="R120" s="65" t="s">
        <v>10</v>
      </c>
      <c r="S120" s="44">
        <f>VLOOKUP($B118,Schlüssel!$A$5:$DZ$14,100)</f>
        <v>3</v>
      </c>
      <c r="T120" s="65" t="s">
        <v>10</v>
      </c>
      <c r="U120" s="66">
        <f>VLOOKUP($B118,Schlüssel!$A$5:$DZ$14,101)</f>
        <v>5</v>
      </c>
    </row>
    <row r="121" spans="1:29" ht="20.25" customHeight="1" x14ac:dyDescent="0.35">
      <c r="B121" s="67" t="s">
        <v>1</v>
      </c>
      <c r="C121" s="68"/>
      <c r="D121" s="354" t="s">
        <v>1800</v>
      </c>
      <c r="E121" s="355"/>
      <c r="F121" s="354" t="s">
        <v>1801</v>
      </c>
      <c r="G121" s="355"/>
      <c r="H121" s="354" t="s">
        <v>1802</v>
      </c>
      <c r="I121" s="355"/>
      <c r="J121" s="354" t="s">
        <v>1803</v>
      </c>
      <c r="K121" s="355"/>
      <c r="L121" s="354" t="s">
        <v>1804</v>
      </c>
      <c r="M121" s="355"/>
      <c r="N121" s="354" t="s">
        <v>1805</v>
      </c>
      <c r="O121" s="355"/>
      <c r="P121" s="354" t="s">
        <v>1806</v>
      </c>
      <c r="Q121" s="355"/>
      <c r="R121" s="354" t="s">
        <v>1807</v>
      </c>
      <c r="S121" s="355"/>
      <c r="T121" s="354" t="s">
        <v>1808</v>
      </c>
      <c r="U121" s="355"/>
      <c r="V121" s="356" t="s">
        <v>1799</v>
      </c>
      <c r="W121" s="357"/>
    </row>
    <row r="122" spans="1:29" ht="15" customHeight="1" thickBot="1" x14ac:dyDescent="0.4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2" customHeight="1" x14ac:dyDescent="0.35">
      <c r="A123" s="351" t="s">
        <v>0</v>
      </c>
      <c r="B123" s="73"/>
      <c r="C123" s="74"/>
      <c r="D123" s="75"/>
      <c r="E123" s="348"/>
      <c r="F123" s="75"/>
      <c r="G123" s="348"/>
      <c r="H123" s="75"/>
      <c r="I123" s="348"/>
      <c r="J123" s="75"/>
      <c r="K123" s="348"/>
      <c r="L123" s="75"/>
      <c r="M123" s="348"/>
      <c r="N123" s="75"/>
      <c r="O123" s="348"/>
      <c r="P123" s="75"/>
      <c r="Q123" s="348"/>
      <c r="R123" s="75"/>
      <c r="S123" s="348"/>
      <c r="T123" s="75"/>
      <c r="U123" s="348"/>
      <c r="V123" s="75"/>
      <c r="W123" s="348"/>
    </row>
    <row r="124" spans="1:29" ht="17.2" customHeight="1" x14ac:dyDescent="0.35">
      <c r="A124" s="352"/>
      <c r="B124" s="76"/>
      <c r="C124" s="77"/>
      <c r="D124" s="78"/>
      <c r="E124" s="349"/>
      <c r="F124" s="78"/>
      <c r="G124" s="349"/>
      <c r="H124" s="78"/>
      <c r="I124" s="349"/>
      <c r="J124" s="78"/>
      <c r="K124" s="349"/>
      <c r="L124" s="78"/>
      <c r="M124" s="349"/>
      <c r="N124" s="78"/>
      <c r="O124" s="349"/>
      <c r="P124" s="78"/>
      <c r="Q124" s="349"/>
      <c r="R124" s="78"/>
      <c r="S124" s="349"/>
      <c r="T124" s="78"/>
      <c r="U124" s="349"/>
      <c r="V124" s="78"/>
      <c r="W124" s="349"/>
    </row>
    <row r="125" spans="1:29" ht="17.2" customHeight="1" thickBot="1" x14ac:dyDescent="0.4">
      <c r="A125" s="353"/>
      <c r="B125" s="79"/>
      <c r="C125" s="80"/>
      <c r="D125" s="69"/>
      <c r="E125" s="350"/>
      <c r="F125" s="69"/>
      <c r="G125" s="350"/>
      <c r="H125" s="69"/>
      <c r="I125" s="350"/>
      <c r="J125" s="69"/>
      <c r="K125" s="350"/>
      <c r="L125" s="69"/>
      <c r="M125" s="350"/>
      <c r="N125" s="69"/>
      <c r="O125" s="350"/>
      <c r="P125" s="69"/>
      <c r="Q125" s="350"/>
      <c r="R125" s="69"/>
      <c r="S125" s="350"/>
      <c r="T125" s="69"/>
      <c r="U125" s="350"/>
      <c r="V125" s="69"/>
      <c r="W125" s="350"/>
    </row>
    <row r="126" spans="1:29" ht="17.2" customHeight="1" x14ac:dyDescent="0.35">
      <c r="A126" s="351" t="s">
        <v>2</v>
      </c>
      <c r="B126" s="73"/>
      <c r="C126" s="74"/>
      <c r="D126" s="75"/>
      <c r="E126" s="348"/>
      <c r="F126" s="75"/>
      <c r="G126" s="348"/>
      <c r="H126" s="75"/>
      <c r="I126" s="348"/>
      <c r="J126" s="75"/>
      <c r="K126" s="348"/>
      <c r="L126" s="75"/>
      <c r="M126" s="348"/>
      <c r="N126" s="75"/>
      <c r="O126" s="348"/>
      <c r="P126" s="75"/>
      <c r="Q126" s="348"/>
      <c r="R126" s="75"/>
      <c r="S126" s="348"/>
      <c r="T126" s="75"/>
      <c r="U126" s="348"/>
      <c r="V126" s="75"/>
      <c r="W126" s="348"/>
    </row>
    <row r="127" spans="1:29" ht="17.2" customHeight="1" x14ac:dyDescent="0.35">
      <c r="A127" s="352"/>
      <c r="B127" s="76"/>
      <c r="C127" s="77"/>
      <c r="D127" s="78"/>
      <c r="E127" s="349"/>
      <c r="F127" s="78"/>
      <c r="G127" s="349"/>
      <c r="H127" s="78"/>
      <c r="I127" s="349"/>
      <c r="J127" s="78"/>
      <c r="K127" s="349"/>
      <c r="L127" s="78"/>
      <c r="M127" s="349"/>
      <c r="N127" s="78"/>
      <c r="O127" s="349"/>
      <c r="P127" s="78"/>
      <c r="Q127" s="349"/>
      <c r="R127" s="78"/>
      <c r="S127" s="349"/>
      <c r="T127" s="78"/>
      <c r="U127" s="349"/>
      <c r="V127" s="78"/>
      <c r="W127" s="349"/>
    </row>
    <row r="128" spans="1:29" ht="17.2" customHeight="1" thickBot="1" x14ac:dyDescent="0.4">
      <c r="A128" s="353"/>
      <c r="B128" s="79"/>
      <c r="C128" s="80"/>
      <c r="D128" s="69"/>
      <c r="E128" s="350"/>
      <c r="F128" s="69"/>
      <c r="G128" s="350"/>
      <c r="H128" s="69"/>
      <c r="I128" s="350"/>
      <c r="J128" s="69"/>
      <c r="K128" s="350"/>
      <c r="L128" s="69"/>
      <c r="M128" s="350"/>
      <c r="N128" s="69"/>
      <c r="O128" s="350"/>
      <c r="P128" s="69"/>
      <c r="Q128" s="350"/>
      <c r="R128" s="69"/>
      <c r="S128" s="350"/>
      <c r="T128" s="69"/>
      <c r="U128" s="350"/>
      <c r="V128" s="69"/>
      <c r="W128" s="350"/>
    </row>
    <row r="129" spans="1:23" ht="17.2" customHeight="1" x14ac:dyDescent="0.35">
      <c r="A129" s="351" t="s">
        <v>3</v>
      </c>
      <c r="B129" s="73"/>
      <c r="C129" s="74"/>
      <c r="D129" s="75"/>
      <c r="E129" s="348"/>
      <c r="F129" s="75"/>
      <c r="G129" s="348"/>
      <c r="H129" s="75"/>
      <c r="I129" s="348"/>
      <c r="J129" s="75"/>
      <c r="K129" s="348"/>
      <c r="L129" s="75"/>
      <c r="M129" s="348"/>
      <c r="N129" s="75"/>
      <c r="O129" s="348"/>
      <c r="P129" s="75"/>
      <c r="Q129" s="348"/>
      <c r="R129" s="75"/>
      <c r="S129" s="348"/>
      <c r="T129" s="75"/>
      <c r="U129" s="348"/>
      <c r="V129" s="75"/>
      <c r="W129" s="348"/>
    </row>
    <row r="130" spans="1:23" ht="17.2" customHeight="1" x14ac:dyDescent="0.35">
      <c r="A130" s="352"/>
      <c r="B130" s="76"/>
      <c r="C130" s="77"/>
      <c r="D130" s="78"/>
      <c r="E130" s="349"/>
      <c r="F130" s="78"/>
      <c r="G130" s="349"/>
      <c r="H130" s="78"/>
      <c r="I130" s="349"/>
      <c r="J130" s="78"/>
      <c r="K130" s="349"/>
      <c r="L130" s="78"/>
      <c r="M130" s="349"/>
      <c r="N130" s="78"/>
      <c r="O130" s="349"/>
      <c r="P130" s="78"/>
      <c r="Q130" s="349"/>
      <c r="R130" s="78"/>
      <c r="S130" s="349"/>
      <c r="T130" s="78"/>
      <c r="U130" s="349"/>
      <c r="V130" s="78"/>
      <c r="W130" s="349"/>
    </row>
    <row r="131" spans="1:23" ht="17.2" customHeight="1" thickBot="1" x14ac:dyDescent="0.4">
      <c r="A131" s="353"/>
      <c r="B131" s="79"/>
      <c r="C131" s="80"/>
      <c r="D131" s="69"/>
      <c r="E131" s="350"/>
      <c r="F131" s="69"/>
      <c r="G131" s="350"/>
      <c r="H131" s="69"/>
      <c r="I131" s="350"/>
      <c r="J131" s="69"/>
      <c r="K131" s="350"/>
      <c r="L131" s="69"/>
      <c r="M131" s="350"/>
      <c r="N131" s="69"/>
      <c r="O131" s="350"/>
      <c r="P131" s="69"/>
      <c r="Q131" s="350"/>
      <c r="R131" s="69"/>
      <c r="S131" s="350"/>
      <c r="T131" s="69"/>
      <c r="U131" s="350"/>
      <c r="V131" s="69"/>
      <c r="W131" s="350"/>
    </row>
    <row r="132" spans="1:23" ht="17.2" customHeight="1" x14ac:dyDescent="0.35">
      <c r="A132" s="351" t="s">
        <v>11</v>
      </c>
      <c r="B132" s="73"/>
      <c r="C132" s="74"/>
      <c r="D132" s="75"/>
      <c r="E132" s="348"/>
      <c r="F132" s="75"/>
      <c r="G132" s="348"/>
      <c r="H132" s="75"/>
      <c r="I132" s="348"/>
      <c r="J132" s="75"/>
      <c r="K132" s="348"/>
      <c r="L132" s="75"/>
      <c r="M132" s="348"/>
      <c r="N132" s="75"/>
      <c r="O132" s="348"/>
      <c r="P132" s="75"/>
      <c r="Q132" s="348"/>
      <c r="R132" s="75"/>
      <c r="S132" s="348"/>
      <c r="T132" s="75"/>
      <c r="U132" s="348"/>
      <c r="V132" s="75"/>
      <c r="W132" s="348"/>
    </row>
    <row r="133" spans="1:23" ht="17.2" customHeight="1" x14ac:dyDescent="0.35">
      <c r="A133" s="352"/>
      <c r="B133" s="76"/>
      <c r="C133" s="77"/>
      <c r="D133" s="78"/>
      <c r="E133" s="349"/>
      <c r="F133" s="78"/>
      <c r="G133" s="349"/>
      <c r="H133" s="78"/>
      <c r="I133" s="349"/>
      <c r="J133" s="78"/>
      <c r="K133" s="349"/>
      <c r="L133" s="78"/>
      <c r="M133" s="349"/>
      <c r="N133" s="78"/>
      <c r="O133" s="349"/>
      <c r="P133" s="78"/>
      <c r="Q133" s="349"/>
      <c r="R133" s="78"/>
      <c r="S133" s="349"/>
      <c r="T133" s="78"/>
      <c r="U133" s="349"/>
      <c r="V133" s="78"/>
      <c r="W133" s="349"/>
    </row>
    <row r="134" spans="1:23" ht="17.2" customHeight="1" thickBot="1" x14ac:dyDescent="0.4">
      <c r="A134" s="353"/>
      <c r="B134" s="79"/>
      <c r="C134" s="80"/>
      <c r="D134" s="69"/>
      <c r="E134" s="350"/>
      <c r="F134" s="69"/>
      <c r="G134" s="350"/>
      <c r="H134" s="69"/>
      <c r="I134" s="350"/>
      <c r="J134" s="69"/>
      <c r="K134" s="350"/>
      <c r="L134" s="69"/>
      <c r="M134" s="350"/>
      <c r="N134" s="69"/>
      <c r="O134" s="350"/>
      <c r="P134" s="69"/>
      <c r="Q134" s="350"/>
      <c r="R134" s="69"/>
      <c r="S134" s="350"/>
      <c r="T134" s="69"/>
      <c r="U134" s="350"/>
      <c r="V134" s="69"/>
      <c r="W134" s="350"/>
    </row>
    <row r="135" spans="1:23" ht="27.75" customHeight="1" thickBot="1" x14ac:dyDescent="0.4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4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3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35">
      <c r="B138" s="88" t="s">
        <v>1797</v>
      </c>
      <c r="C138" s="89" t="s">
        <v>1798</v>
      </c>
      <c r="D138" s="346">
        <f>VLOOKUP(B118,Schlüssel!$A$5:$DZ$14,83)</f>
        <v>6</v>
      </c>
      <c r="E138" s="346"/>
      <c r="F138" s="346">
        <f>VLOOKUP(B118,Schlüssel!$A$5:$DZ$14,84)</f>
        <v>10</v>
      </c>
      <c r="G138" s="346"/>
      <c r="H138" s="346">
        <f>VLOOKUP(B118,Schlüssel!$A$5:$DZ$14,85)</f>
        <v>4</v>
      </c>
      <c r="I138" s="346"/>
      <c r="J138" s="346">
        <f>VLOOKUP(B118,Schlüssel!$A$5:$DZ$14,86)</f>
        <v>3</v>
      </c>
      <c r="K138" s="346"/>
      <c r="L138" s="346">
        <f>VLOOKUP(B118,Schlüssel!$A$5:$DZ$14,87)</f>
        <v>9</v>
      </c>
      <c r="M138" s="346"/>
      <c r="N138" s="346">
        <f>VLOOKUP(B118,Schlüssel!$A$5:$DZ$14,88)</f>
        <v>8</v>
      </c>
      <c r="O138" s="346"/>
      <c r="P138" s="346">
        <f>VLOOKUP(B118,Schlüssel!$A$5:$DZ$14,89)</f>
        <v>1</v>
      </c>
      <c r="Q138" s="346"/>
      <c r="R138" s="346">
        <f>VLOOKUP(B118,Schlüssel!$A$5:$DZ$14,90)</f>
        <v>7</v>
      </c>
      <c r="S138" s="346"/>
      <c r="T138" s="346">
        <f>VLOOKUP(B118,Schlüssel!$A$5:$DZ$14,91)</f>
        <v>2</v>
      </c>
      <c r="U138" s="346"/>
      <c r="V138" s="347"/>
      <c r="W138" s="347"/>
    </row>
    <row r="139" spans="1:23" ht="28.5" customHeight="1" x14ac:dyDescent="0.35">
      <c r="B139" s="90"/>
      <c r="C139" s="86"/>
      <c r="D139" s="343" t="str">
        <f>VLOOKUP(D138,Schlüssel!$A$5:$K$14,2)</f>
        <v>Phönix 03 Lauf</v>
      </c>
      <c r="E139" s="344"/>
      <c r="F139" s="343" t="str">
        <f>VLOOKUP(F138,Schlüssel!$A$5:$K$14,2)</f>
        <v>BK München 4</v>
      </c>
      <c r="G139" s="344"/>
      <c r="H139" s="343" t="str">
        <f>VLOOKUP(H138,Schlüssel!$A$5:$K$14,2)</f>
        <v>BK München 3</v>
      </c>
      <c r="I139" s="344"/>
      <c r="J139" s="343" t="str">
        <f>VLOOKUP(J138,Schlüssel!$A$5:$K$14,2)</f>
        <v>Highroller Rosenheim</v>
      </c>
      <c r="K139" s="344"/>
      <c r="L139" s="343" t="str">
        <f>VLOOKUP(L138,Schlüssel!$A$5:$K$14,2)</f>
        <v>RW Lichtenhof 69 Stein 2</v>
      </c>
      <c r="M139" s="344"/>
      <c r="N139" s="343" t="str">
        <f>VLOOKUP(N138,Schlüssel!$A$5:$K$14,2)</f>
        <v>EPA München 1</v>
      </c>
      <c r="O139" s="344"/>
      <c r="P139" s="343" t="str">
        <f>VLOOKUP(P138,Schlüssel!$A$5:$K$14,2)</f>
        <v>Praetoria Regensburg</v>
      </c>
      <c r="Q139" s="344"/>
      <c r="R139" s="343" t="str">
        <f>VLOOKUP(R138,Schlüssel!$A$5:$K$14,2)</f>
        <v>Frankenpower Nürnberg</v>
      </c>
      <c r="S139" s="344"/>
      <c r="T139" s="343" t="str">
        <f>VLOOKUP(T138,Schlüssel!$A$5:$K$14,2)</f>
        <v>BK München 2</v>
      </c>
      <c r="U139" s="344"/>
      <c r="V139" s="345"/>
      <c r="W139" s="345"/>
    </row>
    <row r="140" spans="1:23" ht="12" customHeight="1" x14ac:dyDescent="0.35">
      <c r="B140" s="90"/>
      <c r="C140" s="86"/>
      <c r="D140" s="341"/>
      <c r="E140" s="341"/>
      <c r="F140" s="341"/>
      <c r="G140" s="341"/>
      <c r="H140" s="341"/>
      <c r="I140" s="341"/>
      <c r="J140" s="341"/>
      <c r="K140" s="341"/>
      <c r="L140" s="341"/>
      <c r="M140" s="341"/>
      <c r="N140" s="341"/>
      <c r="O140" s="341"/>
      <c r="P140" s="341"/>
      <c r="Q140" s="341"/>
      <c r="R140" s="341"/>
      <c r="S140" s="341"/>
      <c r="T140" s="341"/>
      <c r="U140" s="342"/>
      <c r="V140" s="301"/>
      <c r="W140" s="301"/>
    </row>
    <row r="141" spans="1:23" ht="16.05" customHeight="1" x14ac:dyDescent="0.35">
      <c r="B141" s="91" t="s">
        <v>0</v>
      </c>
      <c r="C141" s="92"/>
      <c r="D141" s="339"/>
      <c r="E141" s="339"/>
      <c r="F141" s="339"/>
      <c r="G141" s="339"/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40"/>
      <c r="W141" s="340"/>
    </row>
    <row r="142" spans="1:23" ht="16.05" customHeight="1" x14ac:dyDescent="0.35">
      <c r="B142" s="91" t="s">
        <v>2</v>
      </c>
      <c r="C142" s="92"/>
      <c r="D142" s="339"/>
      <c r="E142" s="339"/>
      <c r="F142" s="339"/>
      <c r="G142" s="339"/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40"/>
      <c r="W142" s="340"/>
    </row>
    <row r="143" spans="1:23" ht="16.05" customHeight="1" x14ac:dyDescent="0.35">
      <c r="B143" s="91" t="s">
        <v>3</v>
      </c>
      <c r="C143" s="92"/>
      <c r="D143" s="339"/>
      <c r="E143" s="339"/>
      <c r="F143" s="339"/>
      <c r="G143" s="339"/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40"/>
      <c r="W143" s="340"/>
    </row>
    <row r="144" spans="1:23" ht="16.05" customHeight="1" x14ac:dyDescent="0.35">
      <c r="B144" s="91" t="s">
        <v>11</v>
      </c>
      <c r="C144" s="92"/>
      <c r="D144" s="339"/>
      <c r="E144" s="339"/>
      <c r="F144" s="339"/>
      <c r="G144" s="339"/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40"/>
      <c r="W144" s="340"/>
    </row>
    <row r="145" spans="1:29" ht="16.05" customHeight="1" x14ac:dyDescent="0.35">
      <c r="B145" s="93" t="s">
        <v>1799</v>
      </c>
      <c r="C145" s="94"/>
      <c r="D145" s="338"/>
      <c r="E145" s="338"/>
      <c r="F145" s="338"/>
      <c r="G145" s="338"/>
      <c r="H145" s="338"/>
      <c r="I145" s="338"/>
      <c r="J145" s="338"/>
      <c r="K145" s="338"/>
      <c r="L145" s="338"/>
      <c r="M145" s="338"/>
      <c r="N145" s="338"/>
      <c r="O145" s="338"/>
      <c r="P145" s="338"/>
      <c r="Q145" s="338"/>
      <c r="R145" s="338"/>
      <c r="S145" s="338"/>
      <c r="T145" s="338"/>
      <c r="U145" s="338"/>
      <c r="V145" s="290"/>
      <c r="W145" s="290"/>
    </row>
    <row r="146" spans="1:29" ht="21" customHeight="1" x14ac:dyDescent="0.7">
      <c r="B146" s="44" t="s">
        <v>1813</v>
      </c>
      <c r="C146" s="45"/>
      <c r="D146" s="46" t="s">
        <v>1792</v>
      </c>
      <c r="E146" s="47"/>
      <c r="F146" s="359" t="str">
        <f>Schlüssel!$C$1</f>
        <v>Bayernliga Frauen</v>
      </c>
      <c r="G146" s="359"/>
      <c r="H146" s="359"/>
      <c r="I146" s="359"/>
      <c r="J146" s="359"/>
      <c r="K146" s="359"/>
      <c r="L146" s="359"/>
      <c r="M146" s="359"/>
      <c r="N146" s="359"/>
      <c r="O146" s="359"/>
      <c r="P146" s="45"/>
      <c r="Q146" s="45"/>
      <c r="R146" s="48"/>
      <c r="S146" s="49" t="s">
        <v>1794</v>
      </c>
      <c r="T146" s="50"/>
      <c r="U146" s="360" t="str">
        <f>Schlüssel!$CO$1</f>
        <v>15.03./16.03.</v>
      </c>
      <c r="V146" s="361"/>
      <c r="W146" s="362"/>
      <c r="AC146" s="51"/>
    </row>
    <row r="147" spans="1:29" ht="17.25" customHeight="1" thickBot="1" x14ac:dyDescent="0.65">
      <c r="A147" s="52"/>
      <c r="B147" s="96">
        <f>+B118+1</f>
        <v>6</v>
      </c>
      <c r="D147" s="46" t="s">
        <v>1793</v>
      </c>
      <c r="E147" s="54"/>
      <c r="F147" s="358" t="str">
        <f>Schlüssel!$CE$2</f>
        <v>Brunnthal Max Munich</v>
      </c>
      <c r="G147" s="358"/>
      <c r="H147" s="358"/>
      <c r="I147" s="358"/>
      <c r="J147" s="358"/>
      <c r="K147" s="358"/>
      <c r="L147" s="358"/>
      <c r="M147" s="358"/>
      <c r="N147" s="358"/>
      <c r="O147" s="358"/>
      <c r="P147" s="55"/>
      <c r="Q147" s="55"/>
      <c r="S147" s="49" t="s">
        <v>1791</v>
      </c>
      <c r="T147" s="56">
        <v>5</v>
      </c>
      <c r="U147" s="50"/>
      <c r="V147" s="50"/>
      <c r="AC147" s="97"/>
    </row>
    <row r="148" spans="1:29" ht="15.75" customHeight="1" thickBot="1" x14ac:dyDescent="0.4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5" thickBot="1" x14ac:dyDescent="0.45">
      <c r="A149" s="2"/>
      <c r="B149" s="44"/>
      <c r="C149" s="63"/>
      <c r="D149" s="64" t="s">
        <v>10</v>
      </c>
      <c r="E149" s="44">
        <f>VLOOKUP($B147,Schlüssel!$A$5:$DZ$14,93)</f>
        <v>8</v>
      </c>
      <c r="F149" s="65" t="s">
        <v>10</v>
      </c>
      <c r="G149" s="44">
        <f>VLOOKUP($B147,Schlüssel!$A$5:$DZ$14,94)</f>
        <v>5</v>
      </c>
      <c r="H149" s="65" t="s">
        <v>10</v>
      </c>
      <c r="I149" s="44">
        <f>VLOOKUP($B147,Schlüssel!$A$5:$DZ$14,95)</f>
        <v>4</v>
      </c>
      <c r="J149" s="65" t="s">
        <v>10</v>
      </c>
      <c r="K149" s="44">
        <f>VLOOKUP($B147,Schlüssel!$A$5:$DZ$14,96)</f>
        <v>2</v>
      </c>
      <c r="L149" s="65" t="s">
        <v>10</v>
      </c>
      <c r="M149" s="44">
        <f>VLOOKUP($B147,Schlüssel!$A$5:$DZ$14,97)</f>
        <v>6</v>
      </c>
      <c r="N149" s="65" t="s">
        <v>10</v>
      </c>
      <c r="O149" s="44">
        <f>VLOOKUP($B147,Schlüssel!$A$5:$DZ$14,98)</f>
        <v>1</v>
      </c>
      <c r="P149" s="65" t="s">
        <v>10</v>
      </c>
      <c r="Q149" s="44">
        <f>VLOOKUP($B147,Schlüssel!$A$5:$DZ$14,99)</f>
        <v>9</v>
      </c>
      <c r="R149" s="65" t="s">
        <v>10</v>
      </c>
      <c r="S149" s="44">
        <f>VLOOKUP($B147,Schlüssel!$A$5:$DZ$14,100)</f>
        <v>7</v>
      </c>
      <c r="T149" s="65" t="s">
        <v>10</v>
      </c>
      <c r="U149" s="66">
        <f>VLOOKUP($B147,Schlüssel!$A$5:$DZ$14,101)</f>
        <v>3</v>
      </c>
    </row>
    <row r="150" spans="1:29" ht="20.25" customHeight="1" x14ac:dyDescent="0.35">
      <c r="B150" s="67" t="s">
        <v>1</v>
      </c>
      <c r="C150" s="68"/>
      <c r="D150" s="354" t="s">
        <v>1800</v>
      </c>
      <c r="E150" s="355"/>
      <c r="F150" s="354" t="s">
        <v>1801</v>
      </c>
      <c r="G150" s="355"/>
      <c r="H150" s="354" t="s">
        <v>1802</v>
      </c>
      <c r="I150" s="355"/>
      <c r="J150" s="354" t="s">
        <v>1803</v>
      </c>
      <c r="K150" s="355"/>
      <c r="L150" s="354" t="s">
        <v>1804</v>
      </c>
      <c r="M150" s="355"/>
      <c r="N150" s="354" t="s">
        <v>1805</v>
      </c>
      <c r="O150" s="355"/>
      <c r="P150" s="354" t="s">
        <v>1806</v>
      </c>
      <c r="Q150" s="355"/>
      <c r="R150" s="354" t="s">
        <v>1807</v>
      </c>
      <c r="S150" s="355"/>
      <c r="T150" s="354" t="s">
        <v>1808</v>
      </c>
      <c r="U150" s="355"/>
      <c r="V150" s="356" t="s">
        <v>1799</v>
      </c>
      <c r="W150" s="357"/>
    </row>
    <row r="151" spans="1:29" ht="15" customHeight="1" thickBot="1" x14ac:dyDescent="0.4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2" customHeight="1" x14ac:dyDescent="0.35">
      <c r="A152" s="351" t="s">
        <v>0</v>
      </c>
      <c r="B152" s="73"/>
      <c r="C152" s="74"/>
      <c r="D152" s="75"/>
      <c r="E152" s="348"/>
      <c r="F152" s="75"/>
      <c r="G152" s="348"/>
      <c r="H152" s="75"/>
      <c r="I152" s="348"/>
      <c r="J152" s="75"/>
      <c r="K152" s="348"/>
      <c r="L152" s="75"/>
      <c r="M152" s="348"/>
      <c r="N152" s="75"/>
      <c r="O152" s="348"/>
      <c r="P152" s="75"/>
      <c r="Q152" s="348"/>
      <c r="R152" s="75"/>
      <c r="S152" s="348"/>
      <c r="T152" s="75"/>
      <c r="U152" s="348"/>
      <c r="V152" s="75"/>
      <c r="W152" s="348"/>
    </row>
    <row r="153" spans="1:29" ht="17.2" customHeight="1" x14ac:dyDescent="0.35">
      <c r="A153" s="352"/>
      <c r="B153" s="76"/>
      <c r="C153" s="77"/>
      <c r="D153" s="78"/>
      <c r="E153" s="349"/>
      <c r="F153" s="78"/>
      <c r="G153" s="349"/>
      <c r="H153" s="78"/>
      <c r="I153" s="349"/>
      <c r="J153" s="78"/>
      <c r="K153" s="349"/>
      <c r="L153" s="78"/>
      <c r="M153" s="349"/>
      <c r="N153" s="78"/>
      <c r="O153" s="349"/>
      <c r="P153" s="78"/>
      <c r="Q153" s="349"/>
      <c r="R153" s="78"/>
      <c r="S153" s="349"/>
      <c r="T153" s="78"/>
      <c r="U153" s="349"/>
      <c r="V153" s="78"/>
      <c r="W153" s="349"/>
    </row>
    <row r="154" spans="1:29" ht="17.2" customHeight="1" thickBot="1" x14ac:dyDescent="0.4">
      <c r="A154" s="353"/>
      <c r="B154" s="79"/>
      <c r="C154" s="80"/>
      <c r="D154" s="69"/>
      <c r="E154" s="350"/>
      <c r="F154" s="69"/>
      <c r="G154" s="350"/>
      <c r="H154" s="69"/>
      <c r="I154" s="350"/>
      <c r="J154" s="69"/>
      <c r="K154" s="350"/>
      <c r="L154" s="69"/>
      <c r="M154" s="350"/>
      <c r="N154" s="69"/>
      <c r="O154" s="350"/>
      <c r="P154" s="69"/>
      <c r="Q154" s="350"/>
      <c r="R154" s="69"/>
      <c r="S154" s="350"/>
      <c r="T154" s="69"/>
      <c r="U154" s="350"/>
      <c r="V154" s="69"/>
      <c r="W154" s="350"/>
    </row>
    <row r="155" spans="1:29" ht="17.2" customHeight="1" x14ac:dyDescent="0.35">
      <c r="A155" s="351" t="s">
        <v>2</v>
      </c>
      <c r="B155" s="73"/>
      <c r="C155" s="74"/>
      <c r="D155" s="75"/>
      <c r="E155" s="348"/>
      <c r="F155" s="75"/>
      <c r="G155" s="348"/>
      <c r="H155" s="75"/>
      <c r="I155" s="348"/>
      <c r="J155" s="75"/>
      <c r="K155" s="348"/>
      <c r="L155" s="75"/>
      <c r="M155" s="348"/>
      <c r="N155" s="75"/>
      <c r="O155" s="348"/>
      <c r="P155" s="75"/>
      <c r="Q155" s="348"/>
      <c r="R155" s="75"/>
      <c r="S155" s="348"/>
      <c r="T155" s="75"/>
      <c r="U155" s="348"/>
      <c r="V155" s="75"/>
      <c r="W155" s="348"/>
    </row>
    <row r="156" spans="1:29" ht="17.2" customHeight="1" x14ac:dyDescent="0.35">
      <c r="A156" s="352"/>
      <c r="B156" s="76"/>
      <c r="C156" s="77"/>
      <c r="D156" s="78"/>
      <c r="E156" s="349"/>
      <c r="F156" s="78"/>
      <c r="G156" s="349"/>
      <c r="H156" s="78"/>
      <c r="I156" s="349"/>
      <c r="J156" s="78"/>
      <c r="K156" s="349"/>
      <c r="L156" s="78"/>
      <c r="M156" s="349"/>
      <c r="N156" s="78"/>
      <c r="O156" s="349"/>
      <c r="P156" s="78"/>
      <c r="Q156" s="349"/>
      <c r="R156" s="78"/>
      <c r="S156" s="349"/>
      <c r="T156" s="78"/>
      <c r="U156" s="349"/>
      <c r="V156" s="78"/>
      <c r="W156" s="349"/>
    </row>
    <row r="157" spans="1:29" ht="17.2" customHeight="1" thickBot="1" x14ac:dyDescent="0.4">
      <c r="A157" s="353"/>
      <c r="B157" s="79"/>
      <c r="C157" s="80"/>
      <c r="D157" s="69"/>
      <c r="E157" s="350"/>
      <c r="F157" s="69"/>
      <c r="G157" s="350"/>
      <c r="H157" s="69"/>
      <c r="I157" s="350"/>
      <c r="J157" s="69"/>
      <c r="K157" s="350"/>
      <c r="L157" s="69"/>
      <c r="M157" s="350"/>
      <c r="N157" s="69"/>
      <c r="O157" s="350"/>
      <c r="P157" s="69"/>
      <c r="Q157" s="350"/>
      <c r="R157" s="69"/>
      <c r="S157" s="350"/>
      <c r="T157" s="69"/>
      <c r="U157" s="350"/>
      <c r="V157" s="69"/>
      <c r="W157" s="350"/>
    </row>
    <row r="158" spans="1:29" ht="17.2" customHeight="1" x14ac:dyDescent="0.35">
      <c r="A158" s="351" t="s">
        <v>3</v>
      </c>
      <c r="B158" s="73"/>
      <c r="C158" s="74"/>
      <c r="D158" s="75"/>
      <c r="E158" s="348"/>
      <c r="F158" s="75"/>
      <c r="G158" s="348"/>
      <c r="H158" s="75"/>
      <c r="I158" s="348"/>
      <c r="J158" s="75"/>
      <c r="K158" s="348"/>
      <c r="L158" s="75"/>
      <c r="M158" s="348"/>
      <c r="N158" s="75"/>
      <c r="O158" s="348"/>
      <c r="P158" s="75"/>
      <c r="Q158" s="348"/>
      <c r="R158" s="75"/>
      <c r="S158" s="348"/>
      <c r="T158" s="75"/>
      <c r="U158" s="348"/>
      <c r="V158" s="75"/>
      <c r="W158" s="348"/>
    </row>
    <row r="159" spans="1:29" ht="17.2" customHeight="1" x14ac:dyDescent="0.35">
      <c r="A159" s="352"/>
      <c r="B159" s="76"/>
      <c r="C159" s="77"/>
      <c r="D159" s="78"/>
      <c r="E159" s="349"/>
      <c r="F159" s="78"/>
      <c r="G159" s="349"/>
      <c r="H159" s="78"/>
      <c r="I159" s="349"/>
      <c r="J159" s="78"/>
      <c r="K159" s="349"/>
      <c r="L159" s="78"/>
      <c r="M159" s="349"/>
      <c r="N159" s="78"/>
      <c r="O159" s="349"/>
      <c r="P159" s="78"/>
      <c r="Q159" s="349"/>
      <c r="R159" s="78"/>
      <c r="S159" s="349"/>
      <c r="T159" s="78"/>
      <c r="U159" s="349"/>
      <c r="V159" s="78"/>
      <c r="W159" s="349"/>
    </row>
    <row r="160" spans="1:29" ht="17.2" customHeight="1" thickBot="1" x14ac:dyDescent="0.4">
      <c r="A160" s="353"/>
      <c r="B160" s="79"/>
      <c r="C160" s="80"/>
      <c r="D160" s="69"/>
      <c r="E160" s="350"/>
      <c r="F160" s="69"/>
      <c r="G160" s="350"/>
      <c r="H160" s="69"/>
      <c r="I160" s="350"/>
      <c r="J160" s="69"/>
      <c r="K160" s="350"/>
      <c r="L160" s="69"/>
      <c r="M160" s="350"/>
      <c r="N160" s="69"/>
      <c r="O160" s="350"/>
      <c r="P160" s="69"/>
      <c r="Q160" s="350"/>
      <c r="R160" s="69"/>
      <c r="S160" s="350"/>
      <c r="T160" s="69"/>
      <c r="U160" s="350"/>
      <c r="V160" s="69"/>
      <c r="W160" s="350"/>
    </row>
    <row r="161" spans="1:29" ht="17.2" customHeight="1" x14ac:dyDescent="0.35">
      <c r="A161" s="351" t="s">
        <v>11</v>
      </c>
      <c r="B161" s="73"/>
      <c r="C161" s="74"/>
      <c r="D161" s="75"/>
      <c r="E161" s="348"/>
      <c r="F161" s="75"/>
      <c r="G161" s="348"/>
      <c r="H161" s="75"/>
      <c r="I161" s="348"/>
      <c r="J161" s="75"/>
      <c r="K161" s="348"/>
      <c r="L161" s="75"/>
      <c r="M161" s="348"/>
      <c r="N161" s="75"/>
      <c r="O161" s="348"/>
      <c r="P161" s="75"/>
      <c r="Q161" s="348"/>
      <c r="R161" s="75"/>
      <c r="S161" s="348"/>
      <c r="T161" s="75"/>
      <c r="U161" s="348"/>
      <c r="V161" s="75"/>
      <c r="W161" s="348"/>
    </row>
    <row r="162" spans="1:29" ht="17.2" customHeight="1" x14ac:dyDescent="0.35">
      <c r="A162" s="352"/>
      <c r="B162" s="76"/>
      <c r="C162" s="77"/>
      <c r="D162" s="78"/>
      <c r="E162" s="349"/>
      <c r="F162" s="78"/>
      <c r="G162" s="349"/>
      <c r="H162" s="78"/>
      <c r="I162" s="349"/>
      <c r="J162" s="78"/>
      <c r="K162" s="349"/>
      <c r="L162" s="78"/>
      <c r="M162" s="349"/>
      <c r="N162" s="78"/>
      <c r="O162" s="349"/>
      <c r="P162" s="78"/>
      <c r="Q162" s="349"/>
      <c r="R162" s="78"/>
      <c r="S162" s="349"/>
      <c r="T162" s="78"/>
      <c r="U162" s="349"/>
      <c r="V162" s="78"/>
      <c r="W162" s="349"/>
    </row>
    <row r="163" spans="1:29" ht="17.2" customHeight="1" thickBot="1" x14ac:dyDescent="0.4">
      <c r="A163" s="353"/>
      <c r="B163" s="79"/>
      <c r="C163" s="80"/>
      <c r="D163" s="69"/>
      <c r="E163" s="350"/>
      <c r="F163" s="69"/>
      <c r="G163" s="350"/>
      <c r="H163" s="69"/>
      <c r="I163" s="350"/>
      <c r="J163" s="69"/>
      <c r="K163" s="350"/>
      <c r="L163" s="69"/>
      <c r="M163" s="350"/>
      <c r="N163" s="69"/>
      <c r="O163" s="350"/>
      <c r="P163" s="69"/>
      <c r="Q163" s="350"/>
      <c r="R163" s="69"/>
      <c r="S163" s="350"/>
      <c r="T163" s="69"/>
      <c r="U163" s="350"/>
      <c r="V163" s="69"/>
      <c r="W163" s="350"/>
    </row>
    <row r="164" spans="1:29" ht="27.75" customHeight="1" thickBot="1" x14ac:dyDescent="0.4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4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3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35">
      <c r="B167" s="88" t="s">
        <v>1797</v>
      </c>
      <c r="C167" s="89" t="s">
        <v>1798</v>
      </c>
      <c r="D167" s="346">
        <f>VLOOKUP(B147,Schlüssel!$A$5:$DZ$14,83)</f>
        <v>5</v>
      </c>
      <c r="E167" s="346"/>
      <c r="F167" s="346">
        <f>VLOOKUP(B147,Schlüssel!$A$5:$DZ$14,84)</f>
        <v>1</v>
      </c>
      <c r="G167" s="346"/>
      <c r="H167" s="346">
        <f>VLOOKUP(B147,Schlüssel!$A$5:$DZ$14,85)</f>
        <v>7</v>
      </c>
      <c r="I167" s="346"/>
      <c r="J167" s="346">
        <f>VLOOKUP(B147,Schlüssel!$A$5:$DZ$14,86)</f>
        <v>8</v>
      </c>
      <c r="K167" s="346"/>
      <c r="L167" s="346">
        <f>VLOOKUP(B147,Schlüssel!$A$5:$DZ$14,87)</f>
        <v>2</v>
      </c>
      <c r="M167" s="346"/>
      <c r="N167" s="346">
        <f>VLOOKUP(B147,Schlüssel!$A$5:$DZ$14,88)</f>
        <v>9</v>
      </c>
      <c r="O167" s="346"/>
      <c r="P167" s="346">
        <f>VLOOKUP(B147,Schlüssel!$A$5:$DZ$14,89)</f>
        <v>4</v>
      </c>
      <c r="Q167" s="346"/>
      <c r="R167" s="346">
        <f>VLOOKUP(B147,Schlüssel!$A$5:$DZ$14,90)</f>
        <v>10</v>
      </c>
      <c r="S167" s="346"/>
      <c r="T167" s="346">
        <f>VLOOKUP(B147,Schlüssel!$A$5:$DZ$14,91)</f>
        <v>3</v>
      </c>
      <c r="U167" s="346"/>
      <c r="V167" s="347"/>
      <c r="W167" s="347"/>
    </row>
    <row r="168" spans="1:29" ht="28.5" customHeight="1" x14ac:dyDescent="0.35">
      <c r="B168" s="90"/>
      <c r="C168" s="86"/>
      <c r="D168" s="343" t="str">
        <f>VLOOKUP(D167,Schlüssel!$A$5:$K$14,2)</f>
        <v xml:space="preserve">Weiß Blau Unterföhring </v>
      </c>
      <c r="E168" s="344"/>
      <c r="F168" s="343" t="str">
        <f>VLOOKUP(F167,Schlüssel!$A$5:$K$14,2)</f>
        <v>Praetoria Regensburg</v>
      </c>
      <c r="G168" s="344"/>
      <c r="H168" s="343" t="str">
        <f>VLOOKUP(H167,Schlüssel!$A$5:$K$14,2)</f>
        <v>Frankenpower Nürnberg</v>
      </c>
      <c r="I168" s="344"/>
      <c r="J168" s="343" t="str">
        <f>VLOOKUP(J167,Schlüssel!$A$5:$K$14,2)</f>
        <v>EPA München 1</v>
      </c>
      <c r="K168" s="344"/>
      <c r="L168" s="343" t="str">
        <f>VLOOKUP(L167,Schlüssel!$A$5:$K$14,2)</f>
        <v>BK München 2</v>
      </c>
      <c r="M168" s="344"/>
      <c r="N168" s="343" t="str">
        <f>VLOOKUP(N167,Schlüssel!$A$5:$K$14,2)</f>
        <v>RW Lichtenhof 69 Stein 2</v>
      </c>
      <c r="O168" s="344"/>
      <c r="P168" s="343" t="str">
        <f>VLOOKUP(P167,Schlüssel!$A$5:$K$14,2)</f>
        <v>BK München 3</v>
      </c>
      <c r="Q168" s="344"/>
      <c r="R168" s="343" t="str">
        <f>VLOOKUP(R167,Schlüssel!$A$5:$K$14,2)</f>
        <v>BK München 4</v>
      </c>
      <c r="S168" s="344"/>
      <c r="T168" s="343" t="str">
        <f>VLOOKUP(T167,Schlüssel!$A$5:$K$14,2)</f>
        <v>Highroller Rosenheim</v>
      </c>
      <c r="U168" s="344"/>
      <c r="V168" s="345"/>
      <c r="W168" s="345"/>
    </row>
    <row r="169" spans="1:29" ht="12" customHeight="1" x14ac:dyDescent="0.35">
      <c r="B169" s="90"/>
      <c r="C169" s="86"/>
      <c r="D169" s="341"/>
      <c r="E169" s="341"/>
      <c r="F169" s="341"/>
      <c r="G169" s="341"/>
      <c r="H169" s="341"/>
      <c r="I169" s="341"/>
      <c r="J169" s="341"/>
      <c r="K169" s="341"/>
      <c r="L169" s="341"/>
      <c r="M169" s="341"/>
      <c r="N169" s="341"/>
      <c r="O169" s="341"/>
      <c r="P169" s="341"/>
      <c r="Q169" s="341"/>
      <c r="R169" s="341"/>
      <c r="S169" s="341"/>
      <c r="T169" s="341"/>
      <c r="U169" s="342"/>
      <c r="V169" s="301"/>
      <c r="W169" s="301"/>
    </row>
    <row r="170" spans="1:29" ht="16.05" customHeight="1" x14ac:dyDescent="0.35">
      <c r="B170" s="91" t="s">
        <v>0</v>
      </c>
      <c r="C170" s="92"/>
      <c r="D170" s="339"/>
      <c r="E170" s="339"/>
      <c r="F170" s="339"/>
      <c r="G170" s="339"/>
      <c r="H170" s="339"/>
      <c r="I170" s="339"/>
      <c r="J170" s="339"/>
      <c r="K170" s="339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40"/>
      <c r="W170" s="340"/>
    </row>
    <row r="171" spans="1:29" ht="16.05" customHeight="1" x14ac:dyDescent="0.35">
      <c r="B171" s="91" t="s">
        <v>2</v>
      </c>
      <c r="C171" s="92"/>
      <c r="D171" s="339"/>
      <c r="E171" s="339"/>
      <c r="F171" s="339"/>
      <c r="G171" s="339"/>
      <c r="H171" s="339"/>
      <c r="I171" s="339"/>
      <c r="J171" s="339"/>
      <c r="K171" s="33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40"/>
      <c r="W171" s="340"/>
    </row>
    <row r="172" spans="1:29" ht="16.05" customHeight="1" x14ac:dyDescent="0.35">
      <c r="B172" s="91" t="s">
        <v>3</v>
      </c>
      <c r="C172" s="92"/>
      <c r="D172" s="339"/>
      <c r="E172" s="339"/>
      <c r="F172" s="339"/>
      <c r="G172" s="339"/>
      <c r="H172" s="339"/>
      <c r="I172" s="339"/>
      <c r="J172" s="339"/>
      <c r="K172" s="339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40"/>
      <c r="W172" s="340"/>
    </row>
    <row r="173" spans="1:29" ht="16.05" customHeight="1" x14ac:dyDescent="0.35">
      <c r="B173" s="91" t="s">
        <v>11</v>
      </c>
      <c r="C173" s="92"/>
      <c r="D173" s="339"/>
      <c r="E173" s="339"/>
      <c r="F173" s="339"/>
      <c r="G173" s="339"/>
      <c r="H173" s="339"/>
      <c r="I173" s="339"/>
      <c r="J173" s="339"/>
      <c r="K173" s="339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40"/>
      <c r="W173" s="340"/>
    </row>
    <row r="174" spans="1:29" ht="16.05" customHeight="1" x14ac:dyDescent="0.35">
      <c r="B174" s="93" t="s">
        <v>1799</v>
      </c>
      <c r="C174" s="94"/>
      <c r="D174" s="338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290"/>
      <c r="W174" s="290"/>
    </row>
    <row r="175" spans="1:29" ht="21" customHeight="1" x14ac:dyDescent="0.7">
      <c r="B175" s="44" t="s">
        <v>1813</v>
      </c>
      <c r="C175" s="45"/>
      <c r="D175" s="46" t="s">
        <v>1792</v>
      </c>
      <c r="E175" s="47"/>
      <c r="F175" s="359" t="str">
        <f>Schlüssel!$C$1</f>
        <v>Bayernliga Frauen</v>
      </c>
      <c r="G175" s="359"/>
      <c r="H175" s="359"/>
      <c r="I175" s="359"/>
      <c r="J175" s="359"/>
      <c r="K175" s="359"/>
      <c r="L175" s="359"/>
      <c r="M175" s="359"/>
      <c r="N175" s="359"/>
      <c r="O175" s="359"/>
      <c r="P175" s="45"/>
      <c r="Q175" s="45"/>
      <c r="R175" s="48"/>
      <c r="S175" s="49" t="s">
        <v>1794</v>
      </c>
      <c r="T175" s="50"/>
      <c r="U175" s="360" t="str">
        <f>Schlüssel!$CO$1</f>
        <v>15.03./16.03.</v>
      </c>
      <c r="V175" s="361"/>
      <c r="W175" s="362"/>
      <c r="AC175" s="51"/>
    </row>
    <row r="176" spans="1:29" ht="17.25" customHeight="1" thickBot="1" x14ac:dyDescent="0.65">
      <c r="A176" s="52"/>
      <c r="B176" s="96">
        <f>+B147+1</f>
        <v>7</v>
      </c>
      <c r="D176" s="46" t="s">
        <v>1793</v>
      </c>
      <c r="E176" s="54"/>
      <c r="F176" s="358" t="str">
        <f>Schlüssel!$CE$2</f>
        <v>Brunnthal Max Munich</v>
      </c>
      <c r="G176" s="358"/>
      <c r="H176" s="358"/>
      <c r="I176" s="358"/>
      <c r="J176" s="358"/>
      <c r="K176" s="358"/>
      <c r="L176" s="358"/>
      <c r="M176" s="358"/>
      <c r="N176" s="358"/>
      <c r="O176" s="358"/>
      <c r="P176" s="55"/>
      <c r="Q176" s="55"/>
      <c r="S176" s="49" t="s">
        <v>1791</v>
      </c>
      <c r="T176" s="56">
        <v>5</v>
      </c>
      <c r="U176" s="50"/>
      <c r="V176" s="50"/>
      <c r="AC176" s="97"/>
    </row>
    <row r="177" spans="1:23" ht="15.75" customHeight="1" thickBot="1" x14ac:dyDescent="0.4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5" thickBot="1" x14ac:dyDescent="0.45">
      <c r="A178" s="2"/>
      <c r="B178" s="44"/>
      <c r="C178" s="63"/>
      <c r="D178" s="64" t="s">
        <v>10</v>
      </c>
      <c r="E178" s="44">
        <f>VLOOKUP($B176,Schlüssel!$A$5:$DZ$14,93)</f>
        <v>1</v>
      </c>
      <c r="F178" s="65" t="s">
        <v>10</v>
      </c>
      <c r="G178" s="44">
        <f>VLOOKUP($B176,Schlüssel!$A$5:$DZ$14,94)</f>
        <v>9</v>
      </c>
      <c r="H178" s="65" t="s">
        <v>10</v>
      </c>
      <c r="I178" s="44">
        <f>VLOOKUP($B176,Schlüssel!$A$5:$DZ$14,95)</f>
        <v>3</v>
      </c>
      <c r="J178" s="65" t="s">
        <v>10</v>
      </c>
      <c r="K178" s="44">
        <f>VLOOKUP($B176,Schlüssel!$A$5:$DZ$14,96)</f>
        <v>8</v>
      </c>
      <c r="L178" s="65" t="s">
        <v>10</v>
      </c>
      <c r="M178" s="44">
        <f>VLOOKUP($B176,Schlüssel!$A$5:$DZ$14,97)</f>
        <v>10</v>
      </c>
      <c r="N178" s="65" t="s">
        <v>10</v>
      </c>
      <c r="O178" s="44">
        <f>VLOOKUP($B176,Schlüssel!$A$5:$DZ$14,98)</f>
        <v>7</v>
      </c>
      <c r="P178" s="65" t="s">
        <v>10</v>
      </c>
      <c r="Q178" s="44">
        <f>VLOOKUP($B176,Schlüssel!$A$5:$DZ$14,99)</f>
        <v>6</v>
      </c>
      <c r="R178" s="65" t="s">
        <v>10</v>
      </c>
      <c r="S178" s="44">
        <f>VLOOKUP($B176,Schlüssel!$A$5:$DZ$14,100)</f>
        <v>4</v>
      </c>
      <c r="T178" s="65" t="s">
        <v>10</v>
      </c>
      <c r="U178" s="66">
        <f>VLOOKUP($B176,Schlüssel!$A$5:$DZ$14,101)</f>
        <v>2</v>
      </c>
    </row>
    <row r="179" spans="1:23" ht="20.25" customHeight="1" x14ac:dyDescent="0.35">
      <c r="B179" s="67" t="s">
        <v>1</v>
      </c>
      <c r="C179" s="68"/>
      <c r="D179" s="354" t="s">
        <v>1800</v>
      </c>
      <c r="E179" s="355"/>
      <c r="F179" s="354" t="s">
        <v>1801</v>
      </c>
      <c r="G179" s="355"/>
      <c r="H179" s="354" t="s">
        <v>1802</v>
      </c>
      <c r="I179" s="355"/>
      <c r="J179" s="354" t="s">
        <v>1803</v>
      </c>
      <c r="K179" s="355"/>
      <c r="L179" s="354" t="s">
        <v>1804</v>
      </c>
      <c r="M179" s="355"/>
      <c r="N179" s="354" t="s">
        <v>1805</v>
      </c>
      <c r="O179" s="355"/>
      <c r="P179" s="354" t="s">
        <v>1806</v>
      </c>
      <c r="Q179" s="355"/>
      <c r="R179" s="354" t="s">
        <v>1807</v>
      </c>
      <c r="S179" s="355"/>
      <c r="T179" s="354" t="s">
        <v>1808</v>
      </c>
      <c r="U179" s="355"/>
      <c r="V179" s="356" t="s">
        <v>1799</v>
      </c>
      <c r="W179" s="357"/>
    </row>
    <row r="180" spans="1:23" ht="15" customHeight="1" thickBot="1" x14ac:dyDescent="0.4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2" customHeight="1" x14ac:dyDescent="0.35">
      <c r="A181" s="351" t="s">
        <v>0</v>
      </c>
      <c r="B181" s="73"/>
      <c r="C181" s="74"/>
      <c r="D181" s="75"/>
      <c r="E181" s="348"/>
      <c r="F181" s="75"/>
      <c r="G181" s="348"/>
      <c r="H181" s="75"/>
      <c r="I181" s="348"/>
      <c r="J181" s="75"/>
      <c r="K181" s="348"/>
      <c r="L181" s="75"/>
      <c r="M181" s="348"/>
      <c r="N181" s="75"/>
      <c r="O181" s="348"/>
      <c r="P181" s="75"/>
      <c r="Q181" s="348"/>
      <c r="R181" s="75"/>
      <c r="S181" s="348"/>
      <c r="T181" s="75"/>
      <c r="U181" s="348"/>
      <c r="V181" s="75"/>
      <c r="W181" s="348"/>
    </row>
    <row r="182" spans="1:23" ht="17.2" customHeight="1" x14ac:dyDescent="0.35">
      <c r="A182" s="352"/>
      <c r="B182" s="76"/>
      <c r="C182" s="77"/>
      <c r="D182" s="78"/>
      <c r="E182" s="349"/>
      <c r="F182" s="78"/>
      <c r="G182" s="349"/>
      <c r="H182" s="78"/>
      <c r="I182" s="349"/>
      <c r="J182" s="78"/>
      <c r="K182" s="349"/>
      <c r="L182" s="78"/>
      <c r="M182" s="349"/>
      <c r="N182" s="78"/>
      <c r="O182" s="349"/>
      <c r="P182" s="78"/>
      <c r="Q182" s="349"/>
      <c r="R182" s="78"/>
      <c r="S182" s="349"/>
      <c r="T182" s="78"/>
      <c r="U182" s="349"/>
      <c r="V182" s="78"/>
      <c r="W182" s="349"/>
    </row>
    <row r="183" spans="1:23" ht="17.2" customHeight="1" thickBot="1" x14ac:dyDescent="0.4">
      <c r="A183" s="353"/>
      <c r="B183" s="79"/>
      <c r="C183" s="80"/>
      <c r="D183" s="69"/>
      <c r="E183" s="350"/>
      <c r="F183" s="69"/>
      <c r="G183" s="350"/>
      <c r="H183" s="69"/>
      <c r="I183" s="350"/>
      <c r="J183" s="69"/>
      <c r="K183" s="350"/>
      <c r="L183" s="69"/>
      <c r="M183" s="350"/>
      <c r="N183" s="69"/>
      <c r="O183" s="350"/>
      <c r="P183" s="69"/>
      <c r="Q183" s="350"/>
      <c r="R183" s="69"/>
      <c r="S183" s="350"/>
      <c r="T183" s="69"/>
      <c r="U183" s="350"/>
      <c r="V183" s="69"/>
      <c r="W183" s="350"/>
    </row>
    <row r="184" spans="1:23" ht="17.2" customHeight="1" x14ac:dyDescent="0.35">
      <c r="A184" s="351" t="s">
        <v>2</v>
      </c>
      <c r="B184" s="73"/>
      <c r="C184" s="74"/>
      <c r="D184" s="75"/>
      <c r="E184" s="348"/>
      <c r="F184" s="75"/>
      <c r="G184" s="348"/>
      <c r="H184" s="75"/>
      <c r="I184" s="348"/>
      <c r="J184" s="75"/>
      <c r="K184" s="348"/>
      <c r="L184" s="75"/>
      <c r="M184" s="348"/>
      <c r="N184" s="75"/>
      <c r="O184" s="348"/>
      <c r="P184" s="75"/>
      <c r="Q184" s="348"/>
      <c r="R184" s="75"/>
      <c r="S184" s="348"/>
      <c r="T184" s="75"/>
      <c r="U184" s="348"/>
      <c r="V184" s="75"/>
      <c r="W184" s="348"/>
    </row>
    <row r="185" spans="1:23" ht="17.2" customHeight="1" x14ac:dyDescent="0.35">
      <c r="A185" s="352"/>
      <c r="B185" s="76"/>
      <c r="C185" s="77"/>
      <c r="D185" s="78"/>
      <c r="E185" s="349"/>
      <c r="F185" s="78"/>
      <c r="G185" s="349"/>
      <c r="H185" s="78"/>
      <c r="I185" s="349"/>
      <c r="J185" s="78"/>
      <c r="K185" s="349"/>
      <c r="L185" s="78"/>
      <c r="M185" s="349"/>
      <c r="N185" s="78"/>
      <c r="O185" s="349"/>
      <c r="P185" s="78"/>
      <c r="Q185" s="349"/>
      <c r="R185" s="78"/>
      <c r="S185" s="349"/>
      <c r="T185" s="78"/>
      <c r="U185" s="349"/>
      <c r="V185" s="78"/>
      <c r="W185" s="349"/>
    </row>
    <row r="186" spans="1:23" ht="17.2" customHeight="1" thickBot="1" x14ac:dyDescent="0.4">
      <c r="A186" s="353"/>
      <c r="B186" s="79"/>
      <c r="C186" s="80"/>
      <c r="D186" s="69"/>
      <c r="E186" s="350"/>
      <c r="F186" s="69"/>
      <c r="G186" s="350"/>
      <c r="H186" s="69"/>
      <c r="I186" s="350"/>
      <c r="J186" s="69"/>
      <c r="K186" s="350"/>
      <c r="L186" s="69"/>
      <c r="M186" s="350"/>
      <c r="N186" s="69"/>
      <c r="O186" s="350"/>
      <c r="P186" s="69"/>
      <c r="Q186" s="350"/>
      <c r="R186" s="69"/>
      <c r="S186" s="350"/>
      <c r="T186" s="69"/>
      <c r="U186" s="350"/>
      <c r="V186" s="69"/>
      <c r="W186" s="350"/>
    </row>
    <row r="187" spans="1:23" ht="17.2" customHeight="1" x14ac:dyDescent="0.35">
      <c r="A187" s="351" t="s">
        <v>3</v>
      </c>
      <c r="B187" s="73"/>
      <c r="C187" s="74"/>
      <c r="D187" s="75"/>
      <c r="E187" s="348"/>
      <c r="F187" s="75"/>
      <c r="G187" s="348"/>
      <c r="H187" s="75"/>
      <c r="I187" s="348"/>
      <c r="J187" s="75"/>
      <c r="K187" s="348"/>
      <c r="L187" s="75"/>
      <c r="M187" s="348"/>
      <c r="N187" s="75"/>
      <c r="O187" s="348"/>
      <c r="P187" s="75"/>
      <c r="Q187" s="348"/>
      <c r="R187" s="75"/>
      <c r="S187" s="348"/>
      <c r="T187" s="75"/>
      <c r="U187" s="348"/>
      <c r="V187" s="75"/>
      <c r="W187" s="348"/>
    </row>
    <row r="188" spans="1:23" ht="17.2" customHeight="1" x14ac:dyDescent="0.35">
      <c r="A188" s="352"/>
      <c r="B188" s="76"/>
      <c r="C188" s="77"/>
      <c r="D188" s="78"/>
      <c r="E188" s="349"/>
      <c r="F188" s="78"/>
      <c r="G188" s="349"/>
      <c r="H188" s="78"/>
      <c r="I188" s="349"/>
      <c r="J188" s="78"/>
      <c r="K188" s="349"/>
      <c r="L188" s="78"/>
      <c r="M188" s="349"/>
      <c r="N188" s="78"/>
      <c r="O188" s="349"/>
      <c r="P188" s="78"/>
      <c r="Q188" s="349"/>
      <c r="R188" s="78"/>
      <c r="S188" s="349"/>
      <c r="T188" s="78"/>
      <c r="U188" s="349"/>
      <c r="V188" s="78"/>
      <c r="W188" s="349"/>
    </row>
    <row r="189" spans="1:23" ht="17.2" customHeight="1" thickBot="1" x14ac:dyDescent="0.4">
      <c r="A189" s="353"/>
      <c r="B189" s="79"/>
      <c r="C189" s="80"/>
      <c r="D189" s="69"/>
      <c r="E189" s="350"/>
      <c r="F189" s="69"/>
      <c r="G189" s="350"/>
      <c r="H189" s="69"/>
      <c r="I189" s="350"/>
      <c r="J189" s="69"/>
      <c r="K189" s="350"/>
      <c r="L189" s="69"/>
      <c r="M189" s="350"/>
      <c r="N189" s="69"/>
      <c r="O189" s="350"/>
      <c r="P189" s="69"/>
      <c r="Q189" s="350"/>
      <c r="R189" s="69"/>
      <c r="S189" s="350"/>
      <c r="T189" s="69"/>
      <c r="U189" s="350"/>
      <c r="V189" s="69"/>
      <c r="W189" s="350"/>
    </row>
    <row r="190" spans="1:23" ht="17.2" customHeight="1" x14ac:dyDescent="0.35">
      <c r="A190" s="351" t="s">
        <v>11</v>
      </c>
      <c r="B190" s="73"/>
      <c r="C190" s="74"/>
      <c r="D190" s="75"/>
      <c r="E190" s="348"/>
      <c r="F190" s="75"/>
      <c r="G190" s="348"/>
      <c r="H190" s="75"/>
      <c r="I190" s="348"/>
      <c r="J190" s="75"/>
      <c r="K190" s="348"/>
      <c r="L190" s="75"/>
      <c r="M190" s="348"/>
      <c r="N190" s="75"/>
      <c r="O190" s="348"/>
      <c r="P190" s="75"/>
      <c r="Q190" s="348"/>
      <c r="R190" s="75"/>
      <c r="S190" s="348"/>
      <c r="T190" s="75"/>
      <c r="U190" s="348"/>
      <c r="V190" s="75"/>
      <c r="W190" s="348"/>
    </row>
    <row r="191" spans="1:23" ht="17.2" customHeight="1" x14ac:dyDescent="0.35">
      <c r="A191" s="352"/>
      <c r="B191" s="76"/>
      <c r="C191" s="77"/>
      <c r="D191" s="78"/>
      <c r="E191" s="349"/>
      <c r="F191" s="78"/>
      <c r="G191" s="349"/>
      <c r="H191" s="78"/>
      <c r="I191" s="349"/>
      <c r="J191" s="78"/>
      <c r="K191" s="349"/>
      <c r="L191" s="78"/>
      <c r="M191" s="349"/>
      <c r="N191" s="78"/>
      <c r="O191" s="349"/>
      <c r="P191" s="78"/>
      <c r="Q191" s="349"/>
      <c r="R191" s="78"/>
      <c r="S191" s="349"/>
      <c r="T191" s="78"/>
      <c r="U191" s="349"/>
      <c r="V191" s="78"/>
      <c r="W191" s="349"/>
    </row>
    <row r="192" spans="1:23" ht="17.2" customHeight="1" thickBot="1" x14ac:dyDescent="0.4">
      <c r="A192" s="353"/>
      <c r="B192" s="79"/>
      <c r="C192" s="80"/>
      <c r="D192" s="69"/>
      <c r="E192" s="350"/>
      <c r="F192" s="69"/>
      <c r="G192" s="350"/>
      <c r="H192" s="69"/>
      <c r="I192" s="350"/>
      <c r="J192" s="69"/>
      <c r="K192" s="350"/>
      <c r="L192" s="69"/>
      <c r="M192" s="350"/>
      <c r="N192" s="69"/>
      <c r="O192" s="350"/>
      <c r="P192" s="69"/>
      <c r="Q192" s="350"/>
      <c r="R192" s="69"/>
      <c r="S192" s="350"/>
      <c r="T192" s="69"/>
      <c r="U192" s="350"/>
      <c r="V192" s="69"/>
      <c r="W192" s="350"/>
    </row>
    <row r="193" spans="1:29" ht="27.75" customHeight="1" thickBot="1" x14ac:dyDescent="0.4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4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3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35">
      <c r="B196" s="88" t="s">
        <v>1797</v>
      </c>
      <c r="C196" s="89" t="s">
        <v>1798</v>
      </c>
      <c r="D196" s="346">
        <f>VLOOKUP(B176,Schlüssel!$A$5:$DZ$14,83)</f>
        <v>8</v>
      </c>
      <c r="E196" s="346"/>
      <c r="F196" s="346">
        <f>VLOOKUP(B176,Schlüssel!$A$5:$DZ$14,84)</f>
        <v>3</v>
      </c>
      <c r="G196" s="346"/>
      <c r="H196" s="346">
        <f>VLOOKUP(B176,Schlüssel!$A$5:$DZ$14,85)</f>
        <v>6</v>
      </c>
      <c r="I196" s="346"/>
      <c r="J196" s="346">
        <f>VLOOKUP(B176,Schlüssel!$A$5:$DZ$14,86)</f>
        <v>4</v>
      </c>
      <c r="K196" s="346"/>
      <c r="L196" s="346">
        <f>VLOOKUP(B176,Schlüssel!$A$5:$DZ$14,87)</f>
        <v>10</v>
      </c>
      <c r="M196" s="346"/>
      <c r="N196" s="346">
        <f>VLOOKUP(B176,Schlüssel!$A$5:$DZ$14,88)</f>
        <v>2</v>
      </c>
      <c r="O196" s="346"/>
      <c r="P196" s="346">
        <f>VLOOKUP(B176,Schlüssel!$A$5:$DZ$14,89)</f>
        <v>9</v>
      </c>
      <c r="Q196" s="346"/>
      <c r="R196" s="346">
        <f>VLOOKUP(B176,Schlüssel!$A$5:$DZ$14,90)</f>
        <v>5</v>
      </c>
      <c r="S196" s="346"/>
      <c r="T196" s="346">
        <f>VLOOKUP(B176,Schlüssel!$A$5:$DZ$14,91)</f>
        <v>1</v>
      </c>
      <c r="U196" s="346"/>
      <c r="V196" s="347"/>
      <c r="W196" s="347"/>
    </row>
    <row r="197" spans="1:29" ht="28.5" customHeight="1" x14ac:dyDescent="0.35">
      <c r="B197" s="90"/>
      <c r="C197" s="86"/>
      <c r="D197" s="343" t="str">
        <f>VLOOKUP(D196,Schlüssel!$A$5:$K$14,2)</f>
        <v>EPA München 1</v>
      </c>
      <c r="E197" s="344"/>
      <c r="F197" s="343" t="str">
        <f>VLOOKUP(F196,Schlüssel!$A$5:$K$14,2)</f>
        <v>Highroller Rosenheim</v>
      </c>
      <c r="G197" s="344"/>
      <c r="H197" s="343" t="str">
        <f>VLOOKUP(H196,Schlüssel!$A$5:$K$14,2)</f>
        <v>Phönix 03 Lauf</v>
      </c>
      <c r="I197" s="344"/>
      <c r="J197" s="343" t="str">
        <f>VLOOKUP(J196,Schlüssel!$A$5:$K$14,2)</f>
        <v>BK München 3</v>
      </c>
      <c r="K197" s="344"/>
      <c r="L197" s="343" t="str">
        <f>VLOOKUP(L196,Schlüssel!$A$5:$K$14,2)</f>
        <v>BK München 4</v>
      </c>
      <c r="M197" s="344"/>
      <c r="N197" s="343" t="str">
        <f>VLOOKUP(N196,Schlüssel!$A$5:$K$14,2)</f>
        <v>BK München 2</v>
      </c>
      <c r="O197" s="344"/>
      <c r="P197" s="343" t="str">
        <f>VLOOKUP(P196,Schlüssel!$A$5:$K$14,2)</f>
        <v>RW Lichtenhof 69 Stein 2</v>
      </c>
      <c r="Q197" s="344"/>
      <c r="R197" s="343" t="str">
        <f>VLOOKUP(R196,Schlüssel!$A$5:$K$14,2)</f>
        <v xml:space="preserve">Weiß Blau Unterföhring </v>
      </c>
      <c r="S197" s="344"/>
      <c r="T197" s="343" t="str">
        <f>VLOOKUP(T196,Schlüssel!$A$5:$K$14,2)</f>
        <v>Praetoria Regensburg</v>
      </c>
      <c r="U197" s="344"/>
      <c r="V197" s="345"/>
      <c r="W197" s="345"/>
    </row>
    <row r="198" spans="1:29" ht="12" customHeight="1" x14ac:dyDescent="0.35">
      <c r="B198" s="90"/>
      <c r="C198" s="86"/>
      <c r="D198" s="341"/>
      <c r="E198" s="341"/>
      <c r="F198" s="341"/>
      <c r="G198" s="341"/>
      <c r="H198" s="341"/>
      <c r="I198" s="341"/>
      <c r="J198" s="341"/>
      <c r="K198" s="341"/>
      <c r="L198" s="341"/>
      <c r="M198" s="341"/>
      <c r="N198" s="341"/>
      <c r="O198" s="341"/>
      <c r="P198" s="341"/>
      <c r="Q198" s="341"/>
      <c r="R198" s="341"/>
      <c r="S198" s="341"/>
      <c r="T198" s="341"/>
      <c r="U198" s="342"/>
      <c r="V198" s="301"/>
      <c r="W198" s="301"/>
    </row>
    <row r="199" spans="1:29" ht="16.05" customHeight="1" x14ac:dyDescent="0.35">
      <c r="B199" s="91" t="s">
        <v>0</v>
      </c>
      <c r="C199" s="92"/>
      <c r="D199" s="339"/>
      <c r="E199" s="339"/>
      <c r="F199" s="339"/>
      <c r="G199" s="339"/>
      <c r="H199" s="339"/>
      <c r="I199" s="339"/>
      <c r="J199" s="339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40"/>
      <c r="W199" s="340"/>
    </row>
    <row r="200" spans="1:29" ht="16.05" customHeight="1" x14ac:dyDescent="0.35">
      <c r="B200" s="91" t="s">
        <v>2</v>
      </c>
      <c r="C200" s="92"/>
      <c r="D200" s="339"/>
      <c r="E200" s="339"/>
      <c r="F200" s="339"/>
      <c r="G200" s="339"/>
      <c r="H200" s="339"/>
      <c r="I200" s="339"/>
      <c r="J200" s="339"/>
      <c r="K200" s="33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40"/>
      <c r="W200" s="340"/>
    </row>
    <row r="201" spans="1:29" ht="16.05" customHeight="1" x14ac:dyDescent="0.35">
      <c r="B201" s="91" t="s">
        <v>3</v>
      </c>
      <c r="C201" s="92"/>
      <c r="D201" s="339"/>
      <c r="E201" s="339"/>
      <c r="F201" s="339"/>
      <c r="G201" s="339"/>
      <c r="H201" s="339"/>
      <c r="I201" s="339"/>
      <c r="J201" s="339"/>
      <c r="K201" s="339"/>
      <c r="L201" s="339"/>
      <c r="M201" s="339"/>
      <c r="N201" s="339"/>
      <c r="O201" s="339"/>
      <c r="P201" s="339"/>
      <c r="Q201" s="339"/>
      <c r="R201" s="339"/>
      <c r="S201" s="339"/>
      <c r="T201" s="339"/>
      <c r="U201" s="339"/>
      <c r="V201" s="340"/>
      <c r="W201" s="340"/>
    </row>
    <row r="202" spans="1:29" ht="16.05" customHeight="1" x14ac:dyDescent="0.35">
      <c r="B202" s="91" t="s">
        <v>11</v>
      </c>
      <c r="C202" s="92"/>
      <c r="D202" s="339"/>
      <c r="E202" s="339"/>
      <c r="F202" s="339"/>
      <c r="G202" s="339"/>
      <c r="H202" s="339"/>
      <c r="I202" s="339"/>
      <c r="J202" s="339"/>
      <c r="K202" s="339"/>
      <c r="L202" s="339"/>
      <c r="M202" s="339"/>
      <c r="N202" s="339"/>
      <c r="O202" s="339"/>
      <c r="P202" s="339"/>
      <c r="Q202" s="339"/>
      <c r="R202" s="339"/>
      <c r="S202" s="339"/>
      <c r="T202" s="339"/>
      <c r="U202" s="339"/>
      <c r="V202" s="340"/>
      <c r="W202" s="340"/>
    </row>
    <row r="203" spans="1:29" ht="16.05" customHeight="1" x14ac:dyDescent="0.35">
      <c r="B203" s="93" t="s">
        <v>1799</v>
      </c>
      <c r="C203" s="94"/>
      <c r="D203" s="338"/>
      <c r="E203" s="338"/>
      <c r="F203" s="338"/>
      <c r="G203" s="338"/>
      <c r="H203" s="338"/>
      <c r="I203" s="338"/>
      <c r="J203" s="338"/>
      <c r="K203" s="338"/>
      <c r="L203" s="338"/>
      <c r="M203" s="338"/>
      <c r="N203" s="338"/>
      <c r="O203" s="338"/>
      <c r="P203" s="338"/>
      <c r="Q203" s="338"/>
      <c r="R203" s="338"/>
      <c r="S203" s="338"/>
      <c r="T203" s="338"/>
      <c r="U203" s="338"/>
      <c r="V203" s="290"/>
      <c r="W203" s="290"/>
    </row>
    <row r="204" spans="1:29" ht="21" customHeight="1" x14ac:dyDescent="0.7">
      <c r="B204" s="44" t="s">
        <v>1813</v>
      </c>
      <c r="C204" s="45"/>
      <c r="D204" s="46" t="s">
        <v>1792</v>
      </c>
      <c r="E204" s="47"/>
      <c r="F204" s="359" t="str">
        <f>Schlüssel!$C$1</f>
        <v>Bayernliga Frauen</v>
      </c>
      <c r="G204" s="359"/>
      <c r="H204" s="359"/>
      <c r="I204" s="359"/>
      <c r="J204" s="359"/>
      <c r="K204" s="359"/>
      <c r="L204" s="359"/>
      <c r="M204" s="359"/>
      <c r="N204" s="359"/>
      <c r="O204" s="359"/>
      <c r="P204" s="45"/>
      <c r="Q204" s="45"/>
      <c r="R204" s="48"/>
      <c r="S204" s="49" t="s">
        <v>1794</v>
      </c>
      <c r="T204" s="50"/>
      <c r="U204" s="360" t="str">
        <f>Schlüssel!$CO$1</f>
        <v>15.03./16.03.</v>
      </c>
      <c r="V204" s="361"/>
      <c r="W204" s="362"/>
      <c r="AC204" s="51"/>
    </row>
    <row r="205" spans="1:29" ht="17.25" customHeight="1" thickBot="1" x14ac:dyDescent="0.65">
      <c r="A205" s="52"/>
      <c r="B205" s="96">
        <f>+B176+1</f>
        <v>8</v>
      </c>
      <c r="D205" s="46" t="s">
        <v>1793</v>
      </c>
      <c r="E205" s="54"/>
      <c r="F205" s="358" t="str">
        <f>Schlüssel!$CE$2</f>
        <v>Brunnthal Max Munich</v>
      </c>
      <c r="G205" s="358"/>
      <c r="H205" s="358"/>
      <c r="I205" s="358"/>
      <c r="J205" s="358"/>
      <c r="K205" s="358"/>
      <c r="L205" s="358"/>
      <c r="M205" s="358"/>
      <c r="N205" s="358"/>
      <c r="O205" s="358"/>
      <c r="P205" s="55"/>
      <c r="Q205" s="55"/>
      <c r="S205" s="49" t="s">
        <v>1791</v>
      </c>
      <c r="T205" s="56">
        <v>5</v>
      </c>
      <c r="U205" s="50"/>
      <c r="V205" s="50"/>
      <c r="AC205" s="97"/>
    </row>
    <row r="206" spans="1:29" ht="15.75" customHeight="1" thickBot="1" x14ac:dyDescent="0.4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5" thickBot="1" x14ac:dyDescent="0.45">
      <c r="A207" s="2"/>
      <c r="B207" s="44"/>
      <c r="C207" s="63"/>
      <c r="D207" s="64" t="s">
        <v>10</v>
      </c>
      <c r="E207" s="44">
        <f>VLOOKUP($B205,Schlüssel!$A$5:$DZ$14,93)</f>
        <v>2</v>
      </c>
      <c r="F207" s="65" t="s">
        <v>10</v>
      </c>
      <c r="G207" s="44">
        <f>VLOOKUP($B205,Schlüssel!$A$5:$DZ$14,94)</f>
        <v>4</v>
      </c>
      <c r="H207" s="65" t="s">
        <v>10</v>
      </c>
      <c r="I207" s="44">
        <f>VLOOKUP($B205,Schlüssel!$A$5:$DZ$14,95)</f>
        <v>5</v>
      </c>
      <c r="J207" s="65" t="s">
        <v>10</v>
      </c>
      <c r="K207" s="44">
        <f>VLOOKUP($B205,Schlüssel!$A$5:$DZ$14,96)</f>
        <v>1</v>
      </c>
      <c r="L207" s="65" t="s">
        <v>10</v>
      </c>
      <c r="M207" s="44">
        <f>VLOOKUP($B205,Schlüssel!$A$5:$DZ$14,97)</f>
        <v>8</v>
      </c>
      <c r="N207" s="65" t="s">
        <v>10</v>
      </c>
      <c r="O207" s="44">
        <f>VLOOKUP($B205,Schlüssel!$A$5:$DZ$14,98)</f>
        <v>10</v>
      </c>
      <c r="P207" s="65" t="s">
        <v>10</v>
      </c>
      <c r="Q207" s="44">
        <f>VLOOKUP($B205,Schlüssel!$A$5:$DZ$14,99)</f>
        <v>3</v>
      </c>
      <c r="R207" s="65" t="s">
        <v>10</v>
      </c>
      <c r="S207" s="44">
        <f>VLOOKUP($B205,Schlüssel!$A$5:$DZ$14,100)</f>
        <v>6</v>
      </c>
      <c r="T207" s="65" t="s">
        <v>10</v>
      </c>
      <c r="U207" s="66">
        <f>VLOOKUP($B205,Schlüssel!$A$5:$DZ$14,101)</f>
        <v>9</v>
      </c>
    </row>
    <row r="208" spans="1:29" ht="20.25" customHeight="1" x14ac:dyDescent="0.35">
      <c r="B208" s="67" t="s">
        <v>1</v>
      </c>
      <c r="C208" s="68"/>
      <c r="D208" s="354" t="s">
        <v>1800</v>
      </c>
      <c r="E208" s="355"/>
      <c r="F208" s="354" t="s">
        <v>1801</v>
      </c>
      <c r="G208" s="355"/>
      <c r="H208" s="354" t="s">
        <v>1802</v>
      </c>
      <c r="I208" s="355"/>
      <c r="J208" s="354" t="s">
        <v>1803</v>
      </c>
      <c r="K208" s="355"/>
      <c r="L208" s="354" t="s">
        <v>1804</v>
      </c>
      <c r="M208" s="355"/>
      <c r="N208" s="354" t="s">
        <v>1805</v>
      </c>
      <c r="O208" s="355"/>
      <c r="P208" s="354" t="s">
        <v>1806</v>
      </c>
      <c r="Q208" s="355"/>
      <c r="R208" s="354" t="s">
        <v>1807</v>
      </c>
      <c r="S208" s="355"/>
      <c r="T208" s="354" t="s">
        <v>1808</v>
      </c>
      <c r="U208" s="355"/>
      <c r="V208" s="356" t="s">
        <v>1799</v>
      </c>
      <c r="W208" s="357"/>
    </row>
    <row r="209" spans="1:23" ht="15" customHeight="1" thickBot="1" x14ac:dyDescent="0.4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2" customHeight="1" x14ac:dyDescent="0.35">
      <c r="A210" s="351" t="s">
        <v>0</v>
      </c>
      <c r="B210" s="73"/>
      <c r="C210" s="74"/>
      <c r="D210" s="75"/>
      <c r="E210" s="348"/>
      <c r="F210" s="75"/>
      <c r="G210" s="348"/>
      <c r="H210" s="75"/>
      <c r="I210" s="348"/>
      <c r="J210" s="75"/>
      <c r="K210" s="348"/>
      <c r="L210" s="75"/>
      <c r="M210" s="348"/>
      <c r="N210" s="75"/>
      <c r="O210" s="348"/>
      <c r="P210" s="75"/>
      <c r="Q210" s="348"/>
      <c r="R210" s="75"/>
      <c r="S210" s="348"/>
      <c r="T210" s="75"/>
      <c r="U210" s="348"/>
      <c r="V210" s="75"/>
      <c r="W210" s="348"/>
    </row>
    <row r="211" spans="1:23" ht="17.2" customHeight="1" x14ac:dyDescent="0.35">
      <c r="A211" s="352"/>
      <c r="B211" s="76"/>
      <c r="C211" s="77"/>
      <c r="D211" s="78"/>
      <c r="E211" s="349"/>
      <c r="F211" s="78"/>
      <c r="G211" s="349"/>
      <c r="H211" s="78"/>
      <c r="I211" s="349"/>
      <c r="J211" s="78"/>
      <c r="K211" s="349"/>
      <c r="L211" s="78"/>
      <c r="M211" s="349"/>
      <c r="N211" s="78"/>
      <c r="O211" s="349"/>
      <c r="P211" s="78"/>
      <c r="Q211" s="349"/>
      <c r="R211" s="78"/>
      <c r="S211" s="349"/>
      <c r="T211" s="78"/>
      <c r="U211" s="349"/>
      <c r="V211" s="78"/>
      <c r="W211" s="349"/>
    </row>
    <row r="212" spans="1:23" ht="17.2" customHeight="1" thickBot="1" x14ac:dyDescent="0.4">
      <c r="A212" s="353"/>
      <c r="B212" s="79"/>
      <c r="C212" s="80"/>
      <c r="D212" s="69"/>
      <c r="E212" s="350"/>
      <c r="F212" s="69"/>
      <c r="G212" s="350"/>
      <c r="H212" s="69"/>
      <c r="I212" s="350"/>
      <c r="J212" s="69"/>
      <c r="K212" s="350"/>
      <c r="L212" s="69"/>
      <c r="M212" s="350"/>
      <c r="N212" s="69"/>
      <c r="O212" s="350"/>
      <c r="P212" s="69"/>
      <c r="Q212" s="350"/>
      <c r="R212" s="69"/>
      <c r="S212" s="350"/>
      <c r="T212" s="69"/>
      <c r="U212" s="350"/>
      <c r="V212" s="69"/>
      <c r="W212" s="350"/>
    </row>
    <row r="213" spans="1:23" ht="17.2" customHeight="1" x14ac:dyDescent="0.35">
      <c r="A213" s="351" t="s">
        <v>2</v>
      </c>
      <c r="B213" s="73"/>
      <c r="C213" s="74"/>
      <c r="D213" s="75"/>
      <c r="E213" s="348"/>
      <c r="F213" s="75"/>
      <c r="G213" s="348"/>
      <c r="H213" s="75"/>
      <c r="I213" s="348"/>
      <c r="J213" s="75"/>
      <c r="K213" s="348"/>
      <c r="L213" s="75"/>
      <c r="M213" s="348"/>
      <c r="N213" s="75"/>
      <c r="O213" s="348"/>
      <c r="P213" s="75"/>
      <c r="Q213" s="348"/>
      <c r="R213" s="75"/>
      <c r="S213" s="348"/>
      <c r="T213" s="75"/>
      <c r="U213" s="348"/>
      <c r="V213" s="75"/>
      <c r="W213" s="348"/>
    </row>
    <row r="214" spans="1:23" ht="17.2" customHeight="1" x14ac:dyDescent="0.35">
      <c r="A214" s="352"/>
      <c r="B214" s="76"/>
      <c r="C214" s="77"/>
      <c r="D214" s="78"/>
      <c r="E214" s="349"/>
      <c r="F214" s="78"/>
      <c r="G214" s="349"/>
      <c r="H214" s="78"/>
      <c r="I214" s="349"/>
      <c r="J214" s="78"/>
      <c r="K214" s="349"/>
      <c r="L214" s="78"/>
      <c r="M214" s="349"/>
      <c r="N214" s="78"/>
      <c r="O214" s="349"/>
      <c r="P214" s="78"/>
      <c r="Q214" s="349"/>
      <c r="R214" s="78"/>
      <c r="S214" s="349"/>
      <c r="T214" s="78"/>
      <c r="U214" s="349"/>
      <c r="V214" s="78"/>
      <c r="W214" s="349"/>
    </row>
    <row r="215" spans="1:23" ht="17.2" customHeight="1" thickBot="1" x14ac:dyDescent="0.4">
      <c r="A215" s="353"/>
      <c r="B215" s="79"/>
      <c r="C215" s="80"/>
      <c r="D215" s="69"/>
      <c r="E215" s="350"/>
      <c r="F215" s="69"/>
      <c r="G215" s="350"/>
      <c r="H215" s="69"/>
      <c r="I215" s="350"/>
      <c r="J215" s="69"/>
      <c r="K215" s="350"/>
      <c r="L215" s="69"/>
      <c r="M215" s="350"/>
      <c r="N215" s="69"/>
      <c r="O215" s="350"/>
      <c r="P215" s="69"/>
      <c r="Q215" s="350"/>
      <c r="R215" s="69"/>
      <c r="S215" s="350"/>
      <c r="T215" s="69"/>
      <c r="U215" s="350"/>
      <c r="V215" s="69"/>
      <c r="W215" s="350"/>
    </row>
    <row r="216" spans="1:23" ht="17.2" customHeight="1" x14ac:dyDescent="0.35">
      <c r="A216" s="351" t="s">
        <v>3</v>
      </c>
      <c r="B216" s="73"/>
      <c r="C216" s="74"/>
      <c r="D216" s="75"/>
      <c r="E216" s="348"/>
      <c r="F216" s="75"/>
      <c r="G216" s="348"/>
      <c r="H216" s="75"/>
      <c r="I216" s="348"/>
      <c r="J216" s="75"/>
      <c r="K216" s="348"/>
      <c r="L216" s="75"/>
      <c r="M216" s="348"/>
      <c r="N216" s="75"/>
      <c r="O216" s="348"/>
      <c r="P216" s="75"/>
      <c r="Q216" s="348"/>
      <c r="R216" s="75"/>
      <c r="S216" s="348"/>
      <c r="T216" s="75"/>
      <c r="U216" s="348"/>
      <c r="V216" s="75"/>
      <c r="W216" s="348"/>
    </row>
    <row r="217" spans="1:23" ht="17.2" customHeight="1" x14ac:dyDescent="0.35">
      <c r="A217" s="352"/>
      <c r="B217" s="76"/>
      <c r="C217" s="77"/>
      <c r="D217" s="78"/>
      <c r="E217" s="349"/>
      <c r="F217" s="78"/>
      <c r="G217" s="349"/>
      <c r="H217" s="78"/>
      <c r="I217" s="349"/>
      <c r="J217" s="78"/>
      <c r="K217" s="349"/>
      <c r="L217" s="78"/>
      <c r="M217" s="349"/>
      <c r="N217" s="78"/>
      <c r="O217" s="349"/>
      <c r="P217" s="78"/>
      <c r="Q217" s="349"/>
      <c r="R217" s="78"/>
      <c r="S217" s="349"/>
      <c r="T217" s="78"/>
      <c r="U217" s="349"/>
      <c r="V217" s="78"/>
      <c r="W217" s="349"/>
    </row>
    <row r="218" spans="1:23" ht="17.2" customHeight="1" thickBot="1" x14ac:dyDescent="0.4">
      <c r="A218" s="353"/>
      <c r="B218" s="79"/>
      <c r="C218" s="80"/>
      <c r="D218" s="69"/>
      <c r="E218" s="350"/>
      <c r="F218" s="69"/>
      <c r="G218" s="350"/>
      <c r="H218" s="69"/>
      <c r="I218" s="350"/>
      <c r="J218" s="69"/>
      <c r="K218" s="350"/>
      <c r="L218" s="69"/>
      <c r="M218" s="350"/>
      <c r="N218" s="69"/>
      <c r="O218" s="350"/>
      <c r="P218" s="69"/>
      <c r="Q218" s="350"/>
      <c r="R218" s="69"/>
      <c r="S218" s="350"/>
      <c r="T218" s="69"/>
      <c r="U218" s="350"/>
      <c r="V218" s="69"/>
      <c r="W218" s="350"/>
    </row>
    <row r="219" spans="1:23" ht="17.2" customHeight="1" x14ac:dyDescent="0.35">
      <c r="A219" s="351" t="s">
        <v>11</v>
      </c>
      <c r="B219" s="73"/>
      <c r="C219" s="74"/>
      <c r="D219" s="75"/>
      <c r="E219" s="348"/>
      <c r="F219" s="75"/>
      <c r="G219" s="348"/>
      <c r="H219" s="75"/>
      <c r="I219" s="348"/>
      <c r="J219" s="75"/>
      <c r="K219" s="348"/>
      <c r="L219" s="75"/>
      <c r="M219" s="348"/>
      <c r="N219" s="75"/>
      <c r="O219" s="348"/>
      <c r="P219" s="75"/>
      <c r="Q219" s="348"/>
      <c r="R219" s="75"/>
      <c r="S219" s="348"/>
      <c r="T219" s="75"/>
      <c r="U219" s="348"/>
      <c r="V219" s="75"/>
      <c r="W219" s="348"/>
    </row>
    <row r="220" spans="1:23" ht="17.2" customHeight="1" x14ac:dyDescent="0.35">
      <c r="A220" s="352"/>
      <c r="B220" s="76"/>
      <c r="C220" s="77"/>
      <c r="D220" s="78"/>
      <c r="E220" s="349"/>
      <c r="F220" s="78"/>
      <c r="G220" s="349"/>
      <c r="H220" s="78"/>
      <c r="I220" s="349"/>
      <c r="J220" s="78"/>
      <c r="K220" s="349"/>
      <c r="L220" s="78"/>
      <c r="M220" s="349"/>
      <c r="N220" s="78"/>
      <c r="O220" s="349"/>
      <c r="P220" s="78"/>
      <c r="Q220" s="349"/>
      <c r="R220" s="78"/>
      <c r="S220" s="349"/>
      <c r="T220" s="78"/>
      <c r="U220" s="349"/>
      <c r="V220" s="78"/>
      <c r="W220" s="349"/>
    </row>
    <row r="221" spans="1:23" ht="17.2" customHeight="1" thickBot="1" x14ac:dyDescent="0.4">
      <c r="A221" s="353"/>
      <c r="B221" s="79"/>
      <c r="C221" s="80"/>
      <c r="D221" s="69"/>
      <c r="E221" s="350"/>
      <c r="F221" s="69"/>
      <c r="G221" s="350"/>
      <c r="H221" s="69"/>
      <c r="I221" s="350"/>
      <c r="J221" s="69"/>
      <c r="K221" s="350"/>
      <c r="L221" s="69"/>
      <c r="M221" s="350"/>
      <c r="N221" s="69"/>
      <c r="O221" s="350"/>
      <c r="P221" s="69"/>
      <c r="Q221" s="350"/>
      <c r="R221" s="69"/>
      <c r="S221" s="350"/>
      <c r="T221" s="69"/>
      <c r="U221" s="350"/>
      <c r="V221" s="69"/>
      <c r="W221" s="350"/>
    </row>
    <row r="222" spans="1:23" ht="27.75" customHeight="1" thickBot="1" x14ac:dyDescent="0.4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4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3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35">
      <c r="B225" s="88" t="s">
        <v>1797</v>
      </c>
      <c r="C225" s="89" t="s">
        <v>1798</v>
      </c>
      <c r="D225" s="346">
        <f>VLOOKUP(B205,Schlüssel!$A$5:$DZ$14,83)</f>
        <v>7</v>
      </c>
      <c r="E225" s="346"/>
      <c r="F225" s="346">
        <f>VLOOKUP(B205,Schlüssel!$A$5:$DZ$14,84)</f>
        <v>4</v>
      </c>
      <c r="G225" s="346"/>
      <c r="H225" s="346">
        <f>VLOOKUP(B205,Schlüssel!$A$5:$DZ$14,85)</f>
        <v>9</v>
      </c>
      <c r="I225" s="346"/>
      <c r="J225" s="346">
        <f>VLOOKUP(B205,Schlüssel!$A$5:$DZ$14,86)</f>
        <v>6</v>
      </c>
      <c r="K225" s="346"/>
      <c r="L225" s="346">
        <f>VLOOKUP(B205,Schlüssel!$A$5:$DZ$14,87)</f>
        <v>3</v>
      </c>
      <c r="M225" s="346"/>
      <c r="N225" s="346">
        <f>VLOOKUP(B205,Schlüssel!$A$5:$DZ$14,88)</f>
        <v>5</v>
      </c>
      <c r="O225" s="346"/>
      <c r="P225" s="346">
        <f>VLOOKUP(B205,Schlüssel!$A$5:$DZ$14,89)</f>
        <v>2</v>
      </c>
      <c r="Q225" s="346"/>
      <c r="R225" s="346">
        <f>VLOOKUP(B205,Schlüssel!$A$5:$DZ$14,90)</f>
        <v>1</v>
      </c>
      <c r="S225" s="346"/>
      <c r="T225" s="346">
        <f>VLOOKUP(B205,Schlüssel!$A$5:$DZ$14,91)</f>
        <v>10</v>
      </c>
      <c r="U225" s="346"/>
      <c r="V225" s="347"/>
      <c r="W225" s="347"/>
    </row>
    <row r="226" spans="1:29" ht="28.5" customHeight="1" x14ac:dyDescent="0.35">
      <c r="B226" s="90"/>
      <c r="C226" s="86"/>
      <c r="D226" s="343" t="str">
        <f>VLOOKUP(D225,Schlüssel!$A$5:$K$14,2)</f>
        <v>Frankenpower Nürnberg</v>
      </c>
      <c r="E226" s="344"/>
      <c r="F226" s="343" t="str">
        <f>VLOOKUP(F225,Schlüssel!$A$5:$K$14,2)</f>
        <v>BK München 3</v>
      </c>
      <c r="G226" s="344"/>
      <c r="H226" s="343" t="str">
        <f>VLOOKUP(H225,Schlüssel!$A$5:$K$14,2)</f>
        <v>RW Lichtenhof 69 Stein 2</v>
      </c>
      <c r="I226" s="344"/>
      <c r="J226" s="343" t="str">
        <f>VLOOKUP(J225,Schlüssel!$A$5:$K$14,2)</f>
        <v>Phönix 03 Lauf</v>
      </c>
      <c r="K226" s="344"/>
      <c r="L226" s="343" t="str">
        <f>VLOOKUP(L225,Schlüssel!$A$5:$K$14,2)</f>
        <v>Highroller Rosenheim</v>
      </c>
      <c r="M226" s="344"/>
      <c r="N226" s="343" t="str">
        <f>VLOOKUP(N225,Schlüssel!$A$5:$K$14,2)</f>
        <v xml:space="preserve">Weiß Blau Unterföhring </v>
      </c>
      <c r="O226" s="344"/>
      <c r="P226" s="343" t="str">
        <f>VLOOKUP(P225,Schlüssel!$A$5:$K$14,2)</f>
        <v>BK München 2</v>
      </c>
      <c r="Q226" s="344"/>
      <c r="R226" s="343" t="str">
        <f>VLOOKUP(R225,Schlüssel!$A$5:$K$14,2)</f>
        <v>Praetoria Regensburg</v>
      </c>
      <c r="S226" s="344"/>
      <c r="T226" s="343" t="str">
        <f>VLOOKUP(T225,Schlüssel!$A$5:$K$14,2)</f>
        <v>BK München 4</v>
      </c>
      <c r="U226" s="344"/>
      <c r="V226" s="345"/>
      <c r="W226" s="345"/>
    </row>
    <row r="227" spans="1:29" ht="12" customHeight="1" x14ac:dyDescent="0.35">
      <c r="B227" s="90"/>
      <c r="C227" s="86"/>
      <c r="D227" s="341"/>
      <c r="E227" s="341"/>
      <c r="F227" s="341"/>
      <c r="G227" s="341"/>
      <c r="H227" s="341"/>
      <c r="I227" s="341"/>
      <c r="J227" s="341"/>
      <c r="K227" s="341"/>
      <c r="L227" s="341"/>
      <c r="M227" s="341"/>
      <c r="N227" s="341"/>
      <c r="O227" s="341"/>
      <c r="P227" s="341"/>
      <c r="Q227" s="341"/>
      <c r="R227" s="341"/>
      <c r="S227" s="341"/>
      <c r="T227" s="341"/>
      <c r="U227" s="342"/>
      <c r="V227" s="301"/>
      <c r="W227" s="301"/>
    </row>
    <row r="228" spans="1:29" ht="16.05" customHeight="1" x14ac:dyDescent="0.35">
      <c r="B228" s="91" t="s">
        <v>0</v>
      </c>
      <c r="C228" s="92"/>
      <c r="D228" s="339"/>
      <c r="E228" s="339"/>
      <c r="F228" s="339"/>
      <c r="G228" s="339"/>
      <c r="H228" s="339"/>
      <c r="I228" s="339"/>
      <c r="J228" s="339"/>
      <c r="K228" s="339"/>
      <c r="L228" s="339"/>
      <c r="M228" s="339"/>
      <c r="N228" s="339"/>
      <c r="O228" s="339"/>
      <c r="P228" s="339"/>
      <c r="Q228" s="339"/>
      <c r="R228" s="339"/>
      <c r="S228" s="339"/>
      <c r="T228" s="339"/>
      <c r="U228" s="339"/>
      <c r="V228" s="340"/>
      <c r="W228" s="340"/>
    </row>
    <row r="229" spans="1:29" ht="16.05" customHeight="1" x14ac:dyDescent="0.35">
      <c r="B229" s="91" t="s">
        <v>2</v>
      </c>
      <c r="C229" s="92"/>
      <c r="D229" s="339"/>
      <c r="E229" s="339"/>
      <c r="F229" s="339"/>
      <c r="G229" s="339"/>
      <c r="H229" s="339"/>
      <c r="I229" s="339"/>
      <c r="J229" s="339"/>
      <c r="K229" s="339"/>
      <c r="L229" s="339"/>
      <c r="M229" s="339"/>
      <c r="N229" s="339"/>
      <c r="O229" s="339"/>
      <c r="P229" s="339"/>
      <c r="Q229" s="339"/>
      <c r="R229" s="339"/>
      <c r="S229" s="339"/>
      <c r="T229" s="339"/>
      <c r="U229" s="339"/>
      <c r="V229" s="340"/>
      <c r="W229" s="340"/>
    </row>
    <row r="230" spans="1:29" ht="16.05" customHeight="1" x14ac:dyDescent="0.35">
      <c r="B230" s="91" t="s">
        <v>3</v>
      </c>
      <c r="C230" s="92"/>
      <c r="D230" s="339"/>
      <c r="E230" s="339"/>
      <c r="F230" s="339"/>
      <c r="G230" s="339"/>
      <c r="H230" s="339"/>
      <c r="I230" s="339"/>
      <c r="J230" s="339"/>
      <c r="K230" s="339"/>
      <c r="L230" s="339"/>
      <c r="M230" s="339"/>
      <c r="N230" s="339"/>
      <c r="O230" s="339"/>
      <c r="P230" s="339"/>
      <c r="Q230" s="339"/>
      <c r="R230" s="339"/>
      <c r="S230" s="339"/>
      <c r="T230" s="339"/>
      <c r="U230" s="339"/>
      <c r="V230" s="340"/>
      <c r="W230" s="340"/>
    </row>
    <row r="231" spans="1:29" ht="16.05" customHeight="1" x14ac:dyDescent="0.35">
      <c r="B231" s="91" t="s">
        <v>11</v>
      </c>
      <c r="C231" s="92"/>
      <c r="D231" s="339"/>
      <c r="E231" s="339"/>
      <c r="F231" s="339"/>
      <c r="G231" s="339"/>
      <c r="H231" s="339"/>
      <c r="I231" s="339"/>
      <c r="J231" s="339"/>
      <c r="K231" s="339"/>
      <c r="L231" s="339"/>
      <c r="M231" s="339"/>
      <c r="N231" s="339"/>
      <c r="O231" s="339"/>
      <c r="P231" s="339"/>
      <c r="Q231" s="339"/>
      <c r="R231" s="339"/>
      <c r="S231" s="339"/>
      <c r="T231" s="339"/>
      <c r="U231" s="339"/>
      <c r="V231" s="340"/>
      <c r="W231" s="340"/>
    </row>
    <row r="232" spans="1:29" ht="16.05" customHeight="1" x14ac:dyDescent="0.35">
      <c r="B232" s="93" t="s">
        <v>1799</v>
      </c>
      <c r="C232" s="94"/>
      <c r="D232" s="338"/>
      <c r="E232" s="338"/>
      <c r="F232" s="338"/>
      <c r="G232" s="338"/>
      <c r="H232" s="338"/>
      <c r="I232" s="338"/>
      <c r="J232" s="338"/>
      <c r="K232" s="338"/>
      <c r="L232" s="338"/>
      <c r="M232" s="338"/>
      <c r="N232" s="338"/>
      <c r="O232" s="338"/>
      <c r="P232" s="338"/>
      <c r="Q232" s="338"/>
      <c r="R232" s="338"/>
      <c r="S232" s="338"/>
      <c r="T232" s="338"/>
      <c r="U232" s="338"/>
      <c r="V232" s="290"/>
      <c r="W232" s="290"/>
    </row>
    <row r="233" spans="1:29" ht="21" customHeight="1" x14ac:dyDescent="0.7">
      <c r="B233" s="44" t="s">
        <v>1813</v>
      </c>
      <c r="C233" s="45"/>
      <c r="D233" s="46" t="s">
        <v>1792</v>
      </c>
      <c r="E233" s="47"/>
      <c r="F233" s="359" t="str">
        <f>Schlüssel!$C$1</f>
        <v>Bayernliga Frauen</v>
      </c>
      <c r="G233" s="359"/>
      <c r="H233" s="359"/>
      <c r="I233" s="359"/>
      <c r="J233" s="359"/>
      <c r="K233" s="359"/>
      <c r="L233" s="359"/>
      <c r="M233" s="359"/>
      <c r="N233" s="359"/>
      <c r="O233" s="359"/>
      <c r="P233" s="45"/>
      <c r="Q233" s="45"/>
      <c r="R233" s="48"/>
      <c r="S233" s="49" t="s">
        <v>1794</v>
      </c>
      <c r="T233" s="50"/>
      <c r="U233" s="360" t="str">
        <f>Schlüssel!$CO$1</f>
        <v>15.03./16.03.</v>
      </c>
      <c r="V233" s="361"/>
      <c r="W233" s="362"/>
      <c r="AC233" s="51"/>
    </row>
    <row r="234" spans="1:29" ht="17.25" customHeight="1" thickBot="1" x14ac:dyDescent="0.65">
      <c r="A234" s="52"/>
      <c r="B234" s="96">
        <f>+B205+1</f>
        <v>9</v>
      </c>
      <c r="D234" s="46" t="s">
        <v>1793</v>
      </c>
      <c r="E234" s="54"/>
      <c r="F234" s="358" t="str">
        <f>Schlüssel!$CE$2</f>
        <v>Brunnthal Max Munich</v>
      </c>
      <c r="G234" s="358"/>
      <c r="H234" s="358"/>
      <c r="I234" s="358"/>
      <c r="J234" s="358"/>
      <c r="K234" s="358"/>
      <c r="L234" s="358"/>
      <c r="M234" s="358"/>
      <c r="N234" s="358"/>
      <c r="O234" s="358"/>
      <c r="P234" s="55"/>
      <c r="Q234" s="55"/>
      <c r="S234" s="49" t="s">
        <v>1791</v>
      </c>
      <c r="T234" s="56">
        <v>5</v>
      </c>
      <c r="U234" s="50"/>
      <c r="V234" s="50"/>
      <c r="AC234" s="97"/>
    </row>
    <row r="235" spans="1:29" ht="15.75" customHeight="1" thickBot="1" x14ac:dyDescent="0.4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5" thickBot="1" x14ac:dyDescent="0.45">
      <c r="A236" s="2"/>
      <c r="B236" s="44"/>
      <c r="C236" s="63"/>
      <c r="D236" s="64" t="s">
        <v>10</v>
      </c>
      <c r="E236" s="44">
        <f>VLOOKUP($B234,Schlüssel!$A$5:$DZ$14,93)</f>
        <v>4</v>
      </c>
      <c r="F236" s="65" t="s">
        <v>10</v>
      </c>
      <c r="G236" s="44">
        <f>VLOOKUP($B234,Schlüssel!$A$5:$DZ$14,94)</f>
        <v>8</v>
      </c>
      <c r="H236" s="65" t="s">
        <v>10</v>
      </c>
      <c r="I236" s="44">
        <f>VLOOKUP($B234,Schlüssel!$A$5:$DZ$14,95)</f>
        <v>6</v>
      </c>
      <c r="J236" s="65" t="s">
        <v>10</v>
      </c>
      <c r="K236" s="44">
        <f>VLOOKUP($B234,Schlüssel!$A$5:$DZ$14,96)</f>
        <v>9</v>
      </c>
      <c r="L236" s="65" t="s">
        <v>10</v>
      </c>
      <c r="M236" s="44">
        <f>VLOOKUP($B234,Schlüssel!$A$5:$DZ$14,97)</f>
        <v>3</v>
      </c>
      <c r="N236" s="65" t="s">
        <v>10</v>
      </c>
      <c r="O236" s="44">
        <f>VLOOKUP($B234,Schlüssel!$A$5:$DZ$14,98)</f>
        <v>2</v>
      </c>
      <c r="P236" s="65" t="s">
        <v>10</v>
      </c>
      <c r="Q236" s="44">
        <f>VLOOKUP($B234,Schlüssel!$A$5:$DZ$14,99)</f>
        <v>5</v>
      </c>
      <c r="R236" s="65" t="s">
        <v>10</v>
      </c>
      <c r="S236" s="44">
        <f>VLOOKUP($B234,Schlüssel!$A$5:$DZ$14,100)</f>
        <v>10</v>
      </c>
      <c r="T236" s="65" t="s">
        <v>10</v>
      </c>
      <c r="U236" s="66">
        <f>VLOOKUP($B234,Schlüssel!$A$5:$DZ$14,101)</f>
        <v>7</v>
      </c>
    </row>
    <row r="237" spans="1:29" ht="20.25" customHeight="1" x14ac:dyDescent="0.35">
      <c r="B237" s="67" t="s">
        <v>1</v>
      </c>
      <c r="C237" s="68"/>
      <c r="D237" s="354" t="s">
        <v>1800</v>
      </c>
      <c r="E237" s="355"/>
      <c r="F237" s="354" t="s">
        <v>1801</v>
      </c>
      <c r="G237" s="355"/>
      <c r="H237" s="354" t="s">
        <v>1802</v>
      </c>
      <c r="I237" s="355"/>
      <c r="J237" s="354" t="s">
        <v>1803</v>
      </c>
      <c r="K237" s="355"/>
      <c r="L237" s="354" t="s">
        <v>1804</v>
      </c>
      <c r="M237" s="355"/>
      <c r="N237" s="354" t="s">
        <v>1805</v>
      </c>
      <c r="O237" s="355"/>
      <c r="P237" s="354" t="s">
        <v>1806</v>
      </c>
      <c r="Q237" s="355"/>
      <c r="R237" s="354" t="s">
        <v>1807</v>
      </c>
      <c r="S237" s="355"/>
      <c r="T237" s="354" t="s">
        <v>1808</v>
      </c>
      <c r="U237" s="355"/>
      <c r="V237" s="356" t="s">
        <v>1799</v>
      </c>
      <c r="W237" s="357"/>
    </row>
    <row r="238" spans="1:29" ht="15" customHeight="1" thickBot="1" x14ac:dyDescent="0.4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2" customHeight="1" x14ac:dyDescent="0.35">
      <c r="A239" s="351" t="s">
        <v>0</v>
      </c>
      <c r="B239" s="73"/>
      <c r="C239" s="74"/>
      <c r="D239" s="75"/>
      <c r="E239" s="348"/>
      <c r="F239" s="75"/>
      <c r="G239" s="348"/>
      <c r="H239" s="75"/>
      <c r="I239" s="348"/>
      <c r="J239" s="75"/>
      <c r="K239" s="348"/>
      <c r="L239" s="75"/>
      <c r="M239" s="348"/>
      <c r="N239" s="75"/>
      <c r="O239" s="348"/>
      <c r="P239" s="75"/>
      <c r="Q239" s="348"/>
      <c r="R239" s="75"/>
      <c r="S239" s="348"/>
      <c r="T239" s="75"/>
      <c r="U239" s="348"/>
      <c r="V239" s="75"/>
      <c r="W239" s="348"/>
    </row>
    <row r="240" spans="1:29" ht="17.2" customHeight="1" x14ac:dyDescent="0.35">
      <c r="A240" s="352"/>
      <c r="B240" s="76"/>
      <c r="C240" s="77"/>
      <c r="D240" s="78"/>
      <c r="E240" s="349"/>
      <c r="F240" s="78"/>
      <c r="G240" s="349"/>
      <c r="H240" s="78"/>
      <c r="I240" s="349"/>
      <c r="J240" s="78"/>
      <c r="K240" s="349"/>
      <c r="L240" s="78"/>
      <c r="M240" s="349"/>
      <c r="N240" s="78"/>
      <c r="O240" s="349"/>
      <c r="P240" s="78"/>
      <c r="Q240" s="349"/>
      <c r="R240" s="78"/>
      <c r="S240" s="349"/>
      <c r="T240" s="78"/>
      <c r="U240" s="349"/>
      <c r="V240" s="78"/>
      <c r="W240" s="349"/>
    </row>
    <row r="241" spans="1:23" ht="17.2" customHeight="1" thickBot="1" x14ac:dyDescent="0.4">
      <c r="A241" s="353"/>
      <c r="B241" s="79"/>
      <c r="C241" s="80"/>
      <c r="D241" s="69"/>
      <c r="E241" s="350"/>
      <c r="F241" s="69"/>
      <c r="G241" s="350"/>
      <c r="H241" s="69"/>
      <c r="I241" s="350"/>
      <c r="J241" s="69"/>
      <c r="K241" s="350"/>
      <c r="L241" s="69"/>
      <c r="M241" s="350"/>
      <c r="N241" s="69"/>
      <c r="O241" s="350"/>
      <c r="P241" s="69"/>
      <c r="Q241" s="350"/>
      <c r="R241" s="69"/>
      <c r="S241" s="350"/>
      <c r="T241" s="69"/>
      <c r="U241" s="350"/>
      <c r="V241" s="69"/>
      <c r="W241" s="350"/>
    </row>
    <row r="242" spans="1:23" ht="17.2" customHeight="1" x14ac:dyDescent="0.35">
      <c r="A242" s="351" t="s">
        <v>2</v>
      </c>
      <c r="B242" s="73"/>
      <c r="C242" s="74"/>
      <c r="D242" s="75"/>
      <c r="E242" s="348"/>
      <c r="F242" s="75"/>
      <c r="G242" s="348"/>
      <c r="H242" s="75"/>
      <c r="I242" s="348"/>
      <c r="J242" s="75"/>
      <c r="K242" s="348"/>
      <c r="L242" s="75"/>
      <c r="M242" s="348"/>
      <c r="N242" s="75"/>
      <c r="O242" s="348"/>
      <c r="P242" s="75"/>
      <c r="Q242" s="348"/>
      <c r="R242" s="75"/>
      <c r="S242" s="348"/>
      <c r="T242" s="75"/>
      <c r="U242" s="348"/>
      <c r="V242" s="75"/>
      <c r="W242" s="348"/>
    </row>
    <row r="243" spans="1:23" ht="17.2" customHeight="1" x14ac:dyDescent="0.35">
      <c r="A243" s="352"/>
      <c r="B243" s="76"/>
      <c r="C243" s="77"/>
      <c r="D243" s="78"/>
      <c r="E243" s="349"/>
      <c r="F243" s="78"/>
      <c r="G243" s="349"/>
      <c r="H243" s="78"/>
      <c r="I243" s="349"/>
      <c r="J243" s="78"/>
      <c r="K243" s="349"/>
      <c r="L243" s="78"/>
      <c r="M243" s="349"/>
      <c r="N243" s="78"/>
      <c r="O243" s="349"/>
      <c r="P243" s="78"/>
      <c r="Q243" s="349"/>
      <c r="R243" s="78"/>
      <c r="S243" s="349"/>
      <c r="T243" s="78"/>
      <c r="U243" s="349"/>
      <c r="V243" s="78"/>
      <c r="W243" s="349"/>
    </row>
    <row r="244" spans="1:23" ht="17.2" customHeight="1" thickBot="1" x14ac:dyDescent="0.4">
      <c r="A244" s="353"/>
      <c r="B244" s="79"/>
      <c r="C244" s="80"/>
      <c r="D244" s="69"/>
      <c r="E244" s="350"/>
      <c r="F244" s="69"/>
      <c r="G244" s="350"/>
      <c r="H244" s="69"/>
      <c r="I244" s="350"/>
      <c r="J244" s="69"/>
      <c r="K244" s="350"/>
      <c r="L244" s="69"/>
      <c r="M244" s="350"/>
      <c r="N244" s="69"/>
      <c r="O244" s="350"/>
      <c r="P244" s="69"/>
      <c r="Q244" s="350"/>
      <c r="R244" s="69"/>
      <c r="S244" s="350"/>
      <c r="T244" s="69"/>
      <c r="U244" s="350"/>
      <c r="V244" s="69"/>
      <c r="W244" s="350"/>
    </row>
    <row r="245" spans="1:23" ht="17.2" customHeight="1" x14ac:dyDescent="0.35">
      <c r="A245" s="351" t="s">
        <v>3</v>
      </c>
      <c r="B245" s="73"/>
      <c r="C245" s="74"/>
      <c r="D245" s="75"/>
      <c r="E245" s="348"/>
      <c r="F245" s="75"/>
      <c r="G245" s="348"/>
      <c r="H245" s="75"/>
      <c r="I245" s="348"/>
      <c r="J245" s="75"/>
      <c r="K245" s="348"/>
      <c r="L245" s="75"/>
      <c r="M245" s="348"/>
      <c r="N245" s="75"/>
      <c r="O245" s="348"/>
      <c r="P245" s="75"/>
      <c r="Q245" s="348"/>
      <c r="R245" s="75"/>
      <c r="S245" s="348"/>
      <c r="T245" s="75"/>
      <c r="U245" s="348"/>
      <c r="V245" s="75"/>
      <c r="W245" s="348"/>
    </row>
    <row r="246" spans="1:23" ht="17.2" customHeight="1" x14ac:dyDescent="0.35">
      <c r="A246" s="352"/>
      <c r="B246" s="76"/>
      <c r="C246" s="77"/>
      <c r="D246" s="78"/>
      <c r="E246" s="349"/>
      <c r="F246" s="78"/>
      <c r="G246" s="349"/>
      <c r="H246" s="78"/>
      <c r="I246" s="349"/>
      <c r="J246" s="78"/>
      <c r="K246" s="349"/>
      <c r="L246" s="78"/>
      <c r="M246" s="349"/>
      <c r="N246" s="78"/>
      <c r="O246" s="349"/>
      <c r="P246" s="78"/>
      <c r="Q246" s="349"/>
      <c r="R246" s="78"/>
      <c r="S246" s="349"/>
      <c r="T246" s="78"/>
      <c r="U246" s="349"/>
      <c r="V246" s="78"/>
      <c r="W246" s="349"/>
    </row>
    <row r="247" spans="1:23" ht="17.2" customHeight="1" thickBot="1" x14ac:dyDescent="0.4">
      <c r="A247" s="353"/>
      <c r="B247" s="79"/>
      <c r="C247" s="80"/>
      <c r="D247" s="69"/>
      <c r="E247" s="350"/>
      <c r="F247" s="69"/>
      <c r="G247" s="350"/>
      <c r="H247" s="69"/>
      <c r="I247" s="350"/>
      <c r="J247" s="69"/>
      <c r="K247" s="350"/>
      <c r="L247" s="69"/>
      <c r="M247" s="350"/>
      <c r="N247" s="69"/>
      <c r="O247" s="350"/>
      <c r="P247" s="69"/>
      <c r="Q247" s="350"/>
      <c r="R247" s="69"/>
      <c r="S247" s="350"/>
      <c r="T247" s="69"/>
      <c r="U247" s="350"/>
      <c r="V247" s="69"/>
      <c r="W247" s="350"/>
    </row>
    <row r="248" spans="1:23" ht="17.2" customHeight="1" x14ac:dyDescent="0.35">
      <c r="A248" s="351" t="s">
        <v>11</v>
      </c>
      <c r="B248" s="73"/>
      <c r="C248" s="74"/>
      <c r="D248" s="75"/>
      <c r="E248" s="348"/>
      <c r="F248" s="75"/>
      <c r="G248" s="348"/>
      <c r="H248" s="75"/>
      <c r="I248" s="348"/>
      <c r="J248" s="75"/>
      <c r="K248" s="348"/>
      <c r="L248" s="75"/>
      <c r="M248" s="348"/>
      <c r="N248" s="75"/>
      <c r="O248" s="348"/>
      <c r="P248" s="75"/>
      <c r="Q248" s="348"/>
      <c r="R248" s="75"/>
      <c r="S248" s="348"/>
      <c r="T248" s="75"/>
      <c r="U248" s="348"/>
      <c r="V248" s="75"/>
      <c r="W248" s="348"/>
    </row>
    <row r="249" spans="1:23" ht="17.2" customHeight="1" x14ac:dyDescent="0.35">
      <c r="A249" s="352"/>
      <c r="B249" s="76"/>
      <c r="C249" s="77"/>
      <c r="D249" s="78"/>
      <c r="E249" s="349"/>
      <c r="F249" s="78"/>
      <c r="G249" s="349"/>
      <c r="H249" s="78"/>
      <c r="I249" s="349"/>
      <c r="J249" s="78"/>
      <c r="K249" s="349"/>
      <c r="L249" s="78"/>
      <c r="M249" s="349"/>
      <c r="N249" s="78"/>
      <c r="O249" s="349"/>
      <c r="P249" s="78"/>
      <c r="Q249" s="349"/>
      <c r="R249" s="78"/>
      <c r="S249" s="349"/>
      <c r="T249" s="78"/>
      <c r="U249" s="349"/>
      <c r="V249" s="78"/>
      <c r="W249" s="349"/>
    </row>
    <row r="250" spans="1:23" ht="17.2" customHeight="1" thickBot="1" x14ac:dyDescent="0.4">
      <c r="A250" s="353"/>
      <c r="B250" s="79"/>
      <c r="C250" s="80"/>
      <c r="D250" s="69"/>
      <c r="E250" s="350"/>
      <c r="F250" s="69"/>
      <c r="G250" s="350"/>
      <c r="H250" s="69"/>
      <c r="I250" s="350"/>
      <c r="J250" s="69"/>
      <c r="K250" s="350"/>
      <c r="L250" s="69"/>
      <c r="M250" s="350"/>
      <c r="N250" s="69"/>
      <c r="O250" s="350"/>
      <c r="P250" s="69"/>
      <c r="Q250" s="350"/>
      <c r="R250" s="69"/>
      <c r="S250" s="350"/>
      <c r="T250" s="69"/>
      <c r="U250" s="350"/>
      <c r="V250" s="69"/>
      <c r="W250" s="350"/>
    </row>
    <row r="251" spans="1:23" ht="27.75" customHeight="1" thickBot="1" x14ac:dyDescent="0.4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4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3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35">
      <c r="B254" s="88" t="s">
        <v>1797</v>
      </c>
      <c r="C254" s="89" t="s">
        <v>1798</v>
      </c>
      <c r="D254" s="346">
        <f>VLOOKUP(B234,Schlüssel!$A$5:$DZ$14,83)</f>
        <v>10</v>
      </c>
      <c r="E254" s="346"/>
      <c r="F254" s="346">
        <f>VLOOKUP(B234,Schlüssel!$A$5:$DZ$14,84)</f>
        <v>2</v>
      </c>
      <c r="G254" s="346"/>
      <c r="H254" s="346">
        <f>VLOOKUP(B234,Schlüssel!$A$5:$DZ$14,85)</f>
        <v>8</v>
      </c>
      <c r="I254" s="346"/>
      <c r="J254" s="346">
        <f>VLOOKUP(B234,Schlüssel!$A$5:$DZ$14,86)</f>
        <v>1</v>
      </c>
      <c r="K254" s="346"/>
      <c r="L254" s="346">
        <f>VLOOKUP(B234,Schlüssel!$A$5:$DZ$14,87)</f>
        <v>5</v>
      </c>
      <c r="M254" s="346"/>
      <c r="N254" s="346">
        <f>VLOOKUP(B234,Schlüssel!$A$5:$DZ$14,88)</f>
        <v>6</v>
      </c>
      <c r="O254" s="346"/>
      <c r="P254" s="346">
        <f>VLOOKUP(B234,Schlüssel!$A$5:$DZ$14,89)</f>
        <v>7</v>
      </c>
      <c r="Q254" s="346"/>
      <c r="R254" s="346">
        <f>VLOOKUP(B234,Schlüssel!$A$5:$DZ$14,90)</f>
        <v>3</v>
      </c>
      <c r="S254" s="346"/>
      <c r="T254" s="346">
        <f>VLOOKUP(B234,Schlüssel!$A$5:$DZ$14,91)</f>
        <v>4</v>
      </c>
      <c r="U254" s="346"/>
      <c r="V254" s="347"/>
      <c r="W254" s="347"/>
    </row>
    <row r="255" spans="1:23" ht="28.5" customHeight="1" x14ac:dyDescent="0.35">
      <c r="B255" s="90"/>
      <c r="C255" s="86"/>
      <c r="D255" s="343" t="str">
        <f>VLOOKUP(D254,Schlüssel!$A$5:$K$14,2)</f>
        <v>BK München 4</v>
      </c>
      <c r="E255" s="344"/>
      <c r="F255" s="343" t="str">
        <f>VLOOKUP(F254,Schlüssel!$A$5:$K$14,2)</f>
        <v>BK München 2</v>
      </c>
      <c r="G255" s="344"/>
      <c r="H255" s="343" t="str">
        <f>VLOOKUP(H254,Schlüssel!$A$5:$K$14,2)</f>
        <v>EPA München 1</v>
      </c>
      <c r="I255" s="344"/>
      <c r="J255" s="343" t="str">
        <f>VLOOKUP(J254,Schlüssel!$A$5:$K$14,2)</f>
        <v>Praetoria Regensburg</v>
      </c>
      <c r="K255" s="344"/>
      <c r="L255" s="343" t="str">
        <f>VLOOKUP(L254,Schlüssel!$A$5:$K$14,2)</f>
        <v xml:space="preserve">Weiß Blau Unterföhring </v>
      </c>
      <c r="M255" s="344"/>
      <c r="N255" s="343" t="str">
        <f>VLOOKUP(N254,Schlüssel!$A$5:$K$14,2)</f>
        <v>Phönix 03 Lauf</v>
      </c>
      <c r="O255" s="344"/>
      <c r="P255" s="343" t="str">
        <f>VLOOKUP(P254,Schlüssel!$A$5:$K$14,2)</f>
        <v>Frankenpower Nürnberg</v>
      </c>
      <c r="Q255" s="344"/>
      <c r="R255" s="343" t="str">
        <f>VLOOKUP(R254,Schlüssel!$A$5:$K$14,2)</f>
        <v>Highroller Rosenheim</v>
      </c>
      <c r="S255" s="344"/>
      <c r="T255" s="343" t="str">
        <f>VLOOKUP(T254,Schlüssel!$A$5:$K$14,2)</f>
        <v>BK München 3</v>
      </c>
      <c r="U255" s="344"/>
      <c r="V255" s="345"/>
      <c r="W255" s="345"/>
    </row>
    <row r="256" spans="1:23" ht="12" customHeight="1" x14ac:dyDescent="0.35">
      <c r="B256" s="90"/>
      <c r="C256" s="86"/>
      <c r="D256" s="341"/>
      <c r="E256" s="341"/>
      <c r="F256" s="341"/>
      <c r="G256" s="341"/>
      <c r="H256" s="341"/>
      <c r="I256" s="341"/>
      <c r="J256" s="341"/>
      <c r="K256" s="341"/>
      <c r="L256" s="341"/>
      <c r="M256" s="341"/>
      <c r="N256" s="341"/>
      <c r="O256" s="341"/>
      <c r="P256" s="341"/>
      <c r="Q256" s="341"/>
      <c r="R256" s="341"/>
      <c r="S256" s="341"/>
      <c r="T256" s="341"/>
      <c r="U256" s="342"/>
      <c r="V256" s="301"/>
      <c r="W256" s="301"/>
    </row>
    <row r="257" spans="1:29" ht="16.05" customHeight="1" x14ac:dyDescent="0.35">
      <c r="B257" s="91" t="s">
        <v>0</v>
      </c>
      <c r="C257" s="92"/>
      <c r="D257" s="339"/>
      <c r="E257" s="339"/>
      <c r="F257" s="339"/>
      <c r="G257" s="339"/>
      <c r="H257" s="339"/>
      <c r="I257" s="339"/>
      <c r="J257" s="339"/>
      <c r="K257" s="339"/>
      <c r="L257" s="339"/>
      <c r="M257" s="339"/>
      <c r="N257" s="339"/>
      <c r="O257" s="339"/>
      <c r="P257" s="339"/>
      <c r="Q257" s="339"/>
      <c r="R257" s="339"/>
      <c r="S257" s="339"/>
      <c r="T257" s="339"/>
      <c r="U257" s="339"/>
      <c r="V257" s="340"/>
      <c r="W257" s="340"/>
    </row>
    <row r="258" spans="1:29" ht="16.05" customHeight="1" x14ac:dyDescent="0.35">
      <c r="B258" s="91" t="s">
        <v>2</v>
      </c>
      <c r="C258" s="92"/>
      <c r="D258" s="339"/>
      <c r="E258" s="339"/>
      <c r="F258" s="339"/>
      <c r="G258" s="339"/>
      <c r="H258" s="339"/>
      <c r="I258" s="339"/>
      <c r="J258" s="339"/>
      <c r="K258" s="339"/>
      <c r="L258" s="339"/>
      <c r="M258" s="339"/>
      <c r="N258" s="339"/>
      <c r="O258" s="339"/>
      <c r="P258" s="339"/>
      <c r="Q258" s="339"/>
      <c r="R258" s="339"/>
      <c r="S258" s="339"/>
      <c r="T258" s="339"/>
      <c r="U258" s="339"/>
      <c r="V258" s="340"/>
      <c r="W258" s="340"/>
    </row>
    <row r="259" spans="1:29" ht="16.05" customHeight="1" x14ac:dyDescent="0.35">
      <c r="B259" s="91" t="s">
        <v>3</v>
      </c>
      <c r="C259" s="92"/>
      <c r="D259" s="339"/>
      <c r="E259" s="339"/>
      <c r="F259" s="339"/>
      <c r="G259" s="339"/>
      <c r="H259" s="339"/>
      <c r="I259" s="339"/>
      <c r="J259" s="339"/>
      <c r="K259" s="339"/>
      <c r="L259" s="339"/>
      <c r="M259" s="339"/>
      <c r="N259" s="339"/>
      <c r="O259" s="339"/>
      <c r="P259" s="339"/>
      <c r="Q259" s="339"/>
      <c r="R259" s="339"/>
      <c r="S259" s="339"/>
      <c r="T259" s="339"/>
      <c r="U259" s="339"/>
      <c r="V259" s="340"/>
      <c r="W259" s="340"/>
    </row>
    <row r="260" spans="1:29" ht="16.05" customHeight="1" x14ac:dyDescent="0.35">
      <c r="B260" s="91" t="s">
        <v>11</v>
      </c>
      <c r="C260" s="92"/>
      <c r="D260" s="339"/>
      <c r="E260" s="339"/>
      <c r="F260" s="339"/>
      <c r="G260" s="339"/>
      <c r="H260" s="339"/>
      <c r="I260" s="339"/>
      <c r="J260" s="339"/>
      <c r="K260" s="339"/>
      <c r="L260" s="339"/>
      <c r="M260" s="339"/>
      <c r="N260" s="339"/>
      <c r="O260" s="339"/>
      <c r="P260" s="339"/>
      <c r="Q260" s="339"/>
      <c r="R260" s="339"/>
      <c r="S260" s="339"/>
      <c r="T260" s="339"/>
      <c r="U260" s="339"/>
      <c r="V260" s="340"/>
      <c r="W260" s="340"/>
    </row>
    <row r="261" spans="1:29" ht="16.05" customHeight="1" x14ac:dyDescent="0.35">
      <c r="B261" s="93" t="s">
        <v>1799</v>
      </c>
      <c r="C261" s="94"/>
      <c r="D261" s="338"/>
      <c r="E261" s="338"/>
      <c r="F261" s="338"/>
      <c r="G261" s="338"/>
      <c r="H261" s="338"/>
      <c r="I261" s="338"/>
      <c r="J261" s="338"/>
      <c r="K261" s="338"/>
      <c r="L261" s="338"/>
      <c r="M261" s="338"/>
      <c r="N261" s="338"/>
      <c r="O261" s="338"/>
      <c r="P261" s="338"/>
      <c r="Q261" s="338"/>
      <c r="R261" s="338"/>
      <c r="S261" s="338"/>
      <c r="T261" s="338"/>
      <c r="U261" s="338"/>
      <c r="V261" s="290"/>
      <c r="W261" s="290"/>
    </row>
    <row r="262" spans="1:29" ht="21" customHeight="1" x14ac:dyDescent="0.7">
      <c r="B262" s="44" t="s">
        <v>1813</v>
      </c>
      <c r="C262" s="45"/>
      <c r="D262" s="46" t="s">
        <v>1792</v>
      </c>
      <c r="E262" s="47"/>
      <c r="F262" s="359" t="str">
        <f>Schlüssel!$C$1</f>
        <v>Bayernliga Frauen</v>
      </c>
      <c r="G262" s="359"/>
      <c r="H262" s="359"/>
      <c r="I262" s="359"/>
      <c r="J262" s="359"/>
      <c r="K262" s="359"/>
      <c r="L262" s="359"/>
      <c r="M262" s="359"/>
      <c r="N262" s="359"/>
      <c r="O262" s="359"/>
      <c r="P262" s="45"/>
      <c r="Q262" s="45"/>
      <c r="R262" s="48"/>
      <c r="S262" s="49" t="s">
        <v>1794</v>
      </c>
      <c r="T262" s="50"/>
      <c r="U262" s="360" t="str">
        <f>Schlüssel!$CO$1</f>
        <v>15.03./16.03.</v>
      </c>
      <c r="V262" s="361"/>
      <c r="W262" s="362"/>
      <c r="AC262" s="51"/>
    </row>
    <row r="263" spans="1:29" ht="17.25" customHeight="1" thickBot="1" x14ac:dyDescent="0.65">
      <c r="A263" s="52"/>
      <c r="B263" s="96">
        <f>+B234+1</f>
        <v>10</v>
      </c>
      <c r="D263" s="46" t="s">
        <v>1793</v>
      </c>
      <c r="E263" s="54"/>
      <c r="F263" s="358" t="str">
        <f>Schlüssel!$CE$2</f>
        <v>Brunnthal Max Munich</v>
      </c>
      <c r="G263" s="358"/>
      <c r="H263" s="358"/>
      <c r="I263" s="358"/>
      <c r="J263" s="358"/>
      <c r="K263" s="358"/>
      <c r="L263" s="358"/>
      <c r="M263" s="358"/>
      <c r="N263" s="358"/>
      <c r="O263" s="358"/>
      <c r="P263" s="55"/>
      <c r="Q263" s="55"/>
      <c r="S263" s="49" t="s">
        <v>1791</v>
      </c>
      <c r="T263" s="56">
        <v>5</v>
      </c>
      <c r="U263" s="50"/>
      <c r="V263" s="50"/>
      <c r="AC263" s="97"/>
    </row>
    <row r="264" spans="1:29" ht="15.75" customHeight="1" thickBot="1" x14ac:dyDescent="0.4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5" thickBot="1" x14ac:dyDescent="0.45">
      <c r="A265" s="2"/>
      <c r="B265" s="44"/>
      <c r="C265" s="63"/>
      <c r="D265" s="64" t="s">
        <v>10</v>
      </c>
      <c r="E265" s="44">
        <f>VLOOKUP($B263,Schlüssel!$A$5:$DZ$14,93)</f>
        <v>3</v>
      </c>
      <c r="F265" s="65" t="s">
        <v>10</v>
      </c>
      <c r="G265" s="44">
        <f>VLOOKUP($B263,Schlüssel!$A$5:$DZ$14,94)</f>
        <v>2</v>
      </c>
      <c r="H265" s="65" t="s">
        <v>10</v>
      </c>
      <c r="I265" s="44">
        <f>VLOOKUP($B263,Schlüssel!$A$5:$DZ$14,95)</f>
        <v>7</v>
      </c>
      <c r="J265" s="65" t="s">
        <v>10</v>
      </c>
      <c r="K265" s="44">
        <f>VLOOKUP($B263,Schlüssel!$A$5:$DZ$14,96)</f>
        <v>4</v>
      </c>
      <c r="L265" s="65" t="s">
        <v>10</v>
      </c>
      <c r="M265" s="44">
        <f>VLOOKUP($B263,Schlüssel!$A$5:$DZ$14,97)</f>
        <v>9</v>
      </c>
      <c r="N265" s="65" t="s">
        <v>10</v>
      </c>
      <c r="O265" s="44">
        <f>VLOOKUP($B263,Schlüssel!$A$5:$DZ$14,98)</f>
        <v>5</v>
      </c>
      <c r="P265" s="65" t="s">
        <v>10</v>
      </c>
      <c r="Q265" s="44">
        <f>VLOOKUP($B263,Schlüssel!$A$5:$DZ$14,99)</f>
        <v>1</v>
      </c>
      <c r="R265" s="65" t="s">
        <v>10</v>
      </c>
      <c r="S265" s="44">
        <f>VLOOKUP($B263,Schlüssel!$A$5:$DZ$14,100)</f>
        <v>8</v>
      </c>
      <c r="T265" s="65" t="s">
        <v>10</v>
      </c>
      <c r="U265" s="66">
        <f>VLOOKUP($B263,Schlüssel!$A$5:$DZ$14,101)</f>
        <v>10</v>
      </c>
    </row>
    <row r="266" spans="1:29" ht="20.25" customHeight="1" x14ac:dyDescent="0.35">
      <c r="B266" s="67" t="s">
        <v>1</v>
      </c>
      <c r="C266" s="68"/>
      <c r="D266" s="354" t="s">
        <v>1800</v>
      </c>
      <c r="E266" s="355"/>
      <c r="F266" s="354" t="s">
        <v>1801</v>
      </c>
      <c r="G266" s="355"/>
      <c r="H266" s="354" t="s">
        <v>1802</v>
      </c>
      <c r="I266" s="355"/>
      <c r="J266" s="354" t="s">
        <v>1803</v>
      </c>
      <c r="K266" s="355"/>
      <c r="L266" s="354" t="s">
        <v>1804</v>
      </c>
      <c r="M266" s="355"/>
      <c r="N266" s="354" t="s">
        <v>1805</v>
      </c>
      <c r="O266" s="355"/>
      <c r="P266" s="354" t="s">
        <v>1806</v>
      </c>
      <c r="Q266" s="355"/>
      <c r="R266" s="354" t="s">
        <v>1807</v>
      </c>
      <c r="S266" s="355"/>
      <c r="T266" s="354" t="s">
        <v>1808</v>
      </c>
      <c r="U266" s="355"/>
      <c r="V266" s="356" t="s">
        <v>1799</v>
      </c>
      <c r="W266" s="357"/>
    </row>
    <row r="267" spans="1:29" ht="15" customHeight="1" thickBot="1" x14ac:dyDescent="0.4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2" customHeight="1" x14ac:dyDescent="0.35">
      <c r="A268" s="351" t="s">
        <v>0</v>
      </c>
      <c r="B268" s="73"/>
      <c r="C268" s="74"/>
      <c r="D268" s="75"/>
      <c r="E268" s="348"/>
      <c r="F268" s="75"/>
      <c r="G268" s="348"/>
      <c r="H268" s="75"/>
      <c r="I268" s="348"/>
      <c r="J268" s="75"/>
      <c r="K268" s="348"/>
      <c r="L268" s="75"/>
      <c r="M268" s="348"/>
      <c r="N268" s="75"/>
      <c r="O268" s="348"/>
      <c r="P268" s="75"/>
      <c r="Q268" s="348"/>
      <c r="R268" s="75"/>
      <c r="S268" s="348"/>
      <c r="T268" s="75"/>
      <c r="U268" s="348"/>
      <c r="V268" s="75"/>
      <c r="W268" s="348"/>
    </row>
    <row r="269" spans="1:29" ht="17.2" customHeight="1" x14ac:dyDescent="0.35">
      <c r="A269" s="352"/>
      <c r="B269" s="76"/>
      <c r="C269" s="77"/>
      <c r="D269" s="78"/>
      <c r="E269" s="349"/>
      <c r="F269" s="78"/>
      <c r="G269" s="349"/>
      <c r="H269" s="78"/>
      <c r="I269" s="349"/>
      <c r="J269" s="78"/>
      <c r="K269" s="349"/>
      <c r="L269" s="78"/>
      <c r="M269" s="349"/>
      <c r="N269" s="78"/>
      <c r="O269" s="349"/>
      <c r="P269" s="78"/>
      <c r="Q269" s="349"/>
      <c r="R269" s="78"/>
      <c r="S269" s="349"/>
      <c r="T269" s="78"/>
      <c r="U269" s="349"/>
      <c r="V269" s="78"/>
      <c r="W269" s="349"/>
    </row>
    <row r="270" spans="1:29" ht="17.2" customHeight="1" thickBot="1" x14ac:dyDescent="0.4">
      <c r="A270" s="353"/>
      <c r="B270" s="79"/>
      <c r="C270" s="80"/>
      <c r="D270" s="69"/>
      <c r="E270" s="350"/>
      <c r="F270" s="69"/>
      <c r="G270" s="350"/>
      <c r="H270" s="69"/>
      <c r="I270" s="350"/>
      <c r="J270" s="69"/>
      <c r="K270" s="350"/>
      <c r="L270" s="69"/>
      <c r="M270" s="350"/>
      <c r="N270" s="69"/>
      <c r="O270" s="350"/>
      <c r="P270" s="69"/>
      <c r="Q270" s="350"/>
      <c r="R270" s="69"/>
      <c r="S270" s="350"/>
      <c r="T270" s="69"/>
      <c r="U270" s="350"/>
      <c r="V270" s="69"/>
      <c r="W270" s="350"/>
    </row>
    <row r="271" spans="1:29" ht="17.2" customHeight="1" x14ac:dyDescent="0.35">
      <c r="A271" s="351" t="s">
        <v>2</v>
      </c>
      <c r="B271" s="73"/>
      <c r="C271" s="74"/>
      <c r="D271" s="75"/>
      <c r="E271" s="348"/>
      <c r="F271" s="75"/>
      <c r="G271" s="348"/>
      <c r="H271" s="75"/>
      <c r="I271" s="348"/>
      <c r="J271" s="75"/>
      <c r="K271" s="348"/>
      <c r="L271" s="75"/>
      <c r="M271" s="348"/>
      <c r="N271" s="75"/>
      <c r="O271" s="348"/>
      <c r="P271" s="75"/>
      <c r="Q271" s="348"/>
      <c r="R271" s="75"/>
      <c r="S271" s="348"/>
      <c r="T271" s="75"/>
      <c r="U271" s="348"/>
      <c r="V271" s="75"/>
      <c r="W271" s="348"/>
    </row>
    <row r="272" spans="1:29" ht="17.2" customHeight="1" x14ac:dyDescent="0.35">
      <c r="A272" s="352"/>
      <c r="B272" s="76"/>
      <c r="C272" s="77"/>
      <c r="D272" s="78"/>
      <c r="E272" s="349"/>
      <c r="F272" s="78"/>
      <c r="G272" s="349"/>
      <c r="H272" s="78"/>
      <c r="I272" s="349"/>
      <c r="J272" s="78"/>
      <c r="K272" s="349"/>
      <c r="L272" s="78"/>
      <c r="M272" s="349"/>
      <c r="N272" s="78"/>
      <c r="O272" s="349"/>
      <c r="P272" s="78"/>
      <c r="Q272" s="349"/>
      <c r="R272" s="78"/>
      <c r="S272" s="349"/>
      <c r="T272" s="78"/>
      <c r="U272" s="349"/>
      <c r="V272" s="78"/>
      <c r="W272" s="349"/>
    </row>
    <row r="273" spans="1:23" ht="17.2" customHeight="1" thickBot="1" x14ac:dyDescent="0.4">
      <c r="A273" s="353"/>
      <c r="B273" s="79"/>
      <c r="C273" s="80"/>
      <c r="D273" s="69"/>
      <c r="E273" s="350"/>
      <c r="F273" s="69"/>
      <c r="G273" s="350"/>
      <c r="H273" s="69"/>
      <c r="I273" s="350"/>
      <c r="J273" s="69"/>
      <c r="K273" s="350"/>
      <c r="L273" s="69"/>
      <c r="M273" s="350"/>
      <c r="N273" s="69"/>
      <c r="O273" s="350"/>
      <c r="P273" s="69"/>
      <c r="Q273" s="350"/>
      <c r="R273" s="69"/>
      <c r="S273" s="350"/>
      <c r="T273" s="69"/>
      <c r="U273" s="350"/>
      <c r="V273" s="69"/>
      <c r="W273" s="350"/>
    </row>
    <row r="274" spans="1:23" ht="17.2" customHeight="1" x14ac:dyDescent="0.35">
      <c r="A274" s="351" t="s">
        <v>3</v>
      </c>
      <c r="B274" s="73"/>
      <c r="C274" s="74"/>
      <c r="D274" s="75"/>
      <c r="E274" s="348"/>
      <c r="F274" s="75"/>
      <c r="G274" s="348"/>
      <c r="H274" s="75"/>
      <c r="I274" s="348"/>
      <c r="J274" s="75"/>
      <c r="K274" s="348"/>
      <c r="L274" s="75"/>
      <c r="M274" s="348"/>
      <c r="N274" s="75"/>
      <c r="O274" s="348"/>
      <c r="P274" s="75"/>
      <c r="Q274" s="348"/>
      <c r="R274" s="75"/>
      <c r="S274" s="348"/>
      <c r="T274" s="75"/>
      <c r="U274" s="348"/>
      <c r="V274" s="75"/>
      <c r="W274" s="348"/>
    </row>
    <row r="275" spans="1:23" ht="17.2" customHeight="1" x14ac:dyDescent="0.35">
      <c r="A275" s="352"/>
      <c r="B275" s="76"/>
      <c r="C275" s="77"/>
      <c r="D275" s="78"/>
      <c r="E275" s="349"/>
      <c r="F275" s="78"/>
      <c r="G275" s="349"/>
      <c r="H275" s="78"/>
      <c r="I275" s="349"/>
      <c r="J275" s="78"/>
      <c r="K275" s="349"/>
      <c r="L275" s="78"/>
      <c r="M275" s="349"/>
      <c r="N275" s="78"/>
      <c r="O275" s="349"/>
      <c r="P275" s="78"/>
      <c r="Q275" s="349"/>
      <c r="R275" s="78"/>
      <c r="S275" s="349"/>
      <c r="T275" s="78"/>
      <c r="U275" s="349"/>
      <c r="V275" s="78"/>
      <c r="W275" s="349"/>
    </row>
    <row r="276" spans="1:23" ht="17.2" customHeight="1" thickBot="1" x14ac:dyDescent="0.4">
      <c r="A276" s="353"/>
      <c r="B276" s="79"/>
      <c r="C276" s="80"/>
      <c r="D276" s="69"/>
      <c r="E276" s="350"/>
      <c r="F276" s="69"/>
      <c r="G276" s="350"/>
      <c r="H276" s="69"/>
      <c r="I276" s="350"/>
      <c r="J276" s="69"/>
      <c r="K276" s="350"/>
      <c r="L276" s="69"/>
      <c r="M276" s="350"/>
      <c r="N276" s="69"/>
      <c r="O276" s="350"/>
      <c r="P276" s="69"/>
      <c r="Q276" s="350"/>
      <c r="R276" s="69"/>
      <c r="S276" s="350"/>
      <c r="T276" s="69"/>
      <c r="U276" s="350"/>
      <c r="V276" s="69"/>
      <c r="W276" s="350"/>
    </row>
    <row r="277" spans="1:23" ht="17.2" customHeight="1" x14ac:dyDescent="0.35">
      <c r="A277" s="351" t="s">
        <v>11</v>
      </c>
      <c r="B277" s="73"/>
      <c r="C277" s="74"/>
      <c r="D277" s="75"/>
      <c r="E277" s="348"/>
      <c r="F277" s="75"/>
      <c r="G277" s="348"/>
      <c r="H277" s="75"/>
      <c r="I277" s="348"/>
      <c r="J277" s="75"/>
      <c r="K277" s="348"/>
      <c r="L277" s="75"/>
      <c r="M277" s="348"/>
      <c r="N277" s="75"/>
      <c r="O277" s="348"/>
      <c r="P277" s="75"/>
      <c r="Q277" s="348"/>
      <c r="R277" s="75"/>
      <c r="S277" s="348"/>
      <c r="T277" s="75"/>
      <c r="U277" s="348"/>
      <c r="V277" s="75"/>
      <c r="W277" s="348"/>
    </row>
    <row r="278" spans="1:23" ht="17.2" customHeight="1" x14ac:dyDescent="0.35">
      <c r="A278" s="352"/>
      <c r="B278" s="76"/>
      <c r="C278" s="77"/>
      <c r="D278" s="78"/>
      <c r="E278" s="349"/>
      <c r="F278" s="78"/>
      <c r="G278" s="349"/>
      <c r="H278" s="78"/>
      <c r="I278" s="349"/>
      <c r="J278" s="78"/>
      <c r="K278" s="349"/>
      <c r="L278" s="78"/>
      <c r="M278" s="349"/>
      <c r="N278" s="78"/>
      <c r="O278" s="349"/>
      <c r="P278" s="78"/>
      <c r="Q278" s="349"/>
      <c r="R278" s="78"/>
      <c r="S278" s="349"/>
      <c r="T278" s="78"/>
      <c r="U278" s="349"/>
      <c r="V278" s="78"/>
      <c r="W278" s="349"/>
    </row>
    <row r="279" spans="1:23" ht="17.2" customHeight="1" thickBot="1" x14ac:dyDescent="0.4">
      <c r="A279" s="353"/>
      <c r="B279" s="79"/>
      <c r="C279" s="80"/>
      <c r="D279" s="69"/>
      <c r="E279" s="350"/>
      <c r="F279" s="69"/>
      <c r="G279" s="350"/>
      <c r="H279" s="69"/>
      <c r="I279" s="350"/>
      <c r="J279" s="69"/>
      <c r="K279" s="350"/>
      <c r="L279" s="69"/>
      <c r="M279" s="350"/>
      <c r="N279" s="69"/>
      <c r="O279" s="350"/>
      <c r="P279" s="69"/>
      <c r="Q279" s="350"/>
      <c r="R279" s="69"/>
      <c r="S279" s="350"/>
      <c r="T279" s="69"/>
      <c r="U279" s="350"/>
      <c r="V279" s="69"/>
      <c r="W279" s="350"/>
    </row>
    <row r="280" spans="1:23" ht="27.75" customHeight="1" thickBot="1" x14ac:dyDescent="0.4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4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3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35">
      <c r="B283" s="88" t="s">
        <v>1797</v>
      </c>
      <c r="C283" s="89" t="s">
        <v>1798</v>
      </c>
      <c r="D283" s="346">
        <f>VLOOKUP(B263,Schlüssel!$A$5:$DZ$14,83)</f>
        <v>9</v>
      </c>
      <c r="E283" s="346"/>
      <c r="F283" s="346">
        <f>VLOOKUP(B263,Schlüssel!$A$5:$DZ$14,84)</f>
        <v>5</v>
      </c>
      <c r="G283" s="346"/>
      <c r="H283" s="346">
        <f>VLOOKUP(B263,Schlüssel!$A$5:$DZ$14,85)</f>
        <v>1</v>
      </c>
      <c r="I283" s="346"/>
      <c r="J283" s="346">
        <f>VLOOKUP(B263,Schlüssel!$A$5:$DZ$14,86)</f>
        <v>2</v>
      </c>
      <c r="K283" s="346"/>
      <c r="L283" s="346">
        <f>VLOOKUP(B263,Schlüssel!$A$5:$DZ$14,87)</f>
        <v>7</v>
      </c>
      <c r="M283" s="346"/>
      <c r="N283" s="346">
        <f>VLOOKUP(B263,Schlüssel!$A$5:$DZ$14,88)</f>
        <v>4</v>
      </c>
      <c r="O283" s="346"/>
      <c r="P283" s="346">
        <f>VLOOKUP(B263,Schlüssel!$A$5:$DZ$14,89)</f>
        <v>3</v>
      </c>
      <c r="Q283" s="346"/>
      <c r="R283" s="346">
        <f>VLOOKUP(B263,Schlüssel!$A$5:$DZ$14,90)</f>
        <v>6</v>
      </c>
      <c r="S283" s="346"/>
      <c r="T283" s="346">
        <f>VLOOKUP(B263,Schlüssel!$A$5:$DZ$14,91)</f>
        <v>8</v>
      </c>
      <c r="U283" s="346"/>
      <c r="V283" s="347"/>
      <c r="W283" s="347"/>
    </row>
    <row r="284" spans="1:23" ht="28.5" customHeight="1" x14ac:dyDescent="0.35">
      <c r="B284" s="90"/>
      <c r="C284" s="86"/>
      <c r="D284" s="343" t="str">
        <f>VLOOKUP(D283,Schlüssel!$A$5:$K$14,2)</f>
        <v>RW Lichtenhof 69 Stein 2</v>
      </c>
      <c r="E284" s="344"/>
      <c r="F284" s="343" t="str">
        <f>VLOOKUP(F283,Schlüssel!$A$5:$K$14,2)</f>
        <v xml:space="preserve">Weiß Blau Unterföhring </v>
      </c>
      <c r="G284" s="344"/>
      <c r="H284" s="343" t="str">
        <f>VLOOKUP(H283,Schlüssel!$A$5:$K$14,2)</f>
        <v>Praetoria Regensburg</v>
      </c>
      <c r="I284" s="344"/>
      <c r="J284" s="343" t="str">
        <f>VLOOKUP(J283,Schlüssel!$A$5:$K$14,2)</f>
        <v>BK München 2</v>
      </c>
      <c r="K284" s="344"/>
      <c r="L284" s="343" t="str">
        <f>VLOOKUP(L283,Schlüssel!$A$5:$K$14,2)</f>
        <v>Frankenpower Nürnberg</v>
      </c>
      <c r="M284" s="344"/>
      <c r="N284" s="343" t="str">
        <f>VLOOKUP(N283,Schlüssel!$A$5:$K$14,2)</f>
        <v>BK München 3</v>
      </c>
      <c r="O284" s="344"/>
      <c r="P284" s="343" t="str">
        <f>VLOOKUP(P283,Schlüssel!$A$5:$K$14,2)</f>
        <v>Highroller Rosenheim</v>
      </c>
      <c r="Q284" s="344"/>
      <c r="R284" s="343" t="str">
        <f>VLOOKUP(R283,Schlüssel!$A$5:$K$14,2)</f>
        <v>Phönix 03 Lauf</v>
      </c>
      <c r="S284" s="344"/>
      <c r="T284" s="343" t="str">
        <f>VLOOKUP(T283,Schlüssel!$A$5:$K$14,2)</f>
        <v>EPA München 1</v>
      </c>
      <c r="U284" s="344"/>
      <c r="V284" s="345"/>
      <c r="W284" s="345"/>
    </row>
    <row r="285" spans="1:23" ht="12" customHeight="1" x14ac:dyDescent="0.35">
      <c r="B285" s="90"/>
      <c r="C285" s="86"/>
      <c r="D285" s="341"/>
      <c r="E285" s="341"/>
      <c r="F285" s="341"/>
      <c r="G285" s="341"/>
      <c r="H285" s="341"/>
      <c r="I285" s="341"/>
      <c r="J285" s="341"/>
      <c r="K285" s="341"/>
      <c r="L285" s="341"/>
      <c r="M285" s="341"/>
      <c r="N285" s="341"/>
      <c r="O285" s="341"/>
      <c r="P285" s="341"/>
      <c r="Q285" s="341"/>
      <c r="R285" s="341"/>
      <c r="S285" s="341"/>
      <c r="T285" s="341"/>
      <c r="U285" s="342"/>
      <c r="V285" s="301"/>
      <c r="W285" s="301"/>
    </row>
    <row r="286" spans="1:23" ht="16.05" customHeight="1" x14ac:dyDescent="0.35">
      <c r="B286" s="91" t="s">
        <v>0</v>
      </c>
      <c r="C286" s="92"/>
      <c r="D286" s="339"/>
      <c r="E286" s="339"/>
      <c r="F286" s="339"/>
      <c r="G286" s="339"/>
      <c r="H286" s="339"/>
      <c r="I286" s="339"/>
      <c r="J286" s="339"/>
      <c r="K286" s="339"/>
      <c r="L286" s="339"/>
      <c r="M286" s="339"/>
      <c r="N286" s="339"/>
      <c r="O286" s="339"/>
      <c r="P286" s="339"/>
      <c r="Q286" s="339"/>
      <c r="R286" s="339"/>
      <c r="S286" s="339"/>
      <c r="T286" s="339"/>
      <c r="U286" s="339"/>
      <c r="V286" s="340"/>
      <c r="W286" s="340"/>
    </row>
    <row r="287" spans="1:23" ht="16.05" customHeight="1" x14ac:dyDescent="0.35">
      <c r="B287" s="91" t="s">
        <v>2</v>
      </c>
      <c r="C287" s="92"/>
      <c r="D287" s="339"/>
      <c r="E287" s="339"/>
      <c r="F287" s="339"/>
      <c r="G287" s="339"/>
      <c r="H287" s="339"/>
      <c r="I287" s="339"/>
      <c r="J287" s="339"/>
      <c r="K287" s="339"/>
      <c r="L287" s="339"/>
      <c r="M287" s="339"/>
      <c r="N287" s="339"/>
      <c r="O287" s="339"/>
      <c r="P287" s="339"/>
      <c r="Q287" s="339"/>
      <c r="R287" s="339"/>
      <c r="S287" s="339"/>
      <c r="T287" s="339"/>
      <c r="U287" s="339"/>
      <c r="V287" s="340"/>
      <c r="W287" s="340"/>
    </row>
    <row r="288" spans="1:23" ht="16.05" customHeight="1" x14ac:dyDescent="0.35">
      <c r="B288" s="91" t="s">
        <v>3</v>
      </c>
      <c r="C288" s="92"/>
      <c r="D288" s="339"/>
      <c r="E288" s="339"/>
      <c r="F288" s="339"/>
      <c r="G288" s="339"/>
      <c r="H288" s="339"/>
      <c r="I288" s="339"/>
      <c r="J288" s="339"/>
      <c r="K288" s="33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40"/>
      <c r="W288" s="340"/>
    </row>
    <row r="289" spans="2:23" ht="16.05" customHeight="1" x14ac:dyDescent="0.35">
      <c r="B289" s="91" t="s">
        <v>11</v>
      </c>
      <c r="C289" s="92"/>
      <c r="D289" s="339"/>
      <c r="E289" s="339"/>
      <c r="F289" s="339"/>
      <c r="G289" s="339"/>
      <c r="H289" s="339"/>
      <c r="I289" s="339"/>
      <c r="J289" s="339"/>
      <c r="K289" s="339"/>
      <c r="L289" s="339"/>
      <c r="M289" s="339"/>
      <c r="N289" s="339"/>
      <c r="O289" s="339"/>
      <c r="P289" s="339"/>
      <c r="Q289" s="339"/>
      <c r="R289" s="339"/>
      <c r="S289" s="339"/>
      <c r="T289" s="339"/>
      <c r="U289" s="339"/>
      <c r="V289" s="340"/>
      <c r="W289" s="340"/>
    </row>
    <row r="290" spans="2:23" ht="16.05" customHeight="1" x14ac:dyDescent="0.35">
      <c r="B290" s="93" t="s">
        <v>1799</v>
      </c>
      <c r="C290" s="94"/>
      <c r="D290" s="338"/>
      <c r="E290" s="338"/>
      <c r="F290" s="338"/>
      <c r="G290" s="338"/>
      <c r="H290" s="338"/>
      <c r="I290" s="338"/>
      <c r="J290" s="338"/>
      <c r="K290" s="338"/>
      <c r="L290" s="338"/>
      <c r="M290" s="338"/>
      <c r="N290" s="338"/>
      <c r="O290" s="338"/>
      <c r="P290" s="338"/>
      <c r="Q290" s="338"/>
      <c r="R290" s="338"/>
      <c r="S290" s="338"/>
      <c r="T290" s="338"/>
      <c r="U290" s="338"/>
      <c r="V290" s="290"/>
      <c r="W290" s="290"/>
    </row>
  </sheetData>
  <sheetProtection password="D19C" sheet="1" formatCells="0" formatColumns="0" formatRows="0"/>
  <mergeCells count="1370"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26">
    <tabColor rgb="FF92D050"/>
    <pageSetUpPr fitToPage="1"/>
  </sheetPr>
  <dimension ref="A1:BZ300"/>
  <sheetViews>
    <sheetView view="pageBreakPreview" topLeftCell="Z124" zoomScaleNormal="100" zoomScaleSheetLayoutView="100" workbookViewId="0">
      <selection activeCell="AD4" sqref="AD4"/>
    </sheetView>
  </sheetViews>
  <sheetFormatPr baseColWidth="10" defaultColWidth="11.33203125" defaultRowHeight="12.75" x14ac:dyDescent="0.35"/>
  <cols>
    <col min="1" max="1" width="4.33203125" style="5" hidden="1" customWidth="1"/>
    <col min="2" max="2" width="18.06640625" hidden="1" customWidth="1"/>
    <col min="3" max="3" width="6.33203125" hidden="1" customWidth="1"/>
    <col min="4" max="21" width="5.73046875" hidden="1" customWidth="1"/>
    <col min="22" max="22" width="8.33203125" hidden="1" customWidth="1"/>
    <col min="23" max="23" width="6.73046875" hidden="1" customWidth="1"/>
    <col min="24" max="25" width="0" hidden="1" customWidth="1"/>
    <col min="26" max="26" width="4.33203125" customWidth="1"/>
    <col min="27" max="27" width="18.06640625" customWidth="1"/>
    <col min="28" max="28" width="6.33203125" customWidth="1"/>
    <col min="29" max="46" width="5.73046875" customWidth="1"/>
    <col min="47" max="47" width="8.33203125" customWidth="1"/>
    <col min="48" max="48" width="6.73046875" customWidth="1"/>
    <col min="49" max="50" width="11.33203125" customWidth="1"/>
    <col min="51" max="51" width="9.59765625" customWidth="1"/>
    <col min="52" max="52" width="11.33203125" customWidth="1"/>
    <col min="53" max="53" width="6.33203125" style="215" hidden="1" customWidth="1"/>
    <col min="54" max="54" width="5.33203125" style="215" hidden="1" customWidth="1"/>
    <col min="55" max="55" width="5.59765625" style="215" hidden="1" customWidth="1"/>
    <col min="56" max="56" width="6.265625" style="215" hidden="1" customWidth="1"/>
    <col min="57" max="57" width="5.33203125" style="215" hidden="1" customWidth="1"/>
    <col min="58" max="58" width="6" style="215" hidden="1" customWidth="1"/>
    <col min="59" max="59" width="8.33203125" style="215" hidden="1" customWidth="1"/>
    <col min="60" max="68" width="4.265625" style="215" hidden="1" customWidth="1"/>
    <col min="69" max="69" width="14.73046875" style="215" hidden="1" customWidth="1"/>
    <col min="70" max="70" width="5.265625" style="215" hidden="1" customWidth="1"/>
    <col min="71" max="71" width="9.33203125" style="215" hidden="1" customWidth="1"/>
    <col min="72" max="72" width="11" style="215" hidden="1" customWidth="1"/>
    <col min="73" max="73" width="17.265625" style="215" hidden="1" customWidth="1"/>
    <col min="74" max="75" width="5.265625" style="215" hidden="1" customWidth="1"/>
    <col min="76" max="76" width="7.73046875" style="215" hidden="1" customWidth="1"/>
    <col min="77" max="77" width="11.33203125" style="215" hidden="1" customWidth="1"/>
    <col min="78" max="78" width="5.265625" style="215" hidden="1" customWidth="1"/>
    <col min="79" max="99" width="11.33203125" customWidth="1"/>
  </cols>
  <sheetData>
    <row r="1" spans="1:78" ht="21" customHeight="1" x14ac:dyDescent="0.7">
      <c r="B1" s="44" t="str">
        <f>AA1</f>
        <v>Team-Nr.</v>
      </c>
      <c r="C1" s="45"/>
      <c r="D1" s="44" t="str">
        <f>AC1</f>
        <v>Liga:</v>
      </c>
      <c r="E1" s="47"/>
      <c r="F1" s="359" t="str">
        <f>AE1</f>
        <v>Bayernliga Frauen</v>
      </c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48"/>
      <c r="S1" s="49" t="s">
        <v>1794</v>
      </c>
      <c r="T1" s="50"/>
      <c r="U1" s="360" t="str">
        <f>AT1</f>
        <v>15.03./16.03.</v>
      </c>
      <c r="V1" s="361"/>
      <c r="W1" s="362"/>
      <c r="X1" s="363"/>
      <c r="Y1" s="364"/>
      <c r="Z1" s="364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0" t="str">
        <f>VLOOKUP(AS2,Spielorte!$A$1:$C$6,2)</f>
        <v>15.03./16.03.</v>
      </c>
      <c r="AU1" s="361"/>
      <c r="AV1" s="362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65">
      <c r="B2" s="53">
        <f>AA2</f>
        <v>1</v>
      </c>
      <c r="D2" s="46" t="s">
        <v>1793</v>
      </c>
      <c r="E2" s="54"/>
      <c r="F2" s="358" t="str">
        <f>AE2</f>
        <v>Brunnthal Max Munich</v>
      </c>
      <c r="G2" s="358"/>
      <c r="H2" s="358"/>
      <c r="I2" s="358"/>
      <c r="J2" s="358"/>
      <c r="K2" s="358"/>
      <c r="L2" s="358"/>
      <c r="M2" s="358"/>
      <c r="N2" s="358"/>
      <c r="O2" s="358"/>
      <c r="P2" s="55"/>
      <c r="Q2" s="55"/>
      <c r="S2" s="49" t="s">
        <v>1791</v>
      </c>
      <c r="T2" s="56">
        <f>AS2</f>
        <v>5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Brunnthal Max Munich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5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4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5" thickBot="1" x14ac:dyDescent="0.45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VLOOKUP(AA2,Schlüssel!$A$5:$DZ$14,93)</f>
        <v>9</v>
      </c>
      <c r="AE4" s="65" t="s">
        <v>10</v>
      </c>
      <c r="AF4" s="44">
        <f>VLOOKUP(AA2,Schlüssel!$A$5:$DZ$14,94)</f>
        <v>6</v>
      </c>
      <c r="AG4" s="65" t="s">
        <v>10</v>
      </c>
      <c r="AH4" s="44">
        <f>VLOOKUP(AA2,Schlüssel!$A$5:$DZ$14,95)</f>
        <v>8</v>
      </c>
      <c r="AI4" s="65" t="s">
        <v>10</v>
      </c>
      <c r="AJ4" s="44">
        <f>VLOOKUP(AA2,Schlüssel!$A$5:$DZ$14,96)</f>
        <v>10</v>
      </c>
      <c r="AK4" s="65" t="s">
        <v>10</v>
      </c>
      <c r="AL4" s="44">
        <f>VLOOKUP(AA2,Schlüssel!$A$5:$DZ$14,97)</f>
        <v>2</v>
      </c>
      <c r="AM4" s="65" t="s">
        <v>10</v>
      </c>
      <c r="AN4" s="44">
        <f>VLOOKUP(AA2,Schlüssel!$A$5:$DZ$14,98)</f>
        <v>4</v>
      </c>
      <c r="AO4" s="65" t="s">
        <v>10</v>
      </c>
      <c r="AP4" s="44">
        <f>VLOOKUP(AA2,Schlüssel!$A$5:$DZ$14,99)</f>
        <v>7</v>
      </c>
      <c r="AQ4" s="65" t="s">
        <v>10</v>
      </c>
      <c r="AR4" s="44">
        <f>VLOOKUP(AA2,Schlüssel!$A$5:$DZ$14,100)</f>
        <v>5</v>
      </c>
      <c r="AS4" s="65" t="s">
        <v>10</v>
      </c>
      <c r="AT4" s="44">
        <f>VLOOKUP(AA2,Schlüssel!$A$5:$DZ$14,101)</f>
        <v>1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35">
      <c r="B5" s="67" t="s">
        <v>1</v>
      </c>
      <c r="C5" s="68"/>
      <c r="D5" s="354" t="s">
        <v>1800</v>
      </c>
      <c r="E5" s="355"/>
      <c r="F5" s="354" t="s">
        <v>1801</v>
      </c>
      <c r="G5" s="355"/>
      <c r="H5" s="354" t="s">
        <v>1802</v>
      </c>
      <c r="I5" s="355"/>
      <c r="J5" s="354" t="s">
        <v>1803</v>
      </c>
      <c r="K5" s="355"/>
      <c r="L5" s="354" t="s">
        <v>1804</v>
      </c>
      <c r="M5" s="355"/>
      <c r="N5" s="354" t="s">
        <v>1805</v>
      </c>
      <c r="O5" s="355"/>
      <c r="P5" s="354" t="s">
        <v>1806</v>
      </c>
      <c r="Q5" s="355"/>
      <c r="R5" s="354" t="s">
        <v>1807</v>
      </c>
      <c r="S5" s="355"/>
      <c r="T5" s="354" t="s">
        <v>1808</v>
      </c>
      <c r="U5" s="355"/>
      <c r="V5" s="356" t="s">
        <v>1799</v>
      </c>
      <c r="W5" s="357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4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2" customHeight="1" x14ac:dyDescent="0.35">
      <c r="A7" s="367" t="s">
        <v>0</v>
      </c>
      <c r="B7" s="73" t="str">
        <f>IF(AA7=0,"",AA7)</f>
        <v/>
      </c>
      <c r="C7" s="74" t="str">
        <f>IF(AB7=0,"",AB7)</f>
        <v/>
      </c>
      <c r="D7" s="75" t="str">
        <f>IF(AC7=0,"",AC7)</f>
        <v/>
      </c>
      <c r="E7" s="348">
        <f>IF(AD7="","",AD7)</f>
        <v>0</v>
      </c>
      <c r="F7" s="75" t="str">
        <f t="shared" ref="F7:F20" si="0">IF(AE7=0,"",AE7)</f>
        <v/>
      </c>
      <c r="G7" s="348">
        <f>IF(AF7="","",AF7)</f>
        <v>0</v>
      </c>
      <c r="H7" s="75" t="str">
        <f t="shared" ref="H7:H20" si="1">IF(AG7=0,"",AG7)</f>
        <v/>
      </c>
      <c r="I7" s="348">
        <f>IF(AH7="","",AH7)</f>
        <v>0</v>
      </c>
      <c r="J7" s="75" t="str">
        <f t="shared" ref="J7:J20" si="2">IF(AI7=0,"",AI7)</f>
        <v/>
      </c>
      <c r="K7" s="348">
        <f>IF(AJ7="","",AJ7)</f>
        <v>0</v>
      </c>
      <c r="L7" s="75" t="str">
        <f t="shared" ref="L7:L20" si="3">IF(AK7=0,"",AK7)</f>
        <v/>
      </c>
      <c r="M7" s="348">
        <f>IF(AL7="","",AL7)</f>
        <v>0</v>
      </c>
      <c r="N7" s="75" t="str">
        <f>IF(AM7=0,"",AM7)</f>
        <v/>
      </c>
      <c r="O7" s="348">
        <f>IF(AN7="","",AN7)</f>
        <v>0</v>
      </c>
      <c r="P7" s="75" t="str">
        <f t="shared" ref="P7:P20" si="4">IF(AO7=0,"",AO7)</f>
        <v/>
      </c>
      <c r="Q7" s="348">
        <f>IF(AP7="","",AP7)</f>
        <v>0</v>
      </c>
      <c r="R7" s="75" t="str">
        <f t="shared" ref="R7:R20" si="5">IF(AQ7=0,"",AQ7)</f>
        <v/>
      </c>
      <c r="S7" s="348">
        <f>IF(AR7="","",AR7)</f>
        <v>0</v>
      </c>
      <c r="T7" s="75" t="str">
        <f t="shared" ref="T7:T20" si="6">IF(AS7=0,"",AS7)</f>
        <v/>
      </c>
      <c r="U7" s="348">
        <f>IF(AT7="","",AT7)</f>
        <v>0</v>
      </c>
      <c r="V7" s="75" t="str">
        <f t="shared" ref="V7:V20" si="7">IF(AU7=0,"",AU7)</f>
        <v/>
      </c>
      <c r="W7" s="348">
        <f>IF(AV7="","",AV7)</f>
        <v>0</v>
      </c>
      <c r="Z7" s="351" t="s">
        <v>0</v>
      </c>
      <c r="AA7" s="108" t="str">
        <f>IF(AB7=0,"",VLOOKUP(AB7,Starter!$A$1:$D$199,2,FALSE))</f>
        <v/>
      </c>
      <c r="AB7" s="99"/>
      <c r="AC7" s="185"/>
      <c r="AD7" s="109">
        <f>IF(SUM(AC7:AC9)+AC25=0,0,IF(SUM(AC7:AC9)=AC25,0.5,IF(SUM(AC7:AC9)&gt;AC25,1,0)))</f>
        <v>0</v>
      </c>
      <c r="AE7" s="185"/>
      <c r="AF7" s="109">
        <f>IF(SUM(AE7:AE9)+AE25=0,0,IF(SUM(AE7:AE9)=AE25,0.5,IF(SUM(AE7:AE9)&gt;AE25,1,0)))</f>
        <v>0</v>
      </c>
      <c r="AG7" s="185"/>
      <c r="AH7" s="109">
        <f>IF(SUM(AG7:AG9)+AG25=0,0,IF(SUM(AG7:AG9)=AG25,0.5,IF(SUM(AG7:AG9)&gt;AG25,1,0)))</f>
        <v>0</v>
      </c>
      <c r="AI7" s="185"/>
      <c r="AJ7" s="109">
        <f>IF(SUM(AI7:AI9)+AI25=0,0,IF(SUM(AI7:AI9)=AI25,0.5,IF(SUM(AI7:AI9)&gt;AI25,1,0)))</f>
        <v>0</v>
      </c>
      <c r="AK7" s="185"/>
      <c r="AL7" s="109">
        <f>IF(SUM(AK7:AK9)+AK25=0,0,IF(SUM(AK7:AK9)=AK25,0.5,IF(SUM(AK7:AK9)&gt;AK25,1,0)))</f>
        <v>0</v>
      </c>
      <c r="AM7" s="185"/>
      <c r="AN7" s="109">
        <f>IF(SUM(AM7:AM9)+AM25=0,0,IF(SUM(AM7:AM9)=AM25,0.5,IF(SUM(AM7:AM9)&gt;AM25,1,0)))</f>
        <v>0</v>
      </c>
      <c r="AO7" s="185"/>
      <c r="AP7" s="109">
        <f>IF(SUM(AO7:AO9)+AO25=0,0,IF(SUM(AO7:AO9)=AO25,0.5,IF(SUM(AO7:AO9)&gt;AO25,1,0)))</f>
        <v>0</v>
      </c>
      <c r="AQ7" s="185"/>
      <c r="AR7" s="109">
        <f>IF(SUM(AQ7:AQ9)+AQ25=0,0,IF(SUM(AQ7:AQ9)=AQ25,0.5,IF(SUM(AQ7:AQ9)&gt;AQ25,1,0)))</f>
        <v>0</v>
      </c>
      <c r="AS7" s="185"/>
      <c r="AT7" s="109">
        <f>IF(SUM(AS7:AS9)+AS25=0,0,IF(SUM(AS7:AS9)=AS25,0.5,IF(SUM(AS7:AS9)&gt;AS25,1,0)))</f>
        <v>0</v>
      </c>
      <c r="AU7" s="110">
        <f t="shared" ref="AU7:AU18" si="8">ABS(SUM(AC7:AC7))+ABS(SUM(AE7:AE7))+ABS(SUM(AG7:AG7))+ABS(SUM(AI7:AI7))+ABS(SUM(AK7:AK7))+ABS(SUM(AM7:AM7))+ABS(SUM(AO7:AO7))+ABS(SUM(AQ7:AQ7))+ABS(SUM(AS7:AS7))</f>
        <v>0</v>
      </c>
      <c r="AV7" s="111">
        <f>SUM(AD7+AF7+AH7+AJ7+AL7+AN7+AP7+AR7+AT7)</f>
        <v>0</v>
      </c>
      <c r="AW7" s="101"/>
      <c r="AX7" s="102"/>
      <c r="AZ7" s="63"/>
      <c r="BA7" s="212"/>
      <c r="BB7" s="213"/>
      <c r="BC7" s="214"/>
      <c r="BD7" s="217">
        <f>+AB7</f>
        <v>0</v>
      </c>
      <c r="BE7" s="213">
        <f>+AU7</f>
        <v>0</v>
      </c>
      <c r="BF7" s="215">
        <f>COUNT(BH7:BP7)</f>
        <v>0</v>
      </c>
      <c r="BG7" s="215">
        <f>COUNTIF(BH7:BP7,"&gt;0")</f>
        <v>0</v>
      </c>
      <c r="BH7" s="215" t="str">
        <f t="shared" ref="BH7:BH18" si="9">IF(AC7=0,"",AC7)</f>
        <v/>
      </c>
      <c r="BI7" s="215" t="str">
        <f t="shared" ref="BI7:BI18" si="10">IF(AE7=0,"",AE7)</f>
        <v/>
      </c>
      <c r="BJ7" s="215" t="str">
        <f t="shared" ref="BJ7:BJ18" si="11">IF(AG7=0,"",AG7)</f>
        <v/>
      </c>
      <c r="BK7" s="215" t="str">
        <f t="shared" ref="BK7:BK18" si="12">IF(AI7=0,"",AI7)</f>
        <v/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 t="str">
        <f t="shared" ref="BO7:BO18" si="16">IF(AQ7=0,"",AQ7)</f>
        <v/>
      </c>
      <c r="BP7" s="215" t="str">
        <f t="shared" ref="BP7:BP18" si="17">IF(AS7=0,"",AS7)</f>
        <v/>
      </c>
      <c r="BQ7" s="216"/>
      <c r="BR7" s="214"/>
      <c r="BS7" s="215">
        <f>MAX(BH7:BP7)</f>
        <v>0</v>
      </c>
      <c r="BT7" s="215">
        <f>IF(BS7&lt;MAX(BS:BS),0,BS7+ROW()/1000000000)</f>
        <v>6.9999999999999998E-9</v>
      </c>
      <c r="BU7" s="215" t="str">
        <f>+AA3</f>
        <v>Praetoria Regensburg</v>
      </c>
      <c r="BV7" s="214">
        <f>RANK(BT7,BT:BT)</f>
        <v>120</v>
      </c>
      <c r="BW7" s="215">
        <f>SUMIF(BH7:BP7,"&gt;0")</f>
        <v>0</v>
      </c>
      <c r="BX7" s="215">
        <f>IF(COUNTIF(BH7:BP7,"&gt;0")&lt;Spielorte!$A$23,0,BE7/Spielorte!$A$23)</f>
        <v>0</v>
      </c>
      <c r="BY7" s="215">
        <f>IF(BX7&lt;MAX(BX:BX),0,BX7+ROW()/1000000000)</f>
        <v>6.9999999999999998E-9</v>
      </c>
      <c r="BZ7" s="214">
        <f t="shared" ref="BZ7:BZ18" si="18">IF(BY7=0,0,RANK(BY7,BY:BY))</f>
        <v>120</v>
      </c>
    </row>
    <row r="8" spans="1:78" ht="17.2" customHeight="1" x14ac:dyDescent="0.35">
      <c r="A8" s="368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9"/>
      <c r="F8" s="78" t="str">
        <f t="shared" si="0"/>
        <v/>
      </c>
      <c r="G8" s="349"/>
      <c r="H8" s="78" t="str">
        <f t="shared" si="1"/>
        <v/>
      </c>
      <c r="I8" s="349"/>
      <c r="J8" s="78" t="str">
        <f t="shared" si="2"/>
        <v/>
      </c>
      <c r="K8" s="349"/>
      <c r="L8" s="78" t="str">
        <f t="shared" si="3"/>
        <v/>
      </c>
      <c r="M8" s="349"/>
      <c r="N8" s="78" t="str">
        <f t="shared" ref="N8:N20" si="20">IF(AM8=0,"",AM8)</f>
        <v/>
      </c>
      <c r="O8" s="349"/>
      <c r="P8" s="78" t="str">
        <f t="shared" si="4"/>
        <v/>
      </c>
      <c r="Q8" s="349"/>
      <c r="R8" s="78" t="str">
        <f t="shared" si="5"/>
        <v/>
      </c>
      <c r="S8" s="349"/>
      <c r="T8" s="78" t="str">
        <f t="shared" si="6"/>
        <v/>
      </c>
      <c r="U8" s="349"/>
      <c r="V8" s="78" t="str">
        <f t="shared" si="7"/>
        <v/>
      </c>
      <c r="W8" s="349"/>
      <c r="Z8" s="352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8.0000000000000005E-9</v>
      </c>
      <c r="BU8" s="215" t="str">
        <f t="shared" ref="BU8:BU18" si="27">+BU7</f>
        <v>Praetoria Regensburg</v>
      </c>
      <c r="BV8" s="214">
        <f t="shared" ref="BV8:BV18" si="28">RANK(BT8,BT:BT)</f>
        <v>119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8.0000000000000005E-9</v>
      </c>
      <c r="BZ8" s="214">
        <f t="shared" si="18"/>
        <v>119</v>
      </c>
    </row>
    <row r="9" spans="1:78" ht="17.2" customHeight="1" thickBot="1" x14ac:dyDescent="0.4">
      <c r="A9" s="369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0"/>
      <c r="F9" s="69" t="str">
        <f t="shared" si="0"/>
        <v/>
      </c>
      <c r="G9" s="350"/>
      <c r="H9" s="69" t="str">
        <f t="shared" si="1"/>
        <v/>
      </c>
      <c r="I9" s="350"/>
      <c r="J9" s="69" t="str">
        <f t="shared" si="2"/>
        <v/>
      </c>
      <c r="K9" s="350"/>
      <c r="L9" s="69" t="str">
        <f t="shared" si="3"/>
        <v/>
      </c>
      <c r="M9" s="350"/>
      <c r="N9" s="69" t="str">
        <f t="shared" si="20"/>
        <v/>
      </c>
      <c r="O9" s="350"/>
      <c r="P9" s="69" t="str">
        <f t="shared" si="4"/>
        <v/>
      </c>
      <c r="Q9" s="350"/>
      <c r="R9" s="69" t="str">
        <f t="shared" si="5"/>
        <v/>
      </c>
      <c r="S9" s="350"/>
      <c r="T9" s="69" t="str">
        <f t="shared" si="6"/>
        <v/>
      </c>
      <c r="U9" s="350"/>
      <c r="V9" s="69" t="str">
        <f t="shared" si="7"/>
        <v/>
      </c>
      <c r="W9" s="350"/>
      <c r="Z9" s="353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8.9999999999999995E-9</v>
      </c>
      <c r="BU9" s="215" t="str">
        <f t="shared" si="27"/>
        <v>Praetoria Regensburg</v>
      </c>
      <c r="BV9" s="214">
        <f t="shared" si="28"/>
        <v>118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8.9999999999999995E-9</v>
      </c>
      <c r="BZ9" s="214">
        <f t="shared" si="18"/>
        <v>118</v>
      </c>
    </row>
    <row r="10" spans="1:78" ht="17.2" customHeight="1" x14ac:dyDescent="0.35">
      <c r="A10" s="367" t="s">
        <v>2</v>
      </c>
      <c r="B10" s="73" t="str">
        <f t="shared" si="19"/>
        <v/>
      </c>
      <c r="C10" s="74" t="str">
        <f t="shared" si="19"/>
        <v/>
      </c>
      <c r="D10" s="75" t="str">
        <f t="shared" si="19"/>
        <v/>
      </c>
      <c r="E10" s="348">
        <f>IF(AD10="","",AD10)</f>
        <v>0</v>
      </c>
      <c r="F10" s="75" t="str">
        <f t="shared" si="0"/>
        <v/>
      </c>
      <c r="G10" s="348">
        <f>IF(AF10="","",AF10)</f>
        <v>0</v>
      </c>
      <c r="H10" s="75" t="str">
        <f t="shared" si="1"/>
        <v/>
      </c>
      <c r="I10" s="348">
        <f>IF(AH10="","",AH10)</f>
        <v>0</v>
      </c>
      <c r="J10" s="75" t="str">
        <f t="shared" si="2"/>
        <v/>
      </c>
      <c r="K10" s="348">
        <f>IF(AJ10="","",AJ10)</f>
        <v>0</v>
      </c>
      <c r="L10" s="75" t="str">
        <f t="shared" si="3"/>
        <v/>
      </c>
      <c r="M10" s="348">
        <f>IF(AL10="","",AL10)</f>
        <v>0</v>
      </c>
      <c r="N10" s="75" t="str">
        <f t="shared" si="20"/>
        <v/>
      </c>
      <c r="O10" s="348">
        <f>IF(AN10="","",AN10)</f>
        <v>0</v>
      </c>
      <c r="P10" s="75" t="str">
        <f t="shared" si="4"/>
        <v/>
      </c>
      <c r="Q10" s="348">
        <f>IF(AP10="","",AP10)</f>
        <v>0</v>
      </c>
      <c r="R10" s="75" t="str">
        <f t="shared" si="5"/>
        <v/>
      </c>
      <c r="S10" s="348">
        <f>IF(AR10="","",AR10)</f>
        <v>0</v>
      </c>
      <c r="T10" s="75" t="str">
        <f t="shared" si="6"/>
        <v/>
      </c>
      <c r="U10" s="348">
        <f>IF(AT10="","",AT10)</f>
        <v>0</v>
      </c>
      <c r="V10" s="75" t="str">
        <f t="shared" si="7"/>
        <v/>
      </c>
      <c r="W10" s="348">
        <f>IF(AV10="","",AV10)</f>
        <v>0</v>
      </c>
      <c r="Z10" s="351" t="s">
        <v>2</v>
      </c>
      <c r="AA10" s="108" t="str">
        <f>IF(AB10=0,"",VLOOKUP(AB10,Starter!$A$1:$D$199,2,FALSE))</f>
        <v/>
      </c>
      <c r="AB10" s="99"/>
      <c r="AC10" s="188"/>
      <c r="AD10" s="109">
        <f>IF(SUM(AC10:AC12)+AC26=0,0,IF(SUM(AC10:AC12)=AC26,0.5,IF(SUM(AC10:AC12)&gt;AC26,1,0)))</f>
        <v>0</v>
      </c>
      <c r="AE10" s="188"/>
      <c r="AF10" s="109">
        <f>IF(SUM(AE10:AE12)+AE26=0,0,IF(SUM(AE10:AE12)=AE26,0.5,IF(SUM(AE10:AE12)&gt;AE26,1,0)))</f>
        <v>0</v>
      </c>
      <c r="AG10" s="188"/>
      <c r="AH10" s="109">
        <f>IF(SUM(AG10:AG12)+AG26=0,0,IF(SUM(AG10:AG12)=AG26,0.5,IF(SUM(AG10:AG12)&gt;AG26,1,0)))</f>
        <v>0</v>
      </c>
      <c r="AI10" s="188"/>
      <c r="AJ10" s="109">
        <f>IF(SUM(AI10:AI12)+AI26=0,0,IF(SUM(AI10:AI12)=AI26,0.5,IF(SUM(AI10:AI12)&gt;AI26,1,0)))</f>
        <v>0</v>
      </c>
      <c r="AK10" s="188"/>
      <c r="AL10" s="109">
        <f>IF(SUM(AK10:AK12)+AK26=0,0,IF(SUM(AK10:AK12)=AK26,0.5,IF(SUM(AK10:AK12)&gt;AK26,1,0)))</f>
        <v>0</v>
      </c>
      <c r="AM10" s="188"/>
      <c r="AN10" s="109">
        <f>IF(SUM(AM10:AM12)+AM26=0,0,IF(SUM(AM10:AM12)=AM26,0.5,IF(SUM(AM10:AM12)&gt;AM26,1,0)))</f>
        <v>0</v>
      </c>
      <c r="AO10" s="188"/>
      <c r="AP10" s="109">
        <f>IF(SUM(AO10:AO12)+AO26=0,0,IF(SUM(AO10:AO12)=AO26,0.5,IF(SUM(AO10:AO12)&gt;AO26,1,0)))</f>
        <v>0</v>
      </c>
      <c r="AQ10" s="188"/>
      <c r="AR10" s="109">
        <f>IF(SUM(AQ10:AQ12)+AQ26=0,0,IF(SUM(AQ10:AQ12)=AQ26,0.5,IF(SUM(AQ10:AQ12)&gt;AQ26,1,0)))</f>
        <v>0</v>
      </c>
      <c r="AS10" s="188"/>
      <c r="AT10" s="109">
        <f>IF(SUM(AS10:AS12)+AS26=0,0,IF(SUM(AS10:AS12)=AS26,0.5,IF(SUM(AS10:AS12)&gt;AS26,1,0)))</f>
        <v>0</v>
      </c>
      <c r="AU10" s="110">
        <f t="shared" si="8"/>
        <v>0</v>
      </c>
      <c r="AV10" s="111">
        <f>SUM(AD10+AF10+AH10+AJ10+AL10+AN10+AP10+AR10+AT10)</f>
        <v>0</v>
      </c>
      <c r="AW10" s="101"/>
      <c r="AX10" s="102"/>
      <c r="AZ10" s="63"/>
      <c r="BA10" s="212"/>
      <c r="BB10" s="213"/>
      <c r="BC10" s="214"/>
      <c r="BD10" s="217">
        <f t="shared" si="21"/>
        <v>0</v>
      </c>
      <c r="BE10" s="213">
        <f t="shared" si="22"/>
        <v>0</v>
      </c>
      <c r="BF10" s="215">
        <f t="shared" si="23"/>
        <v>0</v>
      </c>
      <c r="BG10" s="215">
        <f t="shared" si="24"/>
        <v>0</v>
      </c>
      <c r="BH10" s="215" t="str">
        <f t="shared" si="9"/>
        <v/>
      </c>
      <c r="BI10" s="215" t="str">
        <f t="shared" si="10"/>
        <v/>
      </c>
      <c r="BJ10" s="215" t="str">
        <f t="shared" si="11"/>
        <v/>
      </c>
      <c r="BK10" s="215" t="str">
        <f t="shared" si="12"/>
        <v/>
      </c>
      <c r="BL10" s="215" t="str">
        <f t="shared" si="13"/>
        <v/>
      </c>
      <c r="BM10" s="215" t="str">
        <f t="shared" si="14"/>
        <v/>
      </c>
      <c r="BN10" s="215" t="str">
        <f t="shared" si="15"/>
        <v/>
      </c>
      <c r="BO10" s="215" t="str">
        <f t="shared" si="16"/>
        <v/>
      </c>
      <c r="BP10" s="215" t="str">
        <f t="shared" si="17"/>
        <v/>
      </c>
      <c r="BQ10" s="216"/>
      <c r="BR10" s="214"/>
      <c r="BS10" s="215">
        <f t="shared" si="25"/>
        <v>0</v>
      </c>
      <c r="BT10" s="215">
        <f t="shared" si="26"/>
        <v>1E-8</v>
      </c>
      <c r="BU10" s="215" t="str">
        <f t="shared" si="27"/>
        <v>Praetoria Regensburg</v>
      </c>
      <c r="BV10" s="214">
        <f t="shared" si="28"/>
        <v>117</v>
      </c>
      <c r="BW10" s="215">
        <f t="shared" si="29"/>
        <v>0</v>
      </c>
      <c r="BX10" s="215">
        <f>IF(COUNTIF(BH10:BP10,"&gt;0")&lt;Spielorte!$A$23,0,BE10/Spielorte!$A$23)</f>
        <v>0</v>
      </c>
      <c r="BY10" s="215">
        <f t="shared" si="30"/>
        <v>1E-8</v>
      </c>
      <c r="BZ10" s="214">
        <f t="shared" si="18"/>
        <v>117</v>
      </c>
    </row>
    <row r="11" spans="1:78" ht="17.2" customHeight="1" x14ac:dyDescent="0.35">
      <c r="A11" s="368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9"/>
      <c r="F11" s="78" t="str">
        <f t="shared" si="0"/>
        <v/>
      </c>
      <c r="G11" s="349"/>
      <c r="H11" s="78" t="str">
        <f t="shared" si="1"/>
        <v/>
      </c>
      <c r="I11" s="349"/>
      <c r="J11" s="78" t="str">
        <f t="shared" si="2"/>
        <v/>
      </c>
      <c r="K11" s="349"/>
      <c r="L11" s="78" t="str">
        <f t="shared" si="3"/>
        <v/>
      </c>
      <c r="M11" s="349"/>
      <c r="N11" s="78" t="str">
        <f t="shared" si="20"/>
        <v/>
      </c>
      <c r="O11" s="349"/>
      <c r="P11" s="78" t="str">
        <f t="shared" si="4"/>
        <v/>
      </c>
      <c r="Q11" s="349"/>
      <c r="R11" s="78" t="str">
        <f t="shared" si="5"/>
        <v/>
      </c>
      <c r="S11" s="349"/>
      <c r="T11" s="78" t="str">
        <f t="shared" si="6"/>
        <v/>
      </c>
      <c r="U11" s="349"/>
      <c r="V11" s="78" t="str">
        <f t="shared" si="7"/>
        <v/>
      </c>
      <c r="W11" s="349"/>
      <c r="Z11" s="352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1.0999999999999999E-8</v>
      </c>
      <c r="BU11" s="215" t="str">
        <f t="shared" si="27"/>
        <v>Praetoria Regensburg</v>
      </c>
      <c r="BV11" s="214">
        <f t="shared" si="28"/>
        <v>116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1.0999999999999999E-8</v>
      </c>
      <c r="BZ11" s="214">
        <f t="shared" si="18"/>
        <v>116</v>
      </c>
    </row>
    <row r="12" spans="1:78" ht="17.2" customHeight="1" thickBot="1" x14ac:dyDescent="0.4">
      <c r="A12" s="369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0"/>
      <c r="F12" s="69" t="str">
        <f t="shared" si="0"/>
        <v/>
      </c>
      <c r="G12" s="350"/>
      <c r="H12" s="69" t="str">
        <f t="shared" si="1"/>
        <v/>
      </c>
      <c r="I12" s="350"/>
      <c r="J12" s="69" t="str">
        <f t="shared" si="2"/>
        <v/>
      </c>
      <c r="K12" s="350"/>
      <c r="L12" s="69" t="str">
        <f t="shared" si="3"/>
        <v/>
      </c>
      <c r="M12" s="350"/>
      <c r="N12" s="69" t="str">
        <f t="shared" si="20"/>
        <v/>
      </c>
      <c r="O12" s="350"/>
      <c r="P12" s="69" t="str">
        <f t="shared" si="4"/>
        <v/>
      </c>
      <c r="Q12" s="350"/>
      <c r="R12" s="69" t="str">
        <f t="shared" si="5"/>
        <v/>
      </c>
      <c r="S12" s="350"/>
      <c r="T12" s="69" t="str">
        <f t="shared" si="6"/>
        <v/>
      </c>
      <c r="U12" s="350"/>
      <c r="V12" s="69" t="str">
        <f t="shared" si="7"/>
        <v/>
      </c>
      <c r="W12" s="350"/>
      <c r="Z12" s="353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1.2E-8</v>
      </c>
      <c r="BU12" s="215" t="str">
        <f t="shared" si="27"/>
        <v>Praetoria Regensburg</v>
      </c>
      <c r="BV12" s="214">
        <f t="shared" si="28"/>
        <v>115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1.2E-8</v>
      </c>
      <c r="BZ12" s="214">
        <f t="shared" si="18"/>
        <v>115</v>
      </c>
    </row>
    <row r="13" spans="1:78" ht="17.2" customHeight="1" x14ac:dyDescent="0.35">
      <c r="A13" s="367" t="s">
        <v>3</v>
      </c>
      <c r="B13" s="73" t="str">
        <f t="shared" si="19"/>
        <v/>
      </c>
      <c r="C13" s="74" t="str">
        <f t="shared" si="19"/>
        <v/>
      </c>
      <c r="D13" s="75" t="str">
        <f t="shared" si="19"/>
        <v/>
      </c>
      <c r="E13" s="348">
        <f>IF(AD13="","",AD13)</f>
        <v>0</v>
      </c>
      <c r="F13" s="75" t="str">
        <f t="shared" si="0"/>
        <v/>
      </c>
      <c r="G13" s="348">
        <f>IF(AF13="","",AF13)</f>
        <v>0</v>
      </c>
      <c r="H13" s="75" t="str">
        <f t="shared" si="1"/>
        <v/>
      </c>
      <c r="I13" s="348">
        <f>IF(AH13="","",AH13)</f>
        <v>0</v>
      </c>
      <c r="J13" s="75" t="str">
        <f t="shared" si="2"/>
        <v/>
      </c>
      <c r="K13" s="348">
        <f>IF(AJ13="","",AJ13)</f>
        <v>0</v>
      </c>
      <c r="L13" s="75" t="str">
        <f t="shared" si="3"/>
        <v/>
      </c>
      <c r="M13" s="348">
        <f>IF(AL13="","",AL13)</f>
        <v>0</v>
      </c>
      <c r="N13" s="75" t="str">
        <f t="shared" si="20"/>
        <v/>
      </c>
      <c r="O13" s="348">
        <f>IF(AN13="","",AN13)</f>
        <v>0</v>
      </c>
      <c r="P13" s="75" t="str">
        <f t="shared" si="4"/>
        <v/>
      </c>
      <c r="Q13" s="348">
        <f>IF(AP13="","",AP13)</f>
        <v>0</v>
      </c>
      <c r="R13" s="75" t="str">
        <f t="shared" si="5"/>
        <v/>
      </c>
      <c r="S13" s="348">
        <f>IF(AR13="","",AR13)</f>
        <v>0</v>
      </c>
      <c r="T13" s="75" t="str">
        <f t="shared" si="6"/>
        <v/>
      </c>
      <c r="U13" s="348">
        <f>IF(AT13="","",AT13)</f>
        <v>0</v>
      </c>
      <c r="V13" s="75" t="str">
        <f t="shared" si="7"/>
        <v/>
      </c>
      <c r="W13" s="348">
        <f>IF(AV13="","",AV13)</f>
        <v>0</v>
      </c>
      <c r="Z13" s="351" t="s">
        <v>3</v>
      </c>
      <c r="AA13" s="108" t="str">
        <f>IF(AB13=0,"",VLOOKUP(AB13,Starter!$A$1:$D$199,2,FALSE))</f>
        <v/>
      </c>
      <c r="AB13" s="99"/>
      <c r="AC13" s="188"/>
      <c r="AD13" s="109">
        <f>IF(SUM(AC13:AC15)+AC27=0,0,IF(SUM(AC13:AC15)=AC27,0.5,IF(SUM(AC13:AC15)&gt;AC27,1,0)))</f>
        <v>0</v>
      </c>
      <c r="AE13" s="188"/>
      <c r="AF13" s="109">
        <f>IF(SUM(AE13:AE15)+AE27=0,0,IF(SUM(AE13:AE15)=AE27,0.5,IF(SUM(AE13:AE15)&gt;AE27,1,0)))</f>
        <v>0</v>
      </c>
      <c r="AG13" s="188"/>
      <c r="AH13" s="109">
        <f>IF(SUM(AG13:AG15)+AG27=0,0,IF(SUM(AG13:AG15)=AG27,0.5,IF(SUM(AG13:AG15)&gt;AG27,1,0)))</f>
        <v>0</v>
      </c>
      <c r="AI13" s="188"/>
      <c r="AJ13" s="109">
        <f>IF(SUM(AI13:AI15)+AI27=0,0,IF(SUM(AI13:AI15)=AI27,0.5,IF(SUM(AI13:AI15)&gt;AI27,1,0)))</f>
        <v>0</v>
      </c>
      <c r="AK13" s="188"/>
      <c r="AL13" s="109">
        <f>IF(SUM(AK13:AK15)+AK27=0,0,IF(SUM(AK13:AK15)=AK27,0.5,IF(SUM(AK13:AK15)&gt;AK27,1,0)))</f>
        <v>0</v>
      </c>
      <c r="AM13" s="188"/>
      <c r="AN13" s="109">
        <f>IF(SUM(AM13:AM15)+AM27=0,0,IF(SUM(AM13:AM15)=AM27,0.5,IF(SUM(AM13:AM15)&gt;AM27,1,0)))</f>
        <v>0</v>
      </c>
      <c r="AO13" s="188"/>
      <c r="AP13" s="109">
        <f>IF(SUM(AO13:AO15)+AO27=0,0,IF(SUM(AO13:AO15)=AO27,0.5,IF(SUM(AO13:AO15)&gt;AO27,1,0)))</f>
        <v>0</v>
      </c>
      <c r="AQ13" s="188"/>
      <c r="AR13" s="109">
        <f>IF(SUM(AQ13:AQ15)+AQ27=0,0,IF(SUM(AQ13:AQ15)=AQ27,0.5,IF(SUM(AQ13:AQ15)&gt;AQ27,1,0)))</f>
        <v>0</v>
      </c>
      <c r="AS13" s="188"/>
      <c r="AT13" s="109">
        <f>IF(SUM(AS13:AS15)+AS27=0,0,IF(SUM(AS13:AS15)=AS27,0.5,IF(SUM(AS13:AS15)&gt;AS27,1,0)))</f>
        <v>0</v>
      </c>
      <c r="AU13" s="110">
        <f t="shared" si="8"/>
        <v>0</v>
      </c>
      <c r="AV13" s="111">
        <f>SUM(AD13+AF13+AH13+AJ13+AL13+AN13+AP13+AR13+AT13)</f>
        <v>0</v>
      </c>
      <c r="AW13" s="101"/>
      <c r="AX13" s="102"/>
      <c r="AZ13" s="63"/>
      <c r="BA13" s="212"/>
      <c r="BB13" s="213"/>
      <c r="BC13" s="214"/>
      <c r="BD13" s="217">
        <f t="shared" si="21"/>
        <v>0</v>
      </c>
      <c r="BE13" s="213">
        <f t="shared" si="22"/>
        <v>0</v>
      </c>
      <c r="BF13" s="215">
        <f t="shared" si="23"/>
        <v>0</v>
      </c>
      <c r="BG13" s="215">
        <f t="shared" si="24"/>
        <v>0</v>
      </c>
      <c r="BH13" s="215" t="str">
        <f t="shared" si="9"/>
        <v/>
      </c>
      <c r="BI13" s="215" t="str">
        <f t="shared" si="10"/>
        <v/>
      </c>
      <c r="BJ13" s="215" t="str">
        <f t="shared" si="11"/>
        <v/>
      </c>
      <c r="BK13" s="215" t="str">
        <f t="shared" si="12"/>
        <v/>
      </c>
      <c r="BL13" s="215" t="str">
        <f t="shared" si="13"/>
        <v/>
      </c>
      <c r="BM13" s="215" t="str">
        <f t="shared" si="14"/>
        <v/>
      </c>
      <c r="BN13" s="215" t="str">
        <f t="shared" si="15"/>
        <v/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0</v>
      </c>
      <c r="BT13" s="215">
        <f t="shared" si="26"/>
        <v>1.3000000000000001E-8</v>
      </c>
      <c r="BU13" s="215" t="str">
        <f t="shared" si="27"/>
        <v>Praetoria Regensburg</v>
      </c>
      <c r="BV13" s="214">
        <f t="shared" si="28"/>
        <v>114</v>
      </c>
      <c r="BW13" s="215">
        <f t="shared" si="29"/>
        <v>0</v>
      </c>
      <c r="BX13" s="215">
        <f>IF(COUNTIF(BH13:BP13,"&gt;0")&lt;Spielorte!$A$23,0,BE13/Spielorte!$A$23)</f>
        <v>0</v>
      </c>
      <c r="BY13" s="215">
        <f t="shared" si="30"/>
        <v>1.3000000000000001E-8</v>
      </c>
      <c r="BZ13" s="214">
        <f t="shared" si="18"/>
        <v>114</v>
      </c>
    </row>
    <row r="14" spans="1:78" ht="17.2" customHeight="1" x14ac:dyDescent="0.35">
      <c r="A14" s="368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9"/>
      <c r="F14" s="78" t="str">
        <f t="shared" si="0"/>
        <v/>
      </c>
      <c r="G14" s="349"/>
      <c r="H14" s="78" t="str">
        <f t="shared" si="1"/>
        <v/>
      </c>
      <c r="I14" s="349"/>
      <c r="J14" s="78" t="str">
        <f t="shared" si="2"/>
        <v/>
      </c>
      <c r="K14" s="349"/>
      <c r="L14" s="78" t="str">
        <f t="shared" si="3"/>
        <v/>
      </c>
      <c r="M14" s="349"/>
      <c r="N14" s="78" t="str">
        <f t="shared" si="20"/>
        <v/>
      </c>
      <c r="O14" s="349"/>
      <c r="P14" s="78" t="str">
        <f t="shared" si="4"/>
        <v/>
      </c>
      <c r="Q14" s="349"/>
      <c r="R14" s="78" t="str">
        <f t="shared" si="5"/>
        <v/>
      </c>
      <c r="S14" s="349"/>
      <c r="T14" s="78" t="str">
        <f t="shared" si="6"/>
        <v/>
      </c>
      <c r="U14" s="349"/>
      <c r="V14" s="78" t="str">
        <f t="shared" si="7"/>
        <v/>
      </c>
      <c r="W14" s="349"/>
      <c r="Z14" s="352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1.4E-8</v>
      </c>
      <c r="BU14" s="215" t="str">
        <f t="shared" si="27"/>
        <v>Praetoria Regensburg</v>
      </c>
      <c r="BV14" s="214">
        <f t="shared" si="28"/>
        <v>113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1.4E-8</v>
      </c>
      <c r="BZ14" s="214">
        <f t="shared" si="18"/>
        <v>113</v>
      </c>
    </row>
    <row r="15" spans="1:78" ht="17.2" customHeight="1" thickBot="1" x14ac:dyDescent="0.4">
      <c r="A15" s="369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0"/>
      <c r="F15" s="69" t="str">
        <f t="shared" si="0"/>
        <v/>
      </c>
      <c r="G15" s="350"/>
      <c r="H15" s="69" t="str">
        <f t="shared" si="1"/>
        <v/>
      </c>
      <c r="I15" s="350"/>
      <c r="J15" s="69" t="str">
        <f t="shared" si="2"/>
        <v/>
      </c>
      <c r="K15" s="350"/>
      <c r="L15" s="69" t="str">
        <f t="shared" si="3"/>
        <v/>
      </c>
      <c r="M15" s="350"/>
      <c r="N15" s="69" t="str">
        <f t="shared" si="20"/>
        <v/>
      </c>
      <c r="O15" s="350"/>
      <c r="P15" s="69" t="str">
        <f t="shared" si="4"/>
        <v/>
      </c>
      <c r="Q15" s="350"/>
      <c r="R15" s="69" t="str">
        <f t="shared" si="5"/>
        <v/>
      </c>
      <c r="S15" s="350"/>
      <c r="T15" s="69" t="str">
        <f t="shared" si="6"/>
        <v/>
      </c>
      <c r="U15" s="350"/>
      <c r="V15" s="69" t="str">
        <f t="shared" si="7"/>
        <v/>
      </c>
      <c r="W15" s="350"/>
      <c r="Z15" s="353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1.4999999999999999E-8</v>
      </c>
      <c r="BU15" s="215" t="str">
        <f t="shared" si="27"/>
        <v>Praetoria Regensburg</v>
      </c>
      <c r="BV15" s="214">
        <f t="shared" si="28"/>
        <v>112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1.4999999999999999E-8</v>
      </c>
      <c r="BZ15" s="214">
        <f t="shared" si="18"/>
        <v>112</v>
      </c>
    </row>
    <row r="16" spans="1:78" ht="17.2" customHeight="1" x14ac:dyDescent="0.35">
      <c r="A16" s="367" t="s">
        <v>11</v>
      </c>
      <c r="B16" s="73" t="str">
        <f>IF(AA16=0,"",AA16)</f>
        <v/>
      </c>
      <c r="C16" s="74" t="str">
        <f t="shared" si="19"/>
        <v/>
      </c>
      <c r="D16" s="75" t="str">
        <f t="shared" si="19"/>
        <v/>
      </c>
      <c r="E16" s="348">
        <f>IF(AD16="","",AD16)</f>
        <v>0</v>
      </c>
      <c r="F16" s="75" t="str">
        <f t="shared" si="0"/>
        <v/>
      </c>
      <c r="G16" s="348">
        <f>IF(AF16="","",AF16)</f>
        <v>0</v>
      </c>
      <c r="H16" s="75" t="str">
        <f t="shared" si="1"/>
        <v/>
      </c>
      <c r="I16" s="348">
        <f>IF(AH16="","",AH16)</f>
        <v>0</v>
      </c>
      <c r="J16" s="75" t="str">
        <f t="shared" si="2"/>
        <v/>
      </c>
      <c r="K16" s="348">
        <f>IF(AJ16="","",AJ16)</f>
        <v>0</v>
      </c>
      <c r="L16" s="75" t="str">
        <f t="shared" si="3"/>
        <v/>
      </c>
      <c r="M16" s="348">
        <f>IF(AL16="","",AL16)</f>
        <v>0</v>
      </c>
      <c r="N16" s="75" t="str">
        <f t="shared" si="20"/>
        <v/>
      </c>
      <c r="O16" s="348">
        <f>IF(AN16="","",AN16)</f>
        <v>0</v>
      </c>
      <c r="P16" s="75" t="str">
        <f t="shared" si="4"/>
        <v/>
      </c>
      <c r="Q16" s="348">
        <f>IF(AP16="","",AP16)</f>
        <v>0</v>
      </c>
      <c r="R16" s="75" t="str">
        <f t="shared" si="5"/>
        <v/>
      </c>
      <c r="S16" s="348">
        <f>IF(AR16="","",AR16)</f>
        <v>0</v>
      </c>
      <c r="T16" s="75" t="str">
        <f t="shared" si="6"/>
        <v/>
      </c>
      <c r="U16" s="348">
        <f>IF(AT16="","",AT16)</f>
        <v>0</v>
      </c>
      <c r="V16" s="75" t="str">
        <f t="shared" si="7"/>
        <v/>
      </c>
      <c r="W16" s="348">
        <f>IF(AV16="","",AV16)</f>
        <v>0</v>
      </c>
      <c r="Z16" s="351" t="s">
        <v>11</v>
      </c>
      <c r="AA16" s="108" t="str">
        <f>IF(AB16=0,"",VLOOKUP(AB16,Starter!$A$1:$D$199,2,FALSE))</f>
        <v/>
      </c>
      <c r="AB16" s="99"/>
      <c r="AC16" s="188"/>
      <c r="AD16" s="109">
        <f>IF(SUM(AC16:AC18)+AC28=0,0,IF(SUM(AC16:AC18)=AC28,0.5,IF(SUM(AC16:AC18)&gt;AC28,1,0)))</f>
        <v>0</v>
      </c>
      <c r="AE16" s="188"/>
      <c r="AF16" s="109">
        <f>IF(SUM(AE16:AE18)+AE28=0,0,IF(SUM(AE16:AE18)=AE28,0.5,IF(SUM(AE16:AE18)&gt;AE28,1,0)))</f>
        <v>0</v>
      </c>
      <c r="AG16" s="188"/>
      <c r="AH16" s="109">
        <f>IF(SUM(AG16:AG18)+AG28=0,0,IF(SUM(AG16:AG18)=AG28,0.5,IF(SUM(AG16:AG18)&gt;AG28,1,0)))</f>
        <v>0</v>
      </c>
      <c r="AI16" s="188"/>
      <c r="AJ16" s="109">
        <f>IF(SUM(AI16:AI18)+AI28=0,0,IF(SUM(AI16:AI18)=AI28,0.5,IF(SUM(AI16:AI18)&gt;AI28,1,0)))</f>
        <v>0</v>
      </c>
      <c r="AK16" s="188"/>
      <c r="AL16" s="109">
        <f>IF(SUM(AK16:AK18)+AK28=0,0,IF(SUM(AK16:AK18)=AK28,0.5,IF(SUM(AK16:AK18)&gt;AK28,1,0)))</f>
        <v>0</v>
      </c>
      <c r="AM16" s="188"/>
      <c r="AN16" s="109">
        <f>IF(SUM(AM16:AM18)+AM28=0,0,IF(SUM(AM16:AM18)=AM28,0.5,IF(SUM(AM16:AM18)&gt;AM28,1,0)))</f>
        <v>0</v>
      </c>
      <c r="AO16" s="188"/>
      <c r="AP16" s="109">
        <f>IF(SUM(AO16:AO18)+AO28=0,0,IF(SUM(AO16:AO18)=AO28,0.5,IF(SUM(AO16:AO18)&gt;AO28,1,0)))</f>
        <v>0</v>
      </c>
      <c r="AQ16" s="188"/>
      <c r="AR16" s="109">
        <f>IF(SUM(AQ16:AQ18)+AQ28=0,0,IF(SUM(AQ16:AQ18)=AQ28,0.5,IF(SUM(AQ16:AQ18)&gt;AQ28,1,0)))</f>
        <v>0</v>
      </c>
      <c r="AS16" s="188"/>
      <c r="AT16" s="109">
        <f>IF(SUM(AS16:AS18)+AS28=0,0,IF(SUM(AS16:AS18)=AS28,0.5,IF(SUM(AS16:AS18)&gt;AS28,1,0)))</f>
        <v>0</v>
      </c>
      <c r="AU16" s="110">
        <f t="shared" si="8"/>
        <v>0</v>
      </c>
      <c r="AV16" s="111">
        <f>SUM(AD16+AF16+AH16+AJ16+AL16+AN16+AP16+AR16+AT16)</f>
        <v>0</v>
      </c>
      <c r="AW16" s="101"/>
      <c r="AX16" s="102"/>
      <c r="AZ16" s="63"/>
      <c r="BA16" s="212"/>
      <c r="BB16" s="213"/>
      <c r="BC16" s="214"/>
      <c r="BD16" s="217">
        <f t="shared" si="21"/>
        <v>0</v>
      </c>
      <c r="BE16" s="213">
        <f t="shared" si="22"/>
        <v>0</v>
      </c>
      <c r="BF16" s="215">
        <f t="shared" si="23"/>
        <v>0</v>
      </c>
      <c r="BG16" s="215">
        <f t="shared" si="24"/>
        <v>0</v>
      </c>
      <c r="BH16" s="215" t="str">
        <f t="shared" si="9"/>
        <v/>
      </c>
      <c r="BI16" s="215" t="str">
        <f t="shared" si="10"/>
        <v/>
      </c>
      <c r="BJ16" s="215" t="str">
        <f t="shared" si="11"/>
        <v/>
      </c>
      <c r="BK16" s="215" t="str">
        <f t="shared" si="12"/>
        <v/>
      </c>
      <c r="BL16" s="215" t="str">
        <f t="shared" si="13"/>
        <v/>
      </c>
      <c r="BM16" s="215" t="str">
        <f t="shared" si="14"/>
        <v/>
      </c>
      <c r="BN16" s="215" t="str">
        <f t="shared" si="15"/>
        <v/>
      </c>
      <c r="BO16" s="215" t="str">
        <f t="shared" si="16"/>
        <v/>
      </c>
      <c r="BP16" s="215" t="str">
        <f t="shared" si="17"/>
        <v/>
      </c>
      <c r="BQ16" s="216"/>
      <c r="BR16" s="214"/>
      <c r="BS16" s="215">
        <f t="shared" si="25"/>
        <v>0</v>
      </c>
      <c r="BT16" s="215">
        <f t="shared" si="26"/>
        <v>1.6000000000000001E-8</v>
      </c>
      <c r="BU16" s="215" t="str">
        <f t="shared" si="27"/>
        <v>Praetoria Regensburg</v>
      </c>
      <c r="BV16" s="214">
        <f t="shared" si="28"/>
        <v>111</v>
      </c>
      <c r="BW16" s="215">
        <f t="shared" si="29"/>
        <v>0</v>
      </c>
      <c r="BX16" s="215">
        <f>IF(COUNTIF(BH16:BP16,"&gt;0")&lt;Spielorte!$A$23,0,BE16/Spielorte!$A$23)</f>
        <v>0</v>
      </c>
      <c r="BY16" s="215">
        <f t="shared" si="30"/>
        <v>1.6000000000000001E-8</v>
      </c>
      <c r="BZ16" s="214">
        <f t="shared" si="18"/>
        <v>111</v>
      </c>
    </row>
    <row r="17" spans="1:78" ht="17.2" customHeight="1" x14ac:dyDescent="0.35">
      <c r="A17" s="368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9"/>
      <c r="F17" s="78" t="str">
        <f t="shared" si="0"/>
        <v/>
      </c>
      <c r="G17" s="349"/>
      <c r="H17" s="78" t="str">
        <f t="shared" si="1"/>
        <v/>
      </c>
      <c r="I17" s="349"/>
      <c r="J17" s="78" t="str">
        <f t="shared" si="2"/>
        <v/>
      </c>
      <c r="K17" s="349"/>
      <c r="L17" s="78" t="str">
        <f t="shared" si="3"/>
        <v/>
      </c>
      <c r="M17" s="349"/>
      <c r="N17" s="78" t="str">
        <f t="shared" si="20"/>
        <v/>
      </c>
      <c r="O17" s="349"/>
      <c r="P17" s="78" t="str">
        <f t="shared" si="4"/>
        <v/>
      </c>
      <c r="Q17" s="349"/>
      <c r="R17" s="78" t="str">
        <f t="shared" si="5"/>
        <v/>
      </c>
      <c r="S17" s="349"/>
      <c r="T17" s="78" t="str">
        <f t="shared" si="6"/>
        <v/>
      </c>
      <c r="U17" s="349"/>
      <c r="V17" s="78" t="str">
        <f t="shared" si="7"/>
        <v/>
      </c>
      <c r="W17" s="349"/>
      <c r="Z17" s="352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1.7E-8</v>
      </c>
      <c r="BU17" s="215" t="str">
        <f t="shared" si="27"/>
        <v>Praetoria Regensburg</v>
      </c>
      <c r="BV17" s="214">
        <f t="shared" si="28"/>
        <v>110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1.7E-8</v>
      </c>
      <c r="BZ17" s="214">
        <f t="shared" si="18"/>
        <v>110</v>
      </c>
    </row>
    <row r="18" spans="1:78" ht="17.2" customHeight="1" thickBot="1" x14ac:dyDescent="0.4">
      <c r="A18" s="369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0"/>
      <c r="F18" s="69" t="str">
        <f t="shared" si="0"/>
        <v/>
      </c>
      <c r="G18" s="350"/>
      <c r="H18" s="69" t="str">
        <f t="shared" si="1"/>
        <v/>
      </c>
      <c r="I18" s="350"/>
      <c r="J18" s="69" t="str">
        <f t="shared" si="2"/>
        <v/>
      </c>
      <c r="K18" s="350"/>
      <c r="L18" s="69" t="str">
        <f t="shared" si="3"/>
        <v/>
      </c>
      <c r="M18" s="350"/>
      <c r="N18" s="69" t="str">
        <f t="shared" si="20"/>
        <v/>
      </c>
      <c r="O18" s="350"/>
      <c r="P18" s="69" t="str">
        <f t="shared" si="4"/>
        <v/>
      </c>
      <c r="Q18" s="350"/>
      <c r="R18" s="69" t="str">
        <f t="shared" si="5"/>
        <v/>
      </c>
      <c r="S18" s="350"/>
      <c r="T18" s="69" t="str">
        <f t="shared" si="6"/>
        <v/>
      </c>
      <c r="U18" s="350"/>
      <c r="V18" s="69" t="str">
        <f t="shared" si="7"/>
        <v/>
      </c>
      <c r="W18" s="350"/>
      <c r="Z18" s="353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1.7999999999999999E-8</v>
      </c>
      <c r="BU18" s="215" t="str">
        <f t="shared" si="27"/>
        <v>Praetoria Regensburg</v>
      </c>
      <c r="BV18" s="214">
        <f t="shared" si="28"/>
        <v>109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1.7999999999999999E-8</v>
      </c>
      <c r="BZ18" s="214">
        <f t="shared" si="18"/>
        <v>109</v>
      </c>
    </row>
    <row r="19" spans="1:78" ht="27.75" customHeight="1" thickBot="1" x14ac:dyDescent="0.4">
      <c r="B19" s="81" t="str">
        <f>IF(AA19=0,"",AA19)</f>
        <v>Gesamt</v>
      </c>
      <c r="C19" s="82" t="str">
        <f t="shared" si="19"/>
        <v/>
      </c>
      <c r="D19" s="83" t="str">
        <f t="shared" si="19"/>
        <v/>
      </c>
      <c r="E19" s="84">
        <f>IF(AD19="","",AD19)</f>
        <v>0</v>
      </c>
      <c r="F19" s="83" t="str">
        <f t="shared" si="0"/>
        <v/>
      </c>
      <c r="G19" s="84">
        <f>IF(AF19="","",AF19)</f>
        <v>0</v>
      </c>
      <c r="H19" s="83" t="str">
        <f t="shared" si="1"/>
        <v/>
      </c>
      <c r="I19" s="84">
        <f>IF(AH19="","",AH19)</f>
        <v>0</v>
      </c>
      <c r="J19" s="83" t="str">
        <f t="shared" si="2"/>
        <v/>
      </c>
      <c r="K19" s="84">
        <f>IF(AJ19="","",AJ19)</f>
        <v>0</v>
      </c>
      <c r="L19" s="83" t="str">
        <f t="shared" si="3"/>
        <v/>
      </c>
      <c r="M19" s="84">
        <f>IF(AL19="","",AL19)</f>
        <v>0</v>
      </c>
      <c r="N19" s="83" t="str">
        <f t="shared" si="20"/>
        <v/>
      </c>
      <c r="O19" s="84">
        <f>IF(AN19="","",AN19)</f>
        <v>0</v>
      </c>
      <c r="P19" s="83" t="str">
        <f t="shared" si="4"/>
        <v/>
      </c>
      <c r="Q19" s="84">
        <f>IF(AP19="","",AP19)</f>
        <v>0</v>
      </c>
      <c r="R19" s="83" t="str">
        <f t="shared" si="5"/>
        <v/>
      </c>
      <c r="S19" s="84">
        <f>IF(AR19="","",AR19)</f>
        <v>0</v>
      </c>
      <c r="T19" s="83" t="str">
        <f t="shared" si="6"/>
        <v/>
      </c>
      <c r="U19" s="84">
        <f>IF(AT19="","",AT19)</f>
        <v>0</v>
      </c>
      <c r="V19" s="83" t="str">
        <f t="shared" si="7"/>
        <v/>
      </c>
      <c r="W19" s="84">
        <f>IF(AV19="","",AV19)</f>
        <v>0</v>
      </c>
      <c r="AA19" s="81" t="s">
        <v>1799</v>
      </c>
      <c r="AB19" s="120"/>
      <c r="AC19" s="211">
        <f>ABS(SUM(AC7:AC9))+ABS(SUM(AC10:AC12))+ABS(SUM(AC13:AC15))+ABS(SUM(AC16:AC18))</f>
        <v>0</v>
      </c>
      <c r="AD19" s="121">
        <f>IF(AC19+AC29=0,0,IF(AC19=AC29,1,IF(AC19&gt;AC29,2,0)))</f>
        <v>0</v>
      </c>
      <c r="AE19" s="211">
        <f>ABS(SUM(AE7:AE9))+ABS(SUM(AE10:AE12))+ABS(SUM(AE13:AE15))+ABS(SUM(AE16:AE18))</f>
        <v>0</v>
      </c>
      <c r="AF19" s="121">
        <f>IF(AE19+AE29=0,0,IF(AE19=AE29,1,IF(AE19&gt;AE29,2,0)))</f>
        <v>0</v>
      </c>
      <c r="AG19" s="211">
        <f>ABS(SUM(AG7:AG9))+ABS(SUM(AG10:AG12))+ABS(SUM(AG13:AG15))+ABS(SUM(AG16:AG18))</f>
        <v>0</v>
      </c>
      <c r="AH19" s="121">
        <f>IF(AG19+AG29=0,0,IF(AG19=AG29,1,IF(AG19&gt;AG29,2,0)))</f>
        <v>0</v>
      </c>
      <c r="AI19" s="211">
        <f>ABS(SUM(AI7:AI9))+ABS(SUM(AI10:AI12))+ABS(SUM(AI13:AI15))+ABS(SUM(AI16:AI18))</f>
        <v>0</v>
      </c>
      <c r="AJ19" s="121">
        <f>IF(AI19+AI29=0,0,IF(AI19=AI29,1,IF(AI19&gt;AI29,2,0)))</f>
        <v>0</v>
      </c>
      <c r="AK19" s="211">
        <f>ABS(SUM(AK7:AK9))+ABS(SUM(AK10:AK12))+ABS(SUM(AK13:AK15))+ABS(SUM(AK16:AK18))</f>
        <v>0</v>
      </c>
      <c r="AL19" s="121">
        <f>IF(AK19+AK29=0,0,IF(AK19=AK29,1,IF(AK19&gt;AK29,2,0)))</f>
        <v>0</v>
      </c>
      <c r="AM19" s="211">
        <f>ABS(SUM(AM7:AM9))+ABS(SUM(AM10:AM12))+ABS(SUM(AM13:AM15))+ABS(SUM(AM16:AM18))</f>
        <v>0</v>
      </c>
      <c r="AN19" s="121">
        <f>IF(AM19+AM29=0,0,IF(AM19=AM29,1,IF(AM19&gt;AM29,2,0)))</f>
        <v>0</v>
      </c>
      <c r="AO19" s="211">
        <f>ABS(SUM(AO7:AO9))+ABS(SUM(AO10:AO12))+ABS(SUM(AO13:AO15))+ABS(SUM(AO16:AO18))</f>
        <v>0</v>
      </c>
      <c r="AP19" s="121">
        <f>IF(AO19+AO29=0,0,IF(AO19=AO29,1,IF(AO19&gt;AO29,2,0)))</f>
        <v>0</v>
      </c>
      <c r="AQ19" s="211">
        <f>ABS(SUM(AQ7:AQ9))+ABS(SUM(AQ10:AQ12))+ABS(SUM(AQ13:AQ15))+ABS(SUM(AQ16:AQ18))</f>
        <v>0</v>
      </c>
      <c r="AR19" s="121">
        <f>IF(AQ19+AQ29=0,0,IF(AQ19=AQ29,1,IF(AQ19&gt;AQ29,2,0)))</f>
        <v>0</v>
      </c>
      <c r="AS19" s="211">
        <f>ABS(SUM(AS7:AS9))+ABS(SUM(AS10:AS12))+ABS(SUM(AS13:AS15))+ABS(SUM(AS16:AS18))</f>
        <v>0</v>
      </c>
      <c r="AT19" s="121">
        <f>IF(AS19+AS29=0,0,IF(AS19=AS29,1,IF(AS19&gt;AS29,2,0)))</f>
        <v>0</v>
      </c>
      <c r="AU19" s="122">
        <f>SUM(AC19+AE19+AG19+AI19+AK19+AM19+AO19+AQ19+AS19)</f>
        <v>0</v>
      </c>
      <c r="AV19" s="123">
        <f>SUM(AD19+AF19+AH19+AJ19+AL19+AN19+AP19+AR19+AT19)</f>
        <v>0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4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0</v>
      </c>
      <c r="F20" s="86" t="str">
        <f t="shared" si="0"/>
        <v/>
      </c>
      <c r="G20" s="87">
        <f>IF(AF20="","",AF20)</f>
        <v>0</v>
      </c>
      <c r="H20" s="86" t="str">
        <f t="shared" si="1"/>
        <v/>
      </c>
      <c r="I20" s="87">
        <f>IF(AH20="","",AH20)</f>
        <v>0</v>
      </c>
      <c r="J20" s="86" t="str">
        <f t="shared" si="2"/>
        <v/>
      </c>
      <c r="K20" s="87">
        <f>IF(AJ20="","",AJ20)</f>
        <v>0</v>
      </c>
      <c r="L20" s="86" t="str">
        <f t="shared" si="3"/>
        <v/>
      </c>
      <c r="M20" s="87">
        <f>IF(AL20="","",AL20)</f>
        <v>0</v>
      </c>
      <c r="N20" s="86" t="str">
        <f t="shared" si="20"/>
        <v/>
      </c>
      <c r="O20" s="87">
        <f>IF(AN20="","",AN20)</f>
        <v>0</v>
      </c>
      <c r="P20" s="86" t="str">
        <f t="shared" si="4"/>
        <v/>
      </c>
      <c r="Q20" s="87">
        <f>IF(AP20="","",AP20)</f>
        <v>0</v>
      </c>
      <c r="R20" s="86" t="str">
        <f t="shared" si="5"/>
        <v/>
      </c>
      <c r="S20" s="87">
        <f>IF(AR20="","",AR20)</f>
        <v>0</v>
      </c>
      <c r="T20" s="86" t="str">
        <f t="shared" si="6"/>
        <v/>
      </c>
      <c r="U20" s="87">
        <f>IF(AT20="","",AT20)</f>
        <v>0</v>
      </c>
      <c r="V20" s="86" t="str">
        <f t="shared" si="7"/>
        <v/>
      </c>
      <c r="W20" s="87">
        <f>IF(AV20="","",AV20)</f>
        <v>0</v>
      </c>
      <c r="AA20" s="85" t="s">
        <v>1814</v>
      </c>
      <c r="AB20" s="86"/>
      <c r="AC20" s="86"/>
      <c r="AD20" s="124">
        <f>SUM(AD7:AD19)</f>
        <v>0</v>
      </c>
      <c r="AE20" s="86"/>
      <c r="AF20" s="124">
        <f>SUM(AF7:AF19)</f>
        <v>0</v>
      </c>
      <c r="AG20" s="86"/>
      <c r="AH20" s="124">
        <f>SUM(AH7:AH19)</f>
        <v>0</v>
      </c>
      <c r="AI20" s="86"/>
      <c r="AJ20" s="124">
        <f>SUM(AJ7:AJ19)</f>
        <v>0</v>
      </c>
      <c r="AK20" s="86"/>
      <c r="AL20" s="124">
        <f>SUM(AL7:AL19)</f>
        <v>0</v>
      </c>
      <c r="AM20" s="86"/>
      <c r="AN20" s="124">
        <f>SUM(AN7:AN19)</f>
        <v>0</v>
      </c>
      <c r="AO20" s="86"/>
      <c r="AP20" s="124">
        <f>SUM(AP7:AP19)</f>
        <v>0</v>
      </c>
      <c r="AQ20" s="86"/>
      <c r="AR20" s="124">
        <f>SUM(AR7:AR19)</f>
        <v>0</v>
      </c>
      <c r="AS20" s="86"/>
      <c r="AT20" s="124">
        <f>SUM(AT7:AT19)</f>
        <v>0</v>
      </c>
      <c r="AU20" s="86"/>
      <c r="AV20" s="125">
        <f>SUM(AV7:AV19)</f>
        <v>0</v>
      </c>
      <c r="AW20" s="101"/>
      <c r="AX20" s="102"/>
      <c r="BA20" s="212">
        <f>+AV20</f>
        <v>0</v>
      </c>
      <c r="BB20" s="213">
        <f>+AU19</f>
        <v>0</v>
      </c>
      <c r="BC20" s="214">
        <f>+AA2</f>
        <v>1</v>
      </c>
      <c r="BF20" s="215">
        <f>SUM(BF1:BF19)</f>
        <v>0</v>
      </c>
      <c r="BQ20" s="212">
        <f>+BB20/1000000+BA20</f>
        <v>0</v>
      </c>
      <c r="BR20" s="214">
        <f>RANK(BQ20,BQ:BQ)</f>
        <v>1</v>
      </c>
      <c r="BV20" s="214"/>
      <c r="BZ20" s="214"/>
    </row>
    <row r="21" spans="1:78" ht="11.25" customHeight="1" x14ac:dyDescent="0.3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35">
      <c r="B22" s="88" t="str">
        <f t="shared" ref="B22:K24" si="31">IF(AA22=0,"",AA22)</f>
        <v>Gegner-Nr.:</v>
      </c>
      <c r="C22" s="89" t="str">
        <f t="shared" si="31"/>
        <v>&gt;&gt;&gt;&gt;</v>
      </c>
      <c r="D22" s="346">
        <f t="shared" si="31"/>
        <v>2</v>
      </c>
      <c r="E22" s="346" t="str">
        <f t="shared" si="31"/>
        <v/>
      </c>
      <c r="F22" s="346">
        <f t="shared" si="31"/>
        <v>6</v>
      </c>
      <c r="G22" s="346" t="str">
        <f t="shared" si="31"/>
        <v/>
      </c>
      <c r="H22" s="346">
        <f t="shared" si="31"/>
        <v>10</v>
      </c>
      <c r="I22" s="346" t="str">
        <f t="shared" si="31"/>
        <v/>
      </c>
      <c r="J22" s="346">
        <f t="shared" si="31"/>
        <v>9</v>
      </c>
      <c r="K22" s="346" t="str">
        <f t="shared" si="31"/>
        <v/>
      </c>
      <c r="L22" s="346">
        <f t="shared" ref="L22:U24" si="32">IF(AK22=0,"",AK22)</f>
        <v>4</v>
      </c>
      <c r="M22" s="346" t="str">
        <f t="shared" si="32"/>
        <v/>
      </c>
      <c r="N22" s="346">
        <f t="shared" si="32"/>
        <v>3</v>
      </c>
      <c r="O22" s="346" t="str">
        <f t="shared" si="32"/>
        <v/>
      </c>
      <c r="P22" s="346">
        <f t="shared" si="32"/>
        <v>5</v>
      </c>
      <c r="Q22" s="346" t="str">
        <f t="shared" si="32"/>
        <v/>
      </c>
      <c r="R22" s="346">
        <f t="shared" si="32"/>
        <v>8</v>
      </c>
      <c r="S22" s="346" t="str">
        <f t="shared" si="32"/>
        <v/>
      </c>
      <c r="T22" s="346">
        <f t="shared" si="32"/>
        <v>7</v>
      </c>
      <c r="U22" s="346" t="str">
        <f t="shared" si="32"/>
        <v/>
      </c>
      <c r="V22" s="347"/>
      <c r="W22" s="347"/>
      <c r="AA22" s="88" t="s">
        <v>1797</v>
      </c>
      <c r="AB22" s="89" t="s">
        <v>1798</v>
      </c>
      <c r="AC22" s="370">
        <f>VLOOKUP($AA2,Schlüssel!$A$5:$DG$14,83)</f>
        <v>2</v>
      </c>
      <c r="AD22" s="371"/>
      <c r="AE22" s="370">
        <f>VLOOKUP($AA2,Schlüssel!$A$5:$EK$14,84)</f>
        <v>6</v>
      </c>
      <c r="AF22" s="371"/>
      <c r="AG22" s="370">
        <f>VLOOKUP($AA2,Schlüssel!$A$5:$EK$14,85)</f>
        <v>10</v>
      </c>
      <c r="AH22" s="371"/>
      <c r="AI22" s="370">
        <f>VLOOKUP($AA2,Schlüssel!$A$5:$EK$14,86)</f>
        <v>9</v>
      </c>
      <c r="AJ22" s="371"/>
      <c r="AK22" s="370">
        <f>VLOOKUP($AA2,Schlüssel!$A$5:$EK$14,87)</f>
        <v>4</v>
      </c>
      <c r="AL22" s="371"/>
      <c r="AM22" s="370">
        <f>VLOOKUP($AA2,Schlüssel!$A$5:$EK$14,88)</f>
        <v>3</v>
      </c>
      <c r="AN22" s="371"/>
      <c r="AO22" s="370">
        <f>VLOOKUP($AA2,Schlüssel!$A$5:$EK$14,89)</f>
        <v>5</v>
      </c>
      <c r="AP22" s="371"/>
      <c r="AQ22" s="370">
        <f>VLOOKUP($AA2,Schlüssel!$A$5:$EK$14,90)</f>
        <v>8</v>
      </c>
      <c r="AR22" s="371"/>
      <c r="AS22" s="370">
        <f>VLOOKUP($AA2,Schlüssel!$A$5:$EK$14,91)</f>
        <v>7</v>
      </c>
      <c r="AT22" s="371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35">
      <c r="B23" s="90" t="str">
        <f t="shared" si="31"/>
        <v/>
      </c>
      <c r="C23" s="86" t="str">
        <f t="shared" si="31"/>
        <v/>
      </c>
      <c r="D23" s="343" t="str">
        <f t="shared" si="31"/>
        <v>BK München 2</v>
      </c>
      <c r="E23" s="344" t="str">
        <f t="shared" si="31"/>
        <v/>
      </c>
      <c r="F23" s="343" t="str">
        <f t="shared" si="31"/>
        <v>Phönix 03 Lauf</v>
      </c>
      <c r="G23" s="344" t="str">
        <f t="shared" si="31"/>
        <v/>
      </c>
      <c r="H23" s="343" t="str">
        <f t="shared" si="31"/>
        <v>BK München 4</v>
      </c>
      <c r="I23" s="344" t="str">
        <f t="shared" si="31"/>
        <v/>
      </c>
      <c r="J23" s="343" t="str">
        <f t="shared" si="31"/>
        <v>RW Lichtenhof 69 Stein 2</v>
      </c>
      <c r="K23" s="344" t="str">
        <f t="shared" si="31"/>
        <v/>
      </c>
      <c r="L23" s="343" t="str">
        <f t="shared" si="32"/>
        <v>BK München 3</v>
      </c>
      <c r="M23" s="344" t="str">
        <f t="shared" si="32"/>
        <v/>
      </c>
      <c r="N23" s="343" t="str">
        <f t="shared" si="32"/>
        <v>Highroller Rosenheim</v>
      </c>
      <c r="O23" s="344" t="str">
        <f t="shared" si="32"/>
        <v/>
      </c>
      <c r="P23" s="343" t="str">
        <f t="shared" si="32"/>
        <v xml:space="preserve">Weiß Blau Unterföhring </v>
      </c>
      <c r="Q23" s="344" t="str">
        <f t="shared" si="32"/>
        <v/>
      </c>
      <c r="R23" s="343" t="str">
        <f t="shared" si="32"/>
        <v>EPA München 1</v>
      </c>
      <c r="S23" s="344" t="str">
        <f t="shared" si="32"/>
        <v/>
      </c>
      <c r="T23" s="343" t="str">
        <f t="shared" si="32"/>
        <v>Frankenpower Nürnberg</v>
      </c>
      <c r="U23" s="344" t="str">
        <f t="shared" si="32"/>
        <v/>
      </c>
      <c r="V23" s="345"/>
      <c r="W23" s="345"/>
      <c r="AA23" s="90"/>
      <c r="AB23" s="86"/>
      <c r="AC23" s="343" t="str">
        <f>VLOOKUP(AC22,Schlüssel!$A$5:$K$14,2)</f>
        <v>BK München 2</v>
      </c>
      <c r="AD23" s="344"/>
      <c r="AE23" s="343" t="str">
        <f>VLOOKUP(AE22,Schlüssel!$A$5:$K$14,2)</f>
        <v>Phönix 03 Lauf</v>
      </c>
      <c r="AF23" s="344"/>
      <c r="AG23" s="343" t="str">
        <f>VLOOKUP(AG22,Schlüssel!$A$5:$K$14,2)</f>
        <v>BK München 4</v>
      </c>
      <c r="AH23" s="344"/>
      <c r="AI23" s="343" t="str">
        <f>VLOOKUP(AI22,Schlüssel!$A$5:$K$14,2)</f>
        <v>RW Lichtenhof 69 Stein 2</v>
      </c>
      <c r="AJ23" s="344"/>
      <c r="AK23" s="343" t="str">
        <f>VLOOKUP(AK22,Schlüssel!$A$5:$K$14,2)</f>
        <v>BK München 3</v>
      </c>
      <c r="AL23" s="344"/>
      <c r="AM23" s="343" t="str">
        <f>VLOOKUP(AM22,Schlüssel!$A$5:$K$14,2)</f>
        <v>Highroller Rosenheim</v>
      </c>
      <c r="AN23" s="344"/>
      <c r="AO23" s="343" t="str">
        <f>VLOOKUP(AO22,Schlüssel!$A$5:$K$14,2)</f>
        <v xml:space="preserve">Weiß Blau Unterföhring </v>
      </c>
      <c r="AP23" s="344"/>
      <c r="AQ23" s="343" t="str">
        <f>VLOOKUP(AQ22,Schlüssel!$A$5:$K$14,2)</f>
        <v>EPA München 1</v>
      </c>
      <c r="AR23" s="344"/>
      <c r="AS23" s="343" t="str">
        <f>VLOOKUP(AS22,Schlüssel!$A$5:$K$14,2)</f>
        <v>Frankenpower Nürnberg</v>
      </c>
      <c r="AT23" s="344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35">
      <c r="B24" s="90" t="str">
        <f t="shared" si="31"/>
        <v/>
      </c>
      <c r="C24" s="86" t="str">
        <f t="shared" si="31"/>
        <v/>
      </c>
      <c r="D24" s="341" t="str">
        <f t="shared" si="31"/>
        <v/>
      </c>
      <c r="E24" s="341" t="str">
        <f t="shared" si="31"/>
        <v/>
      </c>
      <c r="F24" s="341" t="str">
        <f t="shared" si="31"/>
        <v/>
      </c>
      <c r="G24" s="341" t="str">
        <f t="shared" si="31"/>
        <v/>
      </c>
      <c r="H24" s="341" t="str">
        <f t="shared" si="31"/>
        <v/>
      </c>
      <c r="I24" s="341" t="str">
        <f t="shared" si="31"/>
        <v/>
      </c>
      <c r="J24" s="341" t="str">
        <f t="shared" si="31"/>
        <v/>
      </c>
      <c r="K24" s="341" t="str">
        <f t="shared" si="31"/>
        <v/>
      </c>
      <c r="L24" s="341" t="str">
        <f t="shared" si="32"/>
        <v/>
      </c>
      <c r="M24" s="341" t="str">
        <f t="shared" si="32"/>
        <v/>
      </c>
      <c r="N24" s="341" t="str">
        <f t="shared" si="32"/>
        <v/>
      </c>
      <c r="O24" s="341" t="str">
        <f t="shared" si="32"/>
        <v/>
      </c>
      <c r="P24" s="341" t="str">
        <f t="shared" si="32"/>
        <v/>
      </c>
      <c r="Q24" s="341" t="str">
        <f t="shared" si="32"/>
        <v/>
      </c>
      <c r="R24" s="341" t="str">
        <f t="shared" si="32"/>
        <v/>
      </c>
      <c r="S24" s="341" t="str">
        <f t="shared" si="32"/>
        <v/>
      </c>
      <c r="T24" s="341" t="str">
        <f t="shared" si="32"/>
        <v/>
      </c>
      <c r="U24" s="342" t="str">
        <f t="shared" si="32"/>
        <v/>
      </c>
      <c r="V24" s="301"/>
      <c r="W24" s="301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6.05" customHeight="1" x14ac:dyDescent="0.35">
      <c r="B25" s="365" t="str">
        <f t="shared" ref="B25:C29" si="33">IF(AA25=0,"",AA25)</f>
        <v>Spieler 1</v>
      </c>
      <c r="C25" s="366" t="str">
        <f t="shared" si="33"/>
        <v/>
      </c>
      <c r="D25" s="339">
        <f>IF(AC25=301,"",AC25)</f>
        <v>0</v>
      </c>
      <c r="E25" s="339" t="str">
        <f>IF(AD25=0,"",AD25)</f>
        <v/>
      </c>
      <c r="F25" s="339">
        <f>IF(AE25=301,"",AE25)</f>
        <v>0</v>
      </c>
      <c r="G25" s="339" t="str">
        <f>IF(AF25=0,"",AF25)</f>
        <v/>
      </c>
      <c r="H25" s="339">
        <f>IF(AG25=301,"",AG25)</f>
        <v>0</v>
      </c>
      <c r="I25" s="339" t="str">
        <f>IF(AH25=0,"",AH25)</f>
        <v/>
      </c>
      <c r="J25" s="339">
        <f>IF(AI25=301,"",AI25)</f>
        <v>0</v>
      </c>
      <c r="K25" s="339" t="str">
        <f>IF(AJ25=0,"",AJ25)</f>
        <v/>
      </c>
      <c r="L25" s="339">
        <f>IF(AK25=301,"",AK25)</f>
        <v>0</v>
      </c>
      <c r="M25" s="339" t="str">
        <f>IF(AL25=0,"",AL25)</f>
        <v/>
      </c>
      <c r="N25" s="339">
        <f>IF(AM25=301,"",AM25)</f>
        <v>0</v>
      </c>
      <c r="O25" s="339" t="str">
        <f>IF(AN25=0,"",AN25)</f>
        <v/>
      </c>
      <c r="P25" s="339">
        <f>IF(AO25=301,"",AO25)</f>
        <v>0</v>
      </c>
      <c r="Q25" s="339" t="str">
        <f>IF(AP25=0,"",AP25)</f>
        <v/>
      </c>
      <c r="R25" s="339">
        <f>IF(AQ25=301,"",AQ25)</f>
        <v>0</v>
      </c>
      <c r="S25" s="339" t="str">
        <f>IF(AR25=0,"",AR25)</f>
        <v/>
      </c>
      <c r="T25" s="339">
        <f>IF(AS25=301,"",AS25)</f>
        <v>0</v>
      </c>
      <c r="U25" s="339" t="str">
        <f>IF(AT25=0,"",AT25)</f>
        <v/>
      </c>
      <c r="V25" s="340"/>
      <c r="W25" s="340"/>
      <c r="AA25" s="91" t="s">
        <v>0</v>
      </c>
      <c r="AB25" s="92"/>
      <c r="AC25" s="372">
        <f>ABS(INDEX(AC:AC,MATCH(AC22,$AA:$AA,0)+5)+INDEX(AC:AC,MATCH(AC22,$AA:$AA,0)+6)+INDEX(AC:AC,MATCH(AC22,$AA:$AA,0)+7))</f>
        <v>0</v>
      </c>
      <c r="AD25" s="373"/>
      <c r="AE25" s="372">
        <f>ABS(INDEX(AE:AE,MATCH(AE22,$AA:$AA,0)+5)+INDEX(AE:AE,MATCH(AE22,$AA:$AA,0)+6)+INDEX(AE:AE,MATCH(AE22,$AA:$AA,0)+7))</f>
        <v>0</v>
      </c>
      <c r="AF25" s="373"/>
      <c r="AG25" s="372">
        <f>ABS(INDEX(AG:AG,MATCH(AG22,$AA:$AA,0)+5)+INDEX(AG:AG,MATCH(AG22,$AA:$AA,0)+6)+INDEX(AG:AG,MATCH(AG22,$AA:$AA,0)+7))</f>
        <v>0</v>
      </c>
      <c r="AH25" s="373"/>
      <c r="AI25" s="372">
        <f>ABS(INDEX(AI:AI,MATCH(AI22,$AA:$AA,0)+5)+INDEX(AI:AI,MATCH(AI22,$AA:$AA,0)+6)+INDEX(AI:AI,MATCH(AI22,$AA:$AA,0)+7))</f>
        <v>0</v>
      </c>
      <c r="AJ25" s="373"/>
      <c r="AK25" s="372">
        <f>ABS(INDEX(AK:AK,MATCH(AK22,$AA:$AA,0)+5)+INDEX(AK:AK,MATCH(AK22,$AA:$AA,0)+6)+INDEX(AK:AK,MATCH(AK22,$AA:$AA,0)+7))</f>
        <v>0</v>
      </c>
      <c r="AL25" s="373"/>
      <c r="AM25" s="372">
        <f>ABS(INDEX(AM:AM,MATCH(AM22,$AA:$AA,0)+5)+INDEX(AM:AM,MATCH(AM22,$AA:$AA,0)+6)+INDEX(AM:AM,MATCH(AM22,$AA:$AA,0)+7))</f>
        <v>0</v>
      </c>
      <c r="AN25" s="373"/>
      <c r="AO25" s="372">
        <f>ABS(INDEX(AO:AO,MATCH(AO22,$AA:$AA,0)+5)+INDEX(AO:AO,MATCH(AO22,$AA:$AA,0)+6)+INDEX(AO:AO,MATCH(AO22,$AA:$AA,0)+7))</f>
        <v>0</v>
      </c>
      <c r="AP25" s="373"/>
      <c r="AQ25" s="372">
        <f>ABS(INDEX(AQ:AQ,MATCH(AQ22,$AA:$AA,0)+5)+INDEX(AQ:AQ,MATCH(AQ22,$AA:$AA,0)+6)+INDEX(AQ:AQ,MATCH(AQ22,$AA:$AA,0)+7))</f>
        <v>0</v>
      </c>
      <c r="AR25" s="373"/>
      <c r="AS25" s="372">
        <f>ABS(INDEX(AS:AS,MATCH(AS22,$AA:$AA,0)+5)+INDEX(AS:AS,MATCH(AS22,$AA:$AA,0)+6)+INDEX(AS:AS,MATCH(AS22,$AA:$AA,0)+7))</f>
        <v>0</v>
      </c>
      <c r="AT25" s="373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6.05" customHeight="1" x14ac:dyDescent="0.35">
      <c r="B26" s="365" t="str">
        <f t="shared" si="33"/>
        <v>Spieler 2</v>
      </c>
      <c r="C26" s="366" t="str">
        <f t="shared" si="33"/>
        <v/>
      </c>
      <c r="D26" s="339">
        <f>IF(AC26=301,"",AC26)</f>
        <v>0</v>
      </c>
      <c r="E26" s="339" t="str">
        <f>IF(AD26=0,"",AD26)</f>
        <v/>
      </c>
      <c r="F26" s="339">
        <f>IF(AE26=301,"",AE26)</f>
        <v>0</v>
      </c>
      <c r="G26" s="339" t="str">
        <f>IF(AF26=0,"",AF26)</f>
        <v/>
      </c>
      <c r="H26" s="339">
        <f>IF(AG26=301,"",AG26)</f>
        <v>0</v>
      </c>
      <c r="I26" s="339" t="str">
        <f>IF(AH26=0,"",AH26)</f>
        <v/>
      </c>
      <c r="J26" s="339">
        <f>IF(AI26=301,"",AI26)</f>
        <v>0</v>
      </c>
      <c r="K26" s="339" t="str">
        <f>IF(AJ26=0,"",AJ26)</f>
        <v/>
      </c>
      <c r="L26" s="339">
        <f>IF(AK26=301,"",AK26)</f>
        <v>0</v>
      </c>
      <c r="M26" s="339" t="str">
        <f>IF(AL26=0,"",AL26)</f>
        <v/>
      </c>
      <c r="N26" s="339">
        <f>IF(AM26=301,"",AM26)</f>
        <v>0</v>
      </c>
      <c r="O26" s="339" t="str">
        <f>IF(AN26=0,"",AN26)</f>
        <v/>
      </c>
      <c r="P26" s="339">
        <f>IF(AO26=301,"",AO26)</f>
        <v>0</v>
      </c>
      <c r="Q26" s="339" t="str">
        <f>IF(AP26=0,"",AP26)</f>
        <v/>
      </c>
      <c r="R26" s="339">
        <f>IF(AQ26=301,"",AQ26)</f>
        <v>0</v>
      </c>
      <c r="S26" s="339" t="str">
        <f>IF(AR26=0,"",AR26)</f>
        <v/>
      </c>
      <c r="T26" s="339">
        <f>IF(AS26=301,"",AS26)</f>
        <v>0</v>
      </c>
      <c r="U26" s="339" t="str">
        <f>IF(AT26=0,"",AT26)</f>
        <v/>
      </c>
      <c r="V26" s="340"/>
      <c r="W26" s="340"/>
      <c r="AA26" s="91" t="s">
        <v>2</v>
      </c>
      <c r="AB26" s="92"/>
      <c r="AC26" s="374">
        <f>ABS(INDEX(AC:AC,MATCH(AC22,$AA:$AA,0)+8)+INDEX(AC:AC,MATCH(AC22,$AA:$AA,0)+9)+INDEX(AC:AC,MATCH(AC22,$AA:$AA,0)+10))</f>
        <v>0</v>
      </c>
      <c r="AD26" s="375"/>
      <c r="AE26" s="374">
        <f>ABS(INDEX(AE:AE,MATCH(AE22,$AA:$AA,0)+8)+INDEX(AE:AE,MATCH(AE22,$AA:$AA,0)+9)+INDEX(AE:AE,MATCH(AE22,$AA:$AA,0)+10))</f>
        <v>0</v>
      </c>
      <c r="AF26" s="375"/>
      <c r="AG26" s="374">
        <f>ABS(INDEX(AG:AG,MATCH(AG22,$AA:$AA,0)+8)+INDEX(AG:AG,MATCH(AG22,$AA:$AA,0)+9)+INDEX(AG:AG,MATCH(AG22,$AA:$AA,0)+10))</f>
        <v>0</v>
      </c>
      <c r="AH26" s="375"/>
      <c r="AI26" s="374">
        <f>ABS(INDEX(AI:AI,MATCH(AI22,$AA:$AA,0)+8)+INDEX(AI:AI,MATCH(AI22,$AA:$AA,0)+9)+INDEX(AI:AI,MATCH(AI22,$AA:$AA,0)+10))</f>
        <v>0</v>
      </c>
      <c r="AJ26" s="375"/>
      <c r="AK26" s="374">
        <f>ABS(INDEX(AK:AK,MATCH(AK22,$AA:$AA,0)+8)+INDEX(AK:AK,MATCH(AK22,$AA:$AA,0)+9)+INDEX(AK:AK,MATCH(AK22,$AA:$AA,0)+10))</f>
        <v>0</v>
      </c>
      <c r="AL26" s="375"/>
      <c r="AM26" s="374">
        <f>ABS(INDEX(AM:AM,MATCH(AM22,$AA:$AA,0)+8)+INDEX(AM:AM,MATCH(AM22,$AA:$AA,0)+9)+INDEX(AM:AM,MATCH(AM22,$AA:$AA,0)+10))</f>
        <v>0</v>
      </c>
      <c r="AN26" s="375"/>
      <c r="AO26" s="374">
        <f>ABS(INDEX(AO:AO,MATCH(AO22,$AA:$AA,0)+8)+INDEX(AO:AO,MATCH(AO22,$AA:$AA,0)+9)+INDEX(AO:AO,MATCH(AO22,$AA:$AA,0)+10))</f>
        <v>0</v>
      </c>
      <c r="AP26" s="375"/>
      <c r="AQ26" s="374">
        <f>ABS(INDEX(AQ:AQ,MATCH(AQ22,$AA:$AA,0)+8)+INDEX(AQ:AQ,MATCH(AQ22,$AA:$AA,0)+9)+INDEX(AQ:AQ,MATCH(AQ22,$AA:$AA,0)+10))</f>
        <v>0</v>
      </c>
      <c r="AR26" s="375"/>
      <c r="AS26" s="374">
        <f>ABS(INDEX(AS:AS,MATCH(AS22,$AA:$AA,0)+8)+INDEX(AS:AS,MATCH(AS22,$AA:$AA,0)+9)+INDEX(AS:AS,MATCH(AS22,$AA:$AA,0)+10))</f>
        <v>0</v>
      </c>
      <c r="AT26" s="37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6.05" customHeight="1" x14ac:dyDescent="0.35">
      <c r="B27" s="365" t="str">
        <f t="shared" si="33"/>
        <v>Spieler 3</v>
      </c>
      <c r="C27" s="366" t="str">
        <f t="shared" si="33"/>
        <v/>
      </c>
      <c r="D27" s="339">
        <f>IF(AC27=301,"",AC27)</f>
        <v>0</v>
      </c>
      <c r="E27" s="339" t="str">
        <f>IF(AD27=0,"",AD27)</f>
        <v/>
      </c>
      <c r="F27" s="339">
        <f>IF(AE27=301,"",AE27)</f>
        <v>0</v>
      </c>
      <c r="G27" s="339" t="str">
        <f>IF(AF27=0,"",AF27)</f>
        <v/>
      </c>
      <c r="H27" s="339">
        <f>IF(AG27=301,"",AG27)</f>
        <v>0</v>
      </c>
      <c r="I27" s="339" t="str">
        <f>IF(AH27=0,"",AH27)</f>
        <v/>
      </c>
      <c r="J27" s="339">
        <f>IF(AI27=301,"",AI27)</f>
        <v>0</v>
      </c>
      <c r="K27" s="339" t="str">
        <f>IF(AJ27=0,"",AJ27)</f>
        <v/>
      </c>
      <c r="L27" s="339">
        <f>IF(AK27=301,"",AK27)</f>
        <v>0</v>
      </c>
      <c r="M27" s="339" t="str">
        <f>IF(AL27=0,"",AL27)</f>
        <v/>
      </c>
      <c r="N27" s="339">
        <f>IF(AM27=301,"",AM27)</f>
        <v>0</v>
      </c>
      <c r="O27" s="339" t="str">
        <f>IF(AN27=0,"",AN27)</f>
        <v/>
      </c>
      <c r="P27" s="339">
        <f>IF(AO27=301,"",AO27)</f>
        <v>0</v>
      </c>
      <c r="Q27" s="339" t="str">
        <f>IF(AP27=0,"",AP27)</f>
        <v/>
      </c>
      <c r="R27" s="339">
        <f>IF(AQ27=301,"",AQ27)</f>
        <v>0</v>
      </c>
      <c r="S27" s="339" t="str">
        <f>IF(AR27=0,"",AR27)</f>
        <v/>
      </c>
      <c r="T27" s="339">
        <f>IF(AS27=301,"",AS27)</f>
        <v>0</v>
      </c>
      <c r="U27" s="339" t="str">
        <f>IF(AT27=0,"",AT27)</f>
        <v/>
      </c>
      <c r="V27" s="340"/>
      <c r="W27" s="340"/>
      <c r="AA27" s="91" t="s">
        <v>3</v>
      </c>
      <c r="AB27" s="92"/>
      <c r="AC27" s="374">
        <f>ABS(INDEX(AC:AC,MATCH(AC22,$AA:$AA,0)+11)+INDEX(AC:AC,MATCH(AC22,$AA:$AA,0)+12)+INDEX(AC:AC,MATCH(AC22,$AA:$AA,0)+13))</f>
        <v>0</v>
      </c>
      <c r="AD27" s="375"/>
      <c r="AE27" s="374">
        <f>ABS(INDEX(AE:AE,MATCH(AE22,$AA:$AA,0)+11)+INDEX(AE:AE,MATCH(AE22,$AA:$AA,0)+12)+INDEX(AE:AE,MATCH(AE22,$AA:$AA,0)+13))</f>
        <v>0</v>
      </c>
      <c r="AF27" s="375"/>
      <c r="AG27" s="374">
        <f>ABS(INDEX(AG:AG,MATCH(AG22,$AA:$AA,0)+11)+INDEX(AG:AG,MATCH(AG22,$AA:$AA,0)+12)+INDEX(AG:AG,MATCH(AG22,$AA:$AA,0)+13))</f>
        <v>0</v>
      </c>
      <c r="AH27" s="375"/>
      <c r="AI27" s="374">
        <f>ABS(INDEX(AI:AI,MATCH(AI22,$AA:$AA,0)+11)+INDEX(AI:AI,MATCH(AI22,$AA:$AA,0)+12)+INDEX(AI:AI,MATCH(AI22,$AA:$AA,0)+13))</f>
        <v>0</v>
      </c>
      <c r="AJ27" s="375"/>
      <c r="AK27" s="374">
        <f>ABS(INDEX(AK:AK,MATCH(AK22,$AA:$AA,0)+11)+INDEX(AK:AK,MATCH(AK22,$AA:$AA,0)+12)+INDEX(AK:AK,MATCH(AK22,$AA:$AA,0)+13))</f>
        <v>0</v>
      </c>
      <c r="AL27" s="375"/>
      <c r="AM27" s="374">
        <f>ABS(INDEX(AM:AM,MATCH(AM22,$AA:$AA,0)+11)+INDEX(AM:AM,MATCH(AM22,$AA:$AA,0)+12)+INDEX(AM:AM,MATCH(AM22,$AA:$AA,0)+13))</f>
        <v>0</v>
      </c>
      <c r="AN27" s="375"/>
      <c r="AO27" s="374">
        <f>ABS(INDEX(AO:AO,MATCH(AO22,$AA:$AA,0)+11)+INDEX(AO:AO,MATCH(AO22,$AA:$AA,0)+12)+INDEX(AO:AO,MATCH(AO22,$AA:$AA,0)+13))</f>
        <v>0</v>
      </c>
      <c r="AP27" s="375"/>
      <c r="AQ27" s="374">
        <f>ABS(INDEX(AQ:AQ,MATCH(AQ22,$AA:$AA,0)+11)+INDEX(AQ:AQ,MATCH(AQ22,$AA:$AA,0)+12)+INDEX(AQ:AQ,MATCH(AQ22,$AA:$AA,0)+13))</f>
        <v>0</v>
      </c>
      <c r="AR27" s="375"/>
      <c r="AS27" s="374">
        <f>ABS(INDEX(AS:AS,MATCH(AS22,$AA:$AA,0)+11)+INDEX(AS:AS,MATCH(AS22,$AA:$AA,0)+12)+INDEX(AS:AS,MATCH(AS22,$AA:$AA,0)+13))</f>
        <v>0</v>
      </c>
      <c r="AT27" s="37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6.05" customHeight="1" x14ac:dyDescent="0.35">
      <c r="B28" s="365" t="str">
        <f t="shared" si="33"/>
        <v>Spieler 4</v>
      </c>
      <c r="C28" s="366" t="str">
        <f t="shared" si="33"/>
        <v/>
      </c>
      <c r="D28" s="339">
        <f>IF(AC28=301,"",AC28)</f>
        <v>0</v>
      </c>
      <c r="E28" s="339" t="str">
        <f>IF(AD28=0,"",AD28)</f>
        <v/>
      </c>
      <c r="F28" s="339">
        <f>IF(AE28=301,"",AE28)</f>
        <v>0</v>
      </c>
      <c r="G28" s="339" t="str">
        <f>IF(AF28=0,"",AF28)</f>
        <v/>
      </c>
      <c r="H28" s="339">
        <f>IF(AG28=301,"",AG28)</f>
        <v>0</v>
      </c>
      <c r="I28" s="339" t="str">
        <f>IF(AH28=0,"",AH28)</f>
        <v/>
      </c>
      <c r="J28" s="339">
        <f>IF(AI28=301,"",AI28)</f>
        <v>0</v>
      </c>
      <c r="K28" s="339" t="str">
        <f>IF(AJ28=0,"",AJ28)</f>
        <v/>
      </c>
      <c r="L28" s="339">
        <f>IF(AK28=301,"",AK28)</f>
        <v>0</v>
      </c>
      <c r="M28" s="339" t="str">
        <f>IF(AL28=0,"",AL28)</f>
        <v/>
      </c>
      <c r="N28" s="339">
        <f>IF(AM28=301,"",AM28)</f>
        <v>0</v>
      </c>
      <c r="O28" s="339" t="str">
        <f>IF(AN28=0,"",AN28)</f>
        <v/>
      </c>
      <c r="P28" s="339">
        <f>IF(AO28=301,"",AO28)</f>
        <v>0</v>
      </c>
      <c r="Q28" s="339" t="str">
        <f>IF(AP28=0,"",AP28)</f>
        <v/>
      </c>
      <c r="R28" s="339">
        <f>IF(AQ28=301,"",AQ28)</f>
        <v>0</v>
      </c>
      <c r="S28" s="339" t="str">
        <f>IF(AR28=0,"",AR28)</f>
        <v/>
      </c>
      <c r="T28" s="339">
        <f>IF(AS28=301,"",AS28)</f>
        <v>0</v>
      </c>
      <c r="U28" s="339" t="str">
        <f>IF(AT28=0,"",AT28)</f>
        <v/>
      </c>
      <c r="V28" s="340"/>
      <c r="W28" s="340"/>
      <c r="AA28" s="91" t="s">
        <v>11</v>
      </c>
      <c r="AB28" s="92"/>
      <c r="AC28" s="374">
        <f>ABS(INDEX(AC:AC,MATCH(AC22,$AA:$AA,0)+14)+INDEX(AC:AC,MATCH(AC22,$AA:$AA,0)+15)+INDEX(AC:AC,MATCH(AC22,$AA:$AA,0)+16))</f>
        <v>0</v>
      </c>
      <c r="AD28" s="375"/>
      <c r="AE28" s="374">
        <f>ABS(INDEX(AE:AE,MATCH(AE22,$AA:$AA,0)+14)+INDEX(AE:AE,MATCH(AE22,$AA:$AA,0)+15)+INDEX(AE:AE,MATCH(AE22,$AA:$AA,0)+16))</f>
        <v>0</v>
      </c>
      <c r="AF28" s="375"/>
      <c r="AG28" s="374">
        <f>ABS(INDEX(AG:AG,MATCH(AG22,$AA:$AA,0)+14)+INDEX(AG:AG,MATCH(AG22,$AA:$AA,0)+15)+INDEX(AG:AG,MATCH(AG22,$AA:$AA,0)+16))</f>
        <v>0</v>
      </c>
      <c r="AH28" s="375"/>
      <c r="AI28" s="374">
        <f>ABS(INDEX(AI:AI,MATCH(AI22,$AA:$AA,0)+14)+INDEX(AI:AI,MATCH(AI22,$AA:$AA,0)+15)+INDEX(AI:AI,MATCH(AI22,$AA:$AA,0)+16))</f>
        <v>0</v>
      </c>
      <c r="AJ28" s="375"/>
      <c r="AK28" s="374">
        <f>ABS(INDEX(AK:AK,MATCH(AK22,$AA:$AA,0)+14)+INDEX(AK:AK,MATCH(AK22,$AA:$AA,0)+15)+INDEX(AK:AK,MATCH(AK22,$AA:$AA,0)+16))</f>
        <v>0</v>
      </c>
      <c r="AL28" s="375"/>
      <c r="AM28" s="374">
        <f>ABS(INDEX(AM:AM,MATCH(AM22,$AA:$AA,0)+14)+INDEX(AM:AM,MATCH(AM22,$AA:$AA,0)+15)+INDEX(AM:AM,MATCH(AM22,$AA:$AA,0)+16))</f>
        <v>0</v>
      </c>
      <c r="AN28" s="375"/>
      <c r="AO28" s="374">
        <f>ABS(INDEX(AO:AO,MATCH(AO22,$AA:$AA,0)+14)+INDEX(AO:AO,MATCH(AO22,$AA:$AA,0)+15)+INDEX(AO:AO,MATCH(AO22,$AA:$AA,0)+16))</f>
        <v>0</v>
      </c>
      <c r="AP28" s="375"/>
      <c r="AQ28" s="374">
        <f>ABS(INDEX(AQ:AQ,MATCH(AQ22,$AA:$AA,0)+14)+INDEX(AQ:AQ,MATCH(AQ22,$AA:$AA,0)+15)+INDEX(AQ:AQ,MATCH(AQ22,$AA:$AA,0)+16))</f>
        <v>0</v>
      </c>
      <c r="AR28" s="375"/>
      <c r="AS28" s="374">
        <f>ABS(INDEX(AS:AS,MATCH(AS22,$AA:$AA,0)+14)+INDEX(AS:AS,MATCH(AS22,$AA:$AA,0)+15)+INDEX(AS:AS,MATCH(AS22,$AA:$AA,0)+16))</f>
        <v>0</v>
      </c>
      <c r="AT28" s="37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6.05" customHeight="1" x14ac:dyDescent="0.35">
      <c r="B29" s="354" t="str">
        <f t="shared" si="33"/>
        <v>Gesamt</v>
      </c>
      <c r="C29" s="355" t="str">
        <f t="shared" si="33"/>
        <v/>
      </c>
      <c r="D29" s="338">
        <f>IF(AC29=1505,"",AC29)</f>
        <v>0</v>
      </c>
      <c r="E29" s="338" t="str">
        <f>IF(AD29=0,"",AD29)</f>
        <v/>
      </c>
      <c r="F29" s="338">
        <f>IF(AE29=1505,"",AE29)</f>
        <v>0</v>
      </c>
      <c r="G29" s="338" t="str">
        <f>IF(AF29=0,"",AF29)</f>
        <v/>
      </c>
      <c r="H29" s="338">
        <f>IF(AG29=1505,"",AG29)</f>
        <v>0</v>
      </c>
      <c r="I29" s="338" t="str">
        <f>IF(AH29=0,"",AH29)</f>
        <v/>
      </c>
      <c r="J29" s="338">
        <f>IF(AI29=1505,"",AI29)</f>
        <v>0</v>
      </c>
      <c r="K29" s="338" t="str">
        <f>IF(AJ29=0,"",AJ29)</f>
        <v/>
      </c>
      <c r="L29" s="338">
        <f>IF(AK29=1505,"",AK29)</f>
        <v>0</v>
      </c>
      <c r="M29" s="338" t="str">
        <f>IF(AL29=0,"",AL29)</f>
        <v/>
      </c>
      <c r="N29" s="338">
        <f>IF(AM29=1505,"",AM29)</f>
        <v>0</v>
      </c>
      <c r="O29" s="338" t="str">
        <f>IF(AN29=0,"",AN29)</f>
        <v/>
      </c>
      <c r="P29" s="338">
        <f>IF(AO29=1505,"",AO29)</f>
        <v>0</v>
      </c>
      <c r="Q29" s="338" t="str">
        <f>IF(AP29=0,"",AP29)</f>
        <v/>
      </c>
      <c r="R29" s="338">
        <f>IF(AQ29=1505,"",AQ29)</f>
        <v>0</v>
      </c>
      <c r="S29" s="338" t="str">
        <f>IF(AR29=0,"",AR29)</f>
        <v/>
      </c>
      <c r="T29" s="338">
        <f>IF(AS29=1505,"",AS29)</f>
        <v>0</v>
      </c>
      <c r="U29" s="338" t="str">
        <f>IF(AT29=0,"",AT29)</f>
        <v/>
      </c>
      <c r="V29" s="290"/>
      <c r="W29" s="290"/>
      <c r="AA29" s="93" t="s">
        <v>1799</v>
      </c>
      <c r="AB29" s="94"/>
      <c r="AC29" s="354">
        <f>SUM(AC25:AC28)</f>
        <v>0</v>
      </c>
      <c r="AD29" s="355"/>
      <c r="AE29" s="354">
        <f>SUM(AE25:AE28)</f>
        <v>0</v>
      </c>
      <c r="AF29" s="355"/>
      <c r="AG29" s="354">
        <f>SUM(AG25:AG28)</f>
        <v>0</v>
      </c>
      <c r="AH29" s="355"/>
      <c r="AI29" s="354">
        <f>SUM(AI25:AI28)</f>
        <v>0</v>
      </c>
      <c r="AJ29" s="355"/>
      <c r="AK29" s="354">
        <f>SUM(AK25:AK28)</f>
        <v>0</v>
      </c>
      <c r="AL29" s="355"/>
      <c r="AM29" s="354">
        <f>SUM(AM25:AM28)</f>
        <v>0</v>
      </c>
      <c r="AN29" s="355"/>
      <c r="AO29" s="354">
        <f>SUM(AO25:AO28)</f>
        <v>0</v>
      </c>
      <c r="AP29" s="355"/>
      <c r="AQ29" s="354">
        <f>SUM(AQ25:AQ28)</f>
        <v>0</v>
      </c>
      <c r="AR29" s="355"/>
      <c r="AS29" s="354">
        <f>SUM(AS25:AS28)</f>
        <v>0</v>
      </c>
      <c r="AT29" s="35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3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7">
      <c r="B31" s="44" t="str">
        <f>AA31</f>
        <v>Team-Nr.</v>
      </c>
      <c r="C31" s="45"/>
      <c r="D31" s="44" t="str">
        <f>AC31</f>
        <v>Liga:</v>
      </c>
      <c r="E31" s="47"/>
      <c r="F31" s="359" t="str">
        <f>AE31</f>
        <v>Bayernliga Frauen</v>
      </c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48"/>
      <c r="S31" s="49" t="s">
        <v>1794</v>
      </c>
      <c r="T31" s="50"/>
      <c r="U31" s="360" t="str">
        <f>AT31</f>
        <v>15.03./16.03.</v>
      </c>
      <c r="V31" s="361"/>
      <c r="W31" s="362"/>
      <c r="X31" s="363"/>
      <c r="Y31" s="364"/>
      <c r="Z31" s="364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0" t="str">
        <f>VLOOKUP(AS32,Spielorte!$A$1:$C$6,2)</f>
        <v>15.03./16.03.</v>
      </c>
      <c r="AU31" s="361"/>
      <c r="AV31" s="362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65">
      <c r="B32" s="53">
        <f>AA32</f>
        <v>2</v>
      </c>
      <c r="D32" s="46" t="s">
        <v>1793</v>
      </c>
      <c r="E32" s="54"/>
      <c r="F32" s="358" t="str">
        <f>AE32</f>
        <v>Brunnthal Max Munich</v>
      </c>
      <c r="G32" s="358"/>
      <c r="H32" s="358"/>
      <c r="I32" s="358"/>
      <c r="J32" s="358"/>
      <c r="K32" s="358"/>
      <c r="L32" s="358"/>
      <c r="M32" s="358"/>
      <c r="N32" s="358"/>
      <c r="O32" s="358"/>
      <c r="P32" s="55"/>
      <c r="Q32" s="55"/>
      <c r="S32" s="49" t="s">
        <v>1791</v>
      </c>
      <c r="T32" s="56">
        <f>AS32</f>
        <v>5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Brunnthal Max Munich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5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4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5" thickBot="1" x14ac:dyDescent="0.45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VLOOKUP(AA32,Schlüssel!$A$5:$DZ$14,93)</f>
        <v>10</v>
      </c>
      <c r="AE34" s="65" t="s">
        <v>10</v>
      </c>
      <c r="AF34" s="44">
        <f>VLOOKUP(AA32,Schlüssel!$A$5:$DZ$14,94)</f>
        <v>7</v>
      </c>
      <c r="AG34" s="65" t="s">
        <v>10</v>
      </c>
      <c r="AH34" s="44">
        <f>VLOOKUP(AA32,Schlüssel!$A$5:$DZ$14,95)</f>
        <v>2</v>
      </c>
      <c r="AI34" s="65" t="s">
        <v>10</v>
      </c>
      <c r="AJ34" s="44">
        <f>VLOOKUP(AA32,Schlüssel!$A$5:$DZ$14,96)</f>
        <v>3</v>
      </c>
      <c r="AK34" s="65" t="s">
        <v>10</v>
      </c>
      <c r="AL34" s="44">
        <f>VLOOKUP(AA32,Schlüssel!$A$5:$DZ$14,97)</f>
        <v>5</v>
      </c>
      <c r="AM34" s="65" t="s">
        <v>10</v>
      </c>
      <c r="AN34" s="44">
        <f>VLOOKUP(AA32,Schlüssel!$A$5:$DZ$14,98)</f>
        <v>8</v>
      </c>
      <c r="AO34" s="65" t="s">
        <v>10</v>
      </c>
      <c r="AP34" s="44">
        <f>VLOOKUP(AA32,Schlüssel!$A$5:$DZ$14,99)</f>
        <v>4</v>
      </c>
      <c r="AQ34" s="65" t="s">
        <v>10</v>
      </c>
      <c r="AR34" s="44">
        <f>VLOOKUP(AA32,Schlüssel!$A$5:$DZ$14,100)</f>
        <v>1</v>
      </c>
      <c r="AS34" s="65" t="s">
        <v>10</v>
      </c>
      <c r="AT34" s="44">
        <f>VLOOKUP(AA32,Schlüssel!$A$5:$DZ$14,101)</f>
        <v>6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35">
      <c r="B35" s="67" t="s">
        <v>1</v>
      </c>
      <c r="C35" s="68"/>
      <c r="D35" s="354" t="s">
        <v>1800</v>
      </c>
      <c r="E35" s="355"/>
      <c r="F35" s="354" t="s">
        <v>1801</v>
      </c>
      <c r="G35" s="355"/>
      <c r="H35" s="354" t="s">
        <v>1802</v>
      </c>
      <c r="I35" s="355"/>
      <c r="J35" s="354" t="s">
        <v>1803</v>
      </c>
      <c r="K35" s="355"/>
      <c r="L35" s="354" t="s">
        <v>1804</v>
      </c>
      <c r="M35" s="355"/>
      <c r="N35" s="354" t="s">
        <v>1805</v>
      </c>
      <c r="O35" s="355"/>
      <c r="P35" s="354" t="s">
        <v>1806</v>
      </c>
      <c r="Q35" s="355"/>
      <c r="R35" s="354" t="s">
        <v>1807</v>
      </c>
      <c r="S35" s="355"/>
      <c r="T35" s="354" t="s">
        <v>1808</v>
      </c>
      <c r="U35" s="355"/>
      <c r="V35" s="356" t="s">
        <v>1799</v>
      </c>
      <c r="W35" s="357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4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2" customHeight="1" x14ac:dyDescent="0.35">
      <c r="A37" s="367" t="s">
        <v>0</v>
      </c>
      <c r="B37" s="73" t="str">
        <f>IF(AA37=0,"",AA37)</f>
        <v/>
      </c>
      <c r="C37" s="74" t="str">
        <f>IF(AB37=0,"",AB37)</f>
        <v/>
      </c>
      <c r="D37" s="75" t="str">
        <f>IF(AC37=0,"",AC37)</f>
        <v/>
      </c>
      <c r="E37" s="348">
        <f>IF(AD37="","",AD37)</f>
        <v>0</v>
      </c>
      <c r="F37" s="75" t="str">
        <f t="shared" ref="F37:F50" si="34">IF(AE37=0,"",AE37)</f>
        <v/>
      </c>
      <c r="G37" s="348">
        <f>IF(AF37="","",AF37)</f>
        <v>0</v>
      </c>
      <c r="H37" s="75" t="str">
        <f t="shared" ref="H37:H50" si="35">IF(AG37=0,"",AG37)</f>
        <v/>
      </c>
      <c r="I37" s="348">
        <f>IF(AH37="","",AH37)</f>
        <v>0</v>
      </c>
      <c r="J37" s="75" t="str">
        <f t="shared" ref="J37:J50" si="36">IF(AI37=0,"",AI37)</f>
        <v/>
      </c>
      <c r="K37" s="348">
        <f>IF(AJ37="","",AJ37)</f>
        <v>0</v>
      </c>
      <c r="L37" s="75" t="str">
        <f t="shared" ref="L37:L50" si="37">IF(AK37=0,"",AK37)</f>
        <v/>
      </c>
      <c r="M37" s="348">
        <f>IF(AL37="","",AL37)</f>
        <v>0</v>
      </c>
      <c r="N37" s="75" t="str">
        <f>IF(AM37=0,"",AM37)</f>
        <v/>
      </c>
      <c r="O37" s="348">
        <f>IF(AN37="","",AN37)</f>
        <v>0</v>
      </c>
      <c r="P37" s="75" t="str">
        <f t="shared" ref="P37:P50" si="38">IF(AO37=0,"",AO37)</f>
        <v/>
      </c>
      <c r="Q37" s="348">
        <f>IF(AP37="","",AP37)</f>
        <v>0</v>
      </c>
      <c r="R37" s="75" t="str">
        <f t="shared" ref="R37:R50" si="39">IF(AQ37=0,"",AQ37)</f>
        <v/>
      </c>
      <c r="S37" s="348">
        <f>IF(AR37="","",AR37)</f>
        <v>0</v>
      </c>
      <c r="T37" s="75" t="str">
        <f t="shared" ref="T37:T50" si="40">IF(AS37=0,"",AS37)</f>
        <v/>
      </c>
      <c r="U37" s="348">
        <f>IF(AT37="","",AT37)</f>
        <v>0</v>
      </c>
      <c r="V37" s="75" t="str">
        <f t="shared" ref="V37:V50" si="41">IF(AU37=0,"",AU37)</f>
        <v/>
      </c>
      <c r="W37" s="348">
        <f>IF(AV37="","",AV37)</f>
        <v>0</v>
      </c>
      <c r="Z37" s="351" t="s">
        <v>0</v>
      </c>
      <c r="AA37" s="108" t="str">
        <f>IF(AB37=0,"",VLOOKUP(AB37,Starter!$A$1:$D$199,2,FALSE))</f>
        <v/>
      </c>
      <c r="AB37" s="99"/>
      <c r="AC37" s="185"/>
      <c r="AD37" s="109">
        <f>IF(SUM(AC37:AC39)+AC55=0,0,IF(SUM(AC37:AC39)=AC55,0.5,IF(SUM(AC37:AC39)&gt;AC55,1,0)))</f>
        <v>0</v>
      </c>
      <c r="AE37" s="185"/>
      <c r="AF37" s="109">
        <f>IF(SUM(AE37:AE39)+AE55=0,0,IF(SUM(AE37:AE39)=AE55,0.5,IF(SUM(AE37:AE39)&gt;AE55,1,0)))</f>
        <v>0</v>
      </c>
      <c r="AG37" s="185"/>
      <c r="AH37" s="109">
        <f>IF(SUM(AG37:AG39)+AG55=0,0,IF(SUM(AG37:AG39)=AG55,0.5,IF(SUM(AG37:AG39)&gt;AG55,1,0)))</f>
        <v>0</v>
      </c>
      <c r="AI37" s="185"/>
      <c r="AJ37" s="109">
        <f>IF(SUM(AI37:AI39)+AI55=0,0,IF(SUM(AI37:AI39)=AI55,0.5,IF(SUM(AI37:AI39)&gt;AI55,1,0)))</f>
        <v>0</v>
      </c>
      <c r="AK37" s="185"/>
      <c r="AL37" s="109">
        <f>IF(SUM(AK37:AK39)+AK55=0,0,IF(SUM(AK37:AK39)=AK55,0.5,IF(SUM(AK37:AK39)&gt;AK55,1,0)))</f>
        <v>0</v>
      </c>
      <c r="AM37" s="185"/>
      <c r="AN37" s="109">
        <f>IF(SUM(AM37:AM39)+AM55=0,0,IF(SUM(AM37:AM39)=AM55,0.5,IF(SUM(AM37:AM39)&gt;AM55,1,0)))</f>
        <v>0</v>
      </c>
      <c r="AO37" s="185"/>
      <c r="AP37" s="109">
        <f>IF(SUM(AO37:AO39)+AO55=0,0,IF(SUM(AO37:AO39)=AO55,0.5,IF(SUM(AO37:AO39)&gt;AO55,1,0)))</f>
        <v>0</v>
      </c>
      <c r="AQ37" s="185"/>
      <c r="AR37" s="109">
        <f>IF(SUM(AQ37:AQ39)+AQ55=0,0,IF(SUM(AQ37:AQ39)=AQ55,0.5,IF(SUM(AQ37:AQ39)&gt;AQ55,1,0)))</f>
        <v>0</v>
      </c>
      <c r="AS37" s="185"/>
      <c r="AT37" s="109">
        <f>IF(SUM(AS37:AS39)+AS55=0,0,IF(SUM(AS37:AS39)=AS55,0.5,IF(SUM(AS37:AS39)&gt;AS55,1,0)))</f>
        <v>0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0</v>
      </c>
      <c r="AV37" s="111">
        <f>SUM(AD37+AF37+AH37+AJ37+AL37+AN37+AP37+AR37+AT37)</f>
        <v>0</v>
      </c>
      <c r="AW37" s="101"/>
      <c r="AX37" s="102"/>
      <c r="AZ37" s="63"/>
      <c r="BA37" s="212"/>
      <c r="BB37" s="213"/>
      <c r="BC37" s="214"/>
      <c r="BD37" s="217">
        <f>+AB37</f>
        <v>0</v>
      </c>
      <c r="BE37" s="213">
        <f>+AU37</f>
        <v>0</v>
      </c>
      <c r="BF37" s="215">
        <f>COUNT(BH37:BP37)</f>
        <v>0</v>
      </c>
      <c r="BG37" s="215">
        <f>COUNTIF(BH37:BP37,"&gt;0")</f>
        <v>0</v>
      </c>
      <c r="BH37" s="215" t="str">
        <f t="shared" ref="BH37:BH48" si="43">IF(AC37=0,"",AC37)</f>
        <v/>
      </c>
      <c r="BI37" s="215" t="str">
        <f t="shared" ref="BI37:BI48" si="44">IF(AE37=0,"",AE37)</f>
        <v/>
      </c>
      <c r="BJ37" s="215" t="str">
        <f t="shared" ref="BJ37:BJ48" si="45">IF(AG37=0,"",AG37)</f>
        <v/>
      </c>
      <c r="BK37" s="215" t="str">
        <f t="shared" ref="BK37:BK48" si="46">IF(AI37=0,"",AI37)</f>
        <v/>
      </c>
      <c r="BL37" s="215" t="str">
        <f t="shared" ref="BL37:BL48" si="47">IF(AK37=0,"",AK37)</f>
        <v/>
      </c>
      <c r="BM37" s="215" t="str">
        <f t="shared" ref="BM37:BM48" si="48">IF(AM37=0,"",AM37)</f>
        <v/>
      </c>
      <c r="BN37" s="215" t="str">
        <f t="shared" ref="BN37:BN48" si="49">IF(AO37=0,"",AO37)</f>
        <v/>
      </c>
      <c r="BO37" s="215" t="str">
        <f t="shared" ref="BO37:BO48" si="50">IF(AQ37=0,"",AQ37)</f>
        <v/>
      </c>
      <c r="BP37" s="215" t="str">
        <f t="shared" ref="BP37:BP48" si="51">IF(AS37=0,"",AS37)</f>
        <v/>
      </c>
      <c r="BQ37" s="216"/>
      <c r="BR37" s="214"/>
      <c r="BS37" s="215">
        <f>MAX(BH37:BP37)</f>
        <v>0</v>
      </c>
      <c r="BT37" s="215">
        <f>IF(BS37&lt;MAX(BS:BS),0,BS37+ROW()/1000000000)</f>
        <v>3.7E-8</v>
      </c>
      <c r="BU37" s="215" t="str">
        <f>+AA33</f>
        <v>BK München 2</v>
      </c>
      <c r="BV37" s="214">
        <f>RANK(BT37,BT:BT)</f>
        <v>108</v>
      </c>
      <c r="BW37" s="215">
        <f>SUMIF(BH37:BP37,"&gt;0")</f>
        <v>0</v>
      </c>
      <c r="BX37" s="215">
        <f>IF(COUNTIF(BH37:BP37,"&gt;0")&lt;Spielorte!$A$23,0,BE37/Spielorte!$A$23)</f>
        <v>0</v>
      </c>
      <c r="BY37" s="215">
        <f>IF(BX37&lt;MAX(BX:BX),0,BX37+ROW()/1000000000)</f>
        <v>3.7E-8</v>
      </c>
      <c r="BZ37" s="214">
        <f t="shared" ref="BZ37:BZ48" si="52">IF(BY37=0,0,RANK(BY37,BY:BY))</f>
        <v>108</v>
      </c>
    </row>
    <row r="38" spans="1:78" ht="17.2" customHeight="1" x14ac:dyDescent="0.35">
      <c r="A38" s="368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49"/>
      <c r="F38" s="78" t="str">
        <f t="shared" si="34"/>
        <v/>
      </c>
      <c r="G38" s="349"/>
      <c r="H38" s="78" t="str">
        <f t="shared" si="35"/>
        <v/>
      </c>
      <c r="I38" s="349"/>
      <c r="J38" s="78" t="str">
        <f t="shared" si="36"/>
        <v/>
      </c>
      <c r="K38" s="349"/>
      <c r="L38" s="78" t="str">
        <f t="shared" si="37"/>
        <v/>
      </c>
      <c r="M38" s="349"/>
      <c r="N38" s="78" t="str">
        <f t="shared" ref="N38:N50" si="54">IF(AM38=0,"",AM38)</f>
        <v/>
      </c>
      <c r="O38" s="349"/>
      <c r="P38" s="78" t="str">
        <f t="shared" si="38"/>
        <v/>
      </c>
      <c r="Q38" s="349"/>
      <c r="R38" s="78" t="str">
        <f t="shared" si="39"/>
        <v/>
      </c>
      <c r="S38" s="349"/>
      <c r="T38" s="78" t="str">
        <f t="shared" si="40"/>
        <v/>
      </c>
      <c r="U38" s="349"/>
      <c r="V38" s="78" t="str">
        <f t="shared" si="41"/>
        <v/>
      </c>
      <c r="W38" s="349"/>
      <c r="Z38" s="352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3.8000000000000003E-8</v>
      </c>
      <c r="BU38" s="215" t="str">
        <f t="shared" ref="BU38:BU48" si="61">+BU37</f>
        <v>BK München 2</v>
      </c>
      <c r="BV38" s="214">
        <f t="shared" ref="BV38:BV48" si="62">RANK(BT38,BT:BT)</f>
        <v>107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3.8000000000000003E-8</v>
      </c>
      <c r="BZ38" s="214">
        <f t="shared" si="52"/>
        <v>107</v>
      </c>
    </row>
    <row r="39" spans="1:78" ht="17.2" customHeight="1" thickBot="1" x14ac:dyDescent="0.4">
      <c r="A39" s="369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50"/>
      <c r="F39" s="69" t="str">
        <f t="shared" si="34"/>
        <v/>
      </c>
      <c r="G39" s="350"/>
      <c r="H39" s="69" t="str">
        <f t="shared" si="35"/>
        <v/>
      </c>
      <c r="I39" s="350"/>
      <c r="J39" s="69" t="str">
        <f t="shared" si="36"/>
        <v/>
      </c>
      <c r="K39" s="350"/>
      <c r="L39" s="69" t="str">
        <f t="shared" si="37"/>
        <v/>
      </c>
      <c r="M39" s="350"/>
      <c r="N39" s="69" t="str">
        <f t="shared" si="54"/>
        <v/>
      </c>
      <c r="O39" s="350"/>
      <c r="P39" s="69" t="str">
        <f t="shared" si="38"/>
        <v/>
      </c>
      <c r="Q39" s="350"/>
      <c r="R39" s="69" t="str">
        <f t="shared" si="39"/>
        <v/>
      </c>
      <c r="S39" s="350"/>
      <c r="T39" s="69" t="str">
        <f t="shared" si="40"/>
        <v/>
      </c>
      <c r="U39" s="350"/>
      <c r="V39" s="69" t="str">
        <f t="shared" si="41"/>
        <v/>
      </c>
      <c r="W39" s="350"/>
      <c r="Z39" s="353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3.8999999999999998E-8</v>
      </c>
      <c r="BU39" s="215" t="str">
        <f t="shared" si="61"/>
        <v>BK München 2</v>
      </c>
      <c r="BV39" s="214">
        <f t="shared" si="62"/>
        <v>106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3.8999999999999998E-8</v>
      </c>
      <c r="BZ39" s="214">
        <f t="shared" si="52"/>
        <v>106</v>
      </c>
    </row>
    <row r="40" spans="1:78" ht="17.2" customHeight="1" x14ac:dyDescent="0.35">
      <c r="A40" s="367" t="s">
        <v>2</v>
      </c>
      <c r="B40" s="73" t="str">
        <f t="shared" si="53"/>
        <v/>
      </c>
      <c r="C40" s="74" t="str">
        <f t="shared" si="53"/>
        <v/>
      </c>
      <c r="D40" s="75" t="str">
        <f t="shared" si="53"/>
        <v/>
      </c>
      <c r="E40" s="348">
        <f>IF(AD40="","",AD40)</f>
        <v>0</v>
      </c>
      <c r="F40" s="75" t="str">
        <f t="shared" si="34"/>
        <v/>
      </c>
      <c r="G40" s="348">
        <f>IF(AF40="","",AF40)</f>
        <v>0</v>
      </c>
      <c r="H40" s="75" t="str">
        <f t="shared" si="35"/>
        <v/>
      </c>
      <c r="I40" s="348">
        <f>IF(AH40="","",AH40)</f>
        <v>0</v>
      </c>
      <c r="J40" s="75" t="str">
        <f t="shared" si="36"/>
        <v/>
      </c>
      <c r="K40" s="348">
        <f>IF(AJ40="","",AJ40)</f>
        <v>0</v>
      </c>
      <c r="L40" s="75" t="str">
        <f t="shared" si="37"/>
        <v/>
      </c>
      <c r="M40" s="348">
        <f>IF(AL40="","",AL40)</f>
        <v>0</v>
      </c>
      <c r="N40" s="75" t="str">
        <f t="shared" si="54"/>
        <v/>
      </c>
      <c r="O40" s="348">
        <f>IF(AN40="","",AN40)</f>
        <v>0</v>
      </c>
      <c r="P40" s="75" t="str">
        <f t="shared" si="38"/>
        <v/>
      </c>
      <c r="Q40" s="348">
        <f>IF(AP40="","",AP40)</f>
        <v>0</v>
      </c>
      <c r="R40" s="75" t="str">
        <f t="shared" si="39"/>
        <v/>
      </c>
      <c r="S40" s="348">
        <f>IF(AR40="","",AR40)</f>
        <v>0</v>
      </c>
      <c r="T40" s="75" t="str">
        <f t="shared" si="40"/>
        <v/>
      </c>
      <c r="U40" s="348">
        <f>IF(AT40="","",AT40)</f>
        <v>0</v>
      </c>
      <c r="V40" s="75" t="str">
        <f t="shared" si="41"/>
        <v/>
      </c>
      <c r="W40" s="348">
        <f>IF(AV40="","",AV40)</f>
        <v>0</v>
      </c>
      <c r="Z40" s="351" t="s">
        <v>2</v>
      </c>
      <c r="AA40" s="108" t="str">
        <f>IF(AB40=0,"",VLOOKUP(AB40,Starter!$A$1:$D$199,2,FALSE))</f>
        <v/>
      </c>
      <c r="AB40" s="99"/>
      <c r="AC40" s="188"/>
      <c r="AD40" s="109">
        <f>IF(SUM(AC40:AC42)+AC56=0,0,IF(SUM(AC40:AC42)=AC56,0.5,IF(SUM(AC40:AC42)&gt;AC56,1,0)))</f>
        <v>0</v>
      </c>
      <c r="AE40" s="188"/>
      <c r="AF40" s="109">
        <f>IF(SUM(AE40:AE42)+AE56=0,0,IF(SUM(AE40:AE42)=AE56,0.5,IF(SUM(AE40:AE42)&gt;AE56,1,0)))</f>
        <v>0</v>
      </c>
      <c r="AG40" s="188"/>
      <c r="AH40" s="109">
        <f>IF(SUM(AG40:AG42)+AG56=0,0,IF(SUM(AG40:AG42)=AG56,0.5,IF(SUM(AG40:AG42)&gt;AG56,1,0)))</f>
        <v>0</v>
      </c>
      <c r="AI40" s="188"/>
      <c r="AJ40" s="109">
        <f>IF(SUM(AI40:AI42)+AI56=0,0,IF(SUM(AI40:AI42)=AI56,0.5,IF(SUM(AI40:AI42)&gt;AI56,1,0)))</f>
        <v>0</v>
      </c>
      <c r="AK40" s="188"/>
      <c r="AL40" s="109">
        <f>IF(SUM(AK40:AK42)+AK56=0,0,IF(SUM(AK40:AK42)=AK56,0.5,IF(SUM(AK40:AK42)&gt;AK56,1,0)))</f>
        <v>0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0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2"/>
        <v>0</v>
      </c>
      <c r="AV40" s="111">
        <f>SUM(AD40+AF40+AH40+AJ40+AL40+AN40+AP40+AR40+AT40)</f>
        <v>0</v>
      </c>
      <c r="AW40" s="101"/>
      <c r="AX40" s="102"/>
      <c r="AZ40" s="63"/>
      <c r="BA40" s="212"/>
      <c r="BB40" s="213"/>
      <c r="BC40" s="214"/>
      <c r="BD40" s="217">
        <f t="shared" si="55"/>
        <v>0</v>
      </c>
      <c r="BE40" s="213">
        <f t="shared" si="56"/>
        <v>0</v>
      </c>
      <c r="BF40" s="215">
        <f t="shared" si="57"/>
        <v>0</v>
      </c>
      <c r="BG40" s="215">
        <f t="shared" si="58"/>
        <v>0</v>
      </c>
      <c r="BH40" s="215" t="str">
        <f t="shared" si="43"/>
        <v/>
      </c>
      <c r="BI40" s="215" t="str">
        <f t="shared" si="44"/>
        <v/>
      </c>
      <c r="BJ40" s="215" t="str">
        <f t="shared" si="45"/>
        <v/>
      </c>
      <c r="BK40" s="215" t="str">
        <f t="shared" si="46"/>
        <v/>
      </c>
      <c r="BL40" s="215" t="str">
        <f t="shared" si="47"/>
        <v/>
      </c>
      <c r="BM40" s="215" t="str">
        <f t="shared" si="48"/>
        <v/>
      </c>
      <c r="BN40" s="215" t="str">
        <f t="shared" si="49"/>
        <v/>
      </c>
      <c r="BO40" s="215" t="str">
        <f t="shared" si="50"/>
        <v/>
      </c>
      <c r="BP40" s="215" t="str">
        <f t="shared" si="51"/>
        <v/>
      </c>
      <c r="BQ40" s="216"/>
      <c r="BR40" s="214"/>
      <c r="BS40" s="215">
        <f t="shared" si="59"/>
        <v>0</v>
      </c>
      <c r="BT40" s="215">
        <f t="shared" si="60"/>
        <v>4.0000000000000001E-8</v>
      </c>
      <c r="BU40" s="215" t="str">
        <f t="shared" si="61"/>
        <v>BK München 2</v>
      </c>
      <c r="BV40" s="214">
        <f t="shared" si="62"/>
        <v>105</v>
      </c>
      <c r="BW40" s="215">
        <f t="shared" si="63"/>
        <v>0</v>
      </c>
      <c r="BX40" s="215">
        <f>IF(COUNTIF(BH40:BP40,"&gt;0")&lt;Spielorte!$A$23,0,BE40/Spielorte!$A$23)</f>
        <v>0</v>
      </c>
      <c r="BY40" s="215">
        <f t="shared" si="64"/>
        <v>4.0000000000000001E-8</v>
      </c>
      <c r="BZ40" s="214">
        <f t="shared" si="52"/>
        <v>105</v>
      </c>
    </row>
    <row r="41" spans="1:78" ht="17.2" customHeight="1" x14ac:dyDescent="0.35">
      <c r="A41" s="368"/>
      <c r="B41" s="76" t="str">
        <f t="shared" si="53"/>
        <v/>
      </c>
      <c r="C41" s="77" t="str">
        <f t="shared" si="53"/>
        <v/>
      </c>
      <c r="D41" s="78" t="str">
        <f t="shared" si="53"/>
        <v/>
      </c>
      <c r="E41" s="349"/>
      <c r="F41" s="78" t="str">
        <f t="shared" si="34"/>
        <v/>
      </c>
      <c r="G41" s="349"/>
      <c r="H41" s="78" t="str">
        <f t="shared" si="35"/>
        <v/>
      </c>
      <c r="I41" s="349"/>
      <c r="J41" s="78" t="str">
        <f t="shared" si="36"/>
        <v/>
      </c>
      <c r="K41" s="349"/>
      <c r="L41" s="78" t="str">
        <f t="shared" si="37"/>
        <v/>
      </c>
      <c r="M41" s="349"/>
      <c r="N41" s="78" t="str">
        <f t="shared" si="54"/>
        <v/>
      </c>
      <c r="O41" s="349"/>
      <c r="P41" s="78" t="str">
        <f t="shared" si="38"/>
        <v/>
      </c>
      <c r="Q41" s="349"/>
      <c r="R41" s="78" t="str">
        <f t="shared" si="39"/>
        <v/>
      </c>
      <c r="S41" s="349"/>
      <c r="T41" s="78" t="str">
        <f t="shared" si="40"/>
        <v/>
      </c>
      <c r="U41" s="349"/>
      <c r="V41" s="78" t="str">
        <f t="shared" si="41"/>
        <v/>
      </c>
      <c r="W41" s="349"/>
      <c r="Z41" s="352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2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0</v>
      </c>
      <c r="BE41" s="213">
        <f t="shared" si="56"/>
        <v>0</v>
      </c>
      <c r="BF41" s="215">
        <f t="shared" si="57"/>
        <v>0</v>
      </c>
      <c r="BG41" s="215">
        <f t="shared" si="58"/>
        <v>0</v>
      </c>
      <c r="BH41" s="215" t="str">
        <f t="shared" si="43"/>
        <v/>
      </c>
      <c r="BI41" s="215" t="str">
        <f t="shared" si="44"/>
        <v/>
      </c>
      <c r="BJ41" s="215" t="str">
        <f t="shared" si="45"/>
        <v/>
      </c>
      <c r="BK41" s="215" t="str">
        <f t="shared" si="46"/>
        <v/>
      </c>
      <c r="BL41" s="215" t="str">
        <f t="shared" si="47"/>
        <v/>
      </c>
      <c r="BM41" s="215" t="str">
        <f t="shared" si="48"/>
        <v/>
      </c>
      <c r="BN41" s="215" t="str">
        <f t="shared" si="49"/>
        <v/>
      </c>
      <c r="BO41" s="215" t="str">
        <f t="shared" si="50"/>
        <v/>
      </c>
      <c r="BP41" s="215" t="str">
        <f t="shared" si="51"/>
        <v/>
      </c>
      <c r="BQ41" s="216"/>
      <c r="BR41" s="214"/>
      <c r="BS41" s="215">
        <f t="shared" si="59"/>
        <v>0</v>
      </c>
      <c r="BT41" s="215">
        <f t="shared" si="60"/>
        <v>4.1000000000000003E-8</v>
      </c>
      <c r="BU41" s="215" t="str">
        <f t="shared" si="61"/>
        <v>BK München 2</v>
      </c>
      <c r="BV41" s="214">
        <f t="shared" si="62"/>
        <v>104</v>
      </c>
      <c r="BW41" s="215">
        <f t="shared" si="63"/>
        <v>0</v>
      </c>
      <c r="BX41" s="215">
        <f>IF(COUNTIF(BH41:BP41,"&gt;0")&lt;Spielorte!$A$23,0,BE41/Spielorte!$A$23)</f>
        <v>0</v>
      </c>
      <c r="BY41" s="215">
        <f t="shared" si="64"/>
        <v>4.1000000000000003E-8</v>
      </c>
      <c r="BZ41" s="214">
        <f t="shared" si="52"/>
        <v>104</v>
      </c>
    </row>
    <row r="42" spans="1:78" ht="17.2" customHeight="1" thickBot="1" x14ac:dyDescent="0.4">
      <c r="A42" s="369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50"/>
      <c r="F42" s="69" t="str">
        <f t="shared" si="34"/>
        <v/>
      </c>
      <c r="G42" s="350"/>
      <c r="H42" s="69" t="str">
        <f t="shared" si="35"/>
        <v/>
      </c>
      <c r="I42" s="350"/>
      <c r="J42" s="69" t="str">
        <f t="shared" si="36"/>
        <v/>
      </c>
      <c r="K42" s="350"/>
      <c r="L42" s="69" t="str">
        <f t="shared" si="37"/>
        <v/>
      </c>
      <c r="M42" s="350"/>
      <c r="N42" s="69" t="str">
        <f t="shared" si="54"/>
        <v/>
      </c>
      <c r="O42" s="350"/>
      <c r="P42" s="69" t="str">
        <f t="shared" si="38"/>
        <v/>
      </c>
      <c r="Q42" s="350"/>
      <c r="R42" s="69" t="str">
        <f t="shared" si="39"/>
        <v/>
      </c>
      <c r="S42" s="350"/>
      <c r="T42" s="69" t="str">
        <f t="shared" si="40"/>
        <v/>
      </c>
      <c r="U42" s="350"/>
      <c r="V42" s="69" t="str">
        <f t="shared" si="41"/>
        <v/>
      </c>
      <c r="W42" s="350"/>
      <c r="Z42" s="353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4.1999999999999999E-8</v>
      </c>
      <c r="BU42" s="215" t="str">
        <f t="shared" si="61"/>
        <v>BK München 2</v>
      </c>
      <c r="BV42" s="214">
        <f t="shared" si="62"/>
        <v>103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4.1999999999999999E-8</v>
      </c>
      <c r="BZ42" s="214">
        <f t="shared" si="52"/>
        <v>103</v>
      </c>
    </row>
    <row r="43" spans="1:78" ht="17.2" customHeight="1" x14ac:dyDescent="0.35">
      <c r="A43" s="367" t="s">
        <v>3</v>
      </c>
      <c r="B43" s="73" t="str">
        <f t="shared" si="53"/>
        <v/>
      </c>
      <c r="C43" s="74" t="str">
        <f t="shared" si="53"/>
        <v/>
      </c>
      <c r="D43" s="75" t="str">
        <f t="shared" si="53"/>
        <v/>
      </c>
      <c r="E43" s="348">
        <f>IF(AD43="","",AD43)</f>
        <v>0</v>
      </c>
      <c r="F43" s="75" t="str">
        <f t="shared" si="34"/>
        <v/>
      </c>
      <c r="G43" s="348">
        <f>IF(AF43="","",AF43)</f>
        <v>0</v>
      </c>
      <c r="H43" s="75" t="str">
        <f t="shared" si="35"/>
        <v/>
      </c>
      <c r="I43" s="348">
        <f>IF(AH43="","",AH43)</f>
        <v>0</v>
      </c>
      <c r="J43" s="75" t="str">
        <f t="shared" si="36"/>
        <v/>
      </c>
      <c r="K43" s="348">
        <f>IF(AJ43="","",AJ43)</f>
        <v>0</v>
      </c>
      <c r="L43" s="75" t="str">
        <f t="shared" si="37"/>
        <v/>
      </c>
      <c r="M43" s="348">
        <f>IF(AL43="","",AL43)</f>
        <v>0</v>
      </c>
      <c r="N43" s="75" t="str">
        <f t="shared" si="54"/>
        <v/>
      </c>
      <c r="O43" s="348">
        <f>IF(AN43="","",AN43)</f>
        <v>0</v>
      </c>
      <c r="P43" s="75" t="str">
        <f t="shared" si="38"/>
        <v/>
      </c>
      <c r="Q43" s="348">
        <f>IF(AP43="","",AP43)</f>
        <v>0</v>
      </c>
      <c r="R43" s="75" t="str">
        <f t="shared" si="39"/>
        <v/>
      </c>
      <c r="S43" s="348">
        <f>IF(AR43="","",AR43)</f>
        <v>0</v>
      </c>
      <c r="T43" s="75" t="str">
        <f t="shared" si="40"/>
        <v/>
      </c>
      <c r="U43" s="348">
        <f>IF(AT43="","",AT43)</f>
        <v>0</v>
      </c>
      <c r="V43" s="75" t="str">
        <f t="shared" si="41"/>
        <v/>
      </c>
      <c r="W43" s="348">
        <f>IF(AV43="","",AV43)</f>
        <v>0</v>
      </c>
      <c r="Z43" s="351" t="s">
        <v>3</v>
      </c>
      <c r="AA43" s="108" t="str">
        <f>IF(AB43=0,"",VLOOKUP(AB43,Starter!$A$1:$D$199,2,FALSE))</f>
        <v/>
      </c>
      <c r="AB43" s="99"/>
      <c r="AC43" s="188"/>
      <c r="AD43" s="109">
        <f>IF(SUM(AC43:AC45)+AC57=0,0,IF(SUM(AC43:AC45)=AC57,0.5,IF(SUM(AC43:AC45)&gt;AC57,1,0)))</f>
        <v>0</v>
      </c>
      <c r="AE43" s="188"/>
      <c r="AF43" s="109">
        <f>IF(SUM(AE43:AE45)+AE57=0,0,IF(SUM(AE43:AE45)=AE57,0.5,IF(SUM(AE43:AE45)&gt;AE57,1,0)))</f>
        <v>0</v>
      </c>
      <c r="AG43" s="188"/>
      <c r="AH43" s="109">
        <f>IF(SUM(AG43:AG45)+AG57=0,0,IF(SUM(AG43:AG45)=AG57,0.5,IF(SUM(AG43:AG45)&gt;AG57,1,0)))</f>
        <v>0</v>
      </c>
      <c r="AI43" s="188"/>
      <c r="AJ43" s="109">
        <f>IF(SUM(AI43:AI45)+AI57=0,0,IF(SUM(AI43:AI45)=AI57,0.5,IF(SUM(AI43:AI45)&gt;AI57,1,0)))</f>
        <v>0</v>
      </c>
      <c r="AK43" s="188"/>
      <c r="AL43" s="109">
        <f>IF(SUM(AK43:AK45)+AK57=0,0,IF(SUM(AK43:AK45)=AK57,0.5,IF(SUM(AK43:AK45)&gt;AK57,1,0)))</f>
        <v>0</v>
      </c>
      <c r="AM43" s="188"/>
      <c r="AN43" s="109">
        <f>IF(SUM(AM43:AM45)+AM57=0,0,IF(SUM(AM43:AM45)=AM57,0.5,IF(SUM(AM43:AM45)&gt;AM57,1,0)))</f>
        <v>0</v>
      </c>
      <c r="AO43" s="188"/>
      <c r="AP43" s="109">
        <f>IF(SUM(AO43:AO45)+AO57=0,0,IF(SUM(AO43:AO45)=AO57,0.5,IF(SUM(AO43:AO45)&gt;AO57,1,0)))</f>
        <v>0</v>
      </c>
      <c r="AQ43" s="188"/>
      <c r="AR43" s="109">
        <f>IF(SUM(AQ43:AQ45)+AQ57=0,0,IF(SUM(AQ43:AQ45)=AQ57,0.5,IF(SUM(AQ43:AQ45)&gt;AQ57,1,0)))</f>
        <v>0</v>
      </c>
      <c r="AS43" s="188"/>
      <c r="AT43" s="109">
        <f>IF(SUM(AS43:AS45)+AS57=0,0,IF(SUM(AS43:AS45)=AS57,0.5,IF(SUM(AS43:AS45)&gt;AS57,1,0)))</f>
        <v>0</v>
      </c>
      <c r="AU43" s="110">
        <f t="shared" si="42"/>
        <v>0</v>
      </c>
      <c r="AV43" s="111">
        <f>SUM(AD43+AF43+AH43+AJ43+AL43+AN43+AP43+AR43+AT43)</f>
        <v>0</v>
      </c>
      <c r="AW43" s="101"/>
      <c r="AX43" s="102"/>
      <c r="AZ43" s="63"/>
      <c r="BA43" s="212"/>
      <c r="BB43" s="213"/>
      <c r="BC43" s="214"/>
      <c r="BD43" s="217">
        <f t="shared" si="55"/>
        <v>0</v>
      </c>
      <c r="BE43" s="213">
        <f t="shared" si="56"/>
        <v>0</v>
      </c>
      <c r="BF43" s="215">
        <f t="shared" si="57"/>
        <v>0</v>
      </c>
      <c r="BG43" s="215">
        <f t="shared" si="58"/>
        <v>0</v>
      </c>
      <c r="BH43" s="215" t="str">
        <f t="shared" si="43"/>
        <v/>
      </c>
      <c r="BI43" s="215" t="str">
        <f t="shared" si="44"/>
        <v/>
      </c>
      <c r="BJ43" s="215" t="str">
        <f t="shared" si="45"/>
        <v/>
      </c>
      <c r="BK43" s="215" t="str">
        <f t="shared" si="46"/>
        <v/>
      </c>
      <c r="BL43" s="215" t="str">
        <f t="shared" si="47"/>
        <v/>
      </c>
      <c r="BM43" s="215" t="str">
        <f t="shared" si="48"/>
        <v/>
      </c>
      <c r="BN43" s="215" t="str">
        <f t="shared" si="49"/>
        <v/>
      </c>
      <c r="BO43" s="215" t="str">
        <f t="shared" si="50"/>
        <v/>
      </c>
      <c r="BP43" s="215" t="str">
        <f t="shared" si="51"/>
        <v/>
      </c>
      <c r="BQ43" s="216"/>
      <c r="BR43" s="214"/>
      <c r="BS43" s="215">
        <f t="shared" si="59"/>
        <v>0</v>
      </c>
      <c r="BT43" s="215">
        <f t="shared" si="60"/>
        <v>4.3000000000000001E-8</v>
      </c>
      <c r="BU43" s="215" t="str">
        <f t="shared" si="61"/>
        <v>BK München 2</v>
      </c>
      <c r="BV43" s="214">
        <f t="shared" si="62"/>
        <v>102</v>
      </c>
      <c r="BW43" s="215">
        <f t="shared" si="63"/>
        <v>0</v>
      </c>
      <c r="BX43" s="215">
        <f>IF(COUNTIF(BH43:BP43,"&gt;0")&lt;Spielorte!$A$23,0,BE43/Spielorte!$A$23)</f>
        <v>0</v>
      </c>
      <c r="BY43" s="215">
        <f t="shared" si="64"/>
        <v>4.3000000000000001E-8</v>
      </c>
      <c r="BZ43" s="214">
        <f t="shared" si="52"/>
        <v>102</v>
      </c>
    </row>
    <row r="44" spans="1:78" ht="17.2" customHeight="1" x14ac:dyDescent="0.35">
      <c r="A44" s="368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49"/>
      <c r="F44" s="78" t="str">
        <f t="shared" si="34"/>
        <v/>
      </c>
      <c r="G44" s="349"/>
      <c r="H44" s="78" t="str">
        <f t="shared" si="35"/>
        <v/>
      </c>
      <c r="I44" s="349"/>
      <c r="J44" s="78" t="str">
        <f t="shared" si="36"/>
        <v/>
      </c>
      <c r="K44" s="349"/>
      <c r="L44" s="78" t="str">
        <f t="shared" si="37"/>
        <v/>
      </c>
      <c r="M44" s="349"/>
      <c r="N44" s="78" t="str">
        <f t="shared" si="54"/>
        <v/>
      </c>
      <c r="O44" s="349"/>
      <c r="P44" s="78" t="str">
        <f t="shared" si="38"/>
        <v/>
      </c>
      <c r="Q44" s="349"/>
      <c r="R44" s="78" t="str">
        <f t="shared" si="39"/>
        <v/>
      </c>
      <c r="S44" s="349"/>
      <c r="T44" s="78" t="str">
        <f t="shared" si="40"/>
        <v/>
      </c>
      <c r="U44" s="349"/>
      <c r="V44" s="78" t="str">
        <f t="shared" si="41"/>
        <v/>
      </c>
      <c r="W44" s="349"/>
      <c r="Z44" s="352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4.3999999999999997E-8</v>
      </c>
      <c r="BU44" s="215" t="str">
        <f t="shared" si="61"/>
        <v>BK München 2</v>
      </c>
      <c r="BV44" s="214">
        <f t="shared" si="62"/>
        <v>101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4.3999999999999997E-8</v>
      </c>
      <c r="BZ44" s="214">
        <f t="shared" si="52"/>
        <v>101</v>
      </c>
    </row>
    <row r="45" spans="1:78" ht="17.2" customHeight="1" thickBot="1" x14ac:dyDescent="0.4">
      <c r="A45" s="369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50"/>
      <c r="F45" s="69" t="str">
        <f t="shared" si="34"/>
        <v/>
      </c>
      <c r="G45" s="350"/>
      <c r="H45" s="69" t="str">
        <f t="shared" si="35"/>
        <v/>
      </c>
      <c r="I45" s="350"/>
      <c r="J45" s="69" t="str">
        <f t="shared" si="36"/>
        <v/>
      </c>
      <c r="K45" s="350"/>
      <c r="L45" s="69" t="str">
        <f t="shared" si="37"/>
        <v/>
      </c>
      <c r="M45" s="350"/>
      <c r="N45" s="69" t="str">
        <f t="shared" si="54"/>
        <v/>
      </c>
      <c r="O45" s="350"/>
      <c r="P45" s="69" t="str">
        <f t="shared" si="38"/>
        <v/>
      </c>
      <c r="Q45" s="350"/>
      <c r="R45" s="69" t="str">
        <f t="shared" si="39"/>
        <v/>
      </c>
      <c r="S45" s="350"/>
      <c r="T45" s="69" t="str">
        <f t="shared" si="40"/>
        <v/>
      </c>
      <c r="U45" s="350"/>
      <c r="V45" s="69" t="str">
        <f t="shared" si="41"/>
        <v/>
      </c>
      <c r="W45" s="350"/>
      <c r="Z45" s="353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4.4999999999999999E-8</v>
      </c>
      <c r="BU45" s="215" t="str">
        <f t="shared" si="61"/>
        <v>BK München 2</v>
      </c>
      <c r="BV45" s="214">
        <f t="shared" si="62"/>
        <v>100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4.4999999999999999E-8</v>
      </c>
      <c r="BZ45" s="214">
        <f t="shared" si="52"/>
        <v>100</v>
      </c>
    </row>
    <row r="46" spans="1:78" ht="17.2" customHeight="1" x14ac:dyDescent="0.35">
      <c r="A46" s="367" t="s">
        <v>11</v>
      </c>
      <c r="B46" s="73" t="str">
        <f>IF(AA46=0,"",AA46)</f>
        <v/>
      </c>
      <c r="C46" s="74" t="str">
        <f t="shared" si="53"/>
        <v/>
      </c>
      <c r="D46" s="75" t="str">
        <f t="shared" si="53"/>
        <v/>
      </c>
      <c r="E46" s="348">
        <f>IF(AD46="","",AD46)</f>
        <v>0</v>
      </c>
      <c r="F46" s="75" t="str">
        <f t="shared" si="34"/>
        <v/>
      </c>
      <c r="G46" s="348">
        <f>IF(AF46="","",AF46)</f>
        <v>0</v>
      </c>
      <c r="H46" s="75" t="str">
        <f t="shared" si="35"/>
        <v/>
      </c>
      <c r="I46" s="348">
        <f>IF(AH46="","",AH46)</f>
        <v>0</v>
      </c>
      <c r="J46" s="75" t="str">
        <f t="shared" si="36"/>
        <v/>
      </c>
      <c r="K46" s="348">
        <f>IF(AJ46="","",AJ46)</f>
        <v>0</v>
      </c>
      <c r="L46" s="75" t="str">
        <f t="shared" si="37"/>
        <v/>
      </c>
      <c r="M46" s="348">
        <f>IF(AL46="","",AL46)</f>
        <v>0</v>
      </c>
      <c r="N46" s="75" t="str">
        <f t="shared" si="54"/>
        <v/>
      </c>
      <c r="O46" s="348">
        <f>IF(AN46="","",AN46)</f>
        <v>0</v>
      </c>
      <c r="P46" s="75" t="str">
        <f t="shared" si="38"/>
        <v/>
      </c>
      <c r="Q46" s="348">
        <f>IF(AP46="","",AP46)</f>
        <v>0</v>
      </c>
      <c r="R46" s="75" t="str">
        <f t="shared" si="39"/>
        <v/>
      </c>
      <c r="S46" s="348">
        <f>IF(AR46="","",AR46)</f>
        <v>0</v>
      </c>
      <c r="T46" s="75" t="str">
        <f t="shared" si="40"/>
        <v/>
      </c>
      <c r="U46" s="348">
        <f>IF(AT46="","",AT46)</f>
        <v>0</v>
      </c>
      <c r="V46" s="75" t="str">
        <f t="shared" si="41"/>
        <v/>
      </c>
      <c r="W46" s="348">
        <f>IF(AV46="","",AV46)</f>
        <v>0</v>
      </c>
      <c r="Z46" s="351" t="s">
        <v>11</v>
      </c>
      <c r="AA46" s="108" t="str">
        <f>IF(AB46=0,"",VLOOKUP(AB46,Starter!$A$1:$D$199,2,FALSE))</f>
        <v/>
      </c>
      <c r="AB46" s="99"/>
      <c r="AC46" s="188"/>
      <c r="AD46" s="109">
        <f>IF(SUM(AC46:AC48)+AC58=0,0,IF(SUM(AC46:AC48)=AC58,0.5,IF(SUM(AC46:AC48)&gt;AC58,1,0)))</f>
        <v>0</v>
      </c>
      <c r="AE46" s="188"/>
      <c r="AF46" s="109">
        <f>IF(SUM(AE46:AE48)+AE58=0,0,IF(SUM(AE46:AE48)=AE58,0.5,IF(SUM(AE46:AE48)&gt;AE58,1,0)))</f>
        <v>0</v>
      </c>
      <c r="AG46" s="188"/>
      <c r="AH46" s="109">
        <f>IF(SUM(AG46:AG48)+AG58=0,0,IF(SUM(AG46:AG48)=AG58,0.5,IF(SUM(AG46:AG48)&gt;AG58,1,0)))</f>
        <v>0</v>
      </c>
      <c r="AI46" s="188"/>
      <c r="AJ46" s="109">
        <f>IF(SUM(AI46:AI48)+AI58=0,0,IF(SUM(AI46:AI48)=AI58,0.5,IF(SUM(AI46:AI48)&gt;AI58,1,0)))</f>
        <v>0</v>
      </c>
      <c r="AK46" s="188"/>
      <c r="AL46" s="109">
        <f>IF(SUM(AK46:AK48)+AK58=0,0,IF(SUM(AK46:AK48)=AK58,0.5,IF(SUM(AK46:AK48)&gt;AK58,1,0)))</f>
        <v>0</v>
      </c>
      <c r="AM46" s="188"/>
      <c r="AN46" s="109">
        <f>IF(SUM(AM46:AM48)+AM58=0,0,IF(SUM(AM46:AM48)=AM58,0.5,IF(SUM(AM46:AM48)&gt;AM58,1,0)))</f>
        <v>0</v>
      </c>
      <c r="AO46" s="188"/>
      <c r="AP46" s="109">
        <f>IF(SUM(AO46:AO48)+AO58=0,0,IF(SUM(AO46:AO48)=AO58,0.5,IF(SUM(AO46:AO48)&gt;AO58,1,0)))</f>
        <v>0</v>
      </c>
      <c r="AQ46" s="188"/>
      <c r="AR46" s="109">
        <f>IF(SUM(AQ46:AQ48)+AQ58=0,0,IF(SUM(AQ46:AQ48)=AQ58,0.5,IF(SUM(AQ46:AQ48)&gt;AQ58,1,0)))</f>
        <v>0</v>
      </c>
      <c r="AS46" s="188"/>
      <c r="AT46" s="109">
        <f>IF(SUM(AS46:AS48)+AS58=0,0,IF(SUM(AS46:AS48)=AS58,0.5,IF(SUM(AS46:AS48)&gt;AS58,1,0)))</f>
        <v>0</v>
      </c>
      <c r="AU46" s="110">
        <f t="shared" si="42"/>
        <v>0</v>
      </c>
      <c r="AV46" s="111">
        <f>SUM(AD46+AF46+AH46+AJ46+AL46+AN46+AP46+AR46+AT46)</f>
        <v>0</v>
      </c>
      <c r="AW46" s="101"/>
      <c r="AX46" s="102"/>
      <c r="AZ46" s="63"/>
      <c r="BA46" s="212"/>
      <c r="BB46" s="213"/>
      <c r="BC46" s="214"/>
      <c r="BD46" s="217">
        <f t="shared" si="55"/>
        <v>0</v>
      </c>
      <c r="BE46" s="213">
        <f t="shared" si="56"/>
        <v>0</v>
      </c>
      <c r="BF46" s="215">
        <f t="shared" si="57"/>
        <v>0</v>
      </c>
      <c r="BG46" s="215">
        <f t="shared" si="58"/>
        <v>0</v>
      </c>
      <c r="BH46" s="215" t="str">
        <f t="shared" si="43"/>
        <v/>
      </c>
      <c r="BI46" s="215" t="str">
        <f t="shared" si="44"/>
        <v/>
      </c>
      <c r="BJ46" s="215" t="str">
        <f t="shared" si="45"/>
        <v/>
      </c>
      <c r="BK46" s="215" t="str">
        <f t="shared" si="46"/>
        <v/>
      </c>
      <c r="BL46" s="215" t="str">
        <f t="shared" si="47"/>
        <v/>
      </c>
      <c r="BM46" s="215" t="str">
        <f t="shared" si="48"/>
        <v/>
      </c>
      <c r="BN46" s="215" t="str">
        <f t="shared" si="49"/>
        <v/>
      </c>
      <c r="BO46" s="215" t="str">
        <f t="shared" si="50"/>
        <v/>
      </c>
      <c r="BP46" s="215" t="str">
        <f t="shared" si="51"/>
        <v/>
      </c>
      <c r="BQ46" s="216"/>
      <c r="BR46" s="214"/>
      <c r="BS46" s="215">
        <f t="shared" si="59"/>
        <v>0</v>
      </c>
      <c r="BT46" s="215">
        <f t="shared" si="60"/>
        <v>4.6000000000000002E-8</v>
      </c>
      <c r="BU46" s="215" t="str">
        <f t="shared" si="61"/>
        <v>BK München 2</v>
      </c>
      <c r="BV46" s="214">
        <f t="shared" si="62"/>
        <v>99</v>
      </c>
      <c r="BW46" s="215">
        <f t="shared" si="63"/>
        <v>0</v>
      </c>
      <c r="BX46" s="215">
        <f>IF(COUNTIF(BH46:BP46,"&gt;0")&lt;Spielorte!$A$23,0,BE46/Spielorte!$A$23)</f>
        <v>0</v>
      </c>
      <c r="BY46" s="215">
        <f t="shared" si="64"/>
        <v>4.6000000000000002E-8</v>
      </c>
      <c r="BZ46" s="214">
        <f t="shared" si="52"/>
        <v>99</v>
      </c>
    </row>
    <row r="47" spans="1:78" ht="17.2" customHeight="1" x14ac:dyDescent="0.35">
      <c r="A47" s="368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49"/>
      <c r="F47" s="78" t="str">
        <f t="shared" si="34"/>
        <v/>
      </c>
      <c r="G47" s="349"/>
      <c r="H47" s="78" t="str">
        <f t="shared" si="35"/>
        <v/>
      </c>
      <c r="I47" s="349"/>
      <c r="J47" s="78" t="str">
        <f t="shared" si="36"/>
        <v/>
      </c>
      <c r="K47" s="349"/>
      <c r="L47" s="78" t="str">
        <f t="shared" si="37"/>
        <v/>
      </c>
      <c r="M47" s="349"/>
      <c r="N47" s="78" t="str">
        <f t="shared" si="54"/>
        <v/>
      </c>
      <c r="O47" s="349"/>
      <c r="P47" s="78" t="str">
        <f t="shared" si="38"/>
        <v/>
      </c>
      <c r="Q47" s="349"/>
      <c r="R47" s="78" t="str">
        <f t="shared" si="39"/>
        <v/>
      </c>
      <c r="S47" s="349"/>
      <c r="T47" s="78" t="str">
        <f t="shared" si="40"/>
        <v/>
      </c>
      <c r="U47" s="349"/>
      <c r="V47" s="78" t="str">
        <f t="shared" si="41"/>
        <v/>
      </c>
      <c r="W47" s="349"/>
      <c r="Z47" s="352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4.6999999999999997E-8</v>
      </c>
      <c r="BU47" s="215" t="str">
        <f t="shared" si="61"/>
        <v>BK München 2</v>
      </c>
      <c r="BV47" s="214">
        <f t="shared" si="62"/>
        <v>98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4.6999999999999997E-8</v>
      </c>
      <c r="BZ47" s="214">
        <f t="shared" si="52"/>
        <v>98</v>
      </c>
    </row>
    <row r="48" spans="1:78" ht="17.2" customHeight="1" thickBot="1" x14ac:dyDescent="0.4">
      <c r="A48" s="369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50"/>
      <c r="F48" s="69" t="str">
        <f t="shared" si="34"/>
        <v/>
      </c>
      <c r="G48" s="350"/>
      <c r="H48" s="69" t="str">
        <f t="shared" si="35"/>
        <v/>
      </c>
      <c r="I48" s="350"/>
      <c r="J48" s="69" t="str">
        <f t="shared" si="36"/>
        <v/>
      </c>
      <c r="K48" s="350"/>
      <c r="L48" s="69" t="str">
        <f t="shared" si="37"/>
        <v/>
      </c>
      <c r="M48" s="350"/>
      <c r="N48" s="69" t="str">
        <f t="shared" si="54"/>
        <v/>
      </c>
      <c r="O48" s="350"/>
      <c r="P48" s="69" t="str">
        <f t="shared" si="38"/>
        <v/>
      </c>
      <c r="Q48" s="350"/>
      <c r="R48" s="69" t="str">
        <f t="shared" si="39"/>
        <v/>
      </c>
      <c r="S48" s="350"/>
      <c r="T48" s="69" t="str">
        <f t="shared" si="40"/>
        <v/>
      </c>
      <c r="U48" s="350"/>
      <c r="V48" s="69" t="str">
        <f t="shared" si="41"/>
        <v/>
      </c>
      <c r="W48" s="350"/>
      <c r="Z48" s="353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4.8E-8</v>
      </c>
      <c r="BU48" s="215" t="str">
        <f t="shared" si="61"/>
        <v>BK München 2</v>
      </c>
      <c r="BV48" s="214">
        <f t="shared" si="62"/>
        <v>97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4.8E-8</v>
      </c>
      <c r="BZ48" s="214">
        <f t="shared" si="52"/>
        <v>97</v>
      </c>
    </row>
    <row r="49" spans="1:78" ht="27.75" customHeight="1" thickBot="1" x14ac:dyDescent="0.4">
      <c r="B49" s="81" t="str">
        <f>IF(AA49=0,"",AA49)</f>
        <v>Gesamt</v>
      </c>
      <c r="C49" s="82" t="str">
        <f t="shared" si="53"/>
        <v/>
      </c>
      <c r="D49" s="83" t="str">
        <f t="shared" si="53"/>
        <v/>
      </c>
      <c r="E49" s="84">
        <f>IF(AD49="","",AD49)</f>
        <v>0</v>
      </c>
      <c r="F49" s="83" t="str">
        <f t="shared" si="34"/>
        <v/>
      </c>
      <c r="G49" s="84">
        <f>IF(AF49="","",AF49)</f>
        <v>0</v>
      </c>
      <c r="H49" s="83" t="str">
        <f t="shared" si="35"/>
        <v/>
      </c>
      <c r="I49" s="84">
        <f>IF(AH49="","",AH49)</f>
        <v>0</v>
      </c>
      <c r="J49" s="83" t="str">
        <f t="shared" si="36"/>
        <v/>
      </c>
      <c r="K49" s="84">
        <f>IF(AJ49="","",AJ49)</f>
        <v>0</v>
      </c>
      <c r="L49" s="83" t="str">
        <f t="shared" si="37"/>
        <v/>
      </c>
      <c r="M49" s="84">
        <f>IF(AL49="","",AL49)</f>
        <v>0</v>
      </c>
      <c r="N49" s="83" t="str">
        <f t="shared" si="54"/>
        <v/>
      </c>
      <c r="O49" s="84">
        <f>IF(AN49="","",AN49)</f>
        <v>0</v>
      </c>
      <c r="P49" s="83" t="str">
        <f t="shared" si="38"/>
        <v/>
      </c>
      <c r="Q49" s="84">
        <f>IF(AP49="","",AP49)</f>
        <v>0</v>
      </c>
      <c r="R49" s="83" t="str">
        <f t="shared" si="39"/>
        <v/>
      </c>
      <c r="S49" s="84">
        <f>IF(AR49="","",AR49)</f>
        <v>0</v>
      </c>
      <c r="T49" s="83" t="str">
        <f t="shared" si="40"/>
        <v/>
      </c>
      <c r="U49" s="84">
        <f>IF(AT49="","",AT49)</f>
        <v>0</v>
      </c>
      <c r="V49" s="83" t="str">
        <f t="shared" si="41"/>
        <v/>
      </c>
      <c r="W49" s="84">
        <f>IF(AV49="","",AV49)</f>
        <v>0</v>
      </c>
      <c r="AA49" s="81" t="s">
        <v>1799</v>
      </c>
      <c r="AB49" s="120"/>
      <c r="AC49" s="211">
        <f>ABS(SUM(AC37:AC39))+ABS(SUM(AC40:AC42))+ABS(SUM(AC43:AC45))+ABS(SUM(AC46:AC48))</f>
        <v>0</v>
      </c>
      <c r="AD49" s="121">
        <f>IF(AC49+AC59=0,0,IF(AC49=AC59,1,IF(AC49&gt;AC59,2,0)))</f>
        <v>0</v>
      </c>
      <c r="AE49" s="211">
        <f>ABS(SUM(AE37:AE39))+ABS(SUM(AE40:AE42))+ABS(SUM(AE43:AE45))+ABS(SUM(AE46:AE48))</f>
        <v>0</v>
      </c>
      <c r="AF49" s="121">
        <f>IF(AE49+AE59=0,0,IF(AE49=AE59,1,IF(AE49&gt;AE59,2,0)))</f>
        <v>0</v>
      </c>
      <c r="AG49" s="211">
        <f>ABS(SUM(AG37:AG39))+ABS(SUM(AG40:AG42))+ABS(SUM(AG43:AG45))+ABS(SUM(AG46:AG48))</f>
        <v>0</v>
      </c>
      <c r="AH49" s="121">
        <f>IF(AG49+AG59=0,0,IF(AG49=AG59,1,IF(AG49&gt;AG59,2,0)))</f>
        <v>0</v>
      </c>
      <c r="AI49" s="211">
        <f>ABS(SUM(AI37:AI39))+ABS(SUM(AI40:AI42))+ABS(SUM(AI43:AI45))+ABS(SUM(AI46:AI48))</f>
        <v>0</v>
      </c>
      <c r="AJ49" s="121">
        <f>IF(AI49+AI59=0,0,IF(AI49=AI59,1,IF(AI49&gt;AI59,2,0)))</f>
        <v>0</v>
      </c>
      <c r="AK49" s="211">
        <f>ABS(SUM(AK37:AK39))+ABS(SUM(AK40:AK42))+ABS(SUM(AK43:AK45))+ABS(SUM(AK46:AK48))</f>
        <v>0</v>
      </c>
      <c r="AL49" s="121">
        <f>IF(AK49+AK59=0,0,IF(AK49=AK59,1,IF(AK49&gt;AK59,2,0)))</f>
        <v>0</v>
      </c>
      <c r="AM49" s="211">
        <f>ABS(SUM(AM37:AM39))+ABS(SUM(AM40:AM42))+ABS(SUM(AM43:AM45))+ABS(SUM(AM46:AM48))</f>
        <v>0</v>
      </c>
      <c r="AN49" s="121">
        <f>IF(AM49+AM59=0,0,IF(AM49=AM59,1,IF(AM49&gt;AM59,2,0)))</f>
        <v>0</v>
      </c>
      <c r="AO49" s="211">
        <f>ABS(SUM(AO37:AO39))+ABS(SUM(AO40:AO42))+ABS(SUM(AO43:AO45))+ABS(SUM(AO46:AO48))</f>
        <v>0</v>
      </c>
      <c r="AP49" s="121">
        <f>IF(AO49+AO59=0,0,IF(AO49=AO59,1,IF(AO49&gt;AO59,2,0)))</f>
        <v>0</v>
      </c>
      <c r="AQ49" s="211">
        <f>ABS(SUM(AQ37:AQ39))+ABS(SUM(AQ40:AQ42))+ABS(SUM(AQ43:AQ45))+ABS(SUM(AQ46:AQ48))</f>
        <v>0</v>
      </c>
      <c r="AR49" s="121">
        <f>IF(AQ49+AQ59=0,0,IF(AQ49=AQ59,1,IF(AQ49&gt;AQ59,2,0)))</f>
        <v>0</v>
      </c>
      <c r="AS49" s="211">
        <f>ABS(SUM(AS37:AS39))+ABS(SUM(AS40:AS42))+ABS(SUM(AS43:AS45))+ABS(SUM(AS46:AS48))</f>
        <v>0</v>
      </c>
      <c r="AT49" s="121">
        <f>IF(AS49+AS59=0,0,IF(AS49=AS59,1,IF(AS49&gt;AS59,2,0)))</f>
        <v>0</v>
      </c>
      <c r="AU49" s="122">
        <f>SUM(AC49+AE49+AG49+AI49+AK49+AM49+AO49+AQ49+AS49)</f>
        <v>0</v>
      </c>
      <c r="AV49" s="123">
        <f>SUM(AD49+AF49+AH49+AJ49+AL49+AN49+AP49+AR49+AT49)</f>
        <v>0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4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0</v>
      </c>
      <c r="F50" s="86" t="str">
        <f t="shared" si="34"/>
        <v/>
      </c>
      <c r="G50" s="87">
        <f>IF(AF50="","",AF50)</f>
        <v>0</v>
      </c>
      <c r="H50" s="86" t="str">
        <f t="shared" si="35"/>
        <v/>
      </c>
      <c r="I50" s="87">
        <f>IF(AH50="","",AH50)</f>
        <v>0</v>
      </c>
      <c r="J50" s="86" t="str">
        <f t="shared" si="36"/>
        <v/>
      </c>
      <c r="K50" s="87">
        <f>IF(AJ50="","",AJ50)</f>
        <v>0</v>
      </c>
      <c r="L50" s="86" t="str">
        <f t="shared" si="37"/>
        <v/>
      </c>
      <c r="M50" s="87">
        <f>IF(AL50="","",AL50)</f>
        <v>0</v>
      </c>
      <c r="N50" s="86" t="str">
        <f t="shared" si="54"/>
        <v/>
      </c>
      <c r="O50" s="87">
        <f>IF(AN50="","",AN50)</f>
        <v>0</v>
      </c>
      <c r="P50" s="86" t="str">
        <f t="shared" si="38"/>
        <v/>
      </c>
      <c r="Q50" s="87">
        <f>IF(AP50="","",AP50)</f>
        <v>0</v>
      </c>
      <c r="R50" s="86" t="str">
        <f t="shared" si="39"/>
        <v/>
      </c>
      <c r="S50" s="87">
        <f>IF(AR50="","",AR50)</f>
        <v>0</v>
      </c>
      <c r="T50" s="86" t="str">
        <f t="shared" si="40"/>
        <v/>
      </c>
      <c r="U50" s="87">
        <f>IF(AT50="","",AT50)</f>
        <v>0</v>
      </c>
      <c r="V50" s="86" t="str">
        <f t="shared" si="41"/>
        <v/>
      </c>
      <c r="W50" s="87">
        <f>IF(AV50="","",AV50)</f>
        <v>0</v>
      </c>
      <c r="AA50" s="85" t="s">
        <v>1814</v>
      </c>
      <c r="AB50" s="86"/>
      <c r="AC50" s="86"/>
      <c r="AD50" s="124">
        <f>SUM(AD37:AD49)</f>
        <v>0</v>
      </c>
      <c r="AE50" s="86"/>
      <c r="AF50" s="124">
        <f>SUM(AF37:AF49)</f>
        <v>0</v>
      </c>
      <c r="AG50" s="86"/>
      <c r="AH50" s="124">
        <f>SUM(AH37:AH49)</f>
        <v>0</v>
      </c>
      <c r="AI50" s="86"/>
      <c r="AJ50" s="124">
        <f>SUM(AJ37:AJ49)</f>
        <v>0</v>
      </c>
      <c r="AK50" s="86"/>
      <c r="AL50" s="124">
        <f>SUM(AL37:AL49)</f>
        <v>0</v>
      </c>
      <c r="AM50" s="86"/>
      <c r="AN50" s="124">
        <f>SUM(AN37:AN49)</f>
        <v>0</v>
      </c>
      <c r="AO50" s="86"/>
      <c r="AP50" s="124">
        <f>SUM(AP37:AP49)</f>
        <v>0</v>
      </c>
      <c r="AQ50" s="86"/>
      <c r="AR50" s="124">
        <f>SUM(AR37:AR49)</f>
        <v>0</v>
      </c>
      <c r="AS50" s="86"/>
      <c r="AT50" s="124">
        <f>SUM(AT37:AT49)</f>
        <v>0</v>
      </c>
      <c r="AU50" s="86"/>
      <c r="AV50" s="125">
        <f>SUM(AV37:AV49)</f>
        <v>0</v>
      </c>
      <c r="AW50" s="101"/>
      <c r="AX50" s="102"/>
      <c r="BA50" s="212">
        <f>+AV50</f>
        <v>0</v>
      </c>
      <c r="BB50" s="213">
        <f>+AU49</f>
        <v>0</v>
      </c>
      <c r="BC50" s="214">
        <f>+AA32</f>
        <v>2</v>
      </c>
      <c r="BF50" s="215">
        <f>SUM(BF31:BF49)</f>
        <v>0</v>
      </c>
      <c r="BQ50" s="212">
        <f>+BB50/1000000+BA50</f>
        <v>0</v>
      </c>
      <c r="BR50" s="214">
        <f>RANK(BQ50,BQ:BQ)</f>
        <v>1</v>
      </c>
      <c r="BV50" s="214"/>
      <c r="BZ50" s="214"/>
    </row>
    <row r="51" spans="1:78" ht="11.25" customHeight="1" x14ac:dyDescent="0.3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35">
      <c r="B52" s="88" t="str">
        <f t="shared" ref="B52:Q52" si="65">IF(AA52=0,"",AA52)</f>
        <v>Gegner-Nr.:</v>
      </c>
      <c r="C52" s="89" t="str">
        <f t="shared" si="65"/>
        <v>&gt;&gt;&gt;&gt;</v>
      </c>
      <c r="D52" s="346">
        <f t="shared" si="65"/>
        <v>1</v>
      </c>
      <c r="E52" s="346" t="str">
        <f t="shared" si="65"/>
        <v/>
      </c>
      <c r="F52" s="346">
        <f t="shared" si="65"/>
        <v>9</v>
      </c>
      <c r="G52" s="346" t="str">
        <f t="shared" si="65"/>
        <v/>
      </c>
      <c r="H52" s="346">
        <f t="shared" si="65"/>
        <v>3</v>
      </c>
      <c r="I52" s="346" t="str">
        <f t="shared" si="65"/>
        <v/>
      </c>
      <c r="J52" s="346">
        <f t="shared" si="65"/>
        <v>10</v>
      </c>
      <c r="K52" s="346" t="str">
        <f t="shared" si="65"/>
        <v/>
      </c>
      <c r="L52" s="346">
        <f t="shared" si="65"/>
        <v>6</v>
      </c>
      <c r="M52" s="346" t="str">
        <f t="shared" si="65"/>
        <v/>
      </c>
      <c r="N52" s="346">
        <f t="shared" si="65"/>
        <v>7</v>
      </c>
      <c r="O52" s="346" t="str">
        <f t="shared" si="65"/>
        <v/>
      </c>
      <c r="P52" s="346">
        <f t="shared" si="65"/>
        <v>8</v>
      </c>
      <c r="Q52" s="346" t="str">
        <f t="shared" si="65"/>
        <v/>
      </c>
      <c r="R52" s="346">
        <f t="shared" ref="L52:U54" si="66">IF(AQ52=0,"",AQ52)</f>
        <v>4</v>
      </c>
      <c r="S52" s="346" t="str">
        <f t="shared" si="66"/>
        <v/>
      </c>
      <c r="T52" s="346">
        <f t="shared" si="66"/>
        <v>5</v>
      </c>
      <c r="U52" s="346" t="str">
        <f t="shared" si="66"/>
        <v/>
      </c>
      <c r="V52" s="347"/>
      <c r="W52" s="347"/>
      <c r="AA52" s="88" t="s">
        <v>1797</v>
      </c>
      <c r="AB52" s="89" t="s">
        <v>1798</v>
      </c>
      <c r="AC52" s="370">
        <f>VLOOKUP($AA32,Schlüssel!$A$5:$DG$14,83)</f>
        <v>1</v>
      </c>
      <c r="AD52" s="371"/>
      <c r="AE52" s="370">
        <f>VLOOKUP($AA32,Schlüssel!$A$5:$EK$14,84)</f>
        <v>9</v>
      </c>
      <c r="AF52" s="371"/>
      <c r="AG52" s="370">
        <f>VLOOKUP($AA32,Schlüssel!$A$5:$EK$14,85)</f>
        <v>3</v>
      </c>
      <c r="AH52" s="371"/>
      <c r="AI52" s="370">
        <f>VLOOKUP($AA32,Schlüssel!$A$5:$EK$14,86)</f>
        <v>10</v>
      </c>
      <c r="AJ52" s="371"/>
      <c r="AK52" s="370">
        <f>VLOOKUP($AA32,Schlüssel!$A$5:$EK$14,87)</f>
        <v>6</v>
      </c>
      <c r="AL52" s="371"/>
      <c r="AM52" s="370">
        <f>VLOOKUP($AA32,Schlüssel!$A$5:$EK$14,88)</f>
        <v>7</v>
      </c>
      <c r="AN52" s="371"/>
      <c r="AO52" s="370">
        <f>VLOOKUP($AA32,Schlüssel!$A$5:$EK$14,89)</f>
        <v>8</v>
      </c>
      <c r="AP52" s="371"/>
      <c r="AQ52" s="370">
        <f>VLOOKUP($AA32,Schlüssel!$A$5:$EK$14,90)</f>
        <v>4</v>
      </c>
      <c r="AR52" s="371"/>
      <c r="AS52" s="370">
        <f>VLOOKUP($AA32,Schlüssel!$A$5:$EK$14,91)</f>
        <v>5</v>
      </c>
      <c r="AT52" s="371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35">
      <c r="B53" s="90" t="str">
        <f t="shared" ref="B53:K54" si="67">IF(AA53=0,"",AA53)</f>
        <v/>
      </c>
      <c r="C53" s="86" t="str">
        <f t="shared" si="67"/>
        <v/>
      </c>
      <c r="D53" s="343" t="str">
        <f t="shared" si="67"/>
        <v>Praetoria Regensburg</v>
      </c>
      <c r="E53" s="344" t="str">
        <f t="shared" si="67"/>
        <v/>
      </c>
      <c r="F53" s="343" t="str">
        <f t="shared" si="67"/>
        <v>RW Lichtenhof 69 Stein 2</v>
      </c>
      <c r="G53" s="344" t="str">
        <f t="shared" si="67"/>
        <v/>
      </c>
      <c r="H53" s="343" t="str">
        <f t="shared" si="67"/>
        <v>Highroller Rosenheim</v>
      </c>
      <c r="I53" s="344" t="str">
        <f t="shared" si="67"/>
        <v/>
      </c>
      <c r="J53" s="343" t="str">
        <f t="shared" si="67"/>
        <v>BK München 4</v>
      </c>
      <c r="K53" s="344" t="str">
        <f t="shared" si="67"/>
        <v/>
      </c>
      <c r="L53" s="343" t="str">
        <f t="shared" si="66"/>
        <v>Phönix 03 Lauf</v>
      </c>
      <c r="M53" s="344" t="str">
        <f t="shared" si="66"/>
        <v/>
      </c>
      <c r="N53" s="343" t="str">
        <f t="shared" si="66"/>
        <v>Frankenpower Nürnberg</v>
      </c>
      <c r="O53" s="344" t="str">
        <f t="shared" si="66"/>
        <v/>
      </c>
      <c r="P53" s="343" t="str">
        <f t="shared" si="66"/>
        <v>EPA München 1</v>
      </c>
      <c r="Q53" s="344" t="str">
        <f t="shared" si="66"/>
        <v/>
      </c>
      <c r="R53" s="343" t="str">
        <f t="shared" si="66"/>
        <v>BK München 3</v>
      </c>
      <c r="S53" s="344" t="str">
        <f t="shared" si="66"/>
        <v/>
      </c>
      <c r="T53" s="343" t="str">
        <f t="shared" si="66"/>
        <v xml:space="preserve">Weiß Blau Unterföhring </v>
      </c>
      <c r="U53" s="344" t="str">
        <f t="shared" si="66"/>
        <v/>
      </c>
      <c r="V53" s="345"/>
      <c r="W53" s="345"/>
      <c r="AA53" s="90"/>
      <c r="AB53" s="86"/>
      <c r="AC53" s="343" t="str">
        <f>VLOOKUP(AC52,Schlüssel!$A$5:$K$14,2)</f>
        <v>Praetoria Regensburg</v>
      </c>
      <c r="AD53" s="344"/>
      <c r="AE53" s="343" t="str">
        <f>VLOOKUP(AE52,Schlüssel!$A$5:$K$14,2)</f>
        <v>RW Lichtenhof 69 Stein 2</v>
      </c>
      <c r="AF53" s="344"/>
      <c r="AG53" s="343" t="str">
        <f>VLOOKUP(AG52,Schlüssel!$A$5:$K$14,2)</f>
        <v>Highroller Rosenheim</v>
      </c>
      <c r="AH53" s="344"/>
      <c r="AI53" s="343" t="str">
        <f>VLOOKUP(AI52,Schlüssel!$A$5:$K$14,2)</f>
        <v>BK München 4</v>
      </c>
      <c r="AJ53" s="344"/>
      <c r="AK53" s="343" t="str">
        <f>VLOOKUP(AK52,Schlüssel!$A$5:$K$14,2)</f>
        <v>Phönix 03 Lauf</v>
      </c>
      <c r="AL53" s="344"/>
      <c r="AM53" s="343" t="str">
        <f>VLOOKUP(AM52,Schlüssel!$A$5:$K$14,2)</f>
        <v>Frankenpower Nürnberg</v>
      </c>
      <c r="AN53" s="344"/>
      <c r="AO53" s="343" t="str">
        <f>VLOOKUP(AO52,Schlüssel!$A$5:$K$14,2)</f>
        <v>EPA München 1</v>
      </c>
      <c r="AP53" s="344"/>
      <c r="AQ53" s="343" t="str">
        <f>VLOOKUP(AQ52,Schlüssel!$A$5:$K$14,2)</f>
        <v>BK München 3</v>
      </c>
      <c r="AR53" s="344"/>
      <c r="AS53" s="343" t="str">
        <f>VLOOKUP(AS52,Schlüssel!$A$5:$K$14,2)</f>
        <v xml:space="preserve">Weiß Blau Unterföhring </v>
      </c>
      <c r="AT53" s="344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35">
      <c r="B54" s="90" t="str">
        <f t="shared" si="67"/>
        <v/>
      </c>
      <c r="C54" s="86" t="str">
        <f t="shared" si="67"/>
        <v/>
      </c>
      <c r="D54" s="341" t="str">
        <f t="shared" si="67"/>
        <v/>
      </c>
      <c r="E54" s="341" t="str">
        <f t="shared" si="67"/>
        <v/>
      </c>
      <c r="F54" s="341" t="str">
        <f t="shared" si="67"/>
        <v/>
      </c>
      <c r="G54" s="341" t="str">
        <f t="shared" si="67"/>
        <v/>
      </c>
      <c r="H54" s="341" t="str">
        <f t="shared" si="67"/>
        <v/>
      </c>
      <c r="I54" s="341" t="str">
        <f t="shared" si="67"/>
        <v/>
      </c>
      <c r="J54" s="341" t="str">
        <f t="shared" si="67"/>
        <v/>
      </c>
      <c r="K54" s="341" t="str">
        <f t="shared" si="67"/>
        <v/>
      </c>
      <c r="L54" s="341" t="str">
        <f t="shared" si="66"/>
        <v/>
      </c>
      <c r="M54" s="341" t="str">
        <f t="shared" si="66"/>
        <v/>
      </c>
      <c r="N54" s="341" t="str">
        <f t="shared" si="66"/>
        <v/>
      </c>
      <c r="O54" s="341" t="str">
        <f t="shared" si="66"/>
        <v/>
      </c>
      <c r="P54" s="341" t="str">
        <f t="shared" si="66"/>
        <v/>
      </c>
      <c r="Q54" s="341" t="str">
        <f t="shared" si="66"/>
        <v/>
      </c>
      <c r="R54" s="341" t="str">
        <f t="shared" si="66"/>
        <v/>
      </c>
      <c r="S54" s="341" t="str">
        <f t="shared" si="66"/>
        <v/>
      </c>
      <c r="T54" s="341" t="str">
        <f t="shared" si="66"/>
        <v/>
      </c>
      <c r="U54" s="342" t="str">
        <f t="shared" si="66"/>
        <v/>
      </c>
      <c r="V54" s="301"/>
      <c r="W54" s="301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6.05" customHeight="1" x14ac:dyDescent="0.35">
      <c r="B55" s="365" t="str">
        <f t="shared" ref="B55:C59" si="68">IF(AA55=0,"",AA55)</f>
        <v>Spieler 1</v>
      </c>
      <c r="C55" s="366" t="str">
        <f t="shared" si="68"/>
        <v/>
      </c>
      <c r="D55" s="339">
        <f>IF(AC55=301,"",AC55)</f>
        <v>0</v>
      </c>
      <c r="E55" s="339" t="str">
        <f>IF(AD55=0,"",AD55)</f>
        <v/>
      </c>
      <c r="F55" s="339">
        <f>IF(AE55=301,"",AE55)</f>
        <v>0</v>
      </c>
      <c r="G55" s="339" t="str">
        <f>IF(AF55=0,"",AF55)</f>
        <v/>
      </c>
      <c r="H55" s="339">
        <f>IF(AG55=301,"",AG55)</f>
        <v>0</v>
      </c>
      <c r="I55" s="339" t="str">
        <f>IF(AH55=0,"",AH55)</f>
        <v/>
      </c>
      <c r="J55" s="339">
        <f>IF(AI55=301,"",AI55)</f>
        <v>0</v>
      </c>
      <c r="K55" s="339" t="str">
        <f>IF(AJ55=0,"",AJ55)</f>
        <v/>
      </c>
      <c r="L55" s="339">
        <f>IF(AK55=301,"",AK55)</f>
        <v>0</v>
      </c>
      <c r="M55" s="339" t="str">
        <f>IF(AL55=0,"",AL55)</f>
        <v/>
      </c>
      <c r="N55" s="339">
        <f>IF(AM55=301,"",AM55)</f>
        <v>0</v>
      </c>
      <c r="O55" s="339" t="str">
        <f>IF(AN55=0,"",AN55)</f>
        <v/>
      </c>
      <c r="P55" s="339">
        <f>IF(AO55=301,"",AO55)</f>
        <v>0</v>
      </c>
      <c r="Q55" s="339" t="str">
        <f>IF(AP55=0,"",AP55)</f>
        <v/>
      </c>
      <c r="R55" s="339">
        <f>IF(AQ55=301,"",AQ55)</f>
        <v>0</v>
      </c>
      <c r="S55" s="339" t="str">
        <f>IF(AR55=0,"",AR55)</f>
        <v/>
      </c>
      <c r="T55" s="339">
        <f>IF(AS55=301,"",AS55)</f>
        <v>0</v>
      </c>
      <c r="U55" s="339" t="str">
        <f>IF(AT55=0,"",AT55)</f>
        <v/>
      </c>
      <c r="V55" s="340"/>
      <c r="W55" s="340"/>
      <c r="AA55" s="91" t="s">
        <v>0</v>
      </c>
      <c r="AB55" s="92"/>
      <c r="AC55" s="372">
        <f>ABS(INDEX(AC:AC,MATCH(AC52,$AA:$AA,0)+5)+INDEX(AC:AC,MATCH(AC52,$AA:$AA,0)+6)+INDEX(AC:AC,MATCH(AC52,$AA:$AA,0)+7))</f>
        <v>0</v>
      </c>
      <c r="AD55" s="373"/>
      <c r="AE55" s="372">
        <f>ABS(INDEX(AE:AE,MATCH(AE52,$AA:$AA,0)+5)+INDEX(AE:AE,MATCH(AE52,$AA:$AA,0)+6)+INDEX(AE:AE,MATCH(AE52,$AA:$AA,0)+7))</f>
        <v>0</v>
      </c>
      <c r="AF55" s="373"/>
      <c r="AG55" s="372">
        <f>ABS(INDEX(AG:AG,MATCH(AG52,$AA:$AA,0)+5)+INDEX(AG:AG,MATCH(AG52,$AA:$AA,0)+6)+INDEX(AG:AG,MATCH(AG52,$AA:$AA,0)+7))</f>
        <v>0</v>
      </c>
      <c r="AH55" s="373"/>
      <c r="AI55" s="372">
        <f>ABS(INDEX(AI:AI,MATCH(AI52,$AA:$AA,0)+5)+INDEX(AI:AI,MATCH(AI52,$AA:$AA,0)+6)+INDEX(AI:AI,MATCH(AI52,$AA:$AA,0)+7))</f>
        <v>0</v>
      </c>
      <c r="AJ55" s="373"/>
      <c r="AK55" s="372">
        <f>ABS(INDEX(AK:AK,MATCH(AK52,$AA:$AA,0)+5)+INDEX(AK:AK,MATCH(AK52,$AA:$AA,0)+6)+INDEX(AK:AK,MATCH(AK52,$AA:$AA,0)+7))</f>
        <v>0</v>
      </c>
      <c r="AL55" s="373"/>
      <c r="AM55" s="372">
        <f>ABS(INDEX(AM:AM,MATCH(AM52,$AA:$AA,0)+5)+INDEX(AM:AM,MATCH(AM52,$AA:$AA,0)+6)+INDEX(AM:AM,MATCH(AM52,$AA:$AA,0)+7))</f>
        <v>0</v>
      </c>
      <c r="AN55" s="373"/>
      <c r="AO55" s="372">
        <f>ABS(INDEX(AO:AO,MATCH(AO52,$AA:$AA,0)+5)+INDEX(AO:AO,MATCH(AO52,$AA:$AA,0)+6)+INDEX(AO:AO,MATCH(AO52,$AA:$AA,0)+7))</f>
        <v>0</v>
      </c>
      <c r="AP55" s="373"/>
      <c r="AQ55" s="372">
        <f>ABS(INDEX(AQ:AQ,MATCH(AQ52,$AA:$AA,0)+5)+INDEX(AQ:AQ,MATCH(AQ52,$AA:$AA,0)+6)+INDEX(AQ:AQ,MATCH(AQ52,$AA:$AA,0)+7))</f>
        <v>0</v>
      </c>
      <c r="AR55" s="373"/>
      <c r="AS55" s="372">
        <f>ABS(INDEX(AS:AS,MATCH(AS52,$AA:$AA,0)+5)+INDEX(AS:AS,MATCH(AS52,$AA:$AA,0)+6)+INDEX(AS:AS,MATCH(AS52,$AA:$AA,0)+7))</f>
        <v>0</v>
      </c>
      <c r="AT55" s="373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6.05" customHeight="1" x14ac:dyDescent="0.35">
      <c r="B56" s="365" t="str">
        <f t="shared" si="68"/>
        <v>Spieler 2</v>
      </c>
      <c r="C56" s="366" t="str">
        <f t="shared" si="68"/>
        <v/>
      </c>
      <c r="D56" s="339">
        <f>IF(AC56=301,"",AC56)</f>
        <v>0</v>
      </c>
      <c r="E56" s="339" t="str">
        <f>IF(AD56=0,"",AD56)</f>
        <v/>
      </c>
      <c r="F56" s="339">
        <f>IF(AE56=301,"",AE56)</f>
        <v>0</v>
      </c>
      <c r="G56" s="339" t="str">
        <f>IF(AF56=0,"",AF56)</f>
        <v/>
      </c>
      <c r="H56" s="339">
        <f>IF(AG56=301,"",AG56)</f>
        <v>0</v>
      </c>
      <c r="I56" s="339" t="str">
        <f>IF(AH56=0,"",AH56)</f>
        <v/>
      </c>
      <c r="J56" s="339">
        <f>IF(AI56=301,"",AI56)</f>
        <v>0</v>
      </c>
      <c r="K56" s="339" t="str">
        <f>IF(AJ56=0,"",AJ56)</f>
        <v/>
      </c>
      <c r="L56" s="339">
        <f>IF(AK56=301,"",AK56)</f>
        <v>0</v>
      </c>
      <c r="M56" s="339" t="str">
        <f>IF(AL56=0,"",AL56)</f>
        <v/>
      </c>
      <c r="N56" s="339">
        <f>IF(AM56=301,"",AM56)</f>
        <v>0</v>
      </c>
      <c r="O56" s="339" t="str">
        <f>IF(AN56=0,"",AN56)</f>
        <v/>
      </c>
      <c r="P56" s="339">
        <f>IF(AO56=301,"",AO56)</f>
        <v>0</v>
      </c>
      <c r="Q56" s="339" t="str">
        <f>IF(AP56=0,"",AP56)</f>
        <v/>
      </c>
      <c r="R56" s="339">
        <f>IF(AQ56=301,"",AQ56)</f>
        <v>0</v>
      </c>
      <c r="S56" s="339" t="str">
        <f>IF(AR56=0,"",AR56)</f>
        <v/>
      </c>
      <c r="T56" s="339">
        <f>IF(AS56=301,"",AS56)</f>
        <v>0</v>
      </c>
      <c r="U56" s="339" t="str">
        <f>IF(AT56=0,"",AT56)</f>
        <v/>
      </c>
      <c r="V56" s="340"/>
      <c r="W56" s="340"/>
      <c r="AA56" s="91" t="s">
        <v>2</v>
      </c>
      <c r="AB56" s="92"/>
      <c r="AC56" s="374">
        <f>ABS(INDEX(AC:AC,MATCH(AC52,$AA:$AA,0)+8)+INDEX(AC:AC,MATCH(AC52,$AA:$AA,0)+9)+INDEX(AC:AC,MATCH(AC52,$AA:$AA,0)+10))</f>
        <v>0</v>
      </c>
      <c r="AD56" s="375"/>
      <c r="AE56" s="374">
        <f>ABS(INDEX(AE:AE,MATCH(AE52,$AA:$AA,0)+8)+INDEX(AE:AE,MATCH(AE52,$AA:$AA,0)+9)+INDEX(AE:AE,MATCH(AE52,$AA:$AA,0)+10))</f>
        <v>0</v>
      </c>
      <c r="AF56" s="375"/>
      <c r="AG56" s="374">
        <f>ABS(INDEX(AG:AG,MATCH(AG52,$AA:$AA,0)+8)+INDEX(AG:AG,MATCH(AG52,$AA:$AA,0)+9)+INDEX(AG:AG,MATCH(AG52,$AA:$AA,0)+10))</f>
        <v>0</v>
      </c>
      <c r="AH56" s="375"/>
      <c r="AI56" s="374">
        <f>ABS(INDEX(AI:AI,MATCH(AI52,$AA:$AA,0)+8)+INDEX(AI:AI,MATCH(AI52,$AA:$AA,0)+9)+INDEX(AI:AI,MATCH(AI52,$AA:$AA,0)+10))</f>
        <v>0</v>
      </c>
      <c r="AJ56" s="375"/>
      <c r="AK56" s="374">
        <f>ABS(INDEX(AK:AK,MATCH(AK52,$AA:$AA,0)+8)+INDEX(AK:AK,MATCH(AK52,$AA:$AA,0)+9)+INDEX(AK:AK,MATCH(AK52,$AA:$AA,0)+10))</f>
        <v>0</v>
      </c>
      <c r="AL56" s="375"/>
      <c r="AM56" s="374">
        <f>ABS(INDEX(AM:AM,MATCH(AM52,$AA:$AA,0)+8)+INDEX(AM:AM,MATCH(AM52,$AA:$AA,0)+9)+INDEX(AM:AM,MATCH(AM52,$AA:$AA,0)+10))</f>
        <v>0</v>
      </c>
      <c r="AN56" s="375"/>
      <c r="AO56" s="374">
        <f>ABS(INDEX(AO:AO,MATCH(AO52,$AA:$AA,0)+8)+INDEX(AO:AO,MATCH(AO52,$AA:$AA,0)+9)+INDEX(AO:AO,MATCH(AO52,$AA:$AA,0)+10))</f>
        <v>0</v>
      </c>
      <c r="AP56" s="375"/>
      <c r="AQ56" s="374">
        <f>ABS(INDEX(AQ:AQ,MATCH(AQ52,$AA:$AA,0)+8)+INDEX(AQ:AQ,MATCH(AQ52,$AA:$AA,0)+9)+INDEX(AQ:AQ,MATCH(AQ52,$AA:$AA,0)+10))</f>
        <v>0</v>
      </c>
      <c r="AR56" s="375"/>
      <c r="AS56" s="374">
        <f>ABS(INDEX(AS:AS,MATCH(AS52,$AA:$AA,0)+8)+INDEX(AS:AS,MATCH(AS52,$AA:$AA,0)+9)+INDEX(AS:AS,MATCH(AS52,$AA:$AA,0)+10))</f>
        <v>0</v>
      </c>
      <c r="AT56" s="37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6.05" customHeight="1" x14ac:dyDescent="0.35">
      <c r="B57" s="365" t="str">
        <f t="shared" si="68"/>
        <v>Spieler 3</v>
      </c>
      <c r="C57" s="366" t="str">
        <f t="shared" si="68"/>
        <v/>
      </c>
      <c r="D57" s="339">
        <f>IF(AC57=301,"",AC57)</f>
        <v>0</v>
      </c>
      <c r="E57" s="339" t="str">
        <f>IF(AD57=0,"",AD57)</f>
        <v/>
      </c>
      <c r="F57" s="339">
        <f>IF(AE57=301,"",AE57)</f>
        <v>0</v>
      </c>
      <c r="G57" s="339" t="str">
        <f>IF(AF57=0,"",AF57)</f>
        <v/>
      </c>
      <c r="H57" s="339">
        <f>IF(AG57=301,"",AG57)</f>
        <v>0</v>
      </c>
      <c r="I57" s="339" t="str">
        <f>IF(AH57=0,"",AH57)</f>
        <v/>
      </c>
      <c r="J57" s="339">
        <f>IF(AI57=301,"",AI57)</f>
        <v>0</v>
      </c>
      <c r="K57" s="339" t="str">
        <f>IF(AJ57=0,"",AJ57)</f>
        <v/>
      </c>
      <c r="L57" s="339">
        <f>IF(AK57=301,"",AK57)</f>
        <v>0</v>
      </c>
      <c r="M57" s="339" t="str">
        <f>IF(AL57=0,"",AL57)</f>
        <v/>
      </c>
      <c r="N57" s="339">
        <f>IF(AM57=301,"",AM57)</f>
        <v>0</v>
      </c>
      <c r="O57" s="339" t="str">
        <f>IF(AN57=0,"",AN57)</f>
        <v/>
      </c>
      <c r="P57" s="339">
        <f>IF(AO57=301,"",AO57)</f>
        <v>0</v>
      </c>
      <c r="Q57" s="339" t="str">
        <f>IF(AP57=0,"",AP57)</f>
        <v/>
      </c>
      <c r="R57" s="339">
        <f>IF(AQ57=301,"",AQ57)</f>
        <v>0</v>
      </c>
      <c r="S57" s="339" t="str">
        <f>IF(AR57=0,"",AR57)</f>
        <v/>
      </c>
      <c r="T57" s="339">
        <f>IF(AS57=301,"",AS57)</f>
        <v>0</v>
      </c>
      <c r="U57" s="339" t="str">
        <f>IF(AT57=0,"",AT57)</f>
        <v/>
      </c>
      <c r="V57" s="340"/>
      <c r="W57" s="340"/>
      <c r="AA57" s="91" t="s">
        <v>3</v>
      </c>
      <c r="AB57" s="92"/>
      <c r="AC57" s="374">
        <f>ABS(INDEX(AC:AC,MATCH(AC52,$AA:$AA,0)+11)+INDEX(AC:AC,MATCH(AC52,$AA:$AA,0)+12)+INDEX(AC:AC,MATCH(AC52,$AA:$AA,0)+13))</f>
        <v>0</v>
      </c>
      <c r="AD57" s="375"/>
      <c r="AE57" s="374">
        <f>ABS(INDEX(AE:AE,MATCH(AE52,$AA:$AA,0)+11)+INDEX(AE:AE,MATCH(AE52,$AA:$AA,0)+12)+INDEX(AE:AE,MATCH(AE52,$AA:$AA,0)+13))</f>
        <v>0</v>
      </c>
      <c r="AF57" s="375"/>
      <c r="AG57" s="374">
        <f>ABS(INDEX(AG:AG,MATCH(AG52,$AA:$AA,0)+11)+INDEX(AG:AG,MATCH(AG52,$AA:$AA,0)+12)+INDEX(AG:AG,MATCH(AG52,$AA:$AA,0)+13))</f>
        <v>0</v>
      </c>
      <c r="AH57" s="375"/>
      <c r="AI57" s="374">
        <f>ABS(INDEX(AI:AI,MATCH(AI52,$AA:$AA,0)+11)+INDEX(AI:AI,MATCH(AI52,$AA:$AA,0)+12)+INDEX(AI:AI,MATCH(AI52,$AA:$AA,0)+13))</f>
        <v>0</v>
      </c>
      <c r="AJ57" s="375"/>
      <c r="AK57" s="374">
        <f>ABS(INDEX(AK:AK,MATCH(AK52,$AA:$AA,0)+11)+INDEX(AK:AK,MATCH(AK52,$AA:$AA,0)+12)+INDEX(AK:AK,MATCH(AK52,$AA:$AA,0)+13))</f>
        <v>0</v>
      </c>
      <c r="AL57" s="375"/>
      <c r="AM57" s="374">
        <f>ABS(INDEX(AM:AM,MATCH(AM52,$AA:$AA,0)+11)+INDEX(AM:AM,MATCH(AM52,$AA:$AA,0)+12)+INDEX(AM:AM,MATCH(AM52,$AA:$AA,0)+13))</f>
        <v>0</v>
      </c>
      <c r="AN57" s="375"/>
      <c r="AO57" s="374">
        <f>ABS(INDEX(AO:AO,MATCH(AO52,$AA:$AA,0)+11)+INDEX(AO:AO,MATCH(AO52,$AA:$AA,0)+12)+INDEX(AO:AO,MATCH(AO52,$AA:$AA,0)+13))</f>
        <v>0</v>
      </c>
      <c r="AP57" s="375"/>
      <c r="AQ57" s="374">
        <f>ABS(INDEX(AQ:AQ,MATCH(AQ52,$AA:$AA,0)+11)+INDEX(AQ:AQ,MATCH(AQ52,$AA:$AA,0)+12)+INDEX(AQ:AQ,MATCH(AQ52,$AA:$AA,0)+13))</f>
        <v>0</v>
      </c>
      <c r="AR57" s="375"/>
      <c r="AS57" s="374">
        <f>ABS(INDEX(AS:AS,MATCH(AS52,$AA:$AA,0)+11)+INDEX(AS:AS,MATCH(AS52,$AA:$AA,0)+12)+INDEX(AS:AS,MATCH(AS52,$AA:$AA,0)+13))</f>
        <v>0</v>
      </c>
      <c r="AT57" s="37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6.05" customHeight="1" x14ac:dyDescent="0.35">
      <c r="B58" s="365" t="str">
        <f t="shared" si="68"/>
        <v>Spieler 4</v>
      </c>
      <c r="C58" s="366" t="str">
        <f t="shared" si="68"/>
        <v/>
      </c>
      <c r="D58" s="339">
        <f>IF(AC58=301,"",AC58)</f>
        <v>0</v>
      </c>
      <c r="E58" s="339" t="str">
        <f>IF(AD58=0,"",AD58)</f>
        <v/>
      </c>
      <c r="F58" s="339">
        <f>IF(AE58=301,"",AE58)</f>
        <v>0</v>
      </c>
      <c r="G58" s="339" t="str">
        <f>IF(AF58=0,"",AF58)</f>
        <v/>
      </c>
      <c r="H58" s="339">
        <f>IF(AG58=301,"",AG58)</f>
        <v>0</v>
      </c>
      <c r="I58" s="339" t="str">
        <f>IF(AH58=0,"",AH58)</f>
        <v/>
      </c>
      <c r="J58" s="339">
        <f>IF(AI58=301,"",AI58)</f>
        <v>0</v>
      </c>
      <c r="K58" s="339" t="str">
        <f>IF(AJ58=0,"",AJ58)</f>
        <v/>
      </c>
      <c r="L58" s="339">
        <f>IF(AK58=301,"",AK58)</f>
        <v>0</v>
      </c>
      <c r="M58" s="339" t="str">
        <f>IF(AL58=0,"",AL58)</f>
        <v/>
      </c>
      <c r="N58" s="339">
        <f>IF(AM58=301,"",AM58)</f>
        <v>0</v>
      </c>
      <c r="O58" s="339" t="str">
        <f>IF(AN58=0,"",AN58)</f>
        <v/>
      </c>
      <c r="P58" s="339">
        <f>IF(AO58=301,"",AO58)</f>
        <v>0</v>
      </c>
      <c r="Q58" s="339" t="str">
        <f>IF(AP58=0,"",AP58)</f>
        <v/>
      </c>
      <c r="R58" s="339">
        <f>IF(AQ58=301,"",AQ58)</f>
        <v>0</v>
      </c>
      <c r="S58" s="339" t="str">
        <f>IF(AR58=0,"",AR58)</f>
        <v/>
      </c>
      <c r="T58" s="339">
        <f>IF(AS58=301,"",AS58)</f>
        <v>0</v>
      </c>
      <c r="U58" s="339" t="str">
        <f>IF(AT58=0,"",AT58)</f>
        <v/>
      </c>
      <c r="V58" s="340"/>
      <c r="W58" s="340"/>
      <c r="AA58" s="91" t="s">
        <v>11</v>
      </c>
      <c r="AB58" s="92"/>
      <c r="AC58" s="374">
        <f>ABS(INDEX(AC:AC,MATCH(AC52,$AA:$AA,0)+14)+INDEX(AC:AC,MATCH(AC52,$AA:$AA,0)+15)+INDEX(AC:AC,MATCH(AC52,$AA:$AA,0)+16))</f>
        <v>0</v>
      </c>
      <c r="AD58" s="375"/>
      <c r="AE58" s="374">
        <f>ABS(INDEX(AE:AE,MATCH(AE52,$AA:$AA,0)+14)+INDEX(AE:AE,MATCH(AE52,$AA:$AA,0)+15)+INDEX(AE:AE,MATCH(AE52,$AA:$AA,0)+16))</f>
        <v>0</v>
      </c>
      <c r="AF58" s="375"/>
      <c r="AG58" s="374">
        <f>ABS(INDEX(AG:AG,MATCH(AG52,$AA:$AA,0)+14)+INDEX(AG:AG,MATCH(AG52,$AA:$AA,0)+15)+INDEX(AG:AG,MATCH(AG52,$AA:$AA,0)+16))</f>
        <v>0</v>
      </c>
      <c r="AH58" s="375"/>
      <c r="AI58" s="374">
        <f>ABS(INDEX(AI:AI,MATCH(AI52,$AA:$AA,0)+14)+INDEX(AI:AI,MATCH(AI52,$AA:$AA,0)+15)+INDEX(AI:AI,MATCH(AI52,$AA:$AA,0)+16))</f>
        <v>0</v>
      </c>
      <c r="AJ58" s="375"/>
      <c r="AK58" s="374">
        <f>ABS(INDEX(AK:AK,MATCH(AK52,$AA:$AA,0)+14)+INDEX(AK:AK,MATCH(AK52,$AA:$AA,0)+15)+INDEX(AK:AK,MATCH(AK52,$AA:$AA,0)+16))</f>
        <v>0</v>
      </c>
      <c r="AL58" s="375"/>
      <c r="AM58" s="374">
        <f>ABS(INDEX(AM:AM,MATCH(AM52,$AA:$AA,0)+14)+INDEX(AM:AM,MATCH(AM52,$AA:$AA,0)+15)+INDEX(AM:AM,MATCH(AM52,$AA:$AA,0)+16))</f>
        <v>0</v>
      </c>
      <c r="AN58" s="375"/>
      <c r="AO58" s="374">
        <f>ABS(INDEX(AO:AO,MATCH(AO52,$AA:$AA,0)+14)+INDEX(AO:AO,MATCH(AO52,$AA:$AA,0)+15)+INDEX(AO:AO,MATCH(AO52,$AA:$AA,0)+16))</f>
        <v>0</v>
      </c>
      <c r="AP58" s="375"/>
      <c r="AQ58" s="374">
        <f>ABS(INDEX(AQ:AQ,MATCH(AQ52,$AA:$AA,0)+14)+INDEX(AQ:AQ,MATCH(AQ52,$AA:$AA,0)+15)+INDEX(AQ:AQ,MATCH(AQ52,$AA:$AA,0)+16))</f>
        <v>0</v>
      </c>
      <c r="AR58" s="375"/>
      <c r="AS58" s="374">
        <f>ABS(INDEX(AS:AS,MATCH(AS52,$AA:$AA,0)+14)+INDEX(AS:AS,MATCH(AS52,$AA:$AA,0)+15)+INDEX(AS:AS,MATCH(AS52,$AA:$AA,0)+16))</f>
        <v>0</v>
      </c>
      <c r="AT58" s="37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6.05" customHeight="1" x14ac:dyDescent="0.35">
      <c r="B59" s="354" t="str">
        <f t="shared" si="68"/>
        <v>Gesamt</v>
      </c>
      <c r="C59" s="355" t="str">
        <f t="shared" si="68"/>
        <v/>
      </c>
      <c r="D59" s="338">
        <f>IF(AC59=1505,"",AC59)</f>
        <v>0</v>
      </c>
      <c r="E59" s="338" t="str">
        <f>IF(AD59=0,"",AD59)</f>
        <v/>
      </c>
      <c r="F59" s="338">
        <f>IF(AE59=1505,"",AE59)</f>
        <v>0</v>
      </c>
      <c r="G59" s="338" t="str">
        <f>IF(AF59=0,"",AF59)</f>
        <v/>
      </c>
      <c r="H59" s="338">
        <f>IF(AG59=1505,"",AG59)</f>
        <v>0</v>
      </c>
      <c r="I59" s="338" t="str">
        <f>IF(AH59=0,"",AH59)</f>
        <v/>
      </c>
      <c r="J59" s="338">
        <f>IF(AI59=1505,"",AI59)</f>
        <v>0</v>
      </c>
      <c r="K59" s="338" t="str">
        <f>IF(AJ59=0,"",AJ59)</f>
        <v/>
      </c>
      <c r="L59" s="338">
        <f>IF(AK59=1505,"",AK59)</f>
        <v>0</v>
      </c>
      <c r="M59" s="338" t="str">
        <f>IF(AL59=0,"",AL59)</f>
        <v/>
      </c>
      <c r="N59" s="338">
        <f>IF(AM59=1505,"",AM59)</f>
        <v>0</v>
      </c>
      <c r="O59" s="338" t="str">
        <f>IF(AN59=0,"",AN59)</f>
        <v/>
      </c>
      <c r="P59" s="338">
        <f>IF(AO59=1505,"",AO59)</f>
        <v>0</v>
      </c>
      <c r="Q59" s="338" t="str">
        <f>IF(AP59=0,"",AP59)</f>
        <v/>
      </c>
      <c r="R59" s="338">
        <f>IF(AQ59=1505,"",AQ59)</f>
        <v>0</v>
      </c>
      <c r="S59" s="338" t="str">
        <f>IF(AR59=0,"",AR59)</f>
        <v/>
      </c>
      <c r="T59" s="338">
        <f>IF(AS59=1505,"",AS59)</f>
        <v>0</v>
      </c>
      <c r="U59" s="338" t="str">
        <f>IF(AT59=0,"",AT59)</f>
        <v/>
      </c>
      <c r="V59" s="290"/>
      <c r="W59" s="290"/>
      <c r="AA59" s="93" t="s">
        <v>1799</v>
      </c>
      <c r="AB59" s="94"/>
      <c r="AC59" s="354">
        <f>SUM(AC55:AC58)</f>
        <v>0</v>
      </c>
      <c r="AD59" s="355"/>
      <c r="AE59" s="354">
        <f>SUM(AE55:AE58)</f>
        <v>0</v>
      </c>
      <c r="AF59" s="355"/>
      <c r="AG59" s="354">
        <f>SUM(AG55:AG58)</f>
        <v>0</v>
      </c>
      <c r="AH59" s="355"/>
      <c r="AI59" s="354">
        <f>SUM(AI55:AI58)</f>
        <v>0</v>
      </c>
      <c r="AJ59" s="355"/>
      <c r="AK59" s="354">
        <f>SUM(AK55:AK58)</f>
        <v>0</v>
      </c>
      <c r="AL59" s="355"/>
      <c r="AM59" s="354">
        <f>SUM(AM55:AM58)</f>
        <v>0</v>
      </c>
      <c r="AN59" s="355"/>
      <c r="AO59" s="354">
        <f>SUM(AO55:AO58)</f>
        <v>0</v>
      </c>
      <c r="AP59" s="355"/>
      <c r="AQ59" s="354">
        <f>SUM(AQ55:AQ58)</f>
        <v>0</v>
      </c>
      <c r="AR59" s="355"/>
      <c r="AS59" s="354">
        <f>SUM(AS55:AS58)</f>
        <v>0</v>
      </c>
      <c r="AT59" s="35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3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7">
      <c r="B61" s="44" t="str">
        <f>AA61</f>
        <v>Team-Nr.</v>
      </c>
      <c r="C61" s="45"/>
      <c r="D61" s="44" t="str">
        <f>AC61</f>
        <v>Liga:</v>
      </c>
      <c r="E61" s="47"/>
      <c r="F61" s="359" t="str">
        <f>AE61</f>
        <v>Bayernliga Frauen</v>
      </c>
      <c r="G61" s="359"/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48"/>
      <c r="S61" s="49" t="s">
        <v>1794</v>
      </c>
      <c r="T61" s="50"/>
      <c r="U61" s="360" t="str">
        <f>AT61</f>
        <v>15.03./16.03.</v>
      </c>
      <c r="V61" s="361"/>
      <c r="W61" s="362"/>
      <c r="X61" s="363"/>
      <c r="Y61" s="364"/>
      <c r="Z61" s="364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0" t="str">
        <f>VLOOKUP(AS62,Spielorte!$A$1:$C$6,2)</f>
        <v>15.03./16.03.</v>
      </c>
      <c r="AU61" s="361"/>
      <c r="AV61" s="362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65">
      <c r="B62" s="53">
        <f>AA62</f>
        <v>3</v>
      </c>
      <c r="D62" s="46" t="s">
        <v>1793</v>
      </c>
      <c r="E62" s="54"/>
      <c r="F62" s="358" t="str">
        <f>AE62</f>
        <v>Brunnthal Max Munich</v>
      </c>
      <c r="G62" s="358"/>
      <c r="H62" s="358"/>
      <c r="I62" s="358"/>
      <c r="J62" s="358"/>
      <c r="K62" s="358"/>
      <c r="L62" s="358"/>
      <c r="M62" s="358"/>
      <c r="N62" s="358"/>
      <c r="O62" s="358"/>
      <c r="P62" s="55"/>
      <c r="Q62" s="55"/>
      <c r="S62" s="49" t="s">
        <v>1791</v>
      </c>
      <c r="T62" s="56">
        <f>AS62</f>
        <v>5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Brunnthal Max Munich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5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4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5" thickBot="1" x14ac:dyDescent="0.45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VLOOKUP(AA62,Schlüssel!$A$5:$DZ$14,93)</f>
        <v>6</v>
      </c>
      <c r="AE64" s="65" t="s">
        <v>10</v>
      </c>
      <c r="AF64" s="44">
        <f>VLOOKUP(AA62,Schlüssel!$A$5:$DZ$14,94)</f>
        <v>10</v>
      </c>
      <c r="AG64" s="65" t="s">
        <v>10</v>
      </c>
      <c r="AH64" s="44">
        <f>VLOOKUP(AA62,Schlüssel!$A$5:$DZ$14,95)</f>
        <v>1</v>
      </c>
      <c r="AI64" s="65" t="s">
        <v>10</v>
      </c>
      <c r="AJ64" s="44">
        <f>VLOOKUP(AA62,Schlüssel!$A$5:$DZ$14,96)</f>
        <v>5</v>
      </c>
      <c r="AK64" s="65" t="s">
        <v>10</v>
      </c>
      <c r="AL64" s="44">
        <f>VLOOKUP(AA62,Schlüssel!$A$5:$DZ$14,97)</f>
        <v>7</v>
      </c>
      <c r="AM64" s="65" t="s">
        <v>10</v>
      </c>
      <c r="AN64" s="44">
        <f>VLOOKUP(AA62,Schlüssel!$A$5:$DZ$14,98)</f>
        <v>3</v>
      </c>
      <c r="AO64" s="65" t="s">
        <v>10</v>
      </c>
      <c r="AP64" s="44">
        <f>VLOOKUP(AA62,Schlüssel!$A$5:$DZ$14,99)</f>
        <v>2</v>
      </c>
      <c r="AQ64" s="65" t="s">
        <v>10</v>
      </c>
      <c r="AR64" s="44">
        <f>VLOOKUP(AA62,Schlüssel!$A$5:$DZ$14,100)</f>
        <v>9</v>
      </c>
      <c r="AS64" s="65" t="s">
        <v>10</v>
      </c>
      <c r="AT64" s="44">
        <f>VLOOKUP(AA62,Schlüssel!$A$5:$DZ$14,101)</f>
        <v>4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35">
      <c r="B65" s="67" t="s">
        <v>1</v>
      </c>
      <c r="C65" s="68"/>
      <c r="D65" s="354" t="s">
        <v>1800</v>
      </c>
      <c r="E65" s="355"/>
      <c r="F65" s="354" t="s">
        <v>1801</v>
      </c>
      <c r="G65" s="355"/>
      <c r="H65" s="354" t="s">
        <v>1802</v>
      </c>
      <c r="I65" s="355"/>
      <c r="J65" s="354" t="s">
        <v>1803</v>
      </c>
      <c r="K65" s="355"/>
      <c r="L65" s="354" t="s">
        <v>1804</v>
      </c>
      <c r="M65" s="355"/>
      <c r="N65" s="354" t="s">
        <v>1805</v>
      </c>
      <c r="O65" s="355"/>
      <c r="P65" s="354" t="s">
        <v>1806</v>
      </c>
      <c r="Q65" s="355"/>
      <c r="R65" s="354" t="s">
        <v>1807</v>
      </c>
      <c r="S65" s="355"/>
      <c r="T65" s="354" t="s">
        <v>1808</v>
      </c>
      <c r="U65" s="355"/>
      <c r="V65" s="356" t="s">
        <v>1799</v>
      </c>
      <c r="W65" s="357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4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2" customHeight="1" x14ac:dyDescent="0.35">
      <c r="A67" s="367" t="s">
        <v>0</v>
      </c>
      <c r="B67" s="73" t="str">
        <f>IF(AA67=0,"",AA67)</f>
        <v/>
      </c>
      <c r="C67" s="74" t="str">
        <f>IF(AB67=0,"",AB67)</f>
        <v/>
      </c>
      <c r="D67" s="75" t="str">
        <f>IF(AC67=0,"",AC67)</f>
        <v/>
      </c>
      <c r="E67" s="348">
        <f>IF(AD67="","",AD67)</f>
        <v>0</v>
      </c>
      <c r="F67" s="75" t="str">
        <f t="shared" ref="F67:F80" si="69">IF(AE67=0,"",AE67)</f>
        <v/>
      </c>
      <c r="G67" s="348">
        <f>IF(AF67="","",AF67)</f>
        <v>0</v>
      </c>
      <c r="H67" s="75" t="str">
        <f t="shared" ref="H67:H80" si="70">IF(AG67=0,"",AG67)</f>
        <v/>
      </c>
      <c r="I67" s="348">
        <f>IF(AH67="","",AH67)</f>
        <v>0</v>
      </c>
      <c r="J67" s="75" t="str">
        <f t="shared" ref="J67:J80" si="71">IF(AI67=0,"",AI67)</f>
        <v/>
      </c>
      <c r="K67" s="348">
        <f>IF(AJ67="","",AJ67)</f>
        <v>0</v>
      </c>
      <c r="L67" s="75" t="str">
        <f t="shared" ref="L67:L80" si="72">IF(AK67=0,"",AK67)</f>
        <v/>
      </c>
      <c r="M67" s="348">
        <f>IF(AL67="","",AL67)</f>
        <v>0</v>
      </c>
      <c r="N67" s="75" t="str">
        <f>IF(AM67=0,"",AM67)</f>
        <v/>
      </c>
      <c r="O67" s="348">
        <f>IF(AN67="","",AN67)</f>
        <v>0</v>
      </c>
      <c r="P67" s="75" t="str">
        <f t="shared" ref="P67:P80" si="73">IF(AO67=0,"",AO67)</f>
        <v/>
      </c>
      <c r="Q67" s="348">
        <f>IF(AP67="","",AP67)</f>
        <v>0</v>
      </c>
      <c r="R67" s="75" t="str">
        <f t="shared" ref="R67:R80" si="74">IF(AQ67=0,"",AQ67)</f>
        <v/>
      </c>
      <c r="S67" s="348">
        <f>IF(AR67="","",AR67)</f>
        <v>0</v>
      </c>
      <c r="T67" s="75" t="str">
        <f t="shared" ref="T67:T80" si="75">IF(AS67=0,"",AS67)</f>
        <v/>
      </c>
      <c r="U67" s="348">
        <f>IF(AT67="","",AT67)</f>
        <v>0</v>
      </c>
      <c r="V67" s="75" t="str">
        <f t="shared" ref="V67:V80" si="76">IF(AU67=0,"",AU67)</f>
        <v/>
      </c>
      <c r="W67" s="348">
        <f>IF(AV67="","",AV67)</f>
        <v>0</v>
      </c>
      <c r="Z67" s="351" t="s">
        <v>0</v>
      </c>
      <c r="AA67" s="108" t="str">
        <f>IF(AB67=0,"",VLOOKUP(AB67,Starter!$A$1:$D$199,2,FALSE))</f>
        <v/>
      </c>
      <c r="AB67" s="99"/>
      <c r="AC67" s="185"/>
      <c r="AD67" s="109">
        <f>IF(SUM(AC67:AC69)+AC85=0,0,IF(SUM(AC67:AC69)=AC85,0.5,IF(SUM(AC67:AC69)&gt;AC85,1,0)))</f>
        <v>0</v>
      </c>
      <c r="AE67" s="185"/>
      <c r="AF67" s="109">
        <f>IF(SUM(AE67:AE69)+AE85=0,0,IF(SUM(AE67:AE69)=AE85,0.5,IF(SUM(AE67:AE69)&gt;AE85,1,0)))</f>
        <v>0</v>
      </c>
      <c r="AG67" s="185"/>
      <c r="AH67" s="109">
        <f>IF(SUM(AG67:AG69)+AG85=0,0,IF(SUM(AG67:AG69)=AG85,0.5,IF(SUM(AG67:AG69)&gt;AG85,1,0)))</f>
        <v>0</v>
      </c>
      <c r="AI67" s="185"/>
      <c r="AJ67" s="109">
        <f>IF(SUM(AI67:AI69)+AI85=0,0,IF(SUM(AI67:AI69)=AI85,0.5,IF(SUM(AI67:AI69)&gt;AI85,1,0)))</f>
        <v>0</v>
      </c>
      <c r="AK67" s="185"/>
      <c r="AL67" s="109">
        <f>IF(SUM(AK67:AK69)+AK85=0,0,IF(SUM(AK67:AK69)=AK85,0.5,IF(SUM(AK67:AK69)&gt;AK85,1,0)))</f>
        <v>0</v>
      </c>
      <c r="AM67" s="185"/>
      <c r="AN67" s="109">
        <f>IF(SUM(AM67:AM69)+AM85=0,0,IF(SUM(AM67:AM69)=AM85,0.5,IF(SUM(AM67:AM69)&gt;AM85,1,0)))</f>
        <v>0</v>
      </c>
      <c r="AO67" s="185"/>
      <c r="AP67" s="109">
        <f>IF(SUM(AO67:AO69)+AO85=0,0,IF(SUM(AO67:AO69)=AO85,0.5,IF(SUM(AO67:AO69)&gt;AO85,1,0)))</f>
        <v>0</v>
      </c>
      <c r="AQ67" s="185"/>
      <c r="AR67" s="109">
        <f>IF(SUM(AQ67:AQ69)+AQ85=0,0,IF(SUM(AQ67:AQ69)=AQ85,0.5,IF(SUM(AQ67:AQ69)&gt;AQ85,1,0)))</f>
        <v>0</v>
      </c>
      <c r="AS67" s="185"/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0</v>
      </c>
      <c r="AV67" s="111">
        <f>SUM(AD67+AF67+AH67+AJ67+AL67+AN67+AP67+AR67+AT67)</f>
        <v>0</v>
      </c>
      <c r="AW67" s="101"/>
      <c r="AX67" s="102"/>
      <c r="AZ67" s="63"/>
      <c r="BA67" s="212"/>
      <c r="BB67" s="213"/>
      <c r="BC67" s="214"/>
      <c r="BD67" s="217">
        <f>+AB67</f>
        <v>0</v>
      </c>
      <c r="BE67" s="213">
        <f>+AU67</f>
        <v>0</v>
      </c>
      <c r="BF67" s="215">
        <f>COUNT(BH67:BP67)</f>
        <v>0</v>
      </c>
      <c r="BG67" s="215">
        <f>COUNTIF(BH67:BP67,"&gt;0")</f>
        <v>0</v>
      </c>
      <c r="BH67" s="215" t="str">
        <f t="shared" ref="BH67:BH78" si="78">IF(AC67=0,"",AC67)</f>
        <v/>
      </c>
      <c r="BI67" s="215" t="str">
        <f t="shared" ref="BI67:BI78" si="79">IF(AE67=0,"",AE67)</f>
        <v/>
      </c>
      <c r="BJ67" s="215" t="str">
        <f t="shared" ref="BJ67:BJ78" si="80">IF(AG67=0,"",AG67)</f>
        <v/>
      </c>
      <c r="BK67" s="215" t="str">
        <f t="shared" ref="BK67:BK78" si="81">IF(AI67=0,"",AI67)</f>
        <v/>
      </c>
      <c r="BL67" s="215" t="str">
        <f t="shared" ref="BL67:BL78" si="82">IF(AK67=0,"",AK67)</f>
        <v/>
      </c>
      <c r="BM67" s="215" t="str">
        <f t="shared" ref="BM67:BM78" si="83">IF(AM67=0,"",AM67)</f>
        <v/>
      </c>
      <c r="BN67" s="215" t="str">
        <f t="shared" ref="BN67:BN78" si="84">IF(AO67=0,"",AO67)</f>
        <v/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0</v>
      </c>
      <c r="BT67" s="215">
        <f>IF(BS67&lt;MAX(BS:BS),0,BS67+ROW()/1000000000)</f>
        <v>6.7000000000000004E-8</v>
      </c>
      <c r="BU67" s="215" t="str">
        <f>+AA63</f>
        <v>Highroller Rosenheim</v>
      </c>
      <c r="BV67" s="214">
        <f>RANK(BT67,BT:BT)</f>
        <v>96</v>
      </c>
      <c r="BW67" s="215">
        <f>SUMIF(BH67:BP67,"&gt;0")</f>
        <v>0</v>
      </c>
      <c r="BX67" s="215">
        <f>IF(COUNTIF(BH67:BP67,"&gt;0")&lt;Spielorte!$A$23,0,BE67/Spielorte!$A$23)</f>
        <v>0</v>
      </c>
      <c r="BY67" s="215">
        <f>IF(BX67&lt;MAX(BX:BX),0,BX67+ROW()/1000000000)</f>
        <v>6.7000000000000004E-8</v>
      </c>
      <c r="BZ67" s="214">
        <f t="shared" ref="BZ67:BZ78" si="87">IF(BY67=0,0,RANK(BY67,BY:BY))</f>
        <v>96</v>
      </c>
    </row>
    <row r="68" spans="1:78" ht="17.2" customHeight="1" x14ac:dyDescent="0.35">
      <c r="A68" s="368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9"/>
      <c r="F68" s="78" t="str">
        <f t="shared" si="69"/>
        <v/>
      </c>
      <c r="G68" s="349"/>
      <c r="H68" s="78" t="str">
        <f t="shared" si="70"/>
        <v/>
      </c>
      <c r="I68" s="349"/>
      <c r="J68" s="78" t="str">
        <f t="shared" si="71"/>
        <v/>
      </c>
      <c r="K68" s="349"/>
      <c r="L68" s="78" t="str">
        <f t="shared" si="72"/>
        <v/>
      </c>
      <c r="M68" s="349"/>
      <c r="N68" s="78" t="str">
        <f t="shared" ref="N68:N80" si="89">IF(AM68=0,"",AM68)</f>
        <v/>
      </c>
      <c r="O68" s="349"/>
      <c r="P68" s="78" t="str">
        <f t="shared" si="73"/>
        <v/>
      </c>
      <c r="Q68" s="349"/>
      <c r="R68" s="78" t="str">
        <f t="shared" si="74"/>
        <v/>
      </c>
      <c r="S68" s="349"/>
      <c r="T68" s="78" t="str">
        <f t="shared" si="75"/>
        <v/>
      </c>
      <c r="U68" s="349"/>
      <c r="V68" s="78" t="str">
        <f t="shared" si="76"/>
        <v/>
      </c>
      <c r="W68" s="349"/>
      <c r="Z68" s="352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6.8E-8</v>
      </c>
      <c r="BU68" s="215" t="str">
        <f t="shared" ref="BU68:BU78" si="96">+BU67</f>
        <v>Highroller Rosenheim</v>
      </c>
      <c r="BV68" s="214">
        <f t="shared" ref="BV68:BV78" si="97">RANK(BT68,BT:BT)</f>
        <v>95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6.8E-8</v>
      </c>
      <c r="BZ68" s="214">
        <f t="shared" si="87"/>
        <v>95</v>
      </c>
    </row>
    <row r="69" spans="1:78" ht="17.2" customHeight="1" thickBot="1" x14ac:dyDescent="0.4">
      <c r="A69" s="369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0"/>
      <c r="F69" s="69" t="str">
        <f t="shared" si="69"/>
        <v/>
      </c>
      <c r="G69" s="350"/>
      <c r="H69" s="69" t="str">
        <f t="shared" si="70"/>
        <v/>
      </c>
      <c r="I69" s="350"/>
      <c r="J69" s="69" t="str">
        <f t="shared" si="71"/>
        <v/>
      </c>
      <c r="K69" s="350"/>
      <c r="L69" s="69" t="str">
        <f t="shared" si="72"/>
        <v/>
      </c>
      <c r="M69" s="350"/>
      <c r="N69" s="69" t="str">
        <f t="shared" si="89"/>
        <v/>
      </c>
      <c r="O69" s="350"/>
      <c r="P69" s="69" t="str">
        <f t="shared" si="73"/>
        <v/>
      </c>
      <c r="Q69" s="350"/>
      <c r="R69" s="69" t="str">
        <f t="shared" si="74"/>
        <v/>
      </c>
      <c r="S69" s="350"/>
      <c r="T69" s="69" t="str">
        <f t="shared" si="75"/>
        <v/>
      </c>
      <c r="U69" s="350"/>
      <c r="V69" s="69" t="str">
        <f t="shared" si="76"/>
        <v/>
      </c>
      <c r="W69" s="350"/>
      <c r="Z69" s="353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6.8999999999999996E-8</v>
      </c>
      <c r="BU69" s="215" t="str">
        <f t="shared" si="96"/>
        <v>Highroller Rosenheim</v>
      </c>
      <c r="BV69" s="214">
        <f t="shared" si="97"/>
        <v>94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6.8999999999999996E-8</v>
      </c>
      <c r="BZ69" s="214">
        <f t="shared" si="87"/>
        <v>94</v>
      </c>
    </row>
    <row r="70" spans="1:78" ht="17.2" customHeight="1" x14ac:dyDescent="0.35">
      <c r="A70" s="367" t="s">
        <v>2</v>
      </c>
      <c r="B70" s="73" t="str">
        <f t="shared" si="88"/>
        <v/>
      </c>
      <c r="C70" s="74" t="str">
        <f t="shared" si="88"/>
        <v/>
      </c>
      <c r="D70" s="75" t="str">
        <f t="shared" si="88"/>
        <v/>
      </c>
      <c r="E70" s="348">
        <f>IF(AD70="","",AD70)</f>
        <v>0</v>
      </c>
      <c r="F70" s="75" t="str">
        <f t="shared" si="69"/>
        <v/>
      </c>
      <c r="G70" s="348">
        <f>IF(AF70="","",AF70)</f>
        <v>0</v>
      </c>
      <c r="H70" s="75" t="str">
        <f t="shared" si="70"/>
        <v/>
      </c>
      <c r="I70" s="348">
        <f>IF(AH70="","",AH70)</f>
        <v>0</v>
      </c>
      <c r="J70" s="75" t="str">
        <f t="shared" si="71"/>
        <v/>
      </c>
      <c r="K70" s="348">
        <f>IF(AJ70="","",AJ70)</f>
        <v>0</v>
      </c>
      <c r="L70" s="75" t="str">
        <f t="shared" si="72"/>
        <v/>
      </c>
      <c r="M70" s="348">
        <f>IF(AL70="","",AL70)</f>
        <v>0</v>
      </c>
      <c r="N70" s="75" t="str">
        <f t="shared" si="89"/>
        <v/>
      </c>
      <c r="O70" s="348">
        <f>IF(AN70="","",AN70)</f>
        <v>0</v>
      </c>
      <c r="P70" s="75" t="str">
        <f t="shared" si="73"/>
        <v/>
      </c>
      <c r="Q70" s="348">
        <f>IF(AP70="","",AP70)</f>
        <v>0</v>
      </c>
      <c r="R70" s="75" t="str">
        <f t="shared" si="74"/>
        <v/>
      </c>
      <c r="S70" s="348">
        <f>IF(AR70="","",AR70)</f>
        <v>0</v>
      </c>
      <c r="T70" s="75" t="str">
        <f t="shared" si="75"/>
        <v/>
      </c>
      <c r="U70" s="348">
        <f>IF(AT70="","",AT70)</f>
        <v>0</v>
      </c>
      <c r="V70" s="75" t="str">
        <f t="shared" si="76"/>
        <v/>
      </c>
      <c r="W70" s="348">
        <f>IF(AV70="","",AV70)</f>
        <v>0</v>
      </c>
      <c r="Z70" s="351" t="s">
        <v>2</v>
      </c>
      <c r="AA70" s="108" t="str">
        <f>IF(AB70=0,"",VLOOKUP(AB70,Starter!$A$1:$D$199,2,FALSE))</f>
        <v/>
      </c>
      <c r="AB70" s="99"/>
      <c r="AC70" s="188"/>
      <c r="AD70" s="109">
        <f>IF(SUM(AC70:AC72)+AC86=0,0,IF(SUM(AC70:AC72)=AC86,0.5,IF(SUM(AC70:AC72)&gt;AC86,1,0)))</f>
        <v>0</v>
      </c>
      <c r="AE70" s="188"/>
      <c r="AF70" s="109">
        <f>IF(SUM(AE70:AE72)+AE86=0,0,IF(SUM(AE70:AE72)=AE86,0.5,IF(SUM(AE70:AE72)&gt;AE86,1,0)))</f>
        <v>0</v>
      </c>
      <c r="AG70" s="188"/>
      <c r="AH70" s="109">
        <f>IF(SUM(AG70:AG72)+AG86=0,0,IF(SUM(AG70:AG72)=AG86,0.5,IF(SUM(AG70:AG72)&gt;AG86,1,0)))</f>
        <v>0</v>
      </c>
      <c r="AI70" s="188"/>
      <c r="AJ70" s="109">
        <f>IF(SUM(AI70:AI72)+AI86=0,0,IF(SUM(AI70:AI72)=AI86,0.5,IF(SUM(AI70:AI72)&gt;AI86,1,0)))</f>
        <v>0</v>
      </c>
      <c r="AK70" s="188"/>
      <c r="AL70" s="109">
        <f>IF(SUM(AK70:AK72)+AK86=0,0,IF(SUM(AK70:AK72)=AK86,0.5,IF(SUM(AK70:AK72)&gt;AK86,1,0)))</f>
        <v>0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0</v>
      </c>
      <c r="AQ70" s="188"/>
      <c r="AR70" s="109">
        <f>IF(SUM(AQ70:AQ72)+AQ86=0,0,IF(SUM(AQ70:AQ72)=AQ86,0.5,IF(SUM(AQ70:AQ72)&gt;AQ86,1,0)))</f>
        <v>0</v>
      </c>
      <c r="AS70" s="188"/>
      <c r="AT70" s="109">
        <f>IF(SUM(AS70:AS72)+AS86=0,0,IF(SUM(AS70:AS72)=AS86,0.5,IF(SUM(AS70:AS72)&gt;AS86,1,0)))</f>
        <v>0</v>
      </c>
      <c r="AU70" s="110">
        <f t="shared" si="77"/>
        <v>0</v>
      </c>
      <c r="AV70" s="111">
        <f>SUM(AD70+AF70+AH70+AJ70+AL70+AN70+AP70+AR70+AT70)</f>
        <v>0</v>
      </c>
      <c r="AW70" s="101"/>
      <c r="AX70" s="102"/>
      <c r="AZ70" s="63"/>
      <c r="BA70" s="212"/>
      <c r="BB70" s="213"/>
      <c r="BC70" s="214"/>
      <c r="BD70" s="217">
        <f t="shared" si="90"/>
        <v>0</v>
      </c>
      <c r="BE70" s="213">
        <f t="shared" si="91"/>
        <v>0</v>
      </c>
      <c r="BF70" s="215">
        <f t="shared" si="92"/>
        <v>0</v>
      </c>
      <c r="BG70" s="215">
        <f t="shared" si="93"/>
        <v>0</v>
      </c>
      <c r="BH70" s="215" t="str">
        <f t="shared" si="78"/>
        <v/>
      </c>
      <c r="BI70" s="215" t="str">
        <f t="shared" si="79"/>
        <v/>
      </c>
      <c r="BJ70" s="215" t="str">
        <f t="shared" si="80"/>
        <v/>
      </c>
      <c r="BK70" s="215" t="str">
        <f t="shared" si="81"/>
        <v/>
      </c>
      <c r="BL70" s="215" t="str">
        <f t="shared" si="82"/>
        <v/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0</v>
      </c>
      <c r="BT70" s="215">
        <f t="shared" si="95"/>
        <v>7.0000000000000005E-8</v>
      </c>
      <c r="BU70" s="215" t="str">
        <f t="shared" si="96"/>
        <v>Highroller Rosenheim</v>
      </c>
      <c r="BV70" s="214">
        <f t="shared" si="97"/>
        <v>93</v>
      </c>
      <c r="BW70" s="215">
        <f t="shared" si="98"/>
        <v>0</v>
      </c>
      <c r="BX70" s="215">
        <f>IF(COUNTIF(BH70:BP70,"&gt;0")&lt;Spielorte!$A$23,0,BE70/Spielorte!$A$23)</f>
        <v>0</v>
      </c>
      <c r="BY70" s="215">
        <f t="shared" si="99"/>
        <v>7.0000000000000005E-8</v>
      </c>
      <c r="BZ70" s="214">
        <f t="shared" si="87"/>
        <v>93</v>
      </c>
    </row>
    <row r="71" spans="1:78" ht="17.2" customHeight="1" x14ac:dyDescent="0.35">
      <c r="A71" s="368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9"/>
      <c r="F71" s="78" t="str">
        <f t="shared" si="69"/>
        <v/>
      </c>
      <c r="G71" s="349"/>
      <c r="H71" s="78" t="str">
        <f t="shared" si="70"/>
        <v/>
      </c>
      <c r="I71" s="349"/>
      <c r="J71" s="78" t="str">
        <f t="shared" si="71"/>
        <v/>
      </c>
      <c r="K71" s="349"/>
      <c r="L71" s="78" t="str">
        <f t="shared" si="72"/>
        <v/>
      </c>
      <c r="M71" s="349"/>
      <c r="N71" s="78" t="str">
        <f t="shared" si="89"/>
        <v/>
      </c>
      <c r="O71" s="349"/>
      <c r="P71" s="78" t="str">
        <f t="shared" si="73"/>
        <v/>
      </c>
      <c r="Q71" s="349"/>
      <c r="R71" s="78" t="str">
        <f t="shared" si="74"/>
        <v/>
      </c>
      <c r="S71" s="349"/>
      <c r="T71" s="78" t="str">
        <f t="shared" si="75"/>
        <v/>
      </c>
      <c r="U71" s="349"/>
      <c r="V71" s="78" t="str">
        <f t="shared" si="76"/>
        <v/>
      </c>
      <c r="W71" s="349"/>
      <c r="Z71" s="352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7.1E-8</v>
      </c>
      <c r="BU71" s="215" t="str">
        <f t="shared" si="96"/>
        <v>Highroller Rosenheim</v>
      </c>
      <c r="BV71" s="214">
        <f t="shared" si="97"/>
        <v>92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7.1E-8</v>
      </c>
      <c r="BZ71" s="214">
        <f t="shared" si="87"/>
        <v>92</v>
      </c>
    </row>
    <row r="72" spans="1:78" ht="17.2" customHeight="1" thickBot="1" x14ac:dyDescent="0.4">
      <c r="A72" s="369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0"/>
      <c r="F72" s="69" t="str">
        <f t="shared" si="69"/>
        <v/>
      </c>
      <c r="G72" s="350"/>
      <c r="H72" s="69" t="str">
        <f t="shared" si="70"/>
        <v/>
      </c>
      <c r="I72" s="350"/>
      <c r="J72" s="69" t="str">
        <f t="shared" si="71"/>
        <v/>
      </c>
      <c r="K72" s="350"/>
      <c r="L72" s="69" t="str">
        <f t="shared" si="72"/>
        <v/>
      </c>
      <c r="M72" s="350"/>
      <c r="N72" s="69" t="str">
        <f t="shared" si="89"/>
        <v/>
      </c>
      <c r="O72" s="350"/>
      <c r="P72" s="69" t="str">
        <f t="shared" si="73"/>
        <v/>
      </c>
      <c r="Q72" s="350"/>
      <c r="R72" s="69" t="str">
        <f t="shared" si="74"/>
        <v/>
      </c>
      <c r="S72" s="350"/>
      <c r="T72" s="69" t="str">
        <f t="shared" si="75"/>
        <v/>
      </c>
      <c r="U72" s="350"/>
      <c r="V72" s="69" t="str">
        <f t="shared" si="76"/>
        <v/>
      </c>
      <c r="W72" s="350"/>
      <c r="Z72" s="353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7.1999999999999996E-8</v>
      </c>
      <c r="BU72" s="215" t="str">
        <f t="shared" si="96"/>
        <v>Highroller Rosenheim</v>
      </c>
      <c r="BV72" s="214">
        <f t="shared" si="97"/>
        <v>91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7.1999999999999996E-8</v>
      </c>
      <c r="BZ72" s="214">
        <f t="shared" si="87"/>
        <v>91</v>
      </c>
    </row>
    <row r="73" spans="1:78" ht="17.2" customHeight="1" x14ac:dyDescent="0.35">
      <c r="A73" s="367" t="s">
        <v>3</v>
      </c>
      <c r="B73" s="73" t="str">
        <f t="shared" si="88"/>
        <v/>
      </c>
      <c r="C73" s="74" t="str">
        <f t="shared" si="88"/>
        <v/>
      </c>
      <c r="D73" s="75" t="str">
        <f t="shared" si="88"/>
        <v/>
      </c>
      <c r="E73" s="348">
        <f>IF(AD73="","",AD73)</f>
        <v>0</v>
      </c>
      <c r="F73" s="75" t="str">
        <f t="shared" si="69"/>
        <v/>
      </c>
      <c r="G73" s="348">
        <f>IF(AF73="","",AF73)</f>
        <v>0</v>
      </c>
      <c r="H73" s="75" t="str">
        <f t="shared" si="70"/>
        <v/>
      </c>
      <c r="I73" s="348">
        <f>IF(AH73="","",AH73)</f>
        <v>0</v>
      </c>
      <c r="J73" s="75" t="str">
        <f t="shared" si="71"/>
        <v/>
      </c>
      <c r="K73" s="348">
        <f>IF(AJ73="","",AJ73)</f>
        <v>0</v>
      </c>
      <c r="L73" s="75" t="str">
        <f t="shared" si="72"/>
        <v/>
      </c>
      <c r="M73" s="348">
        <f>IF(AL73="","",AL73)</f>
        <v>0</v>
      </c>
      <c r="N73" s="75" t="str">
        <f t="shared" si="89"/>
        <v/>
      </c>
      <c r="O73" s="348">
        <f>IF(AN73="","",AN73)</f>
        <v>0</v>
      </c>
      <c r="P73" s="75" t="str">
        <f t="shared" si="73"/>
        <v/>
      </c>
      <c r="Q73" s="348">
        <f>IF(AP73="","",AP73)</f>
        <v>0</v>
      </c>
      <c r="R73" s="75" t="str">
        <f t="shared" si="74"/>
        <v/>
      </c>
      <c r="S73" s="348">
        <f>IF(AR73="","",AR73)</f>
        <v>0</v>
      </c>
      <c r="T73" s="75" t="str">
        <f t="shared" si="75"/>
        <v/>
      </c>
      <c r="U73" s="348">
        <f>IF(AT73="","",AT73)</f>
        <v>0</v>
      </c>
      <c r="V73" s="75" t="str">
        <f t="shared" si="76"/>
        <v/>
      </c>
      <c r="W73" s="348">
        <f>IF(AV73="","",AV73)</f>
        <v>0</v>
      </c>
      <c r="Z73" s="351" t="s">
        <v>3</v>
      </c>
      <c r="AA73" s="108" t="str">
        <f>IF(AB73=0,"",VLOOKUP(AB73,Starter!$A$1:$D$199,2,FALSE))</f>
        <v/>
      </c>
      <c r="AB73" s="99"/>
      <c r="AC73" s="188"/>
      <c r="AD73" s="109">
        <f>IF(SUM(AC73:AC75)+AC87=0,0,IF(SUM(AC73:AC75)=AC87,0.5,IF(SUM(AC73:AC75)&gt;AC87,1,0)))</f>
        <v>0</v>
      </c>
      <c r="AE73" s="188"/>
      <c r="AF73" s="109">
        <f>IF(SUM(AE73:AE75)+AE87=0,0,IF(SUM(AE73:AE75)=AE87,0.5,IF(SUM(AE73:AE75)&gt;AE87,1,0)))</f>
        <v>0</v>
      </c>
      <c r="AG73" s="188"/>
      <c r="AH73" s="109">
        <f>IF(SUM(AG73:AG75)+AG87=0,0,IF(SUM(AG73:AG75)=AG87,0.5,IF(SUM(AG73:AG75)&gt;AG87,1,0)))</f>
        <v>0</v>
      </c>
      <c r="AI73" s="188"/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0</v>
      </c>
      <c r="AM73" s="188"/>
      <c r="AN73" s="109">
        <f>IF(SUM(AM73:AM75)+AM87=0,0,IF(SUM(AM73:AM75)=AM87,0.5,IF(SUM(AM73:AM75)&gt;AM87,1,0)))</f>
        <v>0</v>
      </c>
      <c r="AO73" s="188"/>
      <c r="AP73" s="109">
        <f>IF(SUM(AO73:AO75)+AO87=0,0,IF(SUM(AO73:AO75)=AO87,0.5,IF(SUM(AO73:AO75)&gt;AO87,1,0)))</f>
        <v>0</v>
      </c>
      <c r="AQ73" s="188"/>
      <c r="AR73" s="109">
        <f>IF(SUM(AQ73:AQ75)+AQ87=0,0,IF(SUM(AQ73:AQ75)=AQ87,0.5,IF(SUM(AQ73:AQ75)&gt;AQ87,1,0)))</f>
        <v>0</v>
      </c>
      <c r="AS73" s="188"/>
      <c r="AT73" s="109">
        <f>IF(SUM(AS73:AS75)+AS87=0,0,IF(SUM(AS73:AS75)=AS87,0.5,IF(SUM(AS73:AS75)&gt;AS87,1,0)))</f>
        <v>0</v>
      </c>
      <c r="AU73" s="110">
        <f t="shared" si="77"/>
        <v>0</v>
      </c>
      <c r="AV73" s="111">
        <f>SUM(AD73+AF73+AH73+AJ73+AL73+AN73+AP73+AR73+AT73)</f>
        <v>0</v>
      </c>
      <c r="AW73" s="101"/>
      <c r="AX73" s="102"/>
      <c r="AZ73" s="63"/>
      <c r="BA73" s="212"/>
      <c r="BB73" s="213"/>
      <c r="BC73" s="214"/>
      <c r="BD73" s="217">
        <f t="shared" si="90"/>
        <v>0</v>
      </c>
      <c r="BE73" s="213">
        <f t="shared" si="91"/>
        <v>0</v>
      </c>
      <c r="BF73" s="215">
        <f t="shared" si="92"/>
        <v>0</v>
      </c>
      <c r="BG73" s="215">
        <f t="shared" si="93"/>
        <v>0</v>
      </c>
      <c r="BH73" s="215" t="str">
        <f t="shared" si="78"/>
        <v/>
      </c>
      <c r="BI73" s="215" t="str">
        <f t="shared" si="79"/>
        <v/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0</v>
      </c>
      <c r="BT73" s="215">
        <f t="shared" si="95"/>
        <v>7.3000000000000005E-8</v>
      </c>
      <c r="BU73" s="215" t="str">
        <f t="shared" si="96"/>
        <v>Highroller Rosenheim</v>
      </c>
      <c r="BV73" s="214">
        <f t="shared" si="97"/>
        <v>90</v>
      </c>
      <c r="BW73" s="215">
        <f t="shared" si="98"/>
        <v>0</v>
      </c>
      <c r="BX73" s="215">
        <f>IF(COUNTIF(BH73:BP73,"&gt;0")&lt;Spielorte!$A$23,0,BE73/Spielorte!$A$23)</f>
        <v>0</v>
      </c>
      <c r="BY73" s="215">
        <f t="shared" si="99"/>
        <v>7.3000000000000005E-8</v>
      </c>
      <c r="BZ73" s="214">
        <f t="shared" si="87"/>
        <v>90</v>
      </c>
    </row>
    <row r="74" spans="1:78" ht="17.2" customHeight="1" x14ac:dyDescent="0.35">
      <c r="A74" s="368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49"/>
      <c r="F74" s="78" t="str">
        <f t="shared" si="69"/>
        <v/>
      </c>
      <c r="G74" s="349"/>
      <c r="H74" s="78" t="str">
        <f t="shared" si="70"/>
        <v/>
      </c>
      <c r="I74" s="349"/>
      <c r="J74" s="78" t="str">
        <f t="shared" si="71"/>
        <v/>
      </c>
      <c r="K74" s="349"/>
      <c r="L74" s="78" t="str">
        <f t="shared" si="72"/>
        <v/>
      </c>
      <c r="M74" s="349"/>
      <c r="N74" s="78" t="str">
        <f t="shared" si="89"/>
        <v/>
      </c>
      <c r="O74" s="349"/>
      <c r="P74" s="78" t="str">
        <f t="shared" si="73"/>
        <v/>
      </c>
      <c r="Q74" s="349"/>
      <c r="R74" s="78" t="str">
        <f t="shared" si="74"/>
        <v/>
      </c>
      <c r="S74" s="349"/>
      <c r="T74" s="78" t="str">
        <f t="shared" si="75"/>
        <v/>
      </c>
      <c r="U74" s="349"/>
      <c r="V74" s="78" t="str">
        <f t="shared" si="76"/>
        <v/>
      </c>
      <c r="W74" s="349"/>
      <c r="Z74" s="352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7.4000000000000001E-8</v>
      </c>
      <c r="BU74" s="215" t="str">
        <f t="shared" si="96"/>
        <v>Highroller Rosenheim</v>
      </c>
      <c r="BV74" s="214">
        <f t="shared" si="97"/>
        <v>89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7.4000000000000001E-8</v>
      </c>
      <c r="BZ74" s="214">
        <f t="shared" si="87"/>
        <v>89</v>
      </c>
    </row>
    <row r="75" spans="1:78" ht="17.2" customHeight="1" thickBot="1" x14ac:dyDescent="0.4">
      <c r="A75" s="369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0"/>
      <c r="F75" s="69" t="str">
        <f t="shared" si="69"/>
        <v/>
      </c>
      <c r="G75" s="350"/>
      <c r="H75" s="69" t="str">
        <f t="shared" si="70"/>
        <v/>
      </c>
      <c r="I75" s="350"/>
      <c r="J75" s="69" t="str">
        <f t="shared" si="71"/>
        <v/>
      </c>
      <c r="K75" s="350"/>
      <c r="L75" s="69" t="str">
        <f t="shared" si="72"/>
        <v/>
      </c>
      <c r="M75" s="350"/>
      <c r="N75" s="69" t="str">
        <f t="shared" si="89"/>
        <v/>
      </c>
      <c r="O75" s="350"/>
      <c r="P75" s="69" t="str">
        <f t="shared" si="73"/>
        <v/>
      </c>
      <c r="Q75" s="350"/>
      <c r="R75" s="69" t="str">
        <f t="shared" si="74"/>
        <v/>
      </c>
      <c r="S75" s="350"/>
      <c r="T75" s="69" t="str">
        <f t="shared" si="75"/>
        <v/>
      </c>
      <c r="U75" s="350"/>
      <c r="V75" s="69" t="str">
        <f t="shared" si="76"/>
        <v/>
      </c>
      <c r="W75" s="350"/>
      <c r="Z75" s="353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7.4999999999999997E-8</v>
      </c>
      <c r="BU75" s="215" t="str">
        <f t="shared" si="96"/>
        <v>Highroller Rosenheim</v>
      </c>
      <c r="BV75" s="214">
        <f t="shared" si="97"/>
        <v>88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7.4999999999999997E-8</v>
      </c>
      <c r="BZ75" s="214">
        <f t="shared" si="87"/>
        <v>88</v>
      </c>
    </row>
    <row r="76" spans="1:78" ht="17.2" customHeight="1" x14ac:dyDescent="0.35">
      <c r="A76" s="367" t="s">
        <v>11</v>
      </c>
      <c r="B76" s="73" t="str">
        <f>IF(AA76=0,"",AA76)</f>
        <v/>
      </c>
      <c r="C76" s="74" t="str">
        <f t="shared" si="88"/>
        <v/>
      </c>
      <c r="D76" s="75" t="str">
        <f t="shared" si="88"/>
        <v/>
      </c>
      <c r="E76" s="348">
        <f>IF(AD76="","",AD76)</f>
        <v>0</v>
      </c>
      <c r="F76" s="75" t="str">
        <f t="shared" si="69"/>
        <v/>
      </c>
      <c r="G76" s="348">
        <f>IF(AF76="","",AF76)</f>
        <v>0</v>
      </c>
      <c r="H76" s="75" t="str">
        <f t="shared" si="70"/>
        <v/>
      </c>
      <c r="I76" s="348">
        <f>IF(AH76="","",AH76)</f>
        <v>0</v>
      </c>
      <c r="J76" s="75" t="str">
        <f t="shared" si="71"/>
        <v/>
      </c>
      <c r="K76" s="348">
        <f>IF(AJ76="","",AJ76)</f>
        <v>0</v>
      </c>
      <c r="L76" s="75" t="str">
        <f t="shared" si="72"/>
        <v/>
      </c>
      <c r="M76" s="348">
        <f>IF(AL76="","",AL76)</f>
        <v>0</v>
      </c>
      <c r="N76" s="75" t="str">
        <f t="shared" si="89"/>
        <v/>
      </c>
      <c r="O76" s="348">
        <f>IF(AN76="","",AN76)</f>
        <v>0</v>
      </c>
      <c r="P76" s="75" t="str">
        <f t="shared" si="73"/>
        <v/>
      </c>
      <c r="Q76" s="348">
        <f>IF(AP76="","",AP76)</f>
        <v>0</v>
      </c>
      <c r="R76" s="75" t="str">
        <f t="shared" si="74"/>
        <v/>
      </c>
      <c r="S76" s="348">
        <f>IF(AR76="","",AR76)</f>
        <v>0</v>
      </c>
      <c r="T76" s="75" t="str">
        <f t="shared" si="75"/>
        <v/>
      </c>
      <c r="U76" s="348">
        <f>IF(AT76="","",AT76)</f>
        <v>0</v>
      </c>
      <c r="V76" s="75" t="str">
        <f t="shared" si="76"/>
        <v/>
      </c>
      <c r="W76" s="348">
        <f>IF(AV76="","",AV76)</f>
        <v>0</v>
      </c>
      <c r="Z76" s="351" t="s">
        <v>11</v>
      </c>
      <c r="AA76" s="108" t="str">
        <f>IF(AB76=0,"",VLOOKUP(AB76,Starter!$A$1:$D$199,2,FALSE))</f>
        <v/>
      </c>
      <c r="AB76" s="99"/>
      <c r="AC76" s="188"/>
      <c r="AD76" s="109">
        <f>IF(SUM(AC76:AC78)+AC88=0,0,IF(SUM(AC76:AC78)=AC88,0.5,IF(SUM(AC76:AC78)&gt;AC88,1,0)))</f>
        <v>0</v>
      </c>
      <c r="AE76" s="188"/>
      <c r="AF76" s="109">
        <f>IF(SUM(AE76:AE78)+AE88=0,0,IF(SUM(AE76:AE78)=AE88,0.5,IF(SUM(AE76:AE78)&gt;AE88,1,0)))</f>
        <v>0</v>
      </c>
      <c r="AG76" s="188"/>
      <c r="AH76" s="109">
        <f>IF(SUM(AG76:AG78)+AG88=0,0,IF(SUM(AG76:AG78)=AG88,0.5,IF(SUM(AG76:AG78)&gt;AG88,1,0)))</f>
        <v>0</v>
      </c>
      <c r="AI76" s="188"/>
      <c r="AJ76" s="109">
        <f>IF(SUM(AI76:AI78)+AI88=0,0,IF(SUM(AI76:AI78)=AI88,0.5,IF(SUM(AI76:AI78)&gt;AI88,1,0)))</f>
        <v>0</v>
      </c>
      <c r="AK76" s="188"/>
      <c r="AL76" s="109">
        <f>IF(SUM(AK76:AK78)+AK88=0,0,IF(SUM(AK76:AK78)=AK88,0.5,IF(SUM(AK76:AK78)&gt;AK88,1,0)))</f>
        <v>0</v>
      </c>
      <c r="AM76" s="188"/>
      <c r="AN76" s="109">
        <f>IF(SUM(AM76:AM78)+AM88=0,0,IF(SUM(AM76:AM78)=AM88,0.5,IF(SUM(AM76:AM78)&gt;AM88,1,0)))</f>
        <v>0</v>
      </c>
      <c r="AO76" s="188"/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0</v>
      </c>
      <c r="AU76" s="110">
        <f t="shared" si="77"/>
        <v>0</v>
      </c>
      <c r="AV76" s="111">
        <f>SUM(AD76+AF76+AH76+AJ76+AL76+AN76+AP76+AR76+AT76)</f>
        <v>0</v>
      </c>
      <c r="AW76" s="101"/>
      <c r="AX76" s="102"/>
      <c r="AZ76" s="63"/>
      <c r="BA76" s="212"/>
      <c r="BB76" s="213"/>
      <c r="BC76" s="214"/>
      <c r="BD76" s="217">
        <f t="shared" si="90"/>
        <v>0</v>
      </c>
      <c r="BE76" s="213">
        <f t="shared" si="91"/>
        <v>0</v>
      </c>
      <c r="BF76" s="215">
        <f t="shared" si="92"/>
        <v>0</v>
      </c>
      <c r="BG76" s="215">
        <f t="shared" si="93"/>
        <v>0</v>
      </c>
      <c r="BH76" s="215" t="str">
        <f t="shared" si="78"/>
        <v/>
      </c>
      <c r="BI76" s="215" t="str">
        <f t="shared" si="79"/>
        <v/>
      </c>
      <c r="BJ76" s="215" t="str">
        <f t="shared" si="80"/>
        <v/>
      </c>
      <c r="BK76" s="215" t="str">
        <f t="shared" si="81"/>
        <v/>
      </c>
      <c r="BL76" s="215" t="str">
        <f t="shared" si="82"/>
        <v/>
      </c>
      <c r="BM76" s="215" t="str">
        <f t="shared" si="83"/>
        <v/>
      </c>
      <c r="BN76" s="215" t="str">
        <f t="shared" si="84"/>
        <v/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0</v>
      </c>
      <c r="BT76" s="215">
        <f t="shared" si="95"/>
        <v>7.6000000000000006E-8</v>
      </c>
      <c r="BU76" s="215" t="str">
        <f t="shared" si="96"/>
        <v>Highroller Rosenheim</v>
      </c>
      <c r="BV76" s="214">
        <f t="shared" si="97"/>
        <v>87</v>
      </c>
      <c r="BW76" s="215">
        <f t="shared" si="98"/>
        <v>0</v>
      </c>
      <c r="BX76" s="215">
        <f>IF(COUNTIF(BH76:BP76,"&gt;0")&lt;Spielorte!$A$23,0,BE76/Spielorte!$A$23)</f>
        <v>0</v>
      </c>
      <c r="BY76" s="215">
        <f t="shared" si="99"/>
        <v>7.6000000000000006E-8</v>
      </c>
      <c r="BZ76" s="214">
        <f t="shared" si="87"/>
        <v>87</v>
      </c>
    </row>
    <row r="77" spans="1:78" ht="17.2" customHeight="1" x14ac:dyDescent="0.35">
      <c r="A77" s="368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9"/>
      <c r="F77" s="78" t="str">
        <f t="shared" si="69"/>
        <v/>
      </c>
      <c r="G77" s="349"/>
      <c r="H77" s="78" t="str">
        <f t="shared" si="70"/>
        <v/>
      </c>
      <c r="I77" s="349"/>
      <c r="J77" s="78" t="str">
        <f t="shared" si="71"/>
        <v/>
      </c>
      <c r="K77" s="349"/>
      <c r="L77" s="78" t="str">
        <f t="shared" si="72"/>
        <v/>
      </c>
      <c r="M77" s="349"/>
      <c r="N77" s="78" t="str">
        <f t="shared" si="89"/>
        <v/>
      </c>
      <c r="O77" s="349"/>
      <c r="P77" s="78" t="str">
        <f t="shared" si="73"/>
        <v/>
      </c>
      <c r="Q77" s="349"/>
      <c r="R77" s="78" t="str">
        <f t="shared" si="74"/>
        <v/>
      </c>
      <c r="S77" s="349"/>
      <c r="T77" s="78" t="str">
        <f t="shared" si="75"/>
        <v/>
      </c>
      <c r="U77" s="349"/>
      <c r="V77" s="78" t="str">
        <f t="shared" si="76"/>
        <v/>
      </c>
      <c r="W77" s="349"/>
      <c r="Z77" s="352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7.7000000000000001E-8</v>
      </c>
      <c r="BU77" s="215" t="str">
        <f t="shared" si="96"/>
        <v>Highroller Rosenheim</v>
      </c>
      <c r="BV77" s="214">
        <f t="shared" si="97"/>
        <v>86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7.7000000000000001E-8</v>
      </c>
      <c r="BZ77" s="214">
        <f t="shared" si="87"/>
        <v>86</v>
      </c>
    </row>
    <row r="78" spans="1:78" ht="17.2" customHeight="1" thickBot="1" x14ac:dyDescent="0.4">
      <c r="A78" s="369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0"/>
      <c r="F78" s="69" t="str">
        <f t="shared" si="69"/>
        <v/>
      </c>
      <c r="G78" s="350"/>
      <c r="H78" s="69" t="str">
        <f t="shared" si="70"/>
        <v/>
      </c>
      <c r="I78" s="350"/>
      <c r="J78" s="69" t="str">
        <f t="shared" si="71"/>
        <v/>
      </c>
      <c r="K78" s="350"/>
      <c r="L78" s="69" t="str">
        <f t="shared" si="72"/>
        <v/>
      </c>
      <c r="M78" s="350"/>
      <c r="N78" s="69" t="str">
        <f t="shared" si="89"/>
        <v/>
      </c>
      <c r="O78" s="350"/>
      <c r="P78" s="69" t="str">
        <f t="shared" si="73"/>
        <v/>
      </c>
      <c r="Q78" s="350"/>
      <c r="R78" s="69" t="str">
        <f t="shared" si="74"/>
        <v/>
      </c>
      <c r="S78" s="350"/>
      <c r="T78" s="69" t="str">
        <f t="shared" si="75"/>
        <v/>
      </c>
      <c r="U78" s="350"/>
      <c r="V78" s="69" t="str">
        <f t="shared" si="76"/>
        <v/>
      </c>
      <c r="W78" s="350"/>
      <c r="Z78" s="353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7.7999999999999997E-8</v>
      </c>
      <c r="BU78" s="215" t="str">
        <f t="shared" si="96"/>
        <v>Highroller Rosenheim</v>
      </c>
      <c r="BV78" s="214">
        <f t="shared" si="97"/>
        <v>85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7.7999999999999997E-8</v>
      </c>
      <c r="BZ78" s="214">
        <f t="shared" si="87"/>
        <v>85</v>
      </c>
    </row>
    <row r="79" spans="1:78" ht="27.75" customHeight="1" thickBot="1" x14ac:dyDescent="0.4">
      <c r="B79" s="81" t="str">
        <f>IF(AA79=0,"",AA79)</f>
        <v>Gesamt</v>
      </c>
      <c r="C79" s="82" t="str">
        <f t="shared" si="88"/>
        <v/>
      </c>
      <c r="D79" s="83" t="str">
        <f t="shared" si="88"/>
        <v/>
      </c>
      <c r="E79" s="84">
        <f>IF(AD79="","",AD79)</f>
        <v>0</v>
      </c>
      <c r="F79" s="83" t="str">
        <f t="shared" si="69"/>
        <v/>
      </c>
      <c r="G79" s="84">
        <f>IF(AF79="","",AF79)</f>
        <v>0</v>
      </c>
      <c r="H79" s="83" t="str">
        <f t="shared" si="70"/>
        <v/>
      </c>
      <c r="I79" s="84">
        <f>IF(AH79="","",AH79)</f>
        <v>0</v>
      </c>
      <c r="J79" s="83" t="str">
        <f t="shared" si="71"/>
        <v/>
      </c>
      <c r="K79" s="84">
        <f>IF(AJ79="","",AJ79)</f>
        <v>0</v>
      </c>
      <c r="L79" s="83" t="str">
        <f t="shared" si="72"/>
        <v/>
      </c>
      <c r="M79" s="84">
        <f>IF(AL79="","",AL79)</f>
        <v>0</v>
      </c>
      <c r="N79" s="83" t="str">
        <f t="shared" si="89"/>
        <v/>
      </c>
      <c r="O79" s="84">
        <f>IF(AN79="","",AN79)</f>
        <v>0</v>
      </c>
      <c r="P79" s="83" t="str">
        <f t="shared" si="73"/>
        <v/>
      </c>
      <c r="Q79" s="84">
        <f>IF(AP79="","",AP79)</f>
        <v>0</v>
      </c>
      <c r="R79" s="83" t="str">
        <f t="shared" si="74"/>
        <v/>
      </c>
      <c r="S79" s="84">
        <f>IF(AR79="","",AR79)</f>
        <v>0</v>
      </c>
      <c r="T79" s="83" t="str">
        <f t="shared" si="75"/>
        <v/>
      </c>
      <c r="U79" s="84">
        <f>IF(AT79="","",AT79)</f>
        <v>0</v>
      </c>
      <c r="V79" s="83" t="str">
        <f t="shared" si="76"/>
        <v/>
      </c>
      <c r="W79" s="84">
        <f>IF(AV79="","",AV79)</f>
        <v>0</v>
      </c>
      <c r="AA79" s="81" t="s">
        <v>1799</v>
      </c>
      <c r="AB79" s="120"/>
      <c r="AC79" s="211">
        <f>ABS(SUM(AC67:AC69))+ABS(SUM(AC70:AC72))+ABS(SUM(AC73:AC75))+ABS(SUM(AC76:AC78))</f>
        <v>0</v>
      </c>
      <c r="AD79" s="121">
        <f>IF(AC79+AC89=0,0,IF(AC79=AC89,1,IF(AC79&gt;AC89,2,0)))</f>
        <v>0</v>
      </c>
      <c r="AE79" s="211">
        <f>ABS(SUM(AE67:AE69))+ABS(SUM(AE70:AE72))+ABS(SUM(AE73:AE75))+ABS(SUM(AE76:AE78))</f>
        <v>0</v>
      </c>
      <c r="AF79" s="121">
        <f>IF(AE79+AE89=0,0,IF(AE79=AE89,1,IF(AE79&gt;AE89,2,0)))</f>
        <v>0</v>
      </c>
      <c r="AG79" s="211">
        <f>ABS(SUM(AG67:AG69))+ABS(SUM(AG70:AG72))+ABS(SUM(AG73:AG75))+ABS(SUM(AG76:AG78))</f>
        <v>0</v>
      </c>
      <c r="AH79" s="121">
        <f>IF(AG79+AG89=0,0,IF(AG79=AG89,1,IF(AG79&gt;AG89,2,0)))</f>
        <v>0</v>
      </c>
      <c r="AI79" s="211">
        <f>ABS(SUM(AI67:AI69))+ABS(SUM(AI70:AI72))+ABS(SUM(AI73:AI75))+ABS(SUM(AI76:AI78))</f>
        <v>0</v>
      </c>
      <c r="AJ79" s="121">
        <f>IF(AI79+AI89=0,0,IF(AI79=AI89,1,IF(AI79&gt;AI89,2,0)))</f>
        <v>0</v>
      </c>
      <c r="AK79" s="211">
        <f>ABS(SUM(AK67:AK69))+ABS(SUM(AK70:AK72))+ABS(SUM(AK73:AK75))+ABS(SUM(AK76:AK78))</f>
        <v>0</v>
      </c>
      <c r="AL79" s="121">
        <f>IF(AK79+AK89=0,0,IF(AK79=AK89,1,IF(AK79&gt;AK89,2,0)))</f>
        <v>0</v>
      </c>
      <c r="AM79" s="211">
        <f>ABS(SUM(AM67:AM69))+ABS(SUM(AM70:AM72))+ABS(SUM(AM73:AM75))+ABS(SUM(AM76:AM78))</f>
        <v>0</v>
      </c>
      <c r="AN79" s="121">
        <f>IF(AM79+AM89=0,0,IF(AM79=AM89,1,IF(AM79&gt;AM89,2,0)))</f>
        <v>0</v>
      </c>
      <c r="AO79" s="211">
        <f>ABS(SUM(AO67:AO69))+ABS(SUM(AO70:AO72))+ABS(SUM(AO73:AO75))+ABS(SUM(AO76:AO78))</f>
        <v>0</v>
      </c>
      <c r="AP79" s="121">
        <f>IF(AO79+AO89=0,0,IF(AO79=AO89,1,IF(AO79&gt;AO89,2,0)))</f>
        <v>0</v>
      </c>
      <c r="AQ79" s="211">
        <f>ABS(SUM(AQ67:AQ69))+ABS(SUM(AQ70:AQ72))+ABS(SUM(AQ73:AQ75))+ABS(SUM(AQ76:AQ78))</f>
        <v>0</v>
      </c>
      <c r="AR79" s="121">
        <f>IF(AQ79+AQ89=0,0,IF(AQ79=AQ89,1,IF(AQ79&gt;AQ89,2,0)))</f>
        <v>0</v>
      </c>
      <c r="AS79" s="211">
        <f>ABS(SUM(AS67:AS69))+ABS(SUM(AS70:AS72))+ABS(SUM(AS73:AS75))+ABS(SUM(AS76:AS78))</f>
        <v>0</v>
      </c>
      <c r="AT79" s="121">
        <f>IF(AS79+AS89=0,0,IF(AS79=AS89,1,IF(AS79&gt;AS89,2,0)))</f>
        <v>0</v>
      </c>
      <c r="AU79" s="122">
        <f>SUM(AC79+AE79+AG79+AI79+AK79+AM79+AO79+AQ79+AS79)</f>
        <v>0</v>
      </c>
      <c r="AV79" s="123">
        <f>SUM(AD79+AF79+AH79+AJ79+AL79+AN79+AP79+AR79+AT79)</f>
        <v>0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4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0</v>
      </c>
      <c r="F80" s="86" t="str">
        <f t="shared" si="69"/>
        <v/>
      </c>
      <c r="G80" s="87">
        <f>IF(AF80="","",AF80)</f>
        <v>0</v>
      </c>
      <c r="H80" s="86" t="str">
        <f t="shared" si="70"/>
        <v/>
      </c>
      <c r="I80" s="87">
        <f>IF(AH80="","",AH80)</f>
        <v>0</v>
      </c>
      <c r="J80" s="86" t="str">
        <f t="shared" si="71"/>
        <v/>
      </c>
      <c r="K80" s="87">
        <f>IF(AJ80="","",AJ80)</f>
        <v>0</v>
      </c>
      <c r="L80" s="86" t="str">
        <f t="shared" si="72"/>
        <v/>
      </c>
      <c r="M80" s="87">
        <f>IF(AL80="","",AL80)</f>
        <v>0</v>
      </c>
      <c r="N80" s="86" t="str">
        <f t="shared" si="89"/>
        <v/>
      </c>
      <c r="O80" s="87">
        <f>IF(AN80="","",AN80)</f>
        <v>0</v>
      </c>
      <c r="P80" s="86" t="str">
        <f t="shared" si="73"/>
        <v/>
      </c>
      <c r="Q80" s="87">
        <f>IF(AP80="","",AP80)</f>
        <v>0</v>
      </c>
      <c r="R80" s="86" t="str">
        <f t="shared" si="74"/>
        <v/>
      </c>
      <c r="S80" s="87">
        <f>IF(AR80="","",AR80)</f>
        <v>0</v>
      </c>
      <c r="T80" s="86" t="str">
        <f t="shared" si="75"/>
        <v/>
      </c>
      <c r="U80" s="87">
        <f>IF(AT80="","",AT80)</f>
        <v>0</v>
      </c>
      <c r="V80" s="86" t="str">
        <f t="shared" si="76"/>
        <v/>
      </c>
      <c r="W80" s="87">
        <f>IF(AV80="","",AV80)</f>
        <v>0</v>
      </c>
      <c r="AA80" s="85" t="s">
        <v>1814</v>
      </c>
      <c r="AB80" s="86"/>
      <c r="AC80" s="86"/>
      <c r="AD80" s="124">
        <f>SUM(AD67:AD79)</f>
        <v>0</v>
      </c>
      <c r="AE80" s="86"/>
      <c r="AF80" s="124">
        <f>SUM(AF67:AF79)</f>
        <v>0</v>
      </c>
      <c r="AG80" s="86"/>
      <c r="AH80" s="124">
        <f>SUM(AH67:AH79)</f>
        <v>0</v>
      </c>
      <c r="AI80" s="86"/>
      <c r="AJ80" s="124">
        <f>SUM(AJ67:AJ79)</f>
        <v>0</v>
      </c>
      <c r="AK80" s="86"/>
      <c r="AL80" s="124">
        <f>SUM(AL67:AL79)</f>
        <v>0</v>
      </c>
      <c r="AM80" s="86"/>
      <c r="AN80" s="124">
        <f>SUM(AN67:AN79)</f>
        <v>0</v>
      </c>
      <c r="AO80" s="86"/>
      <c r="AP80" s="124">
        <f>SUM(AP67:AP79)</f>
        <v>0</v>
      </c>
      <c r="AQ80" s="86"/>
      <c r="AR80" s="124">
        <f>SUM(AR67:AR79)</f>
        <v>0</v>
      </c>
      <c r="AS80" s="86"/>
      <c r="AT80" s="124">
        <f>SUM(AT67:AT79)</f>
        <v>0</v>
      </c>
      <c r="AU80" s="86"/>
      <c r="AV80" s="125">
        <f>SUM(AV67:AV79)</f>
        <v>0</v>
      </c>
      <c r="AW80" s="101"/>
      <c r="AX80" s="102"/>
      <c r="BA80" s="212">
        <f>+AV80</f>
        <v>0</v>
      </c>
      <c r="BB80" s="213">
        <f>+AU79</f>
        <v>0</v>
      </c>
      <c r="BC80" s="214">
        <f>+AA62</f>
        <v>3</v>
      </c>
      <c r="BF80" s="215">
        <f>SUM(BF61:BF79)</f>
        <v>0</v>
      </c>
      <c r="BQ80" s="212">
        <f>+BB80/1000000+BA80</f>
        <v>0</v>
      </c>
      <c r="BR80" s="214">
        <f>RANK(BQ80,BQ:BQ)</f>
        <v>1</v>
      </c>
      <c r="BV80" s="214"/>
      <c r="BZ80" s="214"/>
    </row>
    <row r="81" spans="1:78" ht="11.25" customHeight="1" x14ac:dyDescent="0.3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35">
      <c r="B82" s="88" t="str">
        <f t="shared" ref="B82:Q82" si="100">IF(AA82=0,"",AA82)</f>
        <v>Gegner-Nr.:</v>
      </c>
      <c r="C82" s="89" t="str">
        <f t="shared" si="100"/>
        <v>&gt;&gt;&gt;&gt;</v>
      </c>
      <c r="D82" s="346">
        <f t="shared" si="100"/>
        <v>4</v>
      </c>
      <c r="E82" s="346" t="str">
        <f t="shared" si="100"/>
        <v/>
      </c>
      <c r="F82" s="346">
        <f t="shared" si="100"/>
        <v>7</v>
      </c>
      <c r="G82" s="346" t="str">
        <f t="shared" si="100"/>
        <v/>
      </c>
      <c r="H82" s="346">
        <f t="shared" si="100"/>
        <v>2</v>
      </c>
      <c r="I82" s="346" t="str">
        <f t="shared" si="100"/>
        <v/>
      </c>
      <c r="J82" s="346">
        <f t="shared" si="100"/>
        <v>5</v>
      </c>
      <c r="K82" s="346" t="str">
        <f t="shared" si="100"/>
        <v/>
      </c>
      <c r="L82" s="346">
        <f t="shared" si="100"/>
        <v>8</v>
      </c>
      <c r="M82" s="346" t="str">
        <f t="shared" si="100"/>
        <v/>
      </c>
      <c r="N82" s="346">
        <f t="shared" si="100"/>
        <v>1</v>
      </c>
      <c r="O82" s="346" t="str">
        <f t="shared" si="100"/>
        <v/>
      </c>
      <c r="P82" s="346">
        <f t="shared" si="100"/>
        <v>10</v>
      </c>
      <c r="Q82" s="346" t="str">
        <f t="shared" si="100"/>
        <v/>
      </c>
      <c r="R82" s="346">
        <f t="shared" ref="L82:U84" si="101">IF(AQ82=0,"",AQ82)</f>
        <v>9</v>
      </c>
      <c r="S82" s="346" t="str">
        <f t="shared" si="101"/>
        <v/>
      </c>
      <c r="T82" s="346">
        <f t="shared" si="101"/>
        <v>6</v>
      </c>
      <c r="U82" s="346" t="str">
        <f t="shared" si="101"/>
        <v/>
      </c>
      <c r="V82" s="347"/>
      <c r="W82" s="347"/>
      <c r="AA82" s="88" t="s">
        <v>1797</v>
      </c>
      <c r="AB82" s="89" t="s">
        <v>1798</v>
      </c>
      <c r="AC82" s="370">
        <f>VLOOKUP($AA62,Schlüssel!$A$5:$DG$14,83)</f>
        <v>4</v>
      </c>
      <c r="AD82" s="371"/>
      <c r="AE82" s="370">
        <f>VLOOKUP($AA62,Schlüssel!$A$5:$EK$14,84)</f>
        <v>7</v>
      </c>
      <c r="AF82" s="371"/>
      <c r="AG82" s="370">
        <f>VLOOKUP($AA62,Schlüssel!$A$5:$EK$14,85)</f>
        <v>2</v>
      </c>
      <c r="AH82" s="371"/>
      <c r="AI82" s="370">
        <f>VLOOKUP($AA62,Schlüssel!$A$5:$EK$14,86)</f>
        <v>5</v>
      </c>
      <c r="AJ82" s="371"/>
      <c r="AK82" s="370">
        <f>VLOOKUP($AA62,Schlüssel!$A$5:$EK$14,87)</f>
        <v>8</v>
      </c>
      <c r="AL82" s="371"/>
      <c r="AM82" s="370">
        <f>VLOOKUP($AA62,Schlüssel!$A$5:$EK$14,88)</f>
        <v>1</v>
      </c>
      <c r="AN82" s="371"/>
      <c r="AO82" s="370">
        <f>VLOOKUP($AA62,Schlüssel!$A$5:$EK$14,89)</f>
        <v>10</v>
      </c>
      <c r="AP82" s="371"/>
      <c r="AQ82" s="370">
        <f>VLOOKUP($AA62,Schlüssel!$A$5:$EK$14,90)</f>
        <v>9</v>
      </c>
      <c r="AR82" s="371"/>
      <c r="AS82" s="370">
        <f>VLOOKUP($AA62,Schlüssel!$A$5:$EK$14,91)</f>
        <v>6</v>
      </c>
      <c r="AT82" s="371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35">
      <c r="B83" s="90" t="str">
        <f t="shared" ref="B83:K84" si="102">IF(AA83=0,"",AA83)</f>
        <v/>
      </c>
      <c r="C83" s="86" t="str">
        <f t="shared" si="102"/>
        <v/>
      </c>
      <c r="D83" s="343" t="str">
        <f t="shared" si="102"/>
        <v>BK München 3</v>
      </c>
      <c r="E83" s="344" t="str">
        <f t="shared" si="102"/>
        <v/>
      </c>
      <c r="F83" s="343" t="str">
        <f t="shared" si="102"/>
        <v>Frankenpower Nürnberg</v>
      </c>
      <c r="G83" s="344" t="str">
        <f t="shared" si="102"/>
        <v/>
      </c>
      <c r="H83" s="343" t="str">
        <f t="shared" si="102"/>
        <v>BK München 2</v>
      </c>
      <c r="I83" s="344" t="str">
        <f t="shared" si="102"/>
        <v/>
      </c>
      <c r="J83" s="343" t="str">
        <f t="shared" si="102"/>
        <v xml:space="preserve">Weiß Blau Unterföhring </v>
      </c>
      <c r="K83" s="344" t="str">
        <f t="shared" si="102"/>
        <v/>
      </c>
      <c r="L83" s="343" t="str">
        <f t="shared" si="101"/>
        <v>EPA München 1</v>
      </c>
      <c r="M83" s="344" t="str">
        <f t="shared" si="101"/>
        <v/>
      </c>
      <c r="N83" s="343" t="str">
        <f t="shared" si="101"/>
        <v>Praetoria Regensburg</v>
      </c>
      <c r="O83" s="344" t="str">
        <f t="shared" si="101"/>
        <v/>
      </c>
      <c r="P83" s="343" t="str">
        <f t="shared" si="101"/>
        <v>BK München 4</v>
      </c>
      <c r="Q83" s="344" t="str">
        <f t="shared" si="101"/>
        <v/>
      </c>
      <c r="R83" s="343" t="str">
        <f t="shared" si="101"/>
        <v>RW Lichtenhof 69 Stein 2</v>
      </c>
      <c r="S83" s="344" t="str">
        <f t="shared" si="101"/>
        <v/>
      </c>
      <c r="T83" s="343" t="str">
        <f t="shared" si="101"/>
        <v>Phönix 03 Lauf</v>
      </c>
      <c r="U83" s="344" t="str">
        <f t="shared" si="101"/>
        <v/>
      </c>
      <c r="V83" s="345"/>
      <c r="W83" s="345"/>
      <c r="AA83" s="90"/>
      <c r="AB83" s="86"/>
      <c r="AC83" s="343" t="str">
        <f>VLOOKUP(AC82,Schlüssel!$A$5:$K$14,2)</f>
        <v>BK München 3</v>
      </c>
      <c r="AD83" s="344"/>
      <c r="AE83" s="343" t="str">
        <f>VLOOKUP(AE82,Schlüssel!$A$5:$K$14,2)</f>
        <v>Frankenpower Nürnberg</v>
      </c>
      <c r="AF83" s="344"/>
      <c r="AG83" s="343" t="str">
        <f>VLOOKUP(AG82,Schlüssel!$A$5:$K$14,2)</f>
        <v>BK München 2</v>
      </c>
      <c r="AH83" s="344"/>
      <c r="AI83" s="343" t="str">
        <f>VLOOKUP(AI82,Schlüssel!$A$5:$K$14,2)</f>
        <v xml:space="preserve">Weiß Blau Unterföhring </v>
      </c>
      <c r="AJ83" s="344"/>
      <c r="AK83" s="343" t="str">
        <f>VLOOKUP(AK82,Schlüssel!$A$5:$K$14,2)</f>
        <v>EPA München 1</v>
      </c>
      <c r="AL83" s="344"/>
      <c r="AM83" s="343" t="str">
        <f>VLOOKUP(AM82,Schlüssel!$A$5:$K$14,2)</f>
        <v>Praetoria Regensburg</v>
      </c>
      <c r="AN83" s="344"/>
      <c r="AO83" s="343" t="str">
        <f>VLOOKUP(AO82,Schlüssel!$A$5:$K$14,2)</f>
        <v>BK München 4</v>
      </c>
      <c r="AP83" s="344"/>
      <c r="AQ83" s="343" t="str">
        <f>VLOOKUP(AQ82,Schlüssel!$A$5:$K$14,2)</f>
        <v>RW Lichtenhof 69 Stein 2</v>
      </c>
      <c r="AR83" s="344"/>
      <c r="AS83" s="343" t="str">
        <f>VLOOKUP(AS82,Schlüssel!$A$5:$K$14,2)</f>
        <v>Phönix 03 Lauf</v>
      </c>
      <c r="AT83" s="344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35">
      <c r="B84" s="90" t="str">
        <f t="shared" si="102"/>
        <v/>
      </c>
      <c r="C84" s="86" t="str">
        <f t="shared" si="102"/>
        <v/>
      </c>
      <c r="D84" s="341" t="str">
        <f t="shared" si="102"/>
        <v/>
      </c>
      <c r="E84" s="341" t="str">
        <f t="shared" si="102"/>
        <v/>
      </c>
      <c r="F84" s="341" t="str">
        <f t="shared" si="102"/>
        <v/>
      </c>
      <c r="G84" s="341" t="str">
        <f t="shared" si="102"/>
        <v/>
      </c>
      <c r="H84" s="341" t="str">
        <f t="shared" si="102"/>
        <v/>
      </c>
      <c r="I84" s="341" t="str">
        <f t="shared" si="102"/>
        <v/>
      </c>
      <c r="J84" s="341" t="str">
        <f t="shared" si="102"/>
        <v/>
      </c>
      <c r="K84" s="341" t="str">
        <f t="shared" si="102"/>
        <v/>
      </c>
      <c r="L84" s="341" t="str">
        <f t="shared" si="101"/>
        <v/>
      </c>
      <c r="M84" s="341" t="str">
        <f t="shared" si="101"/>
        <v/>
      </c>
      <c r="N84" s="341" t="str">
        <f t="shared" si="101"/>
        <v/>
      </c>
      <c r="O84" s="341" t="str">
        <f t="shared" si="101"/>
        <v/>
      </c>
      <c r="P84" s="341" t="str">
        <f t="shared" si="101"/>
        <v/>
      </c>
      <c r="Q84" s="341" t="str">
        <f t="shared" si="101"/>
        <v/>
      </c>
      <c r="R84" s="341" t="str">
        <f t="shared" si="101"/>
        <v/>
      </c>
      <c r="S84" s="341" t="str">
        <f t="shared" si="101"/>
        <v/>
      </c>
      <c r="T84" s="341" t="str">
        <f t="shared" si="101"/>
        <v/>
      </c>
      <c r="U84" s="342" t="str">
        <f t="shared" si="101"/>
        <v/>
      </c>
      <c r="V84" s="301"/>
      <c r="W84" s="301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6.05" customHeight="1" x14ac:dyDescent="0.35">
      <c r="B85" s="365" t="str">
        <f t="shared" ref="B85:C89" si="103">IF(AA85=0,"",AA85)</f>
        <v>Spieler 1</v>
      </c>
      <c r="C85" s="366" t="str">
        <f t="shared" si="103"/>
        <v/>
      </c>
      <c r="D85" s="339">
        <f>IF(AC85=301,"",AC85)</f>
        <v>0</v>
      </c>
      <c r="E85" s="339" t="str">
        <f>IF(AD85=0,"",AD85)</f>
        <v/>
      </c>
      <c r="F85" s="339">
        <f>IF(AE85=301,"",AE85)</f>
        <v>0</v>
      </c>
      <c r="G85" s="339" t="str">
        <f>IF(AF85=0,"",AF85)</f>
        <v/>
      </c>
      <c r="H85" s="339">
        <f>IF(AG85=301,"",AG85)</f>
        <v>0</v>
      </c>
      <c r="I85" s="339" t="str">
        <f>IF(AH85=0,"",AH85)</f>
        <v/>
      </c>
      <c r="J85" s="339">
        <f>IF(AI85=301,"",AI85)</f>
        <v>0</v>
      </c>
      <c r="K85" s="339" t="str">
        <f>IF(AJ85=0,"",AJ85)</f>
        <v/>
      </c>
      <c r="L85" s="339">
        <f>IF(AK85=301,"",AK85)</f>
        <v>0</v>
      </c>
      <c r="M85" s="339" t="str">
        <f>IF(AL85=0,"",AL85)</f>
        <v/>
      </c>
      <c r="N85" s="339">
        <f>IF(AM85=301,"",AM85)</f>
        <v>0</v>
      </c>
      <c r="O85" s="339" t="str">
        <f>IF(AN85=0,"",AN85)</f>
        <v/>
      </c>
      <c r="P85" s="339">
        <f>IF(AO85=301,"",AO85)</f>
        <v>0</v>
      </c>
      <c r="Q85" s="339" t="str">
        <f>IF(AP85=0,"",AP85)</f>
        <v/>
      </c>
      <c r="R85" s="339">
        <f>IF(AQ85=301,"",AQ85)</f>
        <v>0</v>
      </c>
      <c r="S85" s="339" t="str">
        <f>IF(AR85=0,"",AR85)</f>
        <v/>
      </c>
      <c r="T85" s="339">
        <f>IF(AS85=301,"",AS85)</f>
        <v>0</v>
      </c>
      <c r="U85" s="339" t="str">
        <f>IF(AT85=0,"",AT85)</f>
        <v/>
      </c>
      <c r="V85" s="340"/>
      <c r="W85" s="340"/>
      <c r="AA85" s="91" t="s">
        <v>0</v>
      </c>
      <c r="AB85" s="92"/>
      <c r="AC85" s="372">
        <f>ABS(INDEX(AC:AC,MATCH(AC82,$AA:$AA,0)+5)+INDEX(AC:AC,MATCH(AC82,$AA:$AA,0)+6)+INDEX(AC:AC,MATCH(AC82,$AA:$AA,0)+7))</f>
        <v>0</v>
      </c>
      <c r="AD85" s="373"/>
      <c r="AE85" s="372">
        <f>ABS(INDEX(AE:AE,MATCH(AE82,$AA:$AA,0)+5)+INDEX(AE:AE,MATCH(AE82,$AA:$AA,0)+6)+INDEX(AE:AE,MATCH(AE82,$AA:$AA,0)+7))</f>
        <v>0</v>
      </c>
      <c r="AF85" s="373"/>
      <c r="AG85" s="372">
        <f>ABS(INDEX(AG:AG,MATCH(AG82,$AA:$AA,0)+5)+INDEX(AG:AG,MATCH(AG82,$AA:$AA,0)+6)+INDEX(AG:AG,MATCH(AG82,$AA:$AA,0)+7))</f>
        <v>0</v>
      </c>
      <c r="AH85" s="373"/>
      <c r="AI85" s="372">
        <f>ABS(INDEX(AI:AI,MATCH(AI82,$AA:$AA,0)+5)+INDEX(AI:AI,MATCH(AI82,$AA:$AA,0)+6)+INDEX(AI:AI,MATCH(AI82,$AA:$AA,0)+7))</f>
        <v>0</v>
      </c>
      <c r="AJ85" s="373"/>
      <c r="AK85" s="372">
        <f>ABS(INDEX(AK:AK,MATCH(AK82,$AA:$AA,0)+5)+INDEX(AK:AK,MATCH(AK82,$AA:$AA,0)+6)+INDEX(AK:AK,MATCH(AK82,$AA:$AA,0)+7))</f>
        <v>0</v>
      </c>
      <c r="AL85" s="373"/>
      <c r="AM85" s="372">
        <f>ABS(INDEX(AM:AM,MATCH(AM82,$AA:$AA,0)+5)+INDEX(AM:AM,MATCH(AM82,$AA:$AA,0)+6)+INDEX(AM:AM,MATCH(AM82,$AA:$AA,0)+7))</f>
        <v>0</v>
      </c>
      <c r="AN85" s="373"/>
      <c r="AO85" s="372">
        <f>ABS(INDEX(AO:AO,MATCH(AO82,$AA:$AA,0)+5)+INDEX(AO:AO,MATCH(AO82,$AA:$AA,0)+6)+INDEX(AO:AO,MATCH(AO82,$AA:$AA,0)+7))</f>
        <v>0</v>
      </c>
      <c r="AP85" s="373"/>
      <c r="AQ85" s="372">
        <f>ABS(INDEX(AQ:AQ,MATCH(AQ82,$AA:$AA,0)+5)+INDEX(AQ:AQ,MATCH(AQ82,$AA:$AA,0)+6)+INDEX(AQ:AQ,MATCH(AQ82,$AA:$AA,0)+7))</f>
        <v>0</v>
      </c>
      <c r="AR85" s="373"/>
      <c r="AS85" s="372">
        <f>ABS(INDEX(AS:AS,MATCH(AS82,$AA:$AA,0)+5)+INDEX(AS:AS,MATCH(AS82,$AA:$AA,0)+6)+INDEX(AS:AS,MATCH(AS82,$AA:$AA,0)+7))</f>
        <v>0</v>
      </c>
      <c r="AT85" s="373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6.05" customHeight="1" x14ac:dyDescent="0.35">
      <c r="B86" s="365" t="str">
        <f t="shared" si="103"/>
        <v>Spieler 2</v>
      </c>
      <c r="C86" s="366" t="str">
        <f t="shared" si="103"/>
        <v/>
      </c>
      <c r="D86" s="339">
        <f>IF(AC86=301,"",AC86)</f>
        <v>0</v>
      </c>
      <c r="E86" s="339" t="str">
        <f>IF(AD86=0,"",AD86)</f>
        <v/>
      </c>
      <c r="F86" s="339">
        <f>IF(AE86=301,"",AE86)</f>
        <v>0</v>
      </c>
      <c r="G86" s="339" t="str">
        <f>IF(AF86=0,"",AF86)</f>
        <v/>
      </c>
      <c r="H86" s="339">
        <f>IF(AG86=301,"",AG86)</f>
        <v>0</v>
      </c>
      <c r="I86" s="339" t="str">
        <f>IF(AH86=0,"",AH86)</f>
        <v/>
      </c>
      <c r="J86" s="339">
        <f>IF(AI86=301,"",AI86)</f>
        <v>0</v>
      </c>
      <c r="K86" s="339" t="str">
        <f>IF(AJ86=0,"",AJ86)</f>
        <v/>
      </c>
      <c r="L86" s="339">
        <f>IF(AK86=301,"",AK86)</f>
        <v>0</v>
      </c>
      <c r="M86" s="339" t="str">
        <f>IF(AL86=0,"",AL86)</f>
        <v/>
      </c>
      <c r="N86" s="339">
        <f>IF(AM86=301,"",AM86)</f>
        <v>0</v>
      </c>
      <c r="O86" s="339" t="str">
        <f>IF(AN86=0,"",AN86)</f>
        <v/>
      </c>
      <c r="P86" s="339">
        <f>IF(AO86=301,"",AO86)</f>
        <v>0</v>
      </c>
      <c r="Q86" s="339" t="str">
        <f>IF(AP86=0,"",AP86)</f>
        <v/>
      </c>
      <c r="R86" s="339">
        <f>IF(AQ86=301,"",AQ86)</f>
        <v>0</v>
      </c>
      <c r="S86" s="339" t="str">
        <f>IF(AR86=0,"",AR86)</f>
        <v/>
      </c>
      <c r="T86" s="339">
        <f>IF(AS86=301,"",AS86)</f>
        <v>0</v>
      </c>
      <c r="U86" s="339" t="str">
        <f>IF(AT86=0,"",AT86)</f>
        <v/>
      </c>
      <c r="V86" s="340"/>
      <c r="W86" s="340"/>
      <c r="AA86" s="91" t="s">
        <v>2</v>
      </c>
      <c r="AB86" s="92"/>
      <c r="AC86" s="374">
        <f>ABS(INDEX(AC:AC,MATCH(AC82,$AA:$AA,0)+8)+INDEX(AC:AC,MATCH(AC82,$AA:$AA,0)+9)+INDEX(AC:AC,MATCH(AC82,$AA:$AA,0)+10))</f>
        <v>0</v>
      </c>
      <c r="AD86" s="375"/>
      <c r="AE86" s="374">
        <f>ABS(INDEX(AE:AE,MATCH(AE82,$AA:$AA,0)+8)+INDEX(AE:AE,MATCH(AE82,$AA:$AA,0)+9)+INDEX(AE:AE,MATCH(AE82,$AA:$AA,0)+10))</f>
        <v>0</v>
      </c>
      <c r="AF86" s="375"/>
      <c r="AG86" s="374">
        <f>ABS(INDEX(AG:AG,MATCH(AG82,$AA:$AA,0)+8)+INDEX(AG:AG,MATCH(AG82,$AA:$AA,0)+9)+INDEX(AG:AG,MATCH(AG82,$AA:$AA,0)+10))</f>
        <v>0</v>
      </c>
      <c r="AH86" s="375"/>
      <c r="AI86" s="374">
        <f>ABS(INDEX(AI:AI,MATCH(AI82,$AA:$AA,0)+8)+INDEX(AI:AI,MATCH(AI82,$AA:$AA,0)+9)+INDEX(AI:AI,MATCH(AI82,$AA:$AA,0)+10))</f>
        <v>0</v>
      </c>
      <c r="AJ86" s="375"/>
      <c r="AK86" s="374">
        <f>ABS(INDEX(AK:AK,MATCH(AK82,$AA:$AA,0)+8)+INDEX(AK:AK,MATCH(AK82,$AA:$AA,0)+9)+INDEX(AK:AK,MATCH(AK82,$AA:$AA,0)+10))</f>
        <v>0</v>
      </c>
      <c r="AL86" s="375"/>
      <c r="AM86" s="374">
        <f>ABS(INDEX(AM:AM,MATCH(AM82,$AA:$AA,0)+8)+INDEX(AM:AM,MATCH(AM82,$AA:$AA,0)+9)+INDEX(AM:AM,MATCH(AM82,$AA:$AA,0)+10))</f>
        <v>0</v>
      </c>
      <c r="AN86" s="375"/>
      <c r="AO86" s="374">
        <f>ABS(INDEX(AO:AO,MATCH(AO82,$AA:$AA,0)+8)+INDEX(AO:AO,MATCH(AO82,$AA:$AA,0)+9)+INDEX(AO:AO,MATCH(AO82,$AA:$AA,0)+10))</f>
        <v>0</v>
      </c>
      <c r="AP86" s="375"/>
      <c r="AQ86" s="374">
        <f>ABS(INDEX(AQ:AQ,MATCH(AQ82,$AA:$AA,0)+8)+INDEX(AQ:AQ,MATCH(AQ82,$AA:$AA,0)+9)+INDEX(AQ:AQ,MATCH(AQ82,$AA:$AA,0)+10))</f>
        <v>0</v>
      </c>
      <c r="AR86" s="375"/>
      <c r="AS86" s="374">
        <f>ABS(INDEX(AS:AS,MATCH(AS82,$AA:$AA,0)+8)+INDEX(AS:AS,MATCH(AS82,$AA:$AA,0)+9)+INDEX(AS:AS,MATCH(AS82,$AA:$AA,0)+10))</f>
        <v>0</v>
      </c>
      <c r="AT86" s="37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6.05" customHeight="1" x14ac:dyDescent="0.35">
      <c r="B87" s="365" t="str">
        <f t="shared" si="103"/>
        <v>Spieler 3</v>
      </c>
      <c r="C87" s="366" t="str">
        <f t="shared" si="103"/>
        <v/>
      </c>
      <c r="D87" s="339">
        <f>IF(AC87=301,"",AC87)</f>
        <v>0</v>
      </c>
      <c r="E87" s="339" t="str">
        <f>IF(AD87=0,"",AD87)</f>
        <v/>
      </c>
      <c r="F87" s="339">
        <f>IF(AE87=301,"",AE87)</f>
        <v>0</v>
      </c>
      <c r="G87" s="339" t="str">
        <f>IF(AF87=0,"",AF87)</f>
        <v/>
      </c>
      <c r="H87" s="339">
        <f>IF(AG87=301,"",AG87)</f>
        <v>0</v>
      </c>
      <c r="I87" s="339" t="str">
        <f>IF(AH87=0,"",AH87)</f>
        <v/>
      </c>
      <c r="J87" s="339">
        <f>IF(AI87=301,"",AI87)</f>
        <v>0</v>
      </c>
      <c r="K87" s="339" t="str">
        <f>IF(AJ87=0,"",AJ87)</f>
        <v/>
      </c>
      <c r="L87" s="339">
        <f>IF(AK87=301,"",AK87)</f>
        <v>0</v>
      </c>
      <c r="M87" s="339" t="str">
        <f>IF(AL87=0,"",AL87)</f>
        <v/>
      </c>
      <c r="N87" s="339">
        <f>IF(AM87=301,"",AM87)</f>
        <v>0</v>
      </c>
      <c r="O87" s="339" t="str">
        <f>IF(AN87=0,"",AN87)</f>
        <v/>
      </c>
      <c r="P87" s="339">
        <f>IF(AO87=301,"",AO87)</f>
        <v>0</v>
      </c>
      <c r="Q87" s="339" t="str">
        <f>IF(AP87=0,"",AP87)</f>
        <v/>
      </c>
      <c r="R87" s="339">
        <f>IF(AQ87=301,"",AQ87)</f>
        <v>0</v>
      </c>
      <c r="S87" s="339" t="str">
        <f>IF(AR87=0,"",AR87)</f>
        <v/>
      </c>
      <c r="T87" s="339">
        <f>IF(AS87=301,"",AS87)</f>
        <v>0</v>
      </c>
      <c r="U87" s="339" t="str">
        <f>IF(AT87=0,"",AT87)</f>
        <v/>
      </c>
      <c r="V87" s="340"/>
      <c r="W87" s="340"/>
      <c r="AA87" s="91" t="s">
        <v>3</v>
      </c>
      <c r="AB87" s="92"/>
      <c r="AC87" s="374">
        <f>ABS(INDEX(AC:AC,MATCH(AC82,$AA:$AA,0)+11)+INDEX(AC:AC,MATCH(AC82,$AA:$AA,0)+12)+INDEX(AC:AC,MATCH(AC82,$AA:$AA,0)+13))</f>
        <v>0</v>
      </c>
      <c r="AD87" s="375"/>
      <c r="AE87" s="374">
        <f>ABS(INDEX(AE:AE,MATCH(AE82,$AA:$AA,0)+11)+INDEX(AE:AE,MATCH(AE82,$AA:$AA,0)+12)+INDEX(AE:AE,MATCH(AE82,$AA:$AA,0)+13))</f>
        <v>0</v>
      </c>
      <c r="AF87" s="375"/>
      <c r="AG87" s="374">
        <f>ABS(INDEX(AG:AG,MATCH(AG82,$AA:$AA,0)+11)+INDEX(AG:AG,MATCH(AG82,$AA:$AA,0)+12)+INDEX(AG:AG,MATCH(AG82,$AA:$AA,0)+13))</f>
        <v>0</v>
      </c>
      <c r="AH87" s="375"/>
      <c r="AI87" s="374">
        <f>ABS(INDEX(AI:AI,MATCH(AI82,$AA:$AA,0)+11)+INDEX(AI:AI,MATCH(AI82,$AA:$AA,0)+12)+INDEX(AI:AI,MATCH(AI82,$AA:$AA,0)+13))</f>
        <v>0</v>
      </c>
      <c r="AJ87" s="375"/>
      <c r="AK87" s="374">
        <f>ABS(INDEX(AK:AK,MATCH(AK82,$AA:$AA,0)+11)+INDEX(AK:AK,MATCH(AK82,$AA:$AA,0)+12)+INDEX(AK:AK,MATCH(AK82,$AA:$AA,0)+13))</f>
        <v>0</v>
      </c>
      <c r="AL87" s="375"/>
      <c r="AM87" s="374">
        <f>ABS(INDEX(AM:AM,MATCH(AM82,$AA:$AA,0)+11)+INDEX(AM:AM,MATCH(AM82,$AA:$AA,0)+12)+INDEX(AM:AM,MATCH(AM82,$AA:$AA,0)+13))</f>
        <v>0</v>
      </c>
      <c r="AN87" s="375"/>
      <c r="AO87" s="374">
        <f>ABS(INDEX(AO:AO,MATCH(AO82,$AA:$AA,0)+11)+INDEX(AO:AO,MATCH(AO82,$AA:$AA,0)+12)+INDEX(AO:AO,MATCH(AO82,$AA:$AA,0)+13))</f>
        <v>0</v>
      </c>
      <c r="AP87" s="375"/>
      <c r="AQ87" s="374">
        <f>ABS(INDEX(AQ:AQ,MATCH(AQ82,$AA:$AA,0)+11)+INDEX(AQ:AQ,MATCH(AQ82,$AA:$AA,0)+12)+INDEX(AQ:AQ,MATCH(AQ82,$AA:$AA,0)+13))</f>
        <v>0</v>
      </c>
      <c r="AR87" s="375"/>
      <c r="AS87" s="374">
        <f>ABS(INDEX(AS:AS,MATCH(AS82,$AA:$AA,0)+11)+INDEX(AS:AS,MATCH(AS82,$AA:$AA,0)+12)+INDEX(AS:AS,MATCH(AS82,$AA:$AA,0)+13))</f>
        <v>0</v>
      </c>
      <c r="AT87" s="37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6.05" customHeight="1" x14ac:dyDescent="0.35">
      <c r="B88" s="365" t="str">
        <f t="shared" si="103"/>
        <v>Spieler 4</v>
      </c>
      <c r="C88" s="366" t="str">
        <f t="shared" si="103"/>
        <v/>
      </c>
      <c r="D88" s="339">
        <f>IF(AC88=301,"",AC88)</f>
        <v>0</v>
      </c>
      <c r="E88" s="339" t="str">
        <f>IF(AD88=0,"",AD88)</f>
        <v/>
      </c>
      <c r="F88" s="339">
        <f>IF(AE88=301,"",AE88)</f>
        <v>0</v>
      </c>
      <c r="G88" s="339" t="str">
        <f>IF(AF88=0,"",AF88)</f>
        <v/>
      </c>
      <c r="H88" s="339">
        <f>IF(AG88=301,"",AG88)</f>
        <v>0</v>
      </c>
      <c r="I88" s="339" t="str">
        <f>IF(AH88=0,"",AH88)</f>
        <v/>
      </c>
      <c r="J88" s="339">
        <f>IF(AI88=301,"",AI88)</f>
        <v>0</v>
      </c>
      <c r="K88" s="339" t="str">
        <f>IF(AJ88=0,"",AJ88)</f>
        <v/>
      </c>
      <c r="L88" s="339">
        <f>IF(AK88=301,"",AK88)</f>
        <v>0</v>
      </c>
      <c r="M88" s="339" t="str">
        <f>IF(AL88=0,"",AL88)</f>
        <v/>
      </c>
      <c r="N88" s="339">
        <f>IF(AM88=301,"",AM88)</f>
        <v>0</v>
      </c>
      <c r="O88" s="339" t="str">
        <f>IF(AN88=0,"",AN88)</f>
        <v/>
      </c>
      <c r="P88" s="339">
        <f>IF(AO88=301,"",AO88)</f>
        <v>0</v>
      </c>
      <c r="Q88" s="339" t="str">
        <f>IF(AP88=0,"",AP88)</f>
        <v/>
      </c>
      <c r="R88" s="339">
        <f>IF(AQ88=301,"",AQ88)</f>
        <v>0</v>
      </c>
      <c r="S88" s="339" t="str">
        <f>IF(AR88=0,"",AR88)</f>
        <v/>
      </c>
      <c r="T88" s="339">
        <f>IF(AS88=301,"",AS88)</f>
        <v>0</v>
      </c>
      <c r="U88" s="339" t="str">
        <f>IF(AT88=0,"",AT88)</f>
        <v/>
      </c>
      <c r="V88" s="340"/>
      <c r="W88" s="340"/>
      <c r="AA88" s="91" t="s">
        <v>11</v>
      </c>
      <c r="AB88" s="92"/>
      <c r="AC88" s="374">
        <f>ABS(INDEX(AC:AC,MATCH(AC82,$AA:$AA,0)+14)+INDEX(AC:AC,MATCH(AC82,$AA:$AA,0)+15)+INDEX(AC:AC,MATCH(AC82,$AA:$AA,0)+16))</f>
        <v>0</v>
      </c>
      <c r="AD88" s="375"/>
      <c r="AE88" s="374">
        <f>ABS(INDEX(AE:AE,MATCH(AE82,$AA:$AA,0)+14)+INDEX(AE:AE,MATCH(AE82,$AA:$AA,0)+15)+INDEX(AE:AE,MATCH(AE82,$AA:$AA,0)+16))</f>
        <v>0</v>
      </c>
      <c r="AF88" s="375"/>
      <c r="AG88" s="374">
        <f>ABS(INDEX(AG:AG,MATCH(AG82,$AA:$AA,0)+14)+INDEX(AG:AG,MATCH(AG82,$AA:$AA,0)+15)+INDEX(AG:AG,MATCH(AG82,$AA:$AA,0)+16))</f>
        <v>0</v>
      </c>
      <c r="AH88" s="375"/>
      <c r="AI88" s="374">
        <f>ABS(INDEX(AI:AI,MATCH(AI82,$AA:$AA,0)+14)+INDEX(AI:AI,MATCH(AI82,$AA:$AA,0)+15)+INDEX(AI:AI,MATCH(AI82,$AA:$AA,0)+16))</f>
        <v>0</v>
      </c>
      <c r="AJ88" s="375"/>
      <c r="AK88" s="374">
        <f>ABS(INDEX(AK:AK,MATCH(AK82,$AA:$AA,0)+14)+INDEX(AK:AK,MATCH(AK82,$AA:$AA,0)+15)+INDEX(AK:AK,MATCH(AK82,$AA:$AA,0)+16))</f>
        <v>0</v>
      </c>
      <c r="AL88" s="375"/>
      <c r="AM88" s="374">
        <f>ABS(INDEX(AM:AM,MATCH(AM82,$AA:$AA,0)+14)+INDEX(AM:AM,MATCH(AM82,$AA:$AA,0)+15)+INDEX(AM:AM,MATCH(AM82,$AA:$AA,0)+16))</f>
        <v>0</v>
      </c>
      <c r="AN88" s="375"/>
      <c r="AO88" s="374">
        <f>ABS(INDEX(AO:AO,MATCH(AO82,$AA:$AA,0)+14)+INDEX(AO:AO,MATCH(AO82,$AA:$AA,0)+15)+INDEX(AO:AO,MATCH(AO82,$AA:$AA,0)+16))</f>
        <v>0</v>
      </c>
      <c r="AP88" s="375"/>
      <c r="AQ88" s="374">
        <f>ABS(INDEX(AQ:AQ,MATCH(AQ82,$AA:$AA,0)+14)+INDEX(AQ:AQ,MATCH(AQ82,$AA:$AA,0)+15)+INDEX(AQ:AQ,MATCH(AQ82,$AA:$AA,0)+16))</f>
        <v>0</v>
      </c>
      <c r="AR88" s="375"/>
      <c r="AS88" s="374">
        <f>ABS(INDEX(AS:AS,MATCH(AS82,$AA:$AA,0)+14)+INDEX(AS:AS,MATCH(AS82,$AA:$AA,0)+15)+INDEX(AS:AS,MATCH(AS82,$AA:$AA,0)+16))</f>
        <v>0</v>
      </c>
      <c r="AT88" s="37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6.05" customHeight="1" x14ac:dyDescent="0.35">
      <c r="B89" s="354" t="str">
        <f t="shared" si="103"/>
        <v>Gesamt</v>
      </c>
      <c r="C89" s="355" t="str">
        <f t="shared" si="103"/>
        <v/>
      </c>
      <c r="D89" s="338">
        <f>IF(AC89=1505,"",AC89)</f>
        <v>0</v>
      </c>
      <c r="E89" s="338" t="str">
        <f>IF(AD89=0,"",AD89)</f>
        <v/>
      </c>
      <c r="F89" s="338">
        <f>IF(AE89=1505,"",AE89)</f>
        <v>0</v>
      </c>
      <c r="G89" s="338" t="str">
        <f>IF(AF89=0,"",AF89)</f>
        <v/>
      </c>
      <c r="H89" s="338">
        <f>IF(AG89=1505,"",AG89)</f>
        <v>0</v>
      </c>
      <c r="I89" s="338" t="str">
        <f>IF(AH89=0,"",AH89)</f>
        <v/>
      </c>
      <c r="J89" s="338">
        <f>IF(AI89=1505,"",AI89)</f>
        <v>0</v>
      </c>
      <c r="K89" s="338" t="str">
        <f>IF(AJ89=0,"",AJ89)</f>
        <v/>
      </c>
      <c r="L89" s="338">
        <f>IF(AK89=1505,"",AK89)</f>
        <v>0</v>
      </c>
      <c r="M89" s="338" t="str">
        <f>IF(AL89=0,"",AL89)</f>
        <v/>
      </c>
      <c r="N89" s="338">
        <f>IF(AM89=1505,"",AM89)</f>
        <v>0</v>
      </c>
      <c r="O89" s="338" t="str">
        <f>IF(AN89=0,"",AN89)</f>
        <v/>
      </c>
      <c r="P89" s="338">
        <f>IF(AO89=1505,"",AO89)</f>
        <v>0</v>
      </c>
      <c r="Q89" s="338" t="str">
        <f>IF(AP89=0,"",AP89)</f>
        <v/>
      </c>
      <c r="R89" s="338">
        <f>IF(AQ89=1505,"",AQ89)</f>
        <v>0</v>
      </c>
      <c r="S89" s="338" t="str">
        <f>IF(AR89=0,"",AR89)</f>
        <v/>
      </c>
      <c r="T89" s="338">
        <f>IF(AS89=1505,"",AS89)</f>
        <v>0</v>
      </c>
      <c r="U89" s="338" t="str">
        <f>IF(AT89=0,"",AT89)</f>
        <v/>
      </c>
      <c r="V89" s="290"/>
      <c r="W89" s="290"/>
      <c r="AA89" s="93" t="s">
        <v>1799</v>
      </c>
      <c r="AB89" s="94"/>
      <c r="AC89" s="354">
        <f>SUM(AC85:AC88)</f>
        <v>0</v>
      </c>
      <c r="AD89" s="355"/>
      <c r="AE89" s="354">
        <f>SUM(AE85:AE88)</f>
        <v>0</v>
      </c>
      <c r="AF89" s="355"/>
      <c r="AG89" s="354">
        <f>SUM(AG85:AG88)</f>
        <v>0</v>
      </c>
      <c r="AH89" s="355"/>
      <c r="AI89" s="354">
        <f>SUM(AI85:AI88)</f>
        <v>0</v>
      </c>
      <c r="AJ89" s="355"/>
      <c r="AK89" s="354">
        <f>SUM(AK85:AK88)</f>
        <v>0</v>
      </c>
      <c r="AL89" s="355"/>
      <c r="AM89" s="354">
        <f>SUM(AM85:AM88)</f>
        <v>0</v>
      </c>
      <c r="AN89" s="355"/>
      <c r="AO89" s="354">
        <f>SUM(AO85:AO88)</f>
        <v>0</v>
      </c>
      <c r="AP89" s="355"/>
      <c r="AQ89" s="354">
        <f>SUM(AQ85:AQ88)</f>
        <v>0</v>
      </c>
      <c r="AR89" s="355"/>
      <c r="AS89" s="354">
        <f>SUM(AS85:AS88)</f>
        <v>0</v>
      </c>
      <c r="AT89" s="35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3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7">
      <c r="B91" s="44" t="str">
        <f>AA91</f>
        <v>Team-Nr.</v>
      </c>
      <c r="C91" s="45"/>
      <c r="D91" s="44" t="str">
        <f>AC91</f>
        <v>Liga:</v>
      </c>
      <c r="E91" s="47"/>
      <c r="F91" s="359" t="str">
        <f>AE91</f>
        <v>Bayernliga Frauen</v>
      </c>
      <c r="G91" s="359"/>
      <c r="H91" s="359"/>
      <c r="I91" s="359"/>
      <c r="J91" s="359"/>
      <c r="K91" s="359"/>
      <c r="L91" s="359"/>
      <c r="M91" s="359"/>
      <c r="N91" s="359"/>
      <c r="O91" s="359"/>
      <c r="P91" s="359"/>
      <c r="Q91" s="359"/>
      <c r="R91" s="48"/>
      <c r="S91" s="49" t="s">
        <v>1794</v>
      </c>
      <c r="T91" s="50"/>
      <c r="U91" s="360" t="str">
        <f>AT91</f>
        <v>15.03./16.03.</v>
      </c>
      <c r="V91" s="361"/>
      <c r="W91" s="362"/>
      <c r="X91" s="363"/>
      <c r="Y91" s="364"/>
      <c r="Z91" s="364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0" t="str">
        <f>VLOOKUP(AS92,Spielorte!$A$1:$C$6,2)</f>
        <v>15.03./16.03.</v>
      </c>
      <c r="AU91" s="361"/>
      <c r="AV91" s="362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65">
      <c r="B92" s="53">
        <f>AA92</f>
        <v>4</v>
      </c>
      <c r="D92" s="46" t="s">
        <v>1793</v>
      </c>
      <c r="E92" s="54"/>
      <c r="F92" s="358" t="str">
        <f>AE92</f>
        <v>Brunnthal Max Munich</v>
      </c>
      <c r="G92" s="358"/>
      <c r="H92" s="358"/>
      <c r="I92" s="358"/>
      <c r="J92" s="358"/>
      <c r="K92" s="358"/>
      <c r="L92" s="358"/>
      <c r="M92" s="358"/>
      <c r="N92" s="358"/>
      <c r="O92" s="358"/>
      <c r="P92" s="55"/>
      <c r="Q92" s="55"/>
      <c r="S92" s="49" t="s">
        <v>1791</v>
      </c>
      <c r="T92" s="56">
        <f>AS92</f>
        <v>5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Brunnthal Max Munich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5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4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5" thickBot="1" x14ac:dyDescent="0.45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VLOOKUP(AA92,Schlüssel!$A$5:$DZ$14,93)</f>
        <v>5</v>
      </c>
      <c r="AE94" s="65" t="s">
        <v>10</v>
      </c>
      <c r="AF94" s="44">
        <f>VLOOKUP(AA92,Schlüssel!$A$5:$DZ$14,94)</f>
        <v>3</v>
      </c>
      <c r="AG94" s="65" t="s">
        <v>10</v>
      </c>
      <c r="AH94" s="44">
        <f>VLOOKUP(AA92,Schlüssel!$A$5:$DZ$14,95)</f>
        <v>9</v>
      </c>
      <c r="AI94" s="65" t="s">
        <v>10</v>
      </c>
      <c r="AJ94" s="44">
        <f>VLOOKUP(AA92,Schlüssel!$A$5:$DZ$14,96)</f>
        <v>7</v>
      </c>
      <c r="AK94" s="65" t="s">
        <v>10</v>
      </c>
      <c r="AL94" s="44">
        <f>VLOOKUP(AA92,Schlüssel!$A$5:$DZ$14,97)</f>
        <v>1</v>
      </c>
      <c r="AM94" s="65" t="s">
        <v>10</v>
      </c>
      <c r="AN94" s="44">
        <f>VLOOKUP(AA92,Schlüssel!$A$5:$DZ$14,98)</f>
        <v>6</v>
      </c>
      <c r="AO94" s="65" t="s">
        <v>10</v>
      </c>
      <c r="AP94" s="44">
        <f>VLOOKUP(AA92,Schlüssel!$A$5:$DZ$14,99)</f>
        <v>10</v>
      </c>
      <c r="AQ94" s="65" t="s">
        <v>10</v>
      </c>
      <c r="AR94" s="44">
        <f>VLOOKUP(AA92,Schlüssel!$A$5:$DZ$14,100)</f>
        <v>2</v>
      </c>
      <c r="AS94" s="65" t="s">
        <v>10</v>
      </c>
      <c r="AT94" s="44">
        <f>VLOOKUP(AA92,Schlüssel!$A$5:$DZ$14,101)</f>
        <v>8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35">
      <c r="B95" s="67" t="s">
        <v>1</v>
      </c>
      <c r="C95" s="68"/>
      <c r="D95" s="354" t="s">
        <v>1800</v>
      </c>
      <c r="E95" s="355"/>
      <c r="F95" s="354" t="s">
        <v>1801</v>
      </c>
      <c r="G95" s="355"/>
      <c r="H95" s="354" t="s">
        <v>1802</v>
      </c>
      <c r="I95" s="355"/>
      <c r="J95" s="354" t="s">
        <v>1803</v>
      </c>
      <c r="K95" s="355"/>
      <c r="L95" s="354" t="s">
        <v>1804</v>
      </c>
      <c r="M95" s="355"/>
      <c r="N95" s="354" t="s">
        <v>1805</v>
      </c>
      <c r="O95" s="355"/>
      <c r="P95" s="354" t="s">
        <v>1806</v>
      </c>
      <c r="Q95" s="355"/>
      <c r="R95" s="354" t="s">
        <v>1807</v>
      </c>
      <c r="S95" s="355"/>
      <c r="T95" s="354" t="s">
        <v>1808</v>
      </c>
      <c r="U95" s="355"/>
      <c r="V95" s="356" t="s">
        <v>1799</v>
      </c>
      <c r="W95" s="357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4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2" customHeight="1" x14ac:dyDescent="0.35">
      <c r="A97" s="367" t="s">
        <v>0</v>
      </c>
      <c r="B97" s="73" t="str">
        <f>IF(AA97=0,"",AA97)</f>
        <v/>
      </c>
      <c r="C97" s="74" t="str">
        <f>IF(AB97=0,"",AB97)</f>
        <v/>
      </c>
      <c r="D97" s="75" t="str">
        <f>IF(AC97=0,"",AC97)</f>
        <v/>
      </c>
      <c r="E97" s="348">
        <f>IF(AD97="","",AD97)</f>
        <v>0</v>
      </c>
      <c r="F97" s="75" t="str">
        <f t="shared" ref="F97:F110" si="104">IF(AE97=0,"",AE97)</f>
        <v/>
      </c>
      <c r="G97" s="348">
        <f>IF(AF97="","",AF97)</f>
        <v>0</v>
      </c>
      <c r="H97" s="75" t="str">
        <f t="shared" ref="H97:H110" si="105">IF(AG97=0,"",AG97)</f>
        <v/>
      </c>
      <c r="I97" s="348">
        <f>IF(AH97="","",AH97)</f>
        <v>0</v>
      </c>
      <c r="J97" s="75" t="str">
        <f t="shared" ref="J97:J110" si="106">IF(AI97=0,"",AI97)</f>
        <v/>
      </c>
      <c r="K97" s="348">
        <f>IF(AJ97="","",AJ97)</f>
        <v>0</v>
      </c>
      <c r="L97" s="75" t="str">
        <f t="shared" ref="L97:L110" si="107">IF(AK97=0,"",AK97)</f>
        <v/>
      </c>
      <c r="M97" s="348">
        <f>IF(AL97="","",AL97)</f>
        <v>0</v>
      </c>
      <c r="N97" s="75" t="str">
        <f>IF(AM97=0,"",AM97)</f>
        <v/>
      </c>
      <c r="O97" s="348">
        <f>IF(AN97="","",AN97)</f>
        <v>0</v>
      </c>
      <c r="P97" s="75" t="str">
        <f t="shared" ref="P97:P110" si="108">IF(AO97=0,"",AO97)</f>
        <v/>
      </c>
      <c r="Q97" s="348">
        <f>IF(AP97="","",AP97)</f>
        <v>0</v>
      </c>
      <c r="R97" s="75" t="str">
        <f t="shared" ref="R97:R110" si="109">IF(AQ97=0,"",AQ97)</f>
        <v/>
      </c>
      <c r="S97" s="348">
        <f>IF(AR97="","",AR97)</f>
        <v>0</v>
      </c>
      <c r="T97" s="75" t="str">
        <f t="shared" ref="T97:T110" si="110">IF(AS97=0,"",AS97)</f>
        <v/>
      </c>
      <c r="U97" s="348">
        <f>IF(AT97="","",AT97)</f>
        <v>0</v>
      </c>
      <c r="V97" s="75" t="str">
        <f t="shared" ref="V97:V110" si="111">IF(AU97=0,"",AU97)</f>
        <v/>
      </c>
      <c r="W97" s="348">
        <f>IF(AV97="","",AV97)</f>
        <v>0</v>
      </c>
      <c r="Z97" s="351" t="s">
        <v>0</v>
      </c>
      <c r="AA97" s="108" t="str">
        <f>IF(AB97=0,"",VLOOKUP(AB97,Starter!$A$1:$D$199,2,FALSE))</f>
        <v/>
      </c>
      <c r="AB97" s="99"/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0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3">IF(AC97=0,"",AC97)</f>
        <v/>
      </c>
      <c r="BI97" s="215" t="str">
        <f t="shared" ref="BI97:BI108" si="114">IF(AE97=0,"",AE97)</f>
        <v/>
      </c>
      <c r="BJ97" s="215" t="str">
        <f t="shared" ref="BJ97:BJ108" si="115">IF(AG97=0,"",AG97)</f>
        <v/>
      </c>
      <c r="BK97" s="215" t="str">
        <f t="shared" ref="BK97:BK108" si="116">IF(AI97=0,"",AI97)</f>
        <v/>
      </c>
      <c r="BL97" s="215" t="str">
        <f t="shared" ref="BL97:BL108" si="117">IF(AK97=0,"",AK97)</f>
        <v/>
      </c>
      <c r="BM97" s="215" t="str">
        <f t="shared" ref="BM97:BM108" si="118">IF(AM97=0,"",AM97)</f>
        <v/>
      </c>
      <c r="BN97" s="215" t="str">
        <f t="shared" ref="BN97:BN108" si="119">IF(AO97=0,"",AO97)</f>
        <v/>
      </c>
      <c r="BO97" s="215" t="str">
        <f t="shared" ref="BO97:BO108" si="120">IF(AQ97=0,"",AQ97)</f>
        <v/>
      </c>
      <c r="BP97" s="215" t="str">
        <f t="shared" ref="BP97:BP108" si="121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9.6999999999999995E-8</v>
      </c>
      <c r="BU97" s="215" t="str">
        <f>+AA93</f>
        <v>BK München 3</v>
      </c>
      <c r="BV97" s="214">
        <f>RANK(BT97,BT:BT)</f>
        <v>84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9.6999999999999995E-8</v>
      </c>
      <c r="BZ97" s="214">
        <f t="shared" ref="BZ97:BZ108" si="122">IF(BY97=0,0,RANK(BY97,BY:BY))</f>
        <v>84</v>
      </c>
    </row>
    <row r="98" spans="1:78" ht="17.2" customHeight="1" x14ac:dyDescent="0.35">
      <c r="A98" s="368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49"/>
      <c r="F98" s="78" t="str">
        <f t="shared" si="104"/>
        <v/>
      </c>
      <c r="G98" s="349"/>
      <c r="H98" s="78" t="str">
        <f t="shared" si="105"/>
        <v/>
      </c>
      <c r="I98" s="349"/>
      <c r="J98" s="78" t="str">
        <f t="shared" si="106"/>
        <v/>
      </c>
      <c r="K98" s="349"/>
      <c r="L98" s="78" t="str">
        <f t="shared" si="107"/>
        <v/>
      </c>
      <c r="M98" s="349"/>
      <c r="N98" s="78" t="str">
        <f t="shared" ref="N98:N110" si="124">IF(AM98=0,"",AM98)</f>
        <v/>
      </c>
      <c r="O98" s="349"/>
      <c r="P98" s="78" t="str">
        <f t="shared" si="108"/>
        <v/>
      </c>
      <c r="Q98" s="349"/>
      <c r="R98" s="78" t="str">
        <f t="shared" si="109"/>
        <v/>
      </c>
      <c r="S98" s="349"/>
      <c r="T98" s="78" t="str">
        <f t="shared" si="110"/>
        <v/>
      </c>
      <c r="U98" s="349"/>
      <c r="V98" s="78" t="str">
        <f t="shared" si="111"/>
        <v/>
      </c>
      <c r="W98" s="349"/>
      <c r="Z98" s="352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9.8000000000000004E-8</v>
      </c>
      <c r="BU98" s="215" t="str">
        <f t="shared" ref="BU98:BU108" si="131">+BU97</f>
        <v>BK München 3</v>
      </c>
      <c r="BV98" s="214">
        <f t="shared" ref="BV98:BV108" si="132">RANK(BT98,BT:BT)</f>
        <v>83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9.8000000000000004E-8</v>
      </c>
      <c r="BZ98" s="214">
        <f t="shared" si="122"/>
        <v>83</v>
      </c>
    </row>
    <row r="99" spans="1:78" ht="17.2" customHeight="1" thickBot="1" x14ac:dyDescent="0.4">
      <c r="A99" s="369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50"/>
      <c r="F99" s="69" t="str">
        <f t="shared" si="104"/>
        <v/>
      </c>
      <c r="G99" s="350"/>
      <c r="H99" s="69" t="str">
        <f t="shared" si="105"/>
        <v/>
      </c>
      <c r="I99" s="350"/>
      <c r="J99" s="69" t="str">
        <f t="shared" si="106"/>
        <v/>
      </c>
      <c r="K99" s="350"/>
      <c r="L99" s="69" t="str">
        <f t="shared" si="107"/>
        <v/>
      </c>
      <c r="M99" s="350"/>
      <c r="N99" s="69" t="str">
        <f t="shared" si="124"/>
        <v/>
      </c>
      <c r="O99" s="350"/>
      <c r="P99" s="69" t="str">
        <f t="shared" si="108"/>
        <v/>
      </c>
      <c r="Q99" s="350"/>
      <c r="R99" s="69" t="str">
        <f t="shared" si="109"/>
        <v/>
      </c>
      <c r="S99" s="350"/>
      <c r="T99" s="69" t="str">
        <f t="shared" si="110"/>
        <v/>
      </c>
      <c r="U99" s="350"/>
      <c r="V99" s="69" t="str">
        <f t="shared" si="111"/>
        <v/>
      </c>
      <c r="W99" s="350"/>
      <c r="Z99" s="353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9.9E-8</v>
      </c>
      <c r="BU99" s="215" t="str">
        <f t="shared" si="131"/>
        <v>BK München 3</v>
      </c>
      <c r="BV99" s="214">
        <f t="shared" si="132"/>
        <v>82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9.9E-8</v>
      </c>
      <c r="BZ99" s="214">
        <f t="shared" si="122"/>
        <v>82</v>
      </c>
    </row>
    <row r="100" spans="1:78" ht="17.2" customHeight="1" x14ac:dyDescent="0.35">
      <c r="A100" s="367" t="s">
        <v>2</v>
      </c>
      <c r="B100" s="73" t="str">
        <f t="shared" si="123"/>
        <v/>
      </c>
      <c r="C100" s="74" t="str">
        <f t="shared" si="123"/>
        <v/>
      </c>
      <c r="D100" s="75" t="str">
        <f t="shared" si="123"/>
        <v/>
      </c>
      <c r="E100" s="348">
        <f>IF(AD100="","",AD100)</f>
        <v>0</v>
      </c>
      <c r="F100" s="75" t="str">
        <f t="shared" si="104"/>
        <v/>
      </c>
      <c r="G100" s="348">
        <f>IF(AF100="","",AF100)</f>
        <v>0</v>
      </c>
      <c r="H100" s="75" t="str">
        <f t="shared" si="105"/>
        <v/>
      </c>
      <c r="I100" s="348">
        <f>IF(AH100="","",AH100)</f>
        <v>0</v>
      </c>
      <c r="J100" s="75" t="str">
        <f t="shared" si="106"/>
        <v/>
      </c>
      <c r="K100" s="348">
        <f>IF(AJ100="","",AJ100)</f>
        <v>0</v>
      </c>
      <c r="L100" s="75" t="str">
        <f t="shared" si="107"/>
        <v/>
      </c>
      <c r="M100" s="348">
        <f>IF(AL100="","",AL100)</f>
        <v>0</v>
      </c>
      <c r="N100" s="75" t="str">
        <f t="shared" si="124"/>
        <v/>
      </c>
      <c r="O100" s="348">
        <f>IF(AN100="","",AN100)</f>
        <v>0</v>
      </c>
      <c r="P100" s="75" t="str">
        <f t="shared" si="108"/>
        <v/>
      </c>
      <c r="Q100" s="348">
        <f>IF(AP100="","",AP100)</f>
        <v>0</v>
      </c>
      <c r="R100" s="75" t="str">
        <f t="shared" si="109"/>
        <v/>
      </c>
      <c r="S100" s="348">
        <f>IF(AR100="","",AR100)</f>
        <v>0</v>
      </c>
      <c r="T100" s="75" t="str">
        <f t="shared" si="110"/>
        <v/>
      </c>
      <c r="U100" s="348">
        <f>IF(AT100="","",AT100)</f>
        <v>0</v>
      </c>
      <c r="V100" s="75" t="str">
        <f t="shared" si="111"/>
        <v/>
      </c>
      <c r="W100" s="348">
        <f>IF(AV100="","",AV100)</f>
        <v>0</v>
      </c>
      <c r="Z100" s="351" t="s">
        <v>2</v>
      </c>
      <c r="AA100" s="108" t="str">
        <f>IF(AB100=0,"",VLOOKUP(AB100,Starter!$A$1:$D$199,2,FALSE))</f>
        <v/>
      </c>
      <c r="AB100" s="99"/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2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5"/>
        <v>0</v>
      </c>
      <c r="BE100" s="213">
        <f t="shared" si="126"/>
        <v>0</v>
      </c>
      <c r="BF100" s="215">
        <f t="shared" si="127"/>
        <v>0</v>
      </c>
      <c r="BG100" s="215">
        <f t="shared" si="128"/>
        <v>0</v>
      </c>
      <c r="BH100" s="215" t="str">
        <f t="shared" si="113"/>
        <v/>
      </c>
      <c r="BI100" s="215" t="str">
        <f t="shared" si="114"/>
        <v/>
      </c>
      <c r="BJ100" s="215" t="str">
        <f t="shared" si="115"/>
        <v/>
      </c>
      <c r="BK100" s="215" t="str">
        <f t="shared" si="116"/>
        <v/>
      </c>
      <c r="BL100" s="215" t="str">
        <f t="shared" si="117"/>
        <v/>
      </c>
      <c r="BM100" s="215" t="str">
        <f t="shared" si="118"/>
        <v/>
      </c>
      <c r="BN100" s="215" t="str">
        <f t="shared" si="119"/>
        <v/>
      </c>
      <c r="BO100" s="215" t="str">
        <f t="shared" si="120"/>
        <v/>
      </c>
      <c r="BP100" s="215" t="str">
        <f t="shared" si="121"/>
        <v/>
      </c>
      <c r="BQ100" s="216"/>
      <c r="BR100" s="214"/>
      <c r="BS100" s="215">
        <f t="shared" si="129"/>
        <v>0</v>
      </c>
      <c r="BT100" s="215">
        <f t="shared" si="130"/>
        <v>9.9999999999999995E-8</v>
      </c>
      <c r="BU100" s="215" t="str">
        <f t="shared" si="131"/>
        <v>BK München 3</v>
      </c>
      <c r="BV100" s="214">
        <f t="shared" si="132"/>
        <v>81</v>
      </c>
      <c r="BW100" s="215">
        <f t="shared" si="133"/>
        <v>0</v>
      </c>
      <c r="BX100" s="215">
        <f>IF(COUNTIF(BH100:BP100,"&gt;0")&lt;Spielorte!$A$23,0,BE100/Spielorte!$A$23)</f>
        <v>0</v>
      </c>
      <c r="BY100" s="215">
        <f t="shared" si="134"/>
        <v>9.9999999999999995E-8</v>
      </c>
      <c r="BZ100" s="214">
        <f t="shared" si="122"/>
        <v>81</v>
      </c>
    </row>
    <row r="101" spans="1:78" ht="17.2" customHeight="1" x14ac:dyDescent="0.35">
      <c r="A101" s="368"/>
      <c r="B101" s="76" t="str">
        <f t="shared" si="123"/>
        <v/>
      </c>
      <c r="C101" s="77" t="str">
        <f t="shared" si="123"/>
        <v/>
      </c>
      <c r="D101" s="78" t="str">
        <f t="shared" si="123"/>
        <v/>
      </c>
      <c r="E101" s="349"/>
      <c r="F101" s="78" t="str">
        <f t="shared" si="104"/>
        <v/>
      </c>
      <c r="G101" s="349"/>
      <c r="H101" s="78" t="str">
        <f t="shared" si="105"/>
        <v/>
      </c>
      <c r="I101" s="349"/>
      <c r="J101" s="78" t="str">
        <f t="shared" si="106"/>
        <v/>
      </c>
      <c r="K101" s="349"/>
      <c r="L101" s="78" t="str">
        <f t="shared" si="107"/>
        <v/>
      </c>
      <c r="M101" s="349"/>
      <c r="N101" s="78" t="str">
        <f t="shared" si="124"/>
        <v/>
      </c>
      <c r="O101" s="349"/>
      <c r="P101" s="78" t="str">
        <f t="shared" si="108"/>
        <v/>
      </c>
      <c r="Q101" s="349"/>
      <c r="R101" s="78" t="str">
        <f t="shared" si="109"/>
        <v/>
      </c>
      <c r="S101" s="349"/>
      <c r="T101" s="78" t="str">
        <f t="shared" si="110"/>
        <v/>
      </c>
      <c r="U101" s="349"/>
      <c r="V101" s="78" t="str">
        <f t="shared" si="111"/>
        <v/>
      </c>
      <c r="W101" s="349"/>
      <c r="Z101" s="352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0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1.01E-7</v>
      </c>
      <c r="BU101" s="215" t="str">
        <f t="shared" si="131"/>
        <v>BK München 3</v>
      </c>
      <c r="BV101" s="214">
        <f t="shared" si="132"/>
        <v>80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1.01E-7</v>
      </c>
      <c r="BZ101" s="214">
        <f t="shared" si="122"/>
        <v>80</v>
      </c>
    </row>
    <row r="102" spans="1:78" ht="17.2" customHeight="1" thickBot="1" x14ac:dyDescent="0.4">
      <c r="A102" s="369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50"/>
      <c r="F102" s="69" t="str">
        <f t="shared" si="104"/>
        <v/>
      </c>
      <c r="G102" s="350"/>
      <c r="H102" s="69" t="str">
        <f t="shared" si="105"/>
        <v/>
      </c>
      <c r="I102" s="350"/>
      <c r="J102" s="69" t="str">
        <f t="shared" si="106"/>
        <v/>
      </c>
      <c r="K102" s="350"/>
      <c r="L102" s="69" t="str">
        <f t="shared" si="107"/>
        <v/>
      </c>
      <c r="M102" s="350"/>
      <c r="N102" s="69" t="str">
        <f t="shared" si="124"/>
        <v/>
      </c>
      <c r="O102" s="350"/>
      <c r="P102" s="69" t="str">
        <f t="shared" si="108"/>
        <v/>
      </c>
      <c r="Q102" s="350"/>
      <c r="R102" s="69" t="str">
        <f t="shared" si="109"/>
        <v/>
      </c>
      <c r="S102" s="350"/>
      <c r="T102" s="69" t="str">
        <f t="shared" si="110"/>
        <v/>
      </c>
      <c r="U102" s="350"/>
      <c r="V102" s="69" t="str">
        <f t="shared" si="111"/>
        <v/>
      </c>
      <c r="W102" s="350"/>
      <c r="Z102" s="353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1.02E-7</v>
      </c>
      <c r="BU102" s="215" t="str">
        <f t="shared" si="131"/>
        <v>BK München 3</v>
      </c>
      <c r="BV102" s="214">
        <f t="shared" si="132"/>
        <v>79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1.02E-7</v>
      </c>
      <c r="BZ102" s="214">
        <f t="shared" si="122"/>
        <v>79</v>
      </c>
    </row>
    <row r="103" spans="1:78" ht="17.2" customHeight="1" x14ac:dyDescent="0.35">
      <c r="A103" s="367" t="s">
        <v>3</v>
      </c>
      <c r="B103" s="73" t="str">
        <f t="shared" si="123"/>
        <v/>
      </c>
      <c r="C103" s="74" t="str">
        <f t="shared" si="123"/>
        <v/>
      </c>
      <c r="D103" s="75" t="str">
        <f t="shared" si="123"/>
        <v/>
      </c>
      <c r="E103" s="348">
        <f>IF(AD103="","",AD103)</f>
        <v>0</v>
      </c>
      <c r="F103" s="75" t="str">
        <f t="shared" si="104"/>
        <v/>
      </c>
      <c r="G103" s="348">
        <f>IF(AF103="","",AF103)</f>
        <v>0</v>
      </c>
      <c r="H103" s="75" t="str">
        <f t="shared" si="105"/>
        <v/>
      </c>
      <c r="I103" s="348">
        <f>IF(AH103="","",AH103)</f>
        <v>0</v>
      </c>
      <c r="J103" s="75" t="str">
        <f t="shared" si="106"/>
        <v/>
      </c>
      <c r="K103" s="348">
        <f>IF(AJ103="","",AJ103)</f>
        <v>0</v>
      </c>
      <c r="L103" s="75" t="str">
        <f t="shared" si="107"/>
        <v/>
      </c>
      <c r="M103" s="348">
        <f>IF(AL103="","",AL103)</f>
        <v>0</v>
      </c>
      <c r="N103" s="75" t="str">
        <f t="shared" si="124"/>
        <v/>
      </c>
      <c r="O103" s="348">
        <f>IF(AN103="","",AN103)</f>
        <v>0</v>
      </c>
      <c r="P103" s="75" t="str">
        <f t="shared" si="108"/>
        <v/>
      </c>
      <c r="Q103" s="348">
        <f>IF(AP103="","",AP103)</f>
        <v>0</v>
      </c>
      <c r="R103" s="75" t="str">
        <f t="shared" si="109"/>
        <v/>
      </c>
      <c r="S103" s="348">
        <f>IF(AR103="","",AR103)</f>
        <v>0</v>
      </c>
      <c r="T103" s="75" t="str">
        <f t="shared" si="110"/>
        <v/>
      </c>
      <c r="U103" s="348">
        <f>IF(AT103="","",AT103)</f>
        <v>0</v>
      </c>
      <c r="V103" s="75" t="str">
        <f t="shared" si="111"/>
        <v/>
      </c>
      <c r="W103" s="348">
        <f>IF(AV103="","",AV103)</f>
        <v>0</v>
      </c>
      <c r="Z103" s="351" t="s">
        <v>3</v>
      </c>
      <c r="AA103" s="108" t="str">
        <f>IF(AB103=0,"",VLOOKUP(AB103,Starter!$A$1:$D$199,2,FALSE))</f>
        <v/>
      </c>
      <c r="AB103" s="99"/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2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5"/>
        <v>0</v>
      </c>
      <c r="BE103" s="213">
        <f t="shared" si="126"/>
        <v>0</v>
      </c>
      <c r="BF103" s="215">
        <f t="shared" si="127"/>
        <v>0</v>
      </c>
      <c r="BG103" s="215">
        <f t="shared" si="128"/>
        <v>0</v>
      </c>
      <c r="BH103" s="215" t="str">
        <f t="shared" si="113"/>
        <v/>
      </c>
      <c r="BI103" s="215" t="str">
        <f t="shared" si="114"/>
        <v/>
      </c>
      <c r="BJ103" s="215" t="str">
        <f t="shared" si="115"/>
        <v/>
      </c>
      <c r="BK103" s="215" t="str">
        <f t="shared" si="116"/>
        <v/>
      </c>
      <c r="BL103" s="215" t="str">
        <f t="shared" si="117"/>
        <v/>
      </c>
      <c r="BM103" s="215" t="str">
        <f t="shared" si="118"/>
        <v/>
      </c>
      <c r="BN103" s="215" t="str">
        <f t="shared" si="119"/>
        <v/>
      </c>
      <c r="BO103" s="215" t="str">
        <f t="shared" si="120"/>
        <v/>
      </c>
      <c r="BP103" s="215" t="str">
        <f t="shared" si="121"/>
        <v/>
      </c>
      <c r="BQ103" s="216"/>
      <c r="BR103" s="214"/>
      <c r="BS103" s="215">
        <f t="shared" si="129"/>
        <v>0</v>
      </c>
      <c r="BT103" s="215">
        <f t="shared" si="130"/>
        <v>1.03E-7</v>
      </c>
      <c r="BU103" s="215" t="str">
        <f t="shared" si="131"/>
        <v>BK München 3</v>
      </c>
      <c r="BV103" s="214">
        <f t="shared" si="132"/>
        <v>78</v>
      </c>
      <c r="BW103" s="215">
        <f t="shared" si="133"/>
        <v>0</v>
      </c>
      <c r="BX103" s="215">
        <f>IF(COUNTIF(BH103:BP103,"&gt;0")&lt;Spielorte!$A$23,0,BE103/Spielorte!$A$23)</f>
        <v>0</v>
      </c>
      <c r="BY103" s="215">
        <f t="shared" si="134"/>
        <v>1.03E-7</v>
      </c>
      <c r="BZ103" s="214">
        <f t="shared" si="122"/>
        <v>78</v>
      </c>
    </row>
    <row r="104" spans="1:78" ht="17.2" customHeight="1" x14ac:dyDescent="0.35">
      <c r="A104" s="368"/>
      <c r="B104" s="76" t="str">
        <f t="shared" si="123"/>
        <v/>
      </c>
      <c r="C104" s="77" t="str">
        <f t="shared" si="123"/>
        <v/>
      </c>
      <c r="D104" s="78" t="str">
        <f t="shared" si="123"/>
        <v/>
      </c>
      <c r="E104" s="349"/>
      <c r="F104" s="78" t="str">
        <f t="shared" si="104"/>
        <v/>
      </c>
      <c r="G104" s="349"/>
      <c r="H104" s="78" t="str">
        <f t="shared" si="105"/>
        <v/>
      </c>
      <c r="I104" s="349"/>
      <c r="J104" s="78" t="str">
        <f t="shared" si="106"/>
        <v/>
      </c>
      <c r="K104" s="349"/>
      <c r="L104" s="78" t="str">
        <f t="shared" si="107"/>
        <v/>
      </c>
      <c r="M104" s="349"/>
      <c r="N104" s="78" t="str">
        <f t="shared" si="124"/>
        <v/>
      </c>
      <c r="O104" s="349"/>
      <c r="P104" s="78" t="str">
        <f t="shared" si="108"/>
        <v/>
      </c>
      <c r="Q104" s="349"/>
      <c r="R104" s="78" t="str">
        <f t="shared" si="109"/>
        <v/>
      </c>
      <c r="S104" s="349"/>
      <c r="T104" s="78" t="str">
        <f t="shared" si="110"/>
        <v/>
      </c>
      <c r="U104" s="349"/>
      <c r="V104" s="78" t="str">
        <f t="shared" si="111"/>
        <v/>
      </c>
      <c r="W104" s="349"/>
      <c r="Z104" s="352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0</v>
      </c>
      <c r="BE104" s="213">
        <f t="shared" si="126"/>
        <v>0</v>
      </c>
      <c r="BF104" s="215">
        <f t="shared" si="127"/>
        <v>0</v>
      </c>
      <c r="BG104" s="215">
        <f t="shared" si="128"/>
        <v>0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0</v>
      </c>
      <c r="BT104" s="215">
        <f t="shared" si="130"/>
        <v>1.04E-7</v>
      </c>
      <c r="BU104" s="215" t="str">
        <f t="shared" si="131"/>
        <v>BK München 3</v>
      </c>
      <c r="BV104" s="214">
        <f t="shared" si="132"/>
        <v>77</v>
      </c>
      <c r="BW104" s="215">
        <f t="shared" si="133"/>
        <v>0</v>
      </c>
      <c r="BX104" s="215">
        <f>IF(COUNTIF(BH104:BP104,"&gt;0")&lt;Spielorte!$A$23,0,BE104/Spielorte!$A$23)</f>
        <v>0</v>
      </c>
      <c r="BY104" s="215">
        <f t="shared" si="134"/>
        <v>1.04E-7</v>
      </c>
      <c r="BZ104" s="214">
        <f t="shared" si="122"/>
        <v>77</v>
      </c>
    </row>
    <row r="105" spans="1:78" ht="17.2" customHeight="1" thickBot="1" x14ac:dyDescent="0.4">
      <c r="A105" s="369"/>
      <c r="B105" s="79" t="str">
        <f t="shared" si="123"/>
        <v/>
      </c>
      <c r="C105" s="80" t="str">
        <f t="shared" si="123"/>
        <v/>
      </c>
      <c r="D105" s="69" t="str">
        <f t="shared" si="123"/>
        <v/>
      </c>
      <c r="E105" s="350"/>
      <c r="F105" s="69" t="str">
        <f t="shared" si="104"/>
        <v/>
      </c>
      <c r="G105" s="350"/>
      <c r="H105" s="69" t="str">
        <f t="shared" si="105"/>
        <v/>
      </c>
      <c r="I105" s="350"/>
      <c r="J105" s="69" t="str">
        <f t="shared" si="106"/>
        <v/>
      </c>
      <c r="K105" s="350"/>
      <c r="L105" s="69" t="str">
        <f t="shared" si="107"/>
        <v/>
      </c>
      <c r="M105" s="350"/>
      <c r="N105" s="69" t="str">
        <f t="shared" si="124"/>
        <v/>
      </c>
      <c r="O105" s="350"/>
      <c r="P105" s="69" t="str">
        <f t="shared" si="108"/>
        <v/>
      </c>
      <c r="Q105" s="350"/>
      <c r="R105" s="69" t="str">
        <f t="shared" si="109"/>
        <v/>
      </c>
      <c r="S105" s="350"/>
      <c r="T105" s="69" t="str">
        <f t="shared" si="110"/>
        <v/>
      </c>
      <c r="U105" s="350"/>
      <c r="V105" s="69" t="str">
        <f t="shared" si="111"/>
        <v/>
      </c>
      <c r="W105" s="350"/>
      <c r="Z105" s="353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0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1.05E-7</v>
      </c>
      <c r="BU105" s="215" t="str">
        <f t="shared" si="131"/>
        <v>BK München 3</v>
      </c>
      <c r="BV105" s="214">
        <f t="shared" si="132"/>
        <v>76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1.05E-7</v>
      </c>
      <c r="BZ105" s="214">
        <f t="shared" si="122"/>
        <v>76</v>
      </c>
    </row>
    <row r="106" spans="1:78" ht="17.2" customHeight="1" x14ac:dyDescent="0.35">
      <c r="A106" s="367" t="s">
        <v>11</v>
      </c>
      <c r="B106" s="73" t="str">
        <f>IF(AA106=0,"",AA106)</f>
        <v/>
      </c>
      <c r="C106" s="74" t="str">
        <f t="shared" si="123"/>
        <v/>
      </c>
      <c r="D106" s="75" t="str">
        <f t="shared" si="123"/>
        <v/>
      </c>
      <c r="E106" s="348">
        <f>IF(AD106="","",AD106)</f>
        <v>0</v>
      </c>
      <c r="F106" s="75" t="str">
        <f t="shared" si="104"/>
        <v/>
      </c>
      <c r="G106" s="348">
        <f>IF(AF106="","",AF106)</f>
        <v>0</v>
      </c>
      <c r="H106" s="75" t="str">
        <f t="shared" si="105"/>
        <v/>
      </c>
      <c r="I106" s="348">
        <f>IF(AH106="","",AH106)</f>
        <v>0</v>
      </c>
      <c r="J106" s="75" t="str">
        <f t="shared" si="106"/>
        <v/>
      </c>
      <c r="K106" s="348">
        <f>IF(AJ106="","",AJ106)</f>
        <v>0</v>
      </c>
      <c r="L106" s="75" t="str">
        <f t="shared" si="107"/>
        <v/>
      </c>
      <c r="M106" s="348">
        <f>IF(AL106="","",AL106)</f>
        <v>0</v>
      </c>
      <c r="N106" s="75" t="str">
        <f t="shared" si="124"/>
        <v/>
      </c>
      <c r="O106" s="348">
        <f>IF(AN106="","",AN106)</f>
        <v>0</v>
      </c>
      <c r="P106" s="75" t="str">
        <f t="shared" si="108"/>
        <v/>
      </c>
      <c r="Q106" s="348">
        <f>IF(AP106="","",AP106)</f>
        <v>0</v>
      </c>
      <c r="R106" s="75" t="str">
        <f t="shared" si="109"/>
        <v/>
      </c>
      <c r="S106" s="348">
        <f>IF(AR106="","",AR106)</f>
        <v>0</v>
      </c>
      <c r="T106" s="75" t="str">
        <f t="shared" si="110"/>
        <v/>
      </c>
      <c r="U106" s="348">
        <f>IF(AT106="","",AT106)</f>
        <v>0</v>
      </c>
      <c r="V106" s="75" t="str">
        <f t="shared" si="111"/>
        <v/>
      </c>
      <c r="W106" s="348">
        <f>IF(AV106="","",AV106)</f>
        <v>0</v>
      </c>
      <c r="Z106" s="351" t="s">
        <v>11</v>
      </c>
      <c r="AA106" s="108" t="str">
        <f>IF(AB106=0,"",VLOOKUP(AB106,Starter!$A$1:$D$199,2,FALSE))</f>
        <v/>
      </c>
      <c r="AB106" s="99"/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2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5"/>
        <v>0</v>
      </c>
      <c r="BE106" s="213">
        <f t="shared" si="126"/>
        <v>0</v>
      </c>
      <c r="BF106" s="215">
        <f t="shared" si="127"/>
        <v>0</v>
      </c>
      <c r="BG106" s="215">
        <f t="shared" si="128"/>
        <v>0</v>
      </c>
      <c r="BH106" s="215" t="str">
        <f t="shared" si="113"/>
        <v/>
      </c>
      <c r="BI106" s="215" t="str">
        <f t="shared" si="114"/>
        <v/>
      </c>
      <c r="BJ106" s="215" t="str">
        <f t="shared" si="115"/>
        <v/>
      </c>
      <c r="BK106" s="215" t="str">
        <f t="shared" si="116"/>
        <v/>
      </c>
      <c r="BL106" s="215" t="str">
        <f t="shared" si="117"/>
        <v/>
      </c>
      <c r="BM106" s="215" t="str">
        <f t="shared" si="118"/>
        <v/>
      </c>
      <c r="BN106" s="215" t="str">
        <f t="shared" si="119"/>
        <v/>
      </c>
      <c r="BO106" s="215" t="str">
        <f t="shared" si="120"/>
        <v/>
      </c>
      <c r="BP106" s="215" t="str">
        <f t="shared" si="121"/>
        <v/>
      </c>
      <c r="BQ106" s="216"/>
      <c r="BR106" s="214"/>
      <c r="BS106" s="215">
        <f t="shared" si="129"/>
        <v>0</v>
      </c>
      <c r="BT106" s="215">
        <f t="shared" si="130"/>
        <v>1.06E-7</v>
      </c>
      <c r="BU106" s="215" t="str">
        <f t="shared" si="131"/>
        <v>BK München 3</v>
      </c>
      <c r="BV106" s="214">
        <f t="shared" si="132"/>
        <v>75</v>
      </c>
      <c r="BW106" s="215">
        <f t="shared" si="133"/>
        <v>0</v>
      </c>
      <c r="BX106" s="215">
        <f>IF(COUNTIF(BH106:BP106,"&gt;0")&lt;Spielorte!$A$23,0,BE106/Spielorte!$A$23)</f>
        <v>0</v>
      </c>
      <c r="BY106" s="215">
        <f t="shared" si="134"/>
        <v>1.06E-7</v>
      </c>
      <c r="BZ106" s="214">
        <f t="shared" si="122"/>
        <v>75</v>
      </c>
    </row>
    <row r="107" spans="1:78" ht="17.2" customHeight="1" x14ac:dyDescent="0.35">
      <c r="A107" s="368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49"/>
      <c r="F107" s="78" t="str">
        <f t="shared" si="104"/>
        <v/>
      </c>
      <c r="G107" s="349"/>
      <c r="H107" s="78" t="str">
        <f t="shared" si="105"/>
        <v/>
      </c>
      <c r="I107" s="349"/>
      <c r="J107" s="78" t="str">
        <f t="shared" si="106"/>
        <v/>
      </c>
      <c r="K107" s="349"/>
      <c r="L107" s="78" t="str">
        <f t="shared" si="107"/>
        <v/>
      </c>
      <c r="M107" s="349"/>
      <c r="N107" s="78" t="str">
        <f t="shared" si="124"/>
        <v/>
      </c>
      <c r="O107" s="349"/>
      <c r="P107" s="78" t="str">
        <f t="shared" si="108"/>
        <v/>
      </c>
      <c r="Q107" s="349"/>
      <c r="R107" s="78" t="str">
        <f t="shared" si="109"/>
        <v/>
      </c>
      <c r="S107" s="349"/>
      <c r="T107" s="78" t="str">
        <f t="shared" si="110"/>
        <v/>
      </c>
      <c r="U107" s="349"/>
      <c r="V107" s="78" t="str">
        <f t="shared" si="111"/>
        <v/>
      </c>
      <c r="W107" s="349"/>
      <c r="Z107" s="352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1.0700000000000001E-7</v>
      </c>
      <c r="BU107" s="215" t="str">
        <f t="shared" si="131"/>
        <v>BK München 3</v>
      </c>
      <c r="BV107" s="214">
        <f t="shared" si="132"/>
        <v>74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1.0700000000000001E-7</v>
      </c>
      <c r="BZ107" s="214">
        <f t="shared" si="122"/>
        <v>74</v>
      </c>
    </row>
    <row r="108" spans="1:78" ht="17.2" customHeight="1" thickBot="1" x14ac:dyDescent="0.4">
      <c r="A108" s="369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50"/>
      <c r="F108" s="69" t="str">
        <f t="shared" si="104"/>
        <v/>
      </c>
      <c r="G108" s="350"/>
      <c r="H108" s="69" t="str">
        <f t="shared" si="105"/>
        <v/>
      </c>
      <c r="I108" s="350"/>
      <c r="J108" s="69" t="str">
        <f t="shared" si="106"/>
        <v/>
      </c>
      <c r="K108" s="350"/>
      <c r="L108" s="69" t="str">
        <f t="shared" si="107"/>
        <v/>
      </c>
      <c r="M108" s="350"/>
      <c r="N108" s="69" t="str">
        <f t="shared" si="124"/>
        <v/>
      </c>
      <c r="O108" s="350"/>
      <c r="P108" s="69" t="str">
        <f t="shared" si="108"/>
        <v/>
      </c>
      <c r="Q108" s="350"/>
      <c r="R108" s="69" t="str">
        <f t="shared" si="109"/>
        <v/>
      </c>
      <c r="S108" s="350"/>
      <c r="T108" s="69" t="str">
        <f t="shared" si="110"/>
        <v/>
      </c>
      <c r="U108" s="350"/>
      <c r="V108" s="69" t="str">
        <f t="shared" si="111"/>
        <v/>
      </c>
      <c r="W108" s="350"/>
      <c r="Z108" s="353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1.08E-7</v>
      </c>
      <c r="BU108" s="215" t="str">
        <f t="shared" si="131"/>
        <v>BK München 3</v>
      </c>
      <c r="BV108" s="214">
        <f t="shared" si="132"/>
        <v>73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1.08E-7</v>
      </c>
      <c r="BZ108" s="214">
        <f t="shared" si="122"/>
        <v>73</v>
      </c>
    </row>
    <row r="109" spans="1:78" ht="27.75" customHeight="1" thickBot="1" x14ac:dyDescent="0.4">
      <c r="B109" s="81" t="str">
        <f>IF(AA109=0,"",AA109)</f>
        <v>Gesamt</v>
      </c>
      <c r="C109" s="82" t="str">
        <f t="shared" si="123"/>
        <v/>
      </c>
      <c r="D109" s="83" t="str">
        <f t="shared" si="123"/>
        <v/>
      </c>
      <c r="E109" s="84">
        <f>IF(AD109="","",AD109)</f>
        <v>0</v>
      </c>
      <c r="F109" s="83" t="str">
        <f t="shared" si="104"/>
        <v/>
      </c>
      <c r="G109" s="84">
        <f>IF(AF109="","",AF109)</f>
        <v>0</v>
      </c>
      <c r="H109" s="83" t="str">
        <f t="shared" si="105"/>
        <v/>
      </c>
      <c r="I109" s="84">
        <f>IF(AH109="","",AH109)</f>
        <v>0</v>
      </c>
      <c r="J109" s="83" t="str">
        <f t="shared" si="106"/>
        <v/>
      </c>
      <c r="K109" s="84">
        <f>IF(AJ109="","",AJ109)</f>
        <v>0</v>
      </c>
      <c r="L109" s="83" t="str">
        <f t="shared" si="107"/>
        <v/>
      </c>
      <c r="M109" s="84">
        <f>IF(AL109="","",AL109)</f>
        <v>0</v>
      </c>
      <c r="N109" s="83" t="str">
        <f t="shared" si="124"/>
        <v/>
      </c>
      <c r="O109" s="84">
        <f>IF(AN109="","",AN109)</f>
        <v>0</v>
      </c>
      <c r="P109" s="83" t="str">
        <f t="shared" si="108"/>
        <v/>
      </c>
      <c r="Q109" s="84">
        <f>IF(AP109="","",AP109)</f>
        <v>0</v>
      </c>
      <c r="R109" s="83" t="str">
        <f t="shared" si="109"/>
        <v/>
      </c>
      <c r="S109" s="84">
        <f>IF(AR109="","",AR109)</f>
        <v>0</v>
      </c>
      <c r="T109" s="83" t="str">
        <f t="shared" si="110"/>
        <v/>
      </c>
      <c r="U109" s="84">
        <f>IF(AT109="","",AT109)</f>
        <v>0</v>
      </c>
      <c r="V109" s="83" t="str">
        <f t="shared" si="111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4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0</v>
      </c>
      <c r="F110" s="86" t="str">
        <f t="shared" si="104"/>
        <v/>
      </c>
      <c r="G110" s="87">
        <f>IF(AF110="","",AF110)</f>
        <v>0</v>
      </c>
      <c r="H110" s="86" t="str">
        <f t="shared" si="105"/>
        <v/>
      </c>
      <c r="I110" s="87">
        <f>IF(AH110="","",AH110)</f>
        <v>0</v>
      </c>
      <c r="J110" s="86" t="str">
        <f t="shared" si="106"/>
        <v/>
      </c>
      <c r="K110" s="87">
        <f>IF(AJ110="","",AJ110)</f>
        <v>0</v>
      </c>
      <c r="L110" s="86" t="str">
        <f t="shared" si="107"/>
        <v/>
      </c>
      <c r="M110" s="87">
        <f>IF(AL110="","",AL110)</f>
        <v>0</v>
      </c>
      <c r="N110" s="86" t="str">
        <f t="shared" si="124"/>
        <v/>
      </c>
      <c r="O110" s="87">
        <f>IF(AN110="","",AN110)</f>
        <v>0</v>
      </c>
      <c r="P110" s="86" t="str">
        <f t="shared" si="108"/>
        <v/>
      </c>
      <c r="Q110" s="87">
        <f>IF(AP110="","",AP110)</f>
        <v>0</v>
      </c>
      <c r="R110" s="86" t="str">
        <f t="shared" si="109"/>
        <v/>
      </c>
      <c r="S110" s="87">
        <f>IF(AR110="","",AR110)</f>
        <v>0</v>
      </c>
      <c r="T110" s="86" t="str">
        <f t="shared" si="110"/>
        <v/>
      </c>
      <c r="U110" s="87">
        <f>IF(AT110="","",AT110)</f>
        <v>0</v>
      </c>
      <c r="V110" s="86" t="str">
        <f t="shared" si="111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</v>
      </c>
      <c r="BV110" s="214"/>
      <c r="BZ110" s="214"/>
    </row>
    <row r="111" spans="1:78" ht="11.25" customHeight="1" x14ac:dyDescent="0.3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3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46">
        <f t="shared" si="135"/>
        <v>3</v>
      </c>
      <c r="E112" s="346" t="str">
        <f t="shared" si="135"/>
        <v/>
      </c>
      <c r="F112" s="346">
        <f t="shared" si="135"/>
        <v>8</v>
      </c>
      <c r="G112" s="346" t="str">
        <f t="shared" si="135"/>
        <v/>
      </c>
      <c r="H112" s="346">
        <f t="shared" si="135"/>
        <v>5</v>
      </c>
      <c r="I112" s="346" t="str">
        <f t="shared" si="135"/>
        <v/>
      </c>
      <c r="J112" s="346">
        <f t="shared" si="135"/>
        <v>7</v>
      </c>
      <c r="K112" s="346" t="str">
        <f t="shared" si="135"/>
        <v/>
      </c>
      <c r="L112" s="346">
        <f t="shared" si="135"/>
        <v>1</v>
      </c>
      <c r="M112" s="346" t="str">
        <f t="shared" si="135"/>
        <v/>
      </c>
      <c r="N112" s="346">
        <f t="shared" si="135"/>
        <v>10</v>
      </c>
      <c r="O112" s="346" t="str">
        <f t="shared" si="135"/>
        <v/>
      </c>
      <c r="P112" s="346">
        <f t="shared" si="135"/>
        <v>6</v>
      </c>
      <c r="Q112" s="346" t="str">
        <f t="shared" si="135"/>
        <v/>
      </c>
      <c r="R112" s="346">
        <f t="shared" ref="L112:U114" si="136">IF(AQ112=0,"",AQ112)</f>
        <v>2</v>
      </c>
      <c r="S112" s="346" t="str">
        <f t="shared" si="136"/>
        <v/>
      </c>
      <c r="T112" s="346">
        <f t="shared" si="136"/>
        <v>9</v>
      </c>
      <c r="U112" s="346" t="str">
        <f t="shared" si="136"/>
        <v/>
      </c>
      <c r="V112" s="347"/>
      <c r="W112" s="347"/>
      <c r="AA112" s="88" t="s">
        <v>1797</v>
      </c>
      <c r="AB112" s="89" t="s">
        <v>1798</v>
      </c>
      <c r="AC112" s="370">
        <f>VLOOKUP($AA92,Schlüssel!$A$5:$DG$14,83)</f>
        <v>3</v>
      </c>
      <c r="AD112" s="371"/>
      <c r="AE112" s="370">
        <f>VLOOKUP($AA92,Schlüssel!$A$5:$EK$14,84)</f>
        <v>8</v>
      </c>
      <c r="AF112" s="371"/>
      <c r="AG112" s="370">
        <f>VLOOKUP($AA92,Schlüssel!$A$5:$EK$14,85)</f>
        <v>5</v>
      </c>
      <c r="AH112" s="371"/>
      <c r="AI112" s="370">
        <f>VLOOKUP($AA92,Schlüssel!$A$5:$EK$14,86)</f>
        <v>7</v>
      </c>
      <c r="AJ112" s="371"/>
      <c r="AK112" s="370">
        <f>VLOOKUP($AA92,Schlüssel!$A$5:$EK$14,87)</f>
        <v>1</v>
      </c>
      <c r="AL112" s="371"/>
      <c r="AM112" s="370">
        <f>VLOOKUP($AA92,Schlüssel!$A$5:$EK$14,88)</f>
        <v>10</v>
      </c>
      <c r="AN112" s="371"/>
      <c r="AO112" s="370">
        <f>VLOOKUP($AA92,Schlüssel!$A$5:$EK$14,89)</f>
        <v>6</v>
      </c>
      <c r="AP112" s="371"/>
      <c r="AQ112" s="370">
        <f>VLOOKUP($AA92,Schlüssel!$A$5:$EK$14,90)</f>
        <v>2</v>
      </c>
      <c r="AR112" s="371"/>
      <c r="AS112" s="370">
        <f>VLOOKUP($AA92,Schlüssel!$A$5:$EK$14,91)</f>
        <v>9</v>
      </c>
      <c r="AT112" s="371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35">
      <c r="B113" s="90" t="str">
        <f t="shared" ref="B113:K114" si="137">IF(AA113=0,"",AA113)</f>
        <v/>
      </c>
      <c r="C113" s="86" t="str">
        <f t="shared" si="137"/>
        <v/>
      </c>
      <c r="D113" s="343" t="str">
        <f t="shared" si="137"/>
        <v>Highroller Rosenheim</v>
      </c>
      <c r="E113" s="344" t="str">
        <f t="shared" si="137"/>
        <v/>
      </c>
      <c r="F113" s="343" t="str">
        <f t="shared" si="137"/>
        <v>EPA München 1</v>
      </c>
      <c r="G113" s="344" t="str">
        <f t="shared" si="137"/>
        <v/>
      </c>
      <c r="H113" s="343" t="str">
        <f t="shared" si="137"/>
        <v xml:space="preserve">Weiß Blau Unterföhring </v>
      </c>
      <c r="I113" s="344" t="str">
        <f t="shared" si="137"/>
        <v/>
      </c>
      <c r="J113" s="343" t="str">
        <f t="shared" si="137"/>
        <v>Frankenpower Nürnberg</v>
      </c>
      <c r="K113" s="344" t="str">
        <f t="shared" si="137"/>
        <v/>
      </c>
      <c r="L113" s="343" t="str">
        <f t="shared" si="136"/>
        <v>Praetoria Regensburg</v>
      </c>
      <c r="M113" s="344" t="str">
        <f t="shared" si="136"/>
        <v/>
      </c>
      <c r="N113" s="343" t="str">
        <f t="shared" si="136"/>
        <v>BK München 4</v>
      </c>
      <c r="O113" s="344" t="str">
        <f t="shared" si="136"/>
        <v/>
      </c>
      <c r="P113" s="343" t="str">
        <f t="shared" si="136"/>
        <v>Phönix 03 Lauf</v>
      </c>
      <c r="Q113" s="344" t="str">
        <f t="shared" si="136"/>
        <v/>
      </c>
      <c r="R113" s="343" t="str">
        <f t="shared" si="136"/>
        <v>BK München 2</v>
      </c>
      <c r="S113" s="344" t="str">
        <f t="shared" si="136"/>
        <v/>
      </c>
      <c r="T113" s="343" t="str">
        <f t="shared" si="136"/>
        <v>RW Lichtenhof 69 Stein 2</v>
      </c>
      <c r="U113" s="344" t="str">
        <f t="shared" si="136"/>
        <v/>
      </c>
      <c r="V113" s="345"/>
      <c r="W113" s="345"/>
      <c r="AA113" s="90"/>
      <c r="AB113" s="86"/>
      <c r="AC113" s="343" t="str">
        <f>VLOOKUP(AC112,Schlüssel!$A$5:$K$14,2)</f>
        <v>Highroller Rosenheim</v>
      </c>
      <c r="AD113" s="344"/>
      <c r="AE113" s="343" t="str">
        <f>VLOOKUP(AE112,Schlüssel!$A$5:$K$14,2)</f>
        <v>EPA München 1</v>
      </c>
      <c r="AF113" s="344"/>
      <c r="AG113" s="343" t="str">
        <f>VLOOKUP(AG112,Schlüssel!$A$5:$K$14,2)</f>
        <v xml:space="preserve">Weiß Blau Unterföhring </v>
      </c>
      <c r="AH113" s="344"/>
      <c r="AI113" s="343" t="str">
        <f>VLOOKUP(AI112,Schlüssel!$A$5:$K$14,2)</f>
        <v>Frankenpower Nürnberg</v>
      </c>
      <c r="AJ113" s="344"/>
      <c r="AK113" s="343" t="str">
        <f>VLOOKUP(AK112,Schlüssel!$A$5:$K$14,2)</f>
        <v>Praetoria Regensburg</v>
      </c>
      <c r="AL113" s="344"/>
      <c r="AM113" s="343" t="str">
        <f>VLOOKUP(AM112,Schlüssel!$A$5:$K$14,2)</f>
        <v>BK München 4</v>
      </c>
      <c r="AN113" s="344"/>
      <c r="AO113" s="343" t="str">
        <f>VLOOKUP(AO112,Schlüssel!$A$5:$K$14,2)</f>
        <v>Phönix 03 Lauf</v>
      </c>
      <c r="AP113" s="344"/>
      <c r="AQ113" s="343" t="str">
        <f>VLOOKUP(AQ112,Schlüssel!$A$5:$K$14,2)</f>
        <v>BK München 2</v>
      </c>
      <c r="AR113" s="344"/>
      <c r="AS113" s="343" t="str">
        <f>VLOOKUP(AS112,Schlüssel!$A$5:$K$14,2)</f>
        <v>RW Lichtenhof 69 Stein 2</v>
      </c>
      <c r="AT113" s="344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35">
      <c r="B114" s="90" t="str">
        <f t="shared" si="137"/>
        <v/>
      </c>
      <c r="C114" s="86" t="str">
        <f t="shared" si="137"/>
        <v/>
      </c>
      <c r="D114" s="341" t="str">
        <f t="shared" si="137"/>
        <v/>
      </c>
      <c r="E114" s="341" t="str">
        <f t="shared" si="137"/>
        <v/>
      </c>
      <c r="F114" s="341" t="str">
        <f t="shared" si="137"/>
        <v/>
      </c>
      <c r="G114" s="341" t="str">
        <f t="shared" si="137"/>
        <v/>
      </c>
      <c r="H114" s="341" t="str">
        <f t="shared" si="137"/>
        <v/>
      </c>
      <c r="I114" s="341" t="str">
        <f t="shared" si="137"/>
        <v/>
      </c>
      <c r="J114" s="341" t="str">
        <f t="shared" si="137"/>
        <v/>
      </c>
      <c r="K114" s="341" t="str">
        <f t="shared" si="137"/>
        <v/>
      </c>
      <c r="L114" s="341" t="str">
        <f t="shared" si="136"/>
        <v/>
      </c>
      <c r="M114" s="341" t="str">
        <f t="shared" si="136"/>
        <v/>
      </c>
      <c r="N114" s="341" t="str">
        <f t="shared" si="136"/>
        <v/>
      </c>
      <c r="O114" s="341" t="str">
        <f t="shared" si="136"/>
        <v/>
      </c>
      <c r="P114" s="341" t="str">
        <f t="shared" si="136"/>
        <v/>
      </c>
      <c r="Q114" s="341" t="str">
        <f t="shared" si="136"/>
        <v/>
      </c>
      <c r="R114" s="341" t="str">
        <f t="shared" si="136"/>
        <v/>
      </c>
      <c r="S114" s="341" t="str">
        <f t="shared" si="136"/>
        <v/>
      </c>
      <c r="T114" s="341" t="str">
        <f t="shared" si="136"/>
        <v/>
      </c>
      <c r="U114" s="342" t="str">
        <f t="shared" si="136"/>
        <v/>
      </c>
      <c r="V114" s="301"/>
      <c r="W114" s="301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6.05" customHeight="1" x14ac:dyDescent="0.35">
      <c r="B115" s="365" t="str">
        <f t="shared" ref="B115:C119" si="138">IF(AA115=0,"",AA115)</f>
        <v>Spieler 1</v>
      </c>
      <c r="C115" s="366" t="str">
        <f t="shared" si="138"/>
        <v/>
      </c>
      <c r="D115" s="339">
        <f>IF(AC115=301,"",AC115)</f>
        <v>0</v>
      </c>
      <c r="E115" s="339" t="str">
        <f>IF(AD115=0,"",AD115)</f>
        <v/>
      </c>
      <c r="F115" s="339">
        <f>IF(AE115=301,"",AE115)</f>
        <v>0</v>
      </c>
      <c r="G115" s="339" t="str">
        <f>IF(AF115=0,"",AF115)</f>
        <v/>
      </c>
      <c r="H115" s="339">
        <f>IF(AG115=301,"",AG115)</f>
        <v>0</v>
      </c>
      <c r="I115" s="339" t="str">
        <f>IF(AH115=0,"",AH115)</f>
        <v/>
      </c>
      <c r="J115" s="339">
        <f>IF(AI115=301,"",AI115)</f>
        <v>0</v>
      </c>
      <c r="K115" s="339" t="str">
        <f>IF(AJ115=0,"",AJ115)</f>
        <v/>
      </c>
      <c r="L115" s="339">
        <f>IF(AK115=301,"",AK115)</f>
        <v>0</v>
      </c>
      <c r="M115" s="339" t="str">
        <f>IF(AL115=0,"",AL115)</f>
        <v/>
      </c>
      <c r="N115" s="339">
        <f>IF(AM115=301,"",AM115)</f>
        <v>0</v>
      </c>
      <c r="O115" s="339" t="str">
        <f>IF(AN115=0,"",AN115)</f>
        <v/>
      </c>
      <c r="P115" s="339">
        <f>IF(AO115=301,"",AO115)</f>
        <v>0</v>
      </c>
      <c r="Q115" s="339" t="str">
        <f>IF(AP115=0,"",AP115)</f>
        <v/>
      </c>
      <c r="R115" s="339">
        <f>IF(AQ115=301,"",AQ115)</f>
        <v>0</v>
      </c>
      <c r="S115" s="339" t="str">
        <f>IF(AR115=0,"",AR115)</f>
        <v/>
      </c>
      <c r="T115" s="339">
        <f>IF(AS115=301,"",AS115)</f>
        <v>0</v>
      </c>
      <c r="U115" s="339" t="str">
        <f>IF(AT115=0,"",AT115)</f>
        <v/>
      </c>
      <c r="V115" s="340"/>
      <c r="W115" s="340"/>
      <c r="AA115" s="91" t="s">
        <v>0</v>
      </c>
      <c r="AB115" s="92"/>
      <c r="AC115" s="372">
        <f>ABS(INDEX(AC:AC,MATCH(AC112,$AA:$AA,0)+5)+INDEX(AC:AC,MATCH(AC112,$AA:$AA,0)+6)+INDEX(AC:AC,MATCH(AC112,$AA:$AA,0)+7))</f>
        <v>0</v>
      </c>
      <c r="AD115" s="373"/>
      <c r="AE115" s="372">
        <f>ABS(INDEX(AE:AE,MATCH(AE112,$AA:$AA,0)+5)+INDEX(AE:AE,MATCH(AE112,$AA:$AA,0)+6)+INDEX(AE:AE,MATCH(AE112,$AA:$AA,0)+7))</f>
        <v>0</v>
      </c>
      <c r="AF115" s="373"/>
      <c r="AG115" s="372">
        <f>ABS(INDEX(AG:AG,MATCH(AG112,$AA:$AA,0)+5)+INDEX(AG:AG,MATCH(AG112,$AA:$AA,0)+6)+INDEX(AG:AG,MATCH(AG112,$AA:$AA,0)+7))</f>
        <v>0</v>
      </c>
      <c r="AH115" s="373"/>
      <c r="AI115" s="372">
        <f>ABS(INDEX(AI:AI,MATCH(AI112,$AA:$AA,0)+5)+INDEX(AI:AI,MATCH(AI112,$AA:$AA,0)+6)+INDEX(AI:AI,MATCH(AI112,$AA:$AA,0)+7))</f>
        <v>0</v>
      </c>
      <c r="AJ115" s="373"/>
      <c r="AK115" s="372">
        <f>ABS(INDEX(AK:AK,MATCH(AK112,$AA:$AA,0)+5)+INDEX(AK:AK,MATCH(AK112,$AA:$AA,0)+6)+INDEX(AK:AK,MATCH(AK112,$AA:$AA,0)+7))</f>
        <v>0</v>
      </c>
      <c r="AL115" s="373"/>
      <c r="AM115" s="372">
        <f>ABS(INDEX(AM:AM,MATCH(AM112,$AA:$AA,0)+5)+INDEX(AM:AM,MATCH(AM112,$AA:$AA,0)+6)+INDEX(AM:AM,MATCH(AM112,$AA:$AA,0)+7))</f>
        <v>0</v>
      </c>
      <c r="AN115" s="373"/>
      <c r="AO115" s="372">
        <f>ABS(INDEX(AO:AO,MATCH(AO112,$AA:$AA,0)+5)+INDEX(AO:AO,MATCH(AO112,$AA:$AA,0)+6)+INDEX(AO:AO,MATCH(AO112,$AA:$AA,0)+7))</f>
        <v>0</v>
      </c>
      <c r="AP115" s="373"/>
      <c r="AQ115" s="372">
        <f>ABS(INDEX(AQ:AQ,MATCH(AQ112,$AA:$AA,0)+5)+INDEX(AQ:AQ,MATCH(AQ112,$AA:$AA,0)+6)+INDEX(AQ:AQ,MATCH(AQ112,$AA:$AA,0)+7))</f>
        <v>0</v>
      </c>
      <c r="AR115" s="373"/>
      <c r="AS115" s="372">
        <f>ABS(INDEX(AS:AS,MATCH(AS112,$AA:$AA,0)+5)+INDEX(AS:AS,MATCH(AS112,$AA:$AA,0)+6)+INDEX(AS:AS,MATCH(AS112,$AA:$AA,0)+7))</f>
        <v>0</v>
      </c>
      <c r="AT115" s="373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6.05" customHeight="1" x14ac:dyDescent="0.35">
      <c r="B116" s="365" t="str">
        <f t="shared" si="138"/>
        <v>Spieler 2</v>
      </c>
      <c r="C116" s="366" t="str">
        <f t="shared" si="138"/>
        <v/>
      </c>
      <c r="D116" s="339">
        <f>IF(AC116=301,"",AC116)</f>
        <v>0</v>
      </c>
      <c r="E116" s="339" t="str">
        <f>IF(AD116=0,"",AD116)</f>
        <v/>
      </c>
      <c r="F116" s="339">
        <f>IF(AE116=301,"",AE116)</f>
        <v>0</v>
      </c>
      <c r="G116" s="339" t="str">
        <f>IF(AF116=0,"",AF116)</f>
        <v/>
      </c>
      <c r="H116" s="339">
        <f>IF(AG116=301,"",AG116)</f>
        <v>0</v>
      </c>
      <c r="I116" s="339" t="str">
        <f>IF(AH116=0,"",AH116)</f>
        <v/>
      </c>
      <c r="J116" s="339">
        <f>IF(AI116=301,"",AI116)</f>
        <v>0</v>
      </c>
      <c r="K116" s="339" t="str">
        <f>IF(AJ116=0,"",AJ116)</f>
        <v/>
      </c>
      <c r="L116" s="339">
        <f>IF(AK116=301,"",AK116)</f>
        <v>0</v>
      </c>
      <c r="M116" s="339" t="str">
        <f>IF(AL116=0,"",AL116)</f>
        <v/>
      </c>
      <c r="N116" s="339">
        <f>IF(AM116=301,"",AM116)</f>
        <v>0</v>
      </c>
      <c r="O116" s="339" t="str">
        <f>IF(AN116=0,"",AN116)</f>
        <v/>
      </c>
      <c r="P116" s="339">
        <f>IF(AO116=301,"",AO116)</f>
        <v>0</v>
      </c>
      <c r="Q116" s="339" t="str">
        <f>IF(AP116=0,"",AP116)</f>
        <v/>
      </c>
      <c r="R116" s="339">
        <f>IF(AQ116=301,"",AQ116)</f>
        <v>0</v>
      </c>
      <c r="S116" s="339" t="str">
        <f>IF(AR116=0,"",AR116)</f>
        <v/>
      </c>
      <c r="T116" s="339">
        <f>IF(AS116=301,"",AS116)</f>
        <v>0</v>
      </c>
      <c r="U116" s="339" t="str">
        <f>IF(AT116=0,"",AT116)</f>
        <v/>
      </c>
      <c r="V116" s="340"/>
      <c r="W116" s="340"/>
      <c r="AA116" s="91" t="s">
        <v>2</v>
      </c>
      <c r="AB116" s="92"/>
      <c r="AC116" s="374">
        <f>ABS(INDEX(AC:AC,MATCH(AC112,$AA:$AA,0)+8)+INDEX(AC:AC,MATCH(AC112,$AA:$AA,0)+9)+INDEX(AC:AC,MATCH(AC112,$AA:$AA,0)+10))</f>
        <v>0</v>
      </c>
      <c r="AD116" s="375"/>
      <c r="AE116" s="374">
        <f>ABS(INDEX(AE:AE,MATCH(AE112,$AA:$AA,0)+8)+INDEX(AE:AE,MATCH(AE112,$AA:$AA,0)+9)+INDEX(AE:AE,MATCH(AE112,$AA:$AA,0)+10))</f>
        <v>0</v>
      </c>
      <c r="AF116" s="375"/>
      <c r="AG116" s="374">
        <f>ABS(INDEX(AG:AG,MATCH(AG112,$AA:$AA,0)+8)+INDEX(AG:AG,MATCH(AG112,$AA:$AA,0)+9)+INDEX(AG:AG,MATCH(AG112,$AA:$AA,0)+10))</f>
        <v>0</v>
      </c>
      <c r="AH116" s="375"/>
      <c r="AI116" s="374">
        <f>ABS(INDEX(AI:AI,MATCH(AI112,$AA:$AA,0)+8)+INDEX(AI:AI,MATCH(AI112,$AA:$AA,0)+9)+INDEX(AI:AI,MATCH(AI112,$AA:$AA,0)+10))</f>
        <v>0</v>
      </c>
      <c r="AJ116" s="375"/>
      <c r="AK116" s="374">
        <f>ABS(INDEX(AK:AK,MATCH(AK112,$AA:$AA,0)+8)+INDEX(AK:AK,MATCH(AK112,$AA:$AA,0)+9)+INDEX(AK:AK,MATCH(AK112,$AA:$AA,0)+10))</f>
        <v>0</v>
      </c>
      <c r="AL116" s="375"/>
      <c r="AM116" s="374">
        <f>ABS(INDEX(AM:AM,MATCH(AM112,$AA:$AA,0)+8)+INDEX(AM:AM,MATCH(AM112,$AA:$AA,0)+9)+INDEX(AM:AM,MATCH(AM112,$AA:$AA,0)+10))</f>
        <v>0</v>
      </c>
      <c r="AN116" s="375"/>
      <c r="AO116" s="374">
        <f>ABS(INDEX(AO:AO,MATCH(AO112,$AA:$AA,0)+8)+INDEX(AO:AO,MATCH(AO112,$AA:$AA,0)+9)+INDEX(AO:AO,MATCH(AO112,$AA:$AA,0)+10))</f>
        <v>0</v>
      </c>
      <c r="AP116" s="375"/>
      <c r="AQ116" s="374">
        <f>ABS(INDEX(AQ:AQ,MATCH(AQ112,$AA:$AA,0)+8)+INDEX(AQ:AQ,MATCH(AQ112,$AA:$AA,0)+9)+INDEX(AQ:AQ,MATCH(AQ112,$AA:$AA,0)+10))</f>
        <v>0</v>
      </c>
      <c r="AR116" s="375"/>
      <c r="AS116" s="374">
        <f>ABS(INDEX(AS:AS,MATCH(AS112,$AA:$AA,0)+8)+INDEX(AS:AS,MATCH(AS112,$AA:$AA,0)+9)+INDEX(AS:AS,MATCH(AS112,$AA:$AA,0)+10))</f>
        <v>0</v>
      </c>
      <c r="AT116" s="37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6.05" customHeight="1" x14ac:dyDescent="0.35">
      <c r="B117" s="365" t="str">
        <f t="shared" si="138"/>
        <v>Spieler 3</v>
      </c>
      <c r="C117" s="366" t="str">
        <f t="shared" si="138"/>
        <v/>
      </c>
      <c r="D117" s="339">
        <f>IF(AC117=301,"",AC117)</f>
        <v>0</v>
      </c>
      <c r="E117" s="339" t="str">
        <f>IF(AD117=0,"",AD117)</f>
        <v/>
      </c>
      <c r="F117" s="339">
        <f>IF(AE117=301,"",AE117)</f>
        <v>0</v>
      </c>
      <c r="G117" s="339" t="str">
        <f>IF(AF117=0,"",AF117)</f>
        <v/>
      </c>
      <c r="H117" s="339">
        <f>IF(AG117=301,"",AG117)</f>
        <v>0</v>
      </c>
      <c r="I117" s="339" t="str">
        <f>IF(AH117=0,"",AH117)</f>
        <v/>
      </c>
      <c r="J117" s="339">
        <f>IF(AI117=301,"",AI117)</f>
        <v>0</v>
      </c>
      <c r="K117" s="339" t="str">
        <f>IF(AJ117=0,"",AJ117)</f>
        <v/>
      </c>
      <c r="L117" s="339">
        <f>IF(AK117=301,"",AK117)</f>
        <v>0</v>
      </c>
      <c r="M117" s="339" t="str">
        <f>IF(AL117=0,"",AL117)</f>
        <v/>
      </c>
      <c r="N117" s="339">
        <f>IF(AM117=301,"",AM117)</f>
        <v>0</v>
      </c>
      <c r="O117" s="339" t="str">
        <f>IF(AN117=0,"",AN117)</f>
        <v/>
      </c>
      <c r="P117" s="339">
        <f>IF(AO117=301,"",AO117)</f>
        <v>0</v>
      </c>
      <c r="Q117" s="339" t="str">
        <f>IF(AP117=0,"",AP117)</f>
        <v/>
      </c>
      <c r="R117" s="339">
        <f>IF(AQ117=301,"",AQ117)</f>
        <v>0</v>
      </c>
      <c r="S117" s="339" t="str">
        <f>IF(AR117=0,"",AR117)</f>
        <v/>
      </c>
      <c r="T117" s="339">
        <f>IF(AS117=301,"",AS117)</f>
        <v>0</v>
      </c>
      <c r="U117" s="339" t="str">
        <f>IF(AT117=0,"",AT117)</f>
        <v/>
      </c>
      <c r="V117" s="340"/>
      <c r="W117" s="340"/>
      <c r="AA117" s="91" t="s">
        <v>3</v>
      </c>
      <c r="AB117" s="92"/>
      <c r="AC117" s="374">
        <f>ABS(INDEX(AC:AC,MATCH(AC112,$AA:$AA,0)+11)+INDEX(AC:AC,MATCH(AC112,$AA:$AA,0)+12)+INDEX(AC:AC,MATCH(AC112,$AA:$AA,0)+13))</f>
        <v>0</v>
      </c>
      <c r="AD117" s="375"/>
      <c r="AE117" s="374">
        <f>ABS(INDEX(AE:AE,MATCH(AE112,$AA:$AA,0)+11)+INDEX(AE:AE,MATCH(AE112,$AA:$AA,0)+12)+INDEX(AE:AE,MATCH(AE112,$AA:$AA,0)+13))</f>
        <v>0</v>
      </c>
      <c r="AF117" s="375"/>
      <c r="AG117" s="374">
        <f>ABS(INDEX(AG:AG,MATCH(AG112,$AA:$AA,0)+11)+INDEX(AG:AG,MATCH(AG112,$AA:$AA,0)+12)+INDEX(AG:AG,MATCH(AG112,$AA:$AA,0)+13))</f>
        <v>0</v>
      </c>
      <c r="AH117" s="375"/>
      <c r="AI117" s="374">
        <f>ABS(INDEX(AI:AI,MATCH(AI112,$AA:$AA,0)+11)+INDEX(AI:AI,MATCH(AI112,$AA:$AA,0)+12)+INDEX(AI:AI,MATCH(AI112,$AA:$AA,0)+13))</f>
        <v>0</v>
      </c>
      <c r="AJ117" s="375"/>
      <c r="AK117" s="374">
        <f>ABS(INDEX(AK:AK,MATCH(AK112,$AA:$AA,0)+11)+INDEX(AK:AK,MATCH(AK112,$AA:$AA,0)+12)+INDEX(AK:AK,MATCH(AK112,$AA:$AA,0)+13))</f>
        <v>0</v>
      </c>
      <c r="AL117" s="375"/>
      <c r="AM117" s="374">
        <f>ABS(INDEX(AM:AM,MATCH(AM112,$AA:$AA,0)+11)+INDEX(AM:AM,MATCH(AM112,$AA:$AA,0)+12)+INDEX(AM:AM,MATCH(AM112,$AA:$AA,0)+13))</f>
        <v>0</v>
      </c>
      <c r="AN117" s="375"/>
      <c r="AO117" s="374">
        <f>ABS(INDEX(AO:AO,MATCH(AO112,$AA:$AA,0)+11)+INDEX(AO:AO,MATCH(AO112,$AA:$AA,0)+12)+INDEX(AO:AO,MATCH(AO112,$AA:$AA,0)+13))</f>
        <v>0</v>
      </c>
      <c r="AP117" s="375"/>
      <c r="AQ117" s="374">
        <f>ABS(INDEX(AQ:AQ,MATCH(AQ112,$AA:$AA,0)+11)+INDEX(AQ:AQ,MATCH(AQ112,$AA:$AA,0)+12)+INDEX(AQ:AQ,MATCH(AQ112,$AA:$AA,0)+13))</f>
        <v>0</v>
      </c>
      <c r="AR117" s="375"/>
      <c r="AS117" s="374">
        <f>ABS(INDEX(AS:AS,MATCH(AS112,$AA:$AA,0)+11)+INDEX(AS:AS,MATCH(AS112,$AA:$AA,0)+12)+INDEX(AS:AS,MATCH(AS112,$AA:$AA,0)+13))</f>
        <v>0</v>
      </c>
      <c r="AT117" s="37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6.05" customHeight="1" x14ac:dyDescent="0.35">
      <c r="B118" s="365" t="str">
        <f t="shared" si="138"/>
        <v>Spieler 4</v>
      </c>
      <c r="C118" s="366" t="str">
        <f t="shared" si="138"/>
        <v/>
      </c>
      <c r="D118" s="339">
        <f>IF(AC118=301,"",AC118)</f>
        <v>0</v>
      </c>
      <c r="E118" s="339" t="str">
        <f>IF(AD118=0,"",AD118)</f>
        <v/>
      </c>
      <c r="F118" s="339">
        <f>IF(AE118=301,"",AE118)</f>
        <v>0</v>
      </c>
      <c r="G118" s="339" t="str">
        <f>IF(AF118=0,"",AF118)</f>
        <v/>
      </c>
      <c r="H118" s="339">
        <f>IF(AG118=301,"",AG118)</f>
        <v>0</v>
      </c>
      <c r="I118" s="339" t="str">
        <f>IF(AH118=0,"",AH118)</f>
        <v/>
      </c>
      <c r="J118" s="339">
        <f>IF(AI118=301,"",AI118)</f>
        <v>0</v>
      </c>
      <c r="K118" s="339" t="str">
        <f>IF(AJ118=0,"",AJ118)</f>
        <v/>
      </c>
      <c r="L118" s="339">
        <f>IF(AK118=301,"",AK118)</f>
        <v>0</v>
      </c>
      <c r="M118" s="339" t="str">
        <f>IF(AL118=0,"",AL118)</f>
        <v/>
      </c>
      <c r="N118" s="339">
        <f>IF(AM118=301,"",AM118)</f>
        <v>0</v>
      </c>
      <c r="O118" s="339" t="str">
        <f>IF(AN118=0,"",AN118)</f>
        <v/>
      </c>
      <c r="P118" s="339">
        <f>IF(AO118=301,"",AO118)</f>
        <v>0</v>
      </c>
      <c r="Q118" s="339" t="str">
        <f>IF(AP118=0,"",AP118)</f>
        <v/>
      </c>
      <c r="R118" s="339">
        <f>IF(AQ118=301,"",AQ118)</f>
        <v>0</v>
      </c>
      <c r="S118" s="339" t="str">
        <f>IF(AR118=0,"",AR118)</f>
        <v/>
      </c>
      <c r="T118" s="339">
        <f>IF(AS118=301,"",AS118)</f>
        <v>0</v>
      </c>
      <c r="U118" s="339" t="str">
        <f>IF(AT118=0,"",AT118)</f>
        <v/>
      </c>
      <c r="V118" s="340"/>
      <c r="W118" s="340"/>
      <c r="AA118" s="91" t="s">
        <v>11</v>
      </c>
      <c r="AB118" s="92"/>
      <c r="AC118" s="374">
        <f>ABS(INDEX(AC:AC,MATCH(AC112,$AA:$AA,0)+14)+INDEX(AC:AC,MATCH(AC112,$AA:$AA,0)+15)+INDEX(AC:AC,MATCH(AC112,$AA:$AA,0)+16))</f>
        <v>0</v>
      </c>
      <c r="AD118" s="375"/>
      <c r="AE118" s="374">
        <f>ABS(INDEX(AE:AE,MATCH(AE112,$AA:$AA,0)+14)+INDEX(AE:AE,MATCH(AE112,$AA:$AA,0)+15)+INDEX(AE:AE,MATCH(AE112,$AA:$AA,0)+16))</f>
        <v>0</v>
      </c>
      <c r="AF118" s="375"/>
      <c r="AG118" s="374">
        <f>ABS(INDEX(AG:AG,MATCH(AG112,$AA:$AA,0)+14)+INDEX(AG:AG,MATCH(AG112,$AA:$AA,0)+15)+INDEX(AG:AG,MATCH(AG112,$AA:$AA,0)+16))</f>
        <v>0</v>
      </c>
      <c r="AH118" s="375"/>
      <c r="AI118" s="374">
        <f>ABS(INDEX(AI:AI,MATCH(AI112,$AA:$AA,0)+14)+INDEX(AI:AI,MATCH(AI112,$AA:$AA,0)+15)+INDEX(AI:AI,MATCH(AI112,$AA:$AA,0)+16))</f>
        <v>0</v>
      </c>
      <c r="AJ118" s="375"/>
      <c r="AK118" s="374">
        <f>ABS(INDEX(AK:AK,MATCH(AK112,$AA:$AA,0)+14)+INDEX(AK:AK,MATCH(AK112,$AA:$AA,0)+15)+INDEX(AK:AK,MATCH(AK112,$AA:$AA,0)+16))</f>
        <v>0</v>
      </c>
      <c r="AL118" s="375"/>
      <c r="AM118" s="374">
        <f>ABS(INDEX(AM:AM,MATCH(AM112,$AA:$AA,0)+14)+INDEX(AM:AM,MATCH(AM112,$AA:$AA,0)+15)+INDEX(AM:AM,MATCH(AM112,$AA:$AA,0)+16))</f>
        <v>0</v>
      </c>
      <c r="AN118" s="375"/>
      <c r="AO118" s="374">
        <f>ABS(INDEX(AO:AO,MATCH(AO112,$AA:$AA,0)+14)+INDEX(AO:AO,MATCH(AO112,$AA:$AA,0)+15)+INDEX(AO:AO,MATCH(AO112,$AA:$AA,0)+16))</f>
        <v>0</v>
      </c>
      <c r="AP118" s="375"/>
      <c r="AQ118" s="374">
        <f>ABS(INDEX(AQ:AQ,MATCH(AQ112,$AA:$AA,0)+14)+INDEX(AQ:AQ,MATCH(AQ112,$AA:$AA,0)+15)+INDEX(AQ:AQ,MATCH(AQ112,$AA:$AA,0)+16))</f>
        <v>0</v>
      </c>
      <c r="AR118" s="375"/>
      <c r="AS118" s="374">
        <f>ABS(INDEX(AS:AS,MATCH(AS112,$AA:$AA,0)+14)+INDEX(AS:AS,MATCH(AS112,$AA:$AA,0)+15)+INDEX(AS:AS,MATCH(AS112,$AA:$AA,0)+16))</f>
        <v>0</v>
      </c>
      <c r="AT118" s="37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6.05" customHeight="1" x14ac:dyDescent="0.35">
      <c r="B119" s="354" t="str">
        <f t="shared" si="138"/>
        <v>Gesamt</v>
      </c>
      <c r="C119" s="355" t="str">
        <f t="shared" si="138"/>
        <v/>
      </c>
      <c r="D119" s="338">
        <f>IF(AC119=1505,"",AC119)</f>
        <v>0</v>
      </c>
      <c r="E119" s="338" t="str">
        <f>IF(AD119=0,"",AD119)</f>
        <v/>
      </c>
      <c r="F119" s="338">
        <f>IF(AE119=1505,"",AE119)</f>
        <v>0</v>
      </c>
      <c r="G119" s="338" t="str">
        <f>IF(AF119=0,"",AF119)</f>
        <v/>
      </c>
      <c r="H119" s="338">
        <f>IF(AG119=1505,"",AG119)</f>
        <v>0</v>
      </c>
      <c r="I119" s="338" t="str">
        <f>IF(AH119=0,"",AH119)</f>
        <v/>
      </c>
      <c r="J119" s="338">
        <f>IF(AI119=1505,"",AI119)</f>
        <v>0</v>
      </c>
      <c r="K119" s="338" t="str">
        <f>IF(AJ119=0,"",AJ119)</f>
        <v/>
      </c>
      <c r="L119" s="338">
        <f>IF(AK119=1505,"",AK119)</f>
        <v>0</v>
      </c>
      <c r="M119" s="338" t="str">
        <f>IF(AL119=0,"",AL119)</f>
        <v/>
      </c>
      <c r="N119" s="338">
        <f>IF(AM119=1505,"",AM119)</f>
        <v>0</v>
      </c>
      <c r="O119" s="338" t="str">
        <f>IF(AN119=0,"",AN119)</f>
        <v/>
      </c>
      <c r="P119" s="338">
        <f>IF(AO119=1505,"",AO119)</f>
        <v>0</v>
      </c>
      <c r="Q119" s="338" t="str">
        <f>IF(AP119=0,"",AP119)</f>
        <v/>
      </c>
      <c r="R119" s="338">
        <f>IF(AQ119=1505,"",AQ119)</f>
        <v>0</v>
      </c>
      <c r="S119" s="338" t="str">
        <f>IF(AR119=0,"",AR119)</f>
        <v/>
      </c>
      <c r="T119" s="338">
        <f>IF(AS119=1505,"",AS119)</f>
        <v>0</v>
      </c>
      <c r="U119" s="338" t="str">
        <f>IF(AT119=0,"",AT119)</f>
        <v/>
      </c>
      <c r="V119" s="290"/>
      <c r="W119" s="290"/>
      <c r="AA119" s="93" t="s">
        <v>1799</v>
      </c>
      <c r="AB119" s="94"/>
      <c r="AC119" s="354">
        <f>SUM(AC115:AC118)</f>
        <v>0</v>
      </c>
      <c r="AD119" s="355"/>
      <c r="AE119" s="354">
        <f>SUM(AE115:AE118)</f>
        <v>0</v>
      </c>
      <c r="AF119" s="355"/>
      <c r="AG119" s="354">
        <f>SUM(AG115:AG118)</f>
        <v>0</v>
      </c>
      <c r="AH119" s="355"/>
      <c r="AI119" s="354">
        <f>SUM(AI115:AI118)</f>
        <v>0</v>
      </c>
      <c r="AJ119" s="355"/>
      <c r="AK119" s="354">
        <f>SUM(AK115:AK118)</f>
        <v>0</v>
      </c>
      <c r="AL119" s="355"/>
      <c r="AM119" s="354">
        <f>SUM(AM115:AM118)</f>
        <v>0</v>
      </c>
      <c r="AN119" s="355"/>
      <c r="AO119" s="354">
        <f>SUM(AO115:AO118)</f>
        <v>0</v>
      </c>
      <c r="AP119" s="355"/>
      <c r="AQ119" s="354">
        <f>SUM(AQ115:AQ118)</f>
        <v>0</v>
      </c>
      <c r="AR119" s="355"/>
      <c r="AS119" s="354">
        <f>SUM(AS115:AS118)</f>
        <v>0</v>
      </c>
      <c r="AT119" s="35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3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7">
      <c r="B121" s="44" t="str">
        <f>AA121</f>
        <v>Team-Nr.</v>
      </c>
      <c r="C121" s="45"/>
      <c r="D121" s="44" t="str">
        <f>AC121</f>
        <v>Liga:</v>
      </c>
      <c r="E121" s="47"/>
      <c r="F121" s="359" t="str">
        <f>AE121</f>
        <v>Bayernliga Frauen</v>
      </c>
      <c r="G121" s="359"/>
      <c r="H121" s="359"/>
      <c r="I121" s="359"/>
      <c r="J121" s="359"/>
      <c r="K121" s="359"/>
      <c r="L121" s="359"/>
      <c r="M121" s="359"/>
      <c r="N121" s="359"/>
      <c r="O121" s="359"/>
      <c r="P121" s="359"/>
      <c r="Q121" s="359"/>
      <c r="R121" s="48"/>
      <c r="S121" s="49" t="s">
        <v>1794</v>
      </c>
      <c r="T121" s="50"/>
      <c r="U121" s="360" t="str">
        <f>AT121</f>
        <v>15.03./16.03.</v>
      </c>
      <c r="V121" s="361"/>
      <c r="W121" s="362"/>
      <c r="X121" s="363"/>
      <c r="Y121" s="364"/>
      <c r="Z121" s="364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0" t="str">
        <f>VLOOKUP(AS122,Spielorte!$A$1:$C$6,2)</f>
        <v>15.03./16.03.</v>
      </c>
      <c r="AU121" s="361"/>
      <c r="AV121" s="362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65">
      <c r="B122" s="53">
        <f>AA122</f>
        <v>5</v>
      </c>
      <c r="D122" s="46" t="s">
        <v>1793</v>
      </c>
      <c r="E122" s="54"/>
      <c r="F122" s="358" t="str">
        <f>AE122</f>
        <v>Brunnthal Max Munich</v>
      </c>
      <c r="G122" s="358"/>
      <c r="H122" s="358"/>
      <c r="I122" s="358"/>
      <c r="J122" s="358"/>
      <c r="K122" s="358"/>
      <c r="L122" s="358"/>
      <c r="M122" s="358"/>
      <c r="N122" s="358"/>
      <c r="O122" s="358"/>
      <c r="P122" s="55"/>
      <c r="Q122" s="55"/>
      <c r="S122" s="49" t="s">
        <v>1791</v>
      </c>
      <c r="T122" s="56">
        <f>AS122</f>
        <v>5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Brunnthal Max Munich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5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4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5" thickBot="1" x14ac:dyDescent="0.45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VLOOKUP(AA122,Schlüssel!$A$5:$DZ$14,93)</f>
        <v>7</v>
      </c>
      <c r="AE124" s="65" t="s">
        <v>10</v>
      </c>
      <c r="AF124" s="44">
        <f>VLOOKUP(AA122,Schlüssel!$A$5:$DZ$14,94)</f>
        <v>1</v>
      </c>
      <c r="AG124" s="65" t="s">
        <v>10</v>
      </c>
      <c r="AH124" s="44">
        <f>VLOOKUP(AA122,Schlüssel!$A$5:$DZ$14,95)</f>
        <v>10</v>
      </c>
      <c r="AI124" s="65" t="s">
        <v>10</v>
      </c>
      <c r="AJ124" s="44">
        <f>VLOOKUP(AA122,Schlüssel!$A$5:$DZ$14,96)</f>
        <v>6</v>
      </c>
      <c r="AK124" s="65" t="s">
        <v>10</v>
      </c>
      <c r="AL124" s="44">
        <f>VLOOKUP(AA122,Schlüssel!$A$5:$DZ$14,97)</f>
        <v>4</v>
      </c>
      <c r="AM124" s="65" t="s">
        <v>10</v>
      </c>
      <c r="AN124" s="44">
        <f>VLOOKUP(AA122,Schlüssel!$A$5:$DZ$14,98)</f>
        <v>9</v>
      </c>
      <c r="AO124" s="65" t="s">
        <v>10</v>
      </c>
      <c r="AP124" s="44">
        <f>VLOOKUP(AA122,Schlüssel!$A$5:$DZ$14,99)</f>
        <v>8</v>
      </c>
      <c r="AQ124" s="65" t="s">
        <v>10</v>
      </c>
      <c r="AR124" s="44">
        <f>VLOOKUP(AA122,Schlüssel!$A$5:$DZ$14,100)</f>
        <v>3</v>
      </c>
      <c r="AS124" s="65" t="s">
        <v>10</v>
      </c>
      <c r="AT124" s="44">
        <f>VLOOKUP(AA122,Schlüssel!$A$5:$DZ$14,101)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35">
      <c r="B125" s="67" t="s">
        <v>1</v>
      </c>
      <c r="C125" s="68"/>
      <c r="D125" s="354" t="s">
        <v>1800</v>
      </c>
      <c r="E125" s="355"/>
      <c r="F125" s="354" t="s">
        <v>1801</v>
      </c>
      <c r="G125" s="355"/>
      <c r="H125" s="354" t="s">
        <v>1802</v>
      </c>
      <c r="I125" s="355"/>
      <c r="J125" s="354" t="s">
        <v>1803</v>
      </c>
      <c r="K125" s="355"/>
      <c r="L125" s="354" t="s">
        <v>1804</v>
      </c>
      <c r="M125" s="355"/>
      <c r="N125" s="354" t="s">
        <v>1805</v>
      </c>
      <c r="O125" s="355"/>
      <c r="P125" s="354" t="s">
        <v>1806</v>
      </c>
      <c r="Q125" s="355"/>
      <c r="R125" s="354" t="s">
        <v>1807</v>
      </c>
      <c r="S125" s="355"/>
      <c r="T125" s="354" t="s">
        <v>1808</v>
      </c>
      <c r="U125" s="355"/>
      <c r="V125" s="356" t="s">
        <v>1799</v>
      </c>
      <c r="W125" s="357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4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2" customHeight="1" x14ac:dyDescent="0.35">
      <c r="A127" s="367" t="s">
        <v>0</v>
      </c>
      <c r="B127" s="73" t="str">
        <f>IF(AA127=0,"",AA127)</f>
        <v/>
      </c>
      <c r="C127" s="74" t="str">
        <f>IF(AB127=0,"",AB127)</f>
        <v/>
      </c>
      <c r="D127" s="75" t="str">
        <f>IF(AC127=0,"",AC127)</f>
        <v/>
      </c>
      <c r="E127" s="348">
        <f>IF(AD127="","",AD127)</f>
        <v>0</v>
      </c>
      <c r="F127" s="75" t="str">
        <f t="shared" ref="F127:F140" si="139">IF(AE127=0,"",AE127)</f>
        <v/>
      </c>
      <c r="G127" s="348">
        <f>IF(AF127="","",AF127)</f>
        <v>0</v>
      </c>
      <c r="H127" s="75" t="str">
        <f t="shared" ref="H127:H140" si="140">IF(AG127=0,"",AG127)</f>
        <v/>
      </c>
      <c r="I127" s="348">
        <f>IF(AH127="","",AH127)</f>
        <v>0</v>
      </c>
      <c r="J127" s="75" t="str">
        <f t="shared" ref="J127:J140" si="141">IF(AI127=0,"",AI127)</f>
        <v/>
      </c>
      <c r="K127" s="348">
        <f>IF(AJ127="","",AJ127)</f>
        <v>0</v>
      </c>
      <c r="L127" s="75" t="str">
        <f t="shared" ref="L127:L140" si="142">IF(AK127=0,"",AK127)</f>
        <v/>
      </c>
      <c r="M127" s="348">
        <f>IF(AL127="","",AL127)</f>
        <v>0</v>
      </c>
      <c r="N127" s="75" t="str">
        <f>IF(AM127=0,"",AM127)</f>
        <v/>
      </c>
      <c r="O127" s="348">
        <f>IF(AN127="","",AN127)</f>
        <v>0</v>
      </c>
      <c r="P127" s="75" t="str">
        <f t="shared" ref="P127:P140" si="143">IF(AO127=0,"",AO127)</f>
        <v/>
      </c>
      <c r="Q127" s="348">
        <f>IF(AP127="","",AP127)</f>
        <v>0</v>
      </c>
      <c r="R127" s="75" t="str">
        <f t="shared" ref="R127:R140" si="144">IF(AQ127=0,"",AQ127)</f>
        <v/>
      </c>
      <c r="S127" s="348">
        <f>IF(AR127="","",AR127)</f>
        <v>0</v>
      </c>
      <c r="T127" s="75" t="str">
        <f t="shared" ref="T127:T140" si="145">IF(AS127=0,"",AS127)</f>
        <v/>
      </c>
      <c r="U127" s="348">
        <f>IF(AT127="","",AT127)</f>
        <v>0</v>
      </c>
      <c r="V127" s="75" t="str">
        <f t="shared" ref="V127:V140" si="146">IF(AU127=0,"",AU127)</f>
        <v/>
      </c>
      <c r="W127" s="348">
        <f>IF(AV127="","",AV127)</f>
        <v>0</v>
      </c>
      <c r="Z127" s="351" t="s">
        <v>0</v>
      </c>
      <c r="AA127" s="108" t="str">
        <f>IF(AB127=0,"",VLOOKUP(AB127,Starter!$A$1:$D$199,2,FALSE))</f>
        <v/>
      </c>
      <c r="AB127" s="99"/>
      <c r="AC127" s="185"/>
      <c r="AD127" s="109">
        <f>IF(SUM(AC127:AC129)+AC145=0,0,IF(SUM(AC127:AC129)=AC145,0.5,IF(SUM(AC127:AC129)&gt;AC145,1,0)))</f>
        <v>0</v>
      </c>
      <c r="AE127" s="185"/>
      <c r="AF127" s="109">
        <f>IF(SUM(AE127:AE129)+AE145=0,0,IF(SUM(AE127:AE129)=AE145,0.5,IF(SUM(AE127:AE129)&gt;AE145,1,0)))</f>
        <v>0</v>
      </c>
      <c r="AG127" s="185"/>
      <c r="AH127" s="109">
        <f>IF(SUM(AG127:AG129)+AG145=0,0,IF(SUM(AG127:AG129)=AG145,0.5,IF(SUM(AG127:AG129)&gt;AG145,1,0)))</f>
        <v>0</v>
      </c>
      <c r="AI127" s="185"/>
      <c r="AJ127" s="109">
        <f>IF(SUM(AI127:AI129)+AI145=0,0,IF(SUM(AI127:AI129)=AI145,0.5,IF(SUM(AI127:AI129)&gt;AI145,1,0)))</f>
        <v>0</v>
      </c>
      <c r="AK127" s="185"/>
      <c r="AL127" s="109">
        <f>IF(SUM(AK127:AK129)+AK145=0,0,IF(SUM(AK127:AK129)=AK145,0.5,IF(SUM(AK127:AK129)&gt;AK145,1,0)))</f>
        <v>0</v>
      </c>
      <c r="AM127" s="185"/>
      <c r="AN127" s="109">
        <f>IF(SUM(AM127:AM129)+AM145=0,0,IF(SUM(AM127:AM129)=AM145,0.5,IF(SUM(AM127:AM129)&gt;AM145,1,0)))</f>
        <v>0</v>
      </c>
      <c r="AO127" s="185"/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0</v>
      </c>
      <c r="AS127" s="185"/>
      <c r="AT127" s="109">
        <f>IF(SUM(AS127:AS129)+AS145=0,0,IF(SUM(AS127:AS129)=AS145,0.5,IF(SUM(AS127:AS129)&gt;AS145,1,0)))</f>
        <v>0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0</v>
      </c>
      <c r="AV127" s="111">
        <f>SUM(AD127+AF127+AH127+AJ127+AL127+AN127+AP127+AR127+AT127)</f>
        <v>0</v>
      </c>
      <c r="AW127" s="101"/>
      <c r="AX127" s="102"/>
      <c r="AZ127" s="63"/>
      <c r="BA127" s="212"/>
      <c r="BB127" s="213"/>
      <c r="BC127" s="214"/>
      <c r="BD127" s="217">
        <f>+AB127</f>
        <v>0</v>
      </c>
      <c r="BE127" s="213">
        <f>+AU127</f>
        <v>0</v>
      </c>
      <c r="BF127" s="215">
        <f>COUNT(BH127:BP127)</f>
        <v>0</v>
      </c>
      <c r="BG127" s="215">
        <f>COUNTIF(BH127:BP127,"&gt;0")</f>
        <v>0</v>
      </c>
      <c r="BH127" s="215" t="str">
        <f t="shared" ref="BH127:BH138" si="148">IF(AC127=0,"",AC127)</f>
        <v/>
      </c>
      <c r="BI127" s="215" t="str">
        <f t="shared" ref="BI127:BI138" si="149">IF(AE127=0,"",AE127)</f>
        <v/>
      </c>
      <c r="BJ127" s="215" t="str">
        <f t="shared" ref="BJ127:BJ138" si="150">IF(AG127=0,"",AG127)</f>
        <v/>
      </c>
      <c r="BK127" s="215" t="str">
        <f t="shared" ref="BK127:BK138" si="151">IF(AI127=0,"",AI127)</f>
        <v/>
      </c>
      <c r="BL127" s="215" t="str">
        <f t="shared" ref="BL127:BL138" si="152">IF(AK127=0,"",AK127)</f>
        <v/>
      </c>
      <c r="BM127" s="215" t="str">
        <f t="shared" ref="BM127:BM138" si="153">IF(AM127=0,"",AM127)</f>
        <v/>
      </c>
      <c r="BN127" s="215" t="str">
        <f t="shared" ref="BN127:BN138" si="154">IF(AO127=0,"",AO127)</f>
        <v/>
      </c>
      <c r="BO127" s="215" t="str">
        <f t="shared" ref="BO127:BO138" si="155">IF(AQ127=0,"",AQ127)</f>
        <v/>
      </c>
      <c r="BP127" s="215" t="str">
        <f t="shared" ref="BP127:BP138" si="156">IF(AS127=0,"",AS127)</f>
        <v/>
      </c>
      <c r="BQ127" s="216"/>
      <c r="BR127" s="214"/>
      <c r="BS127" s="215">
        <f>MAX(BH127:BP127)</f>
        <v>0</v>
      </c>
      <c r="BT127" s="215">
        <f>IF(BS127&lt;MAX(BS:BS),0,BS127+ROW()/1000000000)</f>
        <v>1.2700000000000001E-7</v>
      </c>
      <c r="BU127" s="215" t="str">
        <f>+AA123</f>
        <v xml:space="preserve">Weiß Blau Unterföhring </v>
      </c>
      <c r="BV127" s="214">
        <f>RANK(BT127,BT:BT)</f>
        <v>72</v>
      </c>
      <c r="BW127" s="215">
        <f>SUMIF(BH127:BP127,"&gt;0")</f>
        <v>0</v>
      </c>
      <c r="BX127" s="215">
        <f>IF(COUNTIF(BH127:BP127,"&gt;0")&lt;Spielorte!$A$23,0,BE127/Spielorte!$A$23)</f>
        <v>0</v>
      </c>
      <c r="BY127" s="215">
        <f>IF(BX127&lt;MAX(BX:BX),0,BX127+ROW()/1000000000)</f>
        <v>1.2700000000000001E-7</v>
      </c>
      <c r="BZ127" s="214">
        <f t="shared" ref="BZ127:BZ138" si="157">IF(BY127=0,0,RANK(BY127,BY:BY))</f>
        <v>72</v>
      </c>
    </row>
    <row r="128" spans="1:78" ht="17.2" customHeight="1" x14ac:dyDescent="0.35">
      <c r="A128" s="368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49"/>
      <c r="F128" s="78" t="str">
        <f t="shared" si="139"/>
        <v/>
      </c>
      <c r="G128" s="349"/>
      <c r="H128" s="78" t="str">
        <f t="shared" si="140"/>
        <v/>
      </c>
      <c r="I128" s="349"/>
      <c r="J128" s="78" t="str">
        <f t="shared" si="141"/>
        <v/>
      </c>
      <c r="K128" s="349"/>
      <c r="L128" s="78" t="str">
        <f t="shared" si="142"/>
        <v/>
      </c>
      <c r="M128" s="349"/>
      <c r="N128" s="78" t="str">
        <f t="shared" ref="N128:N140" si="159">IF(AM128=0,"",AM128)</f>
        <v/>
      </c>
      <c r="O128" s="349"/>
      <c r="P128" s="78" t="str">
        <f t="shared" si="143"/>
        <v/>
      </c>
      <c r="Q128" s="349"/>
      <c r="R128" s="78" t="str">
        <f t="shared" si="144"/>
        <v/>
      </c>
      <c r="S128" s="349"/>
      <c r="T128" s="78" t="str">
        <f t="shared" si="145"/>
        <v/>
      </c>
      <c r="U128" s="349"/>
      <c r="V128" s="78" t="str">
        <f t="shared" si="146"/>
        <v/>
      </c>
      <c r="W128" s="349"/>
      <c r="Z128" s="352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1.2800000000000001E-7</v>
      </c>
      <c r="BU128" s="215" t="str">
        <f t="shared" ref="BU128:BU138" si="166">+BU127</f>
        <v xml:space="preserve">Weiß Blau Unterföhring </v>
      </c>
      <c r="BV128" s="214">
        <f t="shared" ref="BV128:BV138" si="167">RANK(BT128,BT:BT)</f>
        <v>71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1.2800000000000001E-7</v>
      </c>
      <c r="BZ128" s="214">
        <f t="shared" si="157"/>
        <v>71</v>
      </c>
    </row>
    <row r="129" spans="1:78" ht="17.2" customHeight="1" thickBot="1" x14ac:dyDescent="0.4">
      <c r="A129" s="369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50"/>
      <c r="F129" s="69" t="str">
        <f t="shared" si="139"/>
        <v/>
      </c>
      <c r="G129" s="350"/>
      <c r="H129" s="69" t="str">
        <f t="shared" si="140"/>
        <v/>
      </c>
      <c r="I129" s="350"/>
      <c r="J129" s="69" t="str">
        <f t="shared" si="141"/>
        <v/>
      </c>
      <c r="K129" s="350"/>
      <c r="L129" s="69" t="str">
        <f t="shared" si="142"/>
        <v/>
      </c>
      <c r="M129" s="350"/>
      <c r="N129" s="69" t="str">
        <f t="shared" si="159"/>
        <v/>
      </c>
      <c r="O129" s="350"/>
      <c r="P129" s="69" t="str">
        <f t="shared" si="143"/>
        <v/>
      </c>
      <c r="Q129" s="350"/>
      <c r="R129" s="69" t="str">
        <f t="shared" si="144"/>
        <v/>
      </c>
      <c r="S129" s="350"/>
      <c r="T129" s="69" t="str">
        <f t="shared" si="145"/>
        <v/>
      </c>
      <c r="U129" s="350"/>
      <c r="V129" s="69" t="str">
        <f t="shared" si="146"/>
        <v/>
      </c>
      <c r="W129" s="350"/>
      <c r="Z129" s="353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1.29E-7</v>
      </c>
      <c r="BU129" s="215" t="str">
        <f t="shared" si="166"/>
        <v xml:space="preserve">Weiß Blau Unterföhring </v>
      </c>
      <c r="BV129" s="214">
        <f t="shared" si="167"/>
        <v>70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1.29E-7</v>
      </c>
      <c r="BZ129" s="214">
        <f t="shared" si="157"/>
        <v>70</v>
      </c>
    </row>
    <row r="130" spans="1:78" ht="17.2" customHeight="1" x14ac:dyDescent="0.35">
      <c r="A130" s="367" t="s">
        <v>2</v>
      </c>
      <c r="B130" s="73" t="str">
        <f t="shared" si="158"/>
        <v/>
      </c>
      <c r="C130" s="74" t="str">
        <f t="shared" si="158"/>
        <v/>
      </c>
      <c r="D130" s="75" t="str">
        <f t="shared" si="158"/>
        <v/>
      </c>
      <c r="E130" s="348">
        <f>IF(AD130="","",AD130)</f>
        <v>0</v>
      </c>
      <c r="F130" s="75" t="str">
        <f t="shared" si="139"/>
        <v/>
      </c>
      <c r="G130" s="348">
        <f>IF(AF130="","",AF130)</f>
        <v>0</v>
      </c>
      <c r="H130" s="75" t="str">
        <f t="shared" si="140"/>
        <v/>
      </c>
      <c r="I130" s="348">
        <f>IF(AH130="","",AH130)</f>
        <v>0</v>
      </c>
      <c r="J130" s="75" t="str">
        <f t="shared" si="141"/>
        <v/>
      </c>
      <c r="K130" s="348">
        <f>IF(AJ130="","",AJ130)</f>
        <v>0</v>
      </c>
      <c r="L130" s="75" t="str">
        <f t="shared" si="142"/>
        <v/>
      </c>
      <c r="M130" s="348">
        <f>IF(AL130="","",AL130)</f>
        <v>0</v>
      </c>
      <c r="N130" s="75" t="str">
        <f t="shared" si="159"/>
        <v/>
      </c>
      <c r="O130" s="348">
        <f>IF(AN130="","",AN130)</f>
        <v>0</v>
      </c>
      <c r="P130" s="75" t="str">
        <f t="shared" si="143"/>
        <v/>
      </c>
      <c r="Q130" s="348">
        <f>IF(AP130="","",AP130)</f>
        <v>0</v>
      </c>
      <c r="R130" s="75" t="str">
        <f t="shared" si="144"/>
        <v/>
      </c>
      <c r="S130" s="348">
        <f>IF(AR130="","",AR130)</f>
        <v>0</v>
      </c>
      <c r="T130" s="75" t="str">
        <f t="shared" si="145"/>
        <v/>
      </c>
      <c r="U130" s="348">
        <f>IF(AT130="","",AT130)</f>
        <v>0</v>
      </c>
      <c r="V130" s="75" t="str">
        <f t="shared" si="146"/>
        <v/>
      </c>
      <c r="W130" s="348">
        <f>IF(AV130="","",AV130)</f>
        <v>0</v>
      </c>
      <c r="Z130" s="351" t="s">
        <v>2</v>
      </c>
      <c r="AA130" s="108" t="str">
        <f>IF(AB130=0,"",VLOOKUP(AB130,Starter!$A$1:$D$199,2,FALSE))</f>
        <v/>
      </c>
      <c r="AB130" s="99"/>
      <c r="AC130" s="188"/>
      <c r="AD130" s="109">
        <f>IF(SUM(AC130:AC132)+AC146=0,0,IF(SUM(AC130:AC132)=AC146,0.5,IF(SUM(AC130:AC132)&gt;AC146,1,0)))</f>
        <v>0</v>
      </c>
      <c r="AE130" s="188"/>
      <c r="AF130" s="109">
        <f>IF(SUM(AE130:AE132)+AE146=0,0,IF(SUM(AE130:AE132)=AE146,0.5,IF(SUM(AE130:AE132)&gt;AE146,1,0)))</f>
        <v>0</v>
      </c>
      <c r="AG130" s="188"/>
      <c r="AH130" s="109">
        <f>IF(SUM(AG130:AG132)+AG146=0,0,IF(SUM(AG130:AG132)=AG146,0.5,IF(SUM(AG130:AG132)&gt;AG146,1,0)))</f>
        <v>0</v>
      </c>
      <c r="AI130" s="188"/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0</v>
      </c>
      <c r="AS130" s="188"/>
      <c r="AT130" s="109">
        <f>IF(SUM(AS130:AS132)+AS146=0,0,IF(SUM(AS130:AS132)=AS146,0.5,IF(SUM(AS130:AS132)&gt;AS146,1,0)))</f>
        <v>0</v>
      </c>
      <c r="AU130" s="110">
        <f t="shared" si="147"/>
        <v>0</v>
      </c>
      <c r="AV130" s="111">
        <f>SUM(AD130+AF130+AH130+AJ130+AL130+AN130+AP130+AR130+AT130)</f>
        <v>0</v>
      </c>
      <c r="AW130" s="101"/>
      <c r="AX130" s="102"/>
      <c r="AZ130" s="63"/>
      <c r="BA130" s="212"/>
      <c r="BB130" s="213"/>
      <c r="BC130" s="214"/>
      <c r="BD130" s="217">
        <f t="shared" si="160"/>
        <v>0</v>
      </c>
      <c r="BE130" s="213">
        <f t="shared" si="161"/>
        <v>0</v>
      </c>
      <c r="BF130" s="215">
        <f t="shared" si="162"/>
        <v>0</v>
      </c>
      <c r="BG130" s="215">
        <f t="shared" si="163"/>
        <v>0</v>
      </c>
      <c r="BH130" s="215" t="str">
        <f t="shared" si="148"/>
        <v/>
      </c>
      <c r="BI130" s="215" t="str">
        <f t="shared" si="149"/>
        <v/>
      </c>
      <c r="BJ130" s="215" t="str">
        <f t="shared" si="150"/>
        <v/>
      </c>
      <c r="BK130" s="215" t="str">
        <f t="shared" si="151"/>
        <v/>
      </c>
      <c r="BL130" s="215" t="str">
        <f t="shared" si="152"/>
        <v/>
      </c>
      <c r="BM130" s="215" t="str">
        <f t="shared" si="153"/>
        <v/>
      </c>
      <c r="BN130" s="215" t="str">
        <f t="shared" si="154"/>
        <v/>
      </c>
      <c r="BO130" s="215" t="str">
        <f t="shared" si="155"/>
        <v/>
      </c>
      <c r="BP130" s="215" t="str">
        <f t="shared" si="156"/>
        <v/>
      </c>
      <c r="BQ130" s="216"/>
      <c r="BR130" s="214"/>
      <c r="BS130" s="215">
        <f t="shared" si="164"/>
        <v>0</v>
      </c>
      <c r="BT130" s="215">
        <f t="shared" si="165"/>
        <v>1.3E-7</v>
      </c>
      <c r="BU130" s="215" t="str">
        <f t="shared" si="166"/>
        <v xml:space="preserve">Weiß Blau Unterföhring </v>
      </c>
      <c r="BV130" s="214">
        <f t="shared" si="167"/>
        <v>69</v>
      </c>
      <c r="BW130" s="215">
        <f t="shared" si="168"/>
        <v>0</v>
      </c>
      <c r="BX130" s="215">
        <f>IF(COUNTIF(BH130:BP130,"&gt;0")&lt;Spielorte!$A$23,0,BE130/Spielorte!$A$23)</f>
        <v>0</v>
      </c>
      <c r="BY130" s="215">
        <f t="shared" si="169"/>
        <v>1.3E-7</v>
      </c>
      <c r="BZ130" s="214">
        <f t="shared" si="157"/>
        <v>69</v>
      </c>
    </row>
    <row r="131" spans="1:78" ht="17.2" customHeight="1" x14ac:dyDescent="0.35">
      <c r="A131" s="368"/>
      <c r="B131" s="76" t="str">
        <f t="shared" si="158"/>
        <v/>
      </c>
      <c r="C131" s="77" t="str">
        <f t="shared" si="158"/>
        <v/>
      </c>
      <c r="D131" s="78" t="str">
        <f t="shared" si="158"/>
        <v/>
      </c>
      <c r="E131" s="349"/>
      <c r="F131" s="78" t="str">
        <f t="shared" si="139"/>
        <v/>
      </c>
      <c r="G131" s="349"/>
      <c r="H131" s="78" t="str">
        <f t="shared" si="140"/>
        <v/>
      </c>
      <c r="I131" s="349"/>
      <c r="J131" s="78" t="str">
        <f t="shared" si="141"/>
        <v/>
      </c>
      <c r="K131" s="349"/>
      <c r="L131" s="78" t="str">
        <f t="shared" si="142"/>
        <v/>
      </c>
      <c r="M131" s="349"/>
      <c r="N131" s="78" t="str">
        <f t="shared" si="159"/>
        <v/>
      </c>
      <c r="O131" s="349"/>
      <c r="P131" s="78" t="str">
        <f t="shared" si="143"/>
        <v/>
      </c>
      <c r="Q131" s="349"/>
      <c r="R131" s="78" t="str">
        <f t="shared" si="144"/>
        <v/>
      </c>
      <c r="S131" s="349"/>
      <c r="T131" s="78" t="str">
        <f t="shared" si="145"/>
        <v/>
      </c>
      <c r="U131" s="349"/>
      <c r="V131" s="78" t="str">
        <f t="shared" si="146"/>
        <v/>
      </c>
      <c r="W131" s="349"/>
      <c r="Z131" s="352"/>
      <c r="AA131" s="108" t="str">
        <f>IF(AB131=0,"",VLOOKUP(AB131,Starter!$A$1:$D$199,2,FALSE))</f>
        <v/>
      </c>
      <c r="AB131" s="98"/>
      <c r="AC131" s="186"/>
      <c r="AD131" s="112"/>
      <c r="AE131" s="186"/>
      <c r="AF131" s="112"/>
      <c r="AG131" s="186"/>
      <c r="AH131" s="112"/>
      <c r="AI131" s="186"/>
      <c r="AJ131" s="112"/>
      <c r="AK131" s="186"/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7"/>
        <v>0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0</v>
      </c>
      <c r="BE131" s="213">
        <f t="shared" si="161"/>
        <v>0</v>
      </c>
      <c r="BF131" s="215">
        <f t="shared" si="162"/>
        <v>0</v>
      </c>
      <c r="BG131" s="215">
        <f t="shared" si="163"/>
        <v>0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 t="str">
        <f t="shared" si="151"/>
        <v/>
      </c>
      <c r="BL131" s="215" t="str">
        <f t="shared" si="152"/>
        <v/>
      </c>
      <c r="BM131" s="215" t="str">
        <f t="shared" si="153"/>
        <v/>
      </c>
      <c r="BN131" s="215" t="str">
        <f t="shared" si="154"/>
        <v/>
      </c>
      <c r="BO131" s="215" t="str">
        <f t="shared" si="155"/>
        <v/>
      </c>
      <c r="BP131" s="215" t="str">
        <f t="shared" si="156"/>
        <v/>
      </c>
      <c r="BQ131" s="216"/>
      <c r="BR131" s="214"/>
      <c r="BS131" s="215">
        <f t="shared" si="164"/>
        <v>0</v>
      </c>
      <c r="BT131" s="215">
        <f t="shared" si="165"/>
        <v>1.31E-7</v>
      </c>
      <c r="BU131" s="215" t="str">
        <f t="shared" si="166"/>
        <v xml:space="preserve">Weiß Blau Unterföhring </v>
      </c>
      <c r="BV131" s="214">
        <f t="shared" si="167"/>
        <v>68</v>
      </c>
      <c r="BW131" s="215">
        <f t="shared" si="168"/>
        <v>0</v>
      </c>
      <c r="BX131" s="215">
        <f>IF(COUNTIF(BH131:BP131,"&gt;0")&lt;Spielorte!$A$23,0,BE131/Spielorte!$A$23)</f>
        <v>0</v>
      </c>
      <c r="BY131" s="215">
        <f t="shared" si="169"/>
        <v>1.31E-7</v>
      </c>
      <c r="BZ131" s="214">
        <f t="shared" si="157"/>
        <v>68</v>
      </c>
    </row>
    <row r="132" spans="1:78" ht="17.2" customHeight="1" thickBot="1" x14ac:dyDescent="0.4">
      <c r="A132" s="369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50"/>
      <c r="F132" s="69" t="str">
        <f t="shared" si="139"/>
        <v/>
      </c>
      <c r="G132" s="350"/>
      <c r="H132" s="69" t="str">
        <f t="shared" si="140"/>
        <v/>
      </c>
      <c r="I132" s="350"/>
      <c r="J132" s="69" t="str">
        <f t="shared" si="141"/>
        <v/>
      </c>
      <c r="K132" s="350"/>
      <c r="L132" s="69" t="str">
        <f t="shared" si="142"/>
        <v/>
      </c>
      <c r="M132" s="350"/>
      <c r="N132" s="69" t="str">
        <f t="shared" si="159"/>
        <v/>
      </c>
      <c r="O132" s="350"/>
      <c r="P132" s="69" t="str">
        <f t="shared" si="143"/>
        <v/>
      </c>
      <c r="Q132" s="350"/>
      <c r="R132" s="69" t="str">
        <f t="shared" si="144"/>
        <v/>
      </c>
      <c r="S132" s="350"/>
      <c r="T132" s="69" t="str">
        <f t="shared" si="145"/>
        <v/>
      </c>
      <c r="U132" s="350"/>
      <c r="V132" s="69" t="str">
        <f t="shared" si="146"/>
        <v/>
      </c>
      <c r="W132" s="350"/>
      <c r="Z132" s="353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1.3199999999999999E-7</v>
      </c>
      <c r="BU132" s="215" t="str">
        <f t="shared" si="166"/>
        <v xml:space="preserve">Weiß Blau Unterföhring </v>
      </c>
      <c r="BV132" s="214">
        <f t="shared" si="167"/>
        <v>67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1.3199999999999999E-7</v>
      </c>
      <c r="BZ132" s="214">
        <f t="shared" si="157"/>
        <v>67</v>
      </c>
    </row>
    <row r="133" spans="1:78" ht="17.2" customHeight="1" x14ac:dyDescent="0.35">
      <c r="A133" s="367" t="s">
        <v>3</v>
      </c>
      <c r="B133" s="73" t="str">
        <f t="shared" si="158"/>
        <v/>
      </c>
      <c r="C133" s="74" t="str">
        <f t="shared" si="158"/>
        <v/>
      </c>
      <c r="D133" s="75" t="str">
        <f t="shared" si="158"/>
        <v/>
      </c>
      <c r="E133" s="348">
        <f>IF(AD133="","",AD133)</f>
        <v>0</v>
      </c>
      <c r="F133" s="75" t="str">
        <f t="shared" si="139"/>
        <v/>
      </c>
      <c r="G133" s="348">
        <f>IF(AF133="","",AF133)</f>
        <v>0</v>
      </c>
      <c r="H133" s="75" t="str">
        <f t="shared" si="140"/>
        <v/>
      </c>
      <c r="I133" s="348">
        <f>IF(AH133="","",AH133)</f>
        <v>0</v>
      </c>
      <c r="J133" s="75" t="str">
        <f t="shared" si="141"/>
        <v/>
      </c>
      <c r="K133" s="348">
        <f>IF(AJ133="","",AJ133)</f>
        <v>0</v>
      </c>
      <c r="L133" s="75" t="str">
        <f t="shared" si="142"/>
        <v/>
      </c>
      <c r="M133" s="348">
        <f>IF(AL133="","",AL133)</f>
        <v>0</v>
      </c>
      <c r="N133" s="75" t="str">
        <f t="shared" si="159"/>
        <v/>
      </c>
      <c r="O133" s="348">
        <f>IF(AN133="","",AN133)</f>
        <v>0</v>
      </c>
      <c r="P133" s="75" t="str">
        <f t="shared" si="143"/>
        <v/>
      </c>
      <c r="Q133" s="348">
        <f>IF(AP133="","",AP133)</f>
        <v>0</v>
      </c>
      <c r="R133" s="75" t="str">
        <f t="shared" si="144"/>
        <v/>
      </c>
      <c r="S133" s="348">
        <f>IF(AR133="","",AR133)</f>
        <v>0</v>
      </c>
      <c r="T133" s="75" t="str">
        <f t="shared" si="145"/>
        <v/>
      </c>
      <c r="U133" s="348">
        <f>IF(AT133="","",AT133)</f>
        <v>0</v>
      </c>
      <c r="V133" s="75" t="str">
        <f t="shared" si="146"/>
        <v/>
      </c>
      <c r="W133" s="348">
        <f>IF(AV133="","",AV133)</f>
        <v>0</v>
      </c>
      <c r="Z133" s="351" t="s">
        <v>3</v>
      </c>
      <c r="AA133" s="108" t="str">
        <f>IF(AB133=0,"",VLOOKUP(AB133,Starter!$A$1:$D$199,2,FALSE))</f>
        <v/>
      </c>
      <c r="AB133" s="99"/>
      <c r="AC133" s="188"/>
      <c r="AD133" s="109">
        <f>IF(SUM(AC133:AC135)+AC147=0,0,IF(SUM(AC133:AC135)=AC147,0.5,IF(SUM(AC133:AC135)&gt;AC147,1,0)))</f>
        <v>0</v>
      </c>
      <c r="AE133" s="188"/>
      <c r="AF133" s="109">
        <f>IF(SUM(AE133:AE135)+AE147=0,0,IF(SUM(AE133:AE135)=AE147,0.5,IF(SUM(AE133:AE135)&gt;AE147,1,0)))</f>
        <v>0</v>
      </c>
      <c r="AG133" s="188"/>
      <c r="AH133" s="109">
        <f>IF(SUM(AG133:AG135)+AG147=0,0,IF(SUM(AG133:AG135)=AG147,0.5,IF(SUM(AG133:AG135)&gt;AG147,1,0)))</f>
        <v>0</v>
      </c>
      <c r="AI133" s="188"/>
      <c r="AJ133" s="109">
        <f>IF(SUM(AI133:AI135)+AI147=0,0,IF(SUM(AI133:AI135)=AI147,0.5,IF(SUM(AI133:AI135)&gt;AI147,1,0)))</f>
        <v>0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0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0</v>
      </c>
      <c r="AS133" s="188"/>
      <c r="AT133" s="109">
        <f>IF(SUM(AS133:AS135)+AS147=0,0,IF(SUM(AS133:AS135)=AS147,0.5,IF(SUM(AS133:AS135)&gt;AS147,1,0)))</f>
        <v>0</v>
      </c>
      <c r="AU133" s="110">
        <f t="shared" si="147"/>
        <v>0</v>
      </c>
      <c r="AV133" s="111">
        <f>SUM(AD133+AF133+AH133+AJ133+AL133+AN133+AP133+AR133+AT133)</f>
        <v>0</v>
      </c>
      <c r="AW133" s="101"/>
      <c r="AX133" s="102"/>
      <c r="AZ133" s="63"/>
      <c r="BA133" s="212"/>
      <c r="BB133" s="213"/>
      <c r="BC133" s="214"/>
      <c r="BD133" s="217">
        <f t="shared" si="160"/>
        <v>0</v>
      </c>
      <c r="BE133" s="213">
        <f t="shared" si="161"/>
        <v>0</v>
      </c>
      <c r="BF133" s="215">
        <f t="shared" si="162"/>
        <v>0</v>
      </c>
      <c r="BG133" s="215">
        <f t="shared" si="163"/>
        <v>0</v>
      </c>
      <c r="BH133" s="215" t="str">
        <f t="shared" si="148"/>
        <v/>
      </c>
      <c r="BI133" s="215" t="str">
        <f t="shared" si="149"/>
        <v/>
      </c>
      <c r="BJ133" s="215" t="str">
        <f t="shared" si="150"/>
        <v/>
      </c>
      <c r="BK133" s="215" t="str">
        <f t="shared" si="151"/>
        <v/>
      </c>
      <c r="BL133" s="215" t="str">
        <f t="shared" si="152"/>
        <v/>
      </c>
      <c r="BM133" s="215" t="str">
        <f t="shared" si="153"/>
        <v/>
      </c>
      <c r="BN133" s="215" t="str">
        <f t="shared" si="154"/>
        <v/>
      </c>
      <c r="BO133" s="215" t="str">
        <f t="shared" si="155"/>
        <v/>
      </c>
      <c r="BP133" s="215" t="str">
        <f t="shared" si="156"/>
        <v/>
      </c>
      <c r="BQ133" s="216"/>
      <c r="BR133" s="214"/>
      <c r="BS133" s="215">
        <f t="shared" si="164"/>
        <v>0</v>
      </c>
      <c r="BT133" s="215">
        <f t="shared" si="165"/>
        <v>1.3300000000000001E-7</v>
      </c>
      <c r="BU133" s="215" t="str">
        <f t="shared" si="166"/>
        <v xml:space="preserve">Weiß Blau Unterföhring </v>
      </c>
      <c r="BV133" s="214">
        <f t="shared" si="167"/>
        <v>66</v>
      </c>
      <c r="BW133" s="215">
        <f t="shared" si="168"/>
        <v>0</v>
      </c>
      <c r="BX133" s="215">
        <f>IF(COUNTIF(BH133:BP133,"&gt;0")&lt;Spielorte!$A$23,0,BE133/Spielorte!$A$23)</f>
        <v>0</v>
      </c>
      <c r="BY133" s="215">
        <f t="shared" si="169"/>
        <v>1.3300000000000001E-7</v>
      </c>
      <c r="BZ133" s="214">
        <f t="shared" si="157"/>
        <v>66</v>
      </c>
    </row>
    <row r="134" spans="1:78" ht="17.2" customHeight="1" x14ac:dyDescent="0.35">
      <c r="A134" s="368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49"/>
      <c r="F134" s="78" t="str">
        <f t="shared" si="139"/>
        <v/>
      </c>
      <c r="G134" s="349"/>
      <c r="H134" s="78" t="str">
        <f t="shared" si="140"/>
        <v/>
      </c>
      <c r="I134" s="349"/>
      <c r="J134" s="78" t="str">
        <f t="shared" si="141"/>
        <v/>
      </c>
      <c r="K134" s="349"/>
      <c r="L134" s="78" t="str">
        <f t="shared" si="142"/>
        <v/>
      </c>
      <c r="M134" s="349"/>
      <c r="N134" s="78" t="str">
        <f t="shared" si="159"/>
        <v/>
      </c>
      <c r="O134" s="349"/>
      <c r="P134" s="78" t="str">
        <f t="shared" si="143"/>
        <v/>
      </c>
      <c r="Q134" s="349"/>
      <c r="R134" s="78" t="str">
        <f t="shared" si="144"/>
        <v/>
      </c>
      <c r="S134" s="349"/>
      <c r="T134" s="78" t="str">
        <f t="shared" si="145"/>
        <v/>
      </c>
      <c r="U134" s="349"/>
      <c r="V134" s="78" t="str">
        <f t="shared" si="146"/>
        <v/>
      </c>
      <c r="W134" s="349"/>
      <c r="Z134" s="352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1.3400000000000001E-7</v>
      </c>
      <c r="BU134" s="215" t="str">
        <f t="shared" si="166"/>
        <v xml:space="preserve">Weiß Blau Unterföhring </v>
      </c>
      <c r="BV134" s="214">
        <f t="shared" si="167"/>
        <v>65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1.3400000000000001E-7</v>
      </c>
      <c r="BZ134" s="214">
        <f t="shared" si="157"/>
        <v>65</v>
      </c>
    </row>
    <row r="135" spans="1:78" ht="17.2" customHeight="1" thickBot="1" x14ac:dyDescent="0.4">
      <c r="A135" s="369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50"/>
      <c r="F135" s="69" t="str">
        <f t="shared" si="139"/>
        <v/>
      </c>
      <c r="G135" s="350"/>
      <c r="H135" s="69" t="str">
        <f t="shared" si="140"/>
        <v/>
      </c>
      <c r="I135" s="350"/>
      <c r="J135" s="69" t="str">
        <f t="shared" si="141"/>
        <v/>
      </c>
      <c r="K135" s="350"/>
      <c r="L135" s="69" t="str">
        <f t="shared" si="142"/>
        <v/>
      </c>
      <c r="M135" s="350"/>
      <c r="N135" s="69" t="str">
        <f t="shared" si="159"/>
        <v/>
      </c>
      <c r="O135" s="350"/>
      <c r="P135" s="69" t="str">
        <f t="shared" si="143"/>
        <v/>
      </c>
      <c r="Q135" s="350"/>
      <c r="R135" s="69" t="str">
        <f t="shared" si="144"/>
        <v/>
      </c>
      <c r="S135" s="350"/>
      <c r="T135" s="69" t="str">
        <f t="shared" si="145"/>
        <v/>
      </c>
      <c r="U135" s="350"/>
      <c r="V135" s="69" t="str">
        <f t="shared" si="146"/>
        <v/>
      </c>
      <c r="W135" s="350"/>
      <c r="Z135" s="353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1.35E-7</v>
      </c>
      <c r="BU135" s="215" t="str">
        <f t="shared" si="166"/>
        <v xml:space="preserve">Weiß Blau Unterföhring </v>
      </c>
      <c r="BV135" s="214">
        <f t="shared" si="167"/>
        <v>64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1.35E-7</v>
      </c>
      <c r="BZ135" s="214">
        <f t="shared" si="157"/>
        <v>64</v>
      </c>
    </row>
    <row r="136" spans="1:78" ht="17.2" customHeight="1" x14ac:dyDescent="0.35">
      <c r="A136" s="367" t="s">
        <v>11</v>
      </c>
      <c r="B136" s="73" t="str">
        <f>IF(AA136=0,"",AA136)</f>
        <v/>
      </c>
      <c r="C136" s="74" t="str">
        <f t="shared" si="158"/>
        <v/>
      </c>
      <c r="D136" s="75" t="str">
        <f t="shared" si="158"/>
        <v/>
      </c>
      <c r="E136" s="348">
        <f>IF(AD136="","",AD136)</f>
        <v>0</v>
      </c>
      <c r="F136" s="75" t="str">
        <f t="shared" si="139"/>
        <v/>
      </c>
      <c r="G136" s="348">
        <f>IF(AF136="","",AF136)</f>
        <v>0</v>
      </c>
      <c r="H136" s="75" t="str">
        <f t="shared" si="140"/>
        <v/>
      </c>
      <c r="I136" s="348">
        <f>IF(AH136="","",AH136)</f>
        <v>0</v>
      </c>
      <c r="J136" s="75" t="str">
        <f t="shared" si="141"/>
        <v/>
      </c>
      <c r="K136" s="348">
        <f>IF(AJ136="","",AJ136)</f>
        <v>0</v>
      </c>
      <c r="L136" s="75" t="str">
        <f t="shared" si="142"/>
        <v/>
      </c>
      <c r="M136" s="348">
        <f>IF(AL136="","",AL136)</f>
        <v>0</v>
      </c>
      <c r="N136" s="75" t="str">
        <f t="shared" si="159"/>
        <v/>
      </c>
      <c r="O136" s="348">
        <f>IF(AN136="","",AN136)</f>
        <v>0</v>
      </c>
      <c r="P136" s="75" t="str">
        <f t="shared" si="143"/>
        <v/>
      </c>
      <c r="Q136" s="348">
        <f>IF(AP136="","",AP136)</f>
        <v>0</v>
      </c>
      <c r="R136" s="75" t="str">
        <f t="shared" si="144"/>
        <v/>
      </c>
      <c r="S136" s="348">
        <f>IF(AR136="","",AR136)</f>
        <v>0</v>
      </c>
      <c r="T136" s="75" t="str">
        <f t="shared" si="145"/>
        <v/>
      </c>
      <c r="U136" s="348">
        <f>IF(AT136="","",AT136)</f>
        <v>0</v>
      </c>
      <c r="V136" s="75" t="str">
        <f t="shared" si="146"/>
        <v/>
      </c>
      <c r="W136" s="348">
        <f>IF(AV136="","",AV136)</f>
        <v>0</v>
      </c>
      <c r="Z136" s="351" t="s">
        <v>11</v>
      </c>
      <c r="AA136" s="108" t="str">
        <f>IF(AB136=0,"",VLOOKUP(AB136,Starter!$A$1:$D$199,2,FALSE))</f>
        <v/>
      </c>
      <c r="AB136" s="99"/>
      <c r="AC136" s="188"/>
      <c r="AD136" s="109">
        <f>IF(SUM(AC136:AC138)+AC148=0,0,IF(SUM(AC136:AC138)=AC148,0.5,IF(SUM(AC136:AC138)&gt;AC148,1,0)))</f>
        <v>0</v>
      </c>
      <c r="AE136" s="188"/>
      <c r="AF136" s="109">
        <f>IF(SUM(AE136:AE138)+AE148=0,0,IF(SUM(AE136:AE138)=AE148,0.5,IF(SUM(AE136:AE138)&gt;AE148,1,0)))</f>
        <v>0</v>
      </c>
      <c r="AG136" s="188"/>
      <c r="AH136" s="109">
        <f>IF(SUM(AG136:AG138)+AG148=0,0,IF(SUM(AG136:AG138)=AG148,0.5,IF(SUM(AG136:AG138)&gt;AG148,1,0)))</f>
        <v>0</v>
      </c>
      <c r="AI136" s="188"/>
      <c r="AJ136" s="109">
        <f>IF(SUM(AI136:AI138)+AI148=0,0,IF(SUM(AI136:AI138)=AI148,0.5,IF(SUM(AI136:AI138)&gt;AI148,1,0)))</f>
        <v>0</v>
      </c>
      <c r="AK136" s="188"/>
      <c r="AL136" s="109">
        <f>IF(SUM(AK136:AK138)+AK148=0,0,IF(SUM(AK136:AK138)=AK148,0.5,IF(SUM(AK136:AK138)&gt;AK148,1,0)))</f>
        <v>0</v>
      </c>
      <c r="AM136" s="188"/>
      <c r="AN136" s="109">
        <f>IF(SUM(AM136:AM138)+AM148=0,0,IF(SUM(AM136:AM138)=AM148,0.5,IF(SUM(AM136:AM138)&gt;AM148,1,0)))</f>
        <v>0</v>
      </c>
      <c r="AO136" s="188"/>
      <c r="AP136" s="109">
        <f>IF(SUM(AO136:AO138)+AO148=0,0,IF(SUM(AO136:AO138)=AO148,0.5,IF(SUM(AO136:AO138)&gt;AO148,1,0)))</f>
        <v>0</v>
      </c>
      <c r="AQ136" s="188"/>
      <c r="AR136" s="109">
        <f>IF(SUM(AQ136:AQ138)+AQ148=0,0,IF(SUM(AQ136:AQ138)=AQ148,0.5,IF(SUM(AQ136:AQ138)&gt;AQ148,1,0)))</f>
        <v>0</v>
      </c>
      <c r="AS136" s="188"/>
      <c r="AT136" s="109">
        <f>IF(SUM(AS136:AS138)+AS148=0,0,IF(SUM(AS136:AS138)=AS148,0.5,IF(SUM(AS136:AS138)&gt;AS148,1,0)))</f>
        <v>0</v>
      </c>
      <c r="AU136" s="110">
        <f t="shared" si="147"/>
        <v>0</v>
      </c>
      <c r="AV136" s="111">
        <f>SUM(AD136+AF136+AH136+AJ136+AL136+AN136+AP136+AR136+AT136)</f>
        <v>0</v>
      </c>
      <c r="AW136" s="101"/>
      <c r="AX136" s="102"/>
      <c r="AZ136" s="63"/>
      <c r="BA136" s="212"/>
      <c r="BB136" s="213"/>
      <c r="BC136" s="214"/>
      <c r="BD136" s="217">
        <f t="shared" si="160"/>
        <v>0</v>
      </c>
      <c r="BE136" s="213">
        <f t="shared" si="161"/>
        <v>0</v>
      </c>
      <c r="BF136" s="215">
        <f t="shared" si="162"/>
        <v>0</v>
      </c>
      <c r="BG136" s="215">
        <f t="shared" si="163"/>
        <v>0</v>
      </c>
      <c r="BH136" s="215" t="str">
        <f t="shared" si="148"/>
        <v/>
      </c>
      <c r="BI136" s="215" t="str">
        <f t="shared" si="149"/>
        <v/>
      </c>
      <c r="BJ136" s="215" t="str">
        <f t="shared" si="150"/>
        <v/>
      </c>
      <c r="BK136" s="215" t="str">
        <f t="shared" si="151"/>
        <v/>
      </c>
      <c r="BL136" s="215" t="str">
        <f t="shared" si="152"/>
        <v/>
      </c>
      <c r="BM136" s="215" t="str">
        <f t="shared" si="153"/>
        <v/>
      </c>
      <c r="BN136" s="215" t="str">
        <f t="shared" si="154"/>
        <v/>
      </c>
      <c r="BO136" s="215" t="str">
        <f t="shared" si="155"/>
        <v/>
      </c>
      <c r="BP136" s="215" t="str">
        <f t="shared" si="156"/>
        <v/>
      </c>
      <c r="BQ136" s="216"/>
      <c r="BR136" s="214"/>
      <c r="BS136" s="215">
        <f t="shared" si="164"/>
        <v>0</v>
      </c>
      <c r="BT136" s="215">
        <f t="shared" si="165"/>
        <v>1.36E-7</v>
      </c>
      <c r="BU136" s="215" t="str">
        <f t="shared" si="166"/>
        <v xml:space="preserve">Weiß Blau Unterföhring </v>
      </c>
      <c r="BV136" s="214">
        <f t="shared" si="167"/>
        <v>63</v>
      </c>
      <c r="BW136" s="215">
        <f t="shared" si="168"/>
        <v>0</v>
      </c>
      <c r="BX136" s="215">
        <f>IF(COUNTIF(BH136:BP136,"&gt;0")&lt;Spielorte!$A$23,0,BE136/Spielorte!$A$23)</f>
        <v>0</v>
      </c>
      <c r="BY136" s="215">
        <f t="shared" si="169"/>
        <v>1.36E-7</v>
      </c>
      <c r="BZ136" s="214">
        <f t="shared" si="157"/>
        <v>63</v>
      </c>
    </row>
    <row r="137" spans="1:78" ht="17.2" customHeight="1" x14ac:dyDescent="0.35">
      <c r="A137" s="368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49"/>
      <c r="F137" s="78" t="str">
        <f t="shared" si="139"/>
        <v/>
      </c>
      <c r="G137" s="349"/>
      <c r="H137" s="78" t="str">
        <f t="shared" si="140"/>
        <v/>
      </c>
      <c r="I137" s="349"/>
      <c r="J137" s="78" t="str">
        <f t="shared" si="141"/>
        <v/>
      </c>
      <c r="K137" s="349"/>
      <c r="L137" s="78" t="str">
        <f t="shared" si="142"/>
        <v/>
      </c>
      <c r="M137" s="349"/>
      <c r="N137" s="78" t="str">
        <f t="shared" si="159"/>
        <v/>
      </c>
      <c r="O137" s="349"/>
      <c r="P137" s="78" t="str">
        <f t="shared" si="143"/>
        <v/>
      </c>
      <c r="Q137" s="349"/>
      <c r="R137" s="78" t="str">
        <f t="shared" si="144"/>
        <v/>
      </c>
      <c r="S137" s="349"/>
      <c r="T137" s="78" t="str">
        <f t="shared" si="145"/>
        <v/>
      </c>
      <c r="U137" s="349"/>
      <c r="V137" s="78" t="str">
        <f t="shared" si="146"/>
        <v/>
      </c>
      <c r="W137" s="349"/>
      <c r="Z137" s="352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1.37E-7</v>
      </c>
      <c r="BU137" s="215" t="str">
        <f t="shared" si="166"/>
        <v xml:space="preserve">Weiß Blau Unterföhring </v>
      </c>
      <c r="BV137" s="214">
        <f t="shared" si="167"/>
        <v>62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1.37E-7</v>
      </c>
      <c r="BZ137" s="214">
        <f t="shared" si="157"/>
        <v>62</v>
      </c>
    </row>
    <row r="138" spans="1:78" ht="17.2" customHeight="1" thickBot="1" x14ac:dyDescent="0.4">
      <c r="A138" s="369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50"/>
      <c r="F138" s="69" t="str">
        <f t="shared" si="139"/>
        <v/>
      </c>
      <c r="G138" s="350"/>
      <c r="H138" s="69" t="str">
        <f t="shared" si="140"/>
        <v/>
      </c>
      <c r="I138" s="350"/>
      <c r="J138" s="69" t="str">
        <f t="shared" si="141"/>
        <v/>
      </c>
      <c r="K138" s="350"/>
      <c r="L138" s="69" t="str">
        <f t="shared" si="142"/>
        <v/>
      </c>
      <c r="M138" s="350"/>
      <c r="N138" s="69" t="str">
        <f t="shared" si="159"/>
        <v/>
      </c>
      <c r="O138" s="350"/>
      <c r="P138" s="69" t="str">
        <f t="shared" si="143"/>
        <v/>
      </c>
      <c r="Q138" s="350"/>
      <c r="R138" s="69" t="str">
        <f t="shared" si="144"/>
        <v/>
      </c>
      <c r="S138" s="350"/>
      <c r="T138" s="69" t="str">
        <f t="shared" si="145"/>
        <v/>
      </c>
      <c r="U138" s="350"/>
      <c r="V138" s="69" t="str">
        <f t="shared" si="146"/>
        <v/>
      </c>
      <c r="W138" s="350"/>
      <c r="Z138" s="353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1.3799999999999999E-7</v>
      </c>
      <c r="BU138" s="215" t="str">
        <f t="shared" si="166"/>
        <v xml:space="preserve">Weiß Blau Unterföhring </v>
      </c>
      <c r="BV138" s="214">
        <f t="shared" si="167"/>
        <v>61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1.3799999999999999E-7</v>
      </c>
      <c r="BZ138" s="214">
        <f t="shared" si="157"/>
        <v>61</v>
      </c>
    </row>
    <row r="139" spans="1:78" ht="27.75" customHeight="1" thickBot="1" x14ac:dyDescent="0.4">
      <c r="B139" s="81" t="str">
        <f>IF(AA139=0,"",AA139)</f>
        <v>Gesamt</v>
      </c>
      <c r="C139" s="82" t="str">
        <f t="shared" si="158"/>
        <v/>
      </c>
      <c r="D139" s="83" t="str">
        <f t="shared" si="158"/>
        <v/>
      </c>
      <c r="E139" s="84">
        <f>IF(AD139="","",AD139)</f>
        <v>0</v>
      </c>
      <c r="F139" s="83" t="str">
        <f t="shared" si="139"/>
        <v/>
      </c>
      <c r="G139" s="84">
        <f>IF(AF139="","",AF139)</f>
        <v>0</v>
      </c>
      <c r="H139" s="83" t="str">
        <f t="shared" si="140"/>
        <v/>
      </c>
      <c r="I139" s="84">
        <f>IF(AH139="","",AH139)</f>
        <v>0</v>
      </c>
      <c r="J139" s="83" t="str">
        <f t="shared" si="141"/>
        <v/>
      </c>
      <c r="K139" s="84">
        <f>IF(AJ139="","",AJ139)</f>
        <v>0</v>
      </c>
      <c r="L139" s="83" t="str">
        <f t="shared" si="142"/>
        <v/>
      </c>
      <c r="M139" s="84">
        <f>IF(AL139="","",AL139)</f>
        <v>0</v>
      </c>
      <c r="N139" s="83" t="str">
        <f t="shared" si="159"/>
        <v/>
      </c>
      <c r="O139" s="84">
        <f>IF(AN139="","",AN139)</f>
        <v>0</v>
      </c>
      <c r="P139" s="83" t="str">
        <f t="shared" si="143"/>
        <v/>
      </c>
      <c r="Q139" s="84">
        <f>IF(AP139="","",AP139)</f>
        <v>0</v>
      </c>
      <c r="R139" s="83" t="str">
        <f t="shared" si="144"/>
        <v/>
      </c>
      <c r="S139" s="84">
        <f>IF(AR139="","",AR139)</f>
        <v>0</v>
      </c>
      <c r="T139" s="83" t="str">
        <f t="shared" si="145"/>
        <v/>
      </c>
      <c r="U139" s="84">
        <f>IF(AT139="","",AT139)</f>
        <v>0</v>
      </c>
      <c r="V139" s="83" t="str">
        <f t="shared" si="146"/>
        <v/>
      </c>
      <c r="W139" s="84">
        <f>IF(AV139="","",AV139)</f>
        <v>0</v>
      </c>
      <c r="AA139" s="81" t="s">
        <v>1799</v>
      </c>
      <c r="AB139" s="120"/>
      <c r="AC139" s="211">
        <f>ABS(SUM(AC127:AC129))+ABS(SUM(AC130:AC132))+ABS(SUM(AC133:AC135))+ABS(SUM(AC136:AC138))</f>
        <v>0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0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0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0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0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0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0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0</v>
      </c>
      <c r="AT139" s="121">
        <f>IF(AS139+AS149=0,0,IF(AS139=AS149,1,IF(AS139&gt;AS149,2,0)))</f>
        <v>0</v>
      </c>
      <c r="AU139" s="122">
        <f>SUM(AC139+AE139+AG139+AI139+AK139+AM139+AO139+AQ139+AS139)</f>
        <v>0</v>
      </c>
      <c r="AV139" s="123">
        <f>SUM(AD139+AF139+AH139+AJ139+AL139+AN139+AP139+AR139+AT139)</f>
        <v>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4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0</v>
      </c>
      <c r="F140" s="86" t="str">
        <f t="shared" si="139"/>
        <v/>
      </c>
      <c r="G140" s="87">
        <f>IF(AF140="","",AF140)</f>
        <v>0</v>
      </c>
      <c r="H140" s="86" t="str">
        <f t="shared" si="140"/>
        <v/>
      </c>
      <c r="I140" s="87">
        <f>IF(AH140="","",AH140)</f>
        <v>0</v>
      </c>
      <c r="J140" s="86" t="str">
        <f t="shared" si="141"/>
        <v/>
      </c>
      <c r="K140" s="87">
        <f>IF(AJ140="","",AJ140)</f>
        <v>0</v>
      </c>
      <c r="L140" s="86" t="str">
        <f t="shared" si="142"/>
        <v/>
      </c>
      <c r="M140" s="87">
        <f>IF(AL140="","",AL140)</f>
        <v>0</v>
      </c>
      <c r="N140" s="86" t="str">
        <f t="shared" si="159"/>
        <v/>
      </c>
      <c r="O140" s="87">
        <f>IF(AN140="","",AN140)</f>
        <v>0</v>
      </c>
      <c r="P140" s="86" t="str">
        <f t="shared" si="143"/>
        <v/>
      </c>
      <c r="Q140" s="87">
        <f>IF(AP140="","",AP140)</f>
        <v>0</v>
      </c>
      <c r="R140" s="86" t="str">
        <f t="shared" si="144"/>
        <v/>
      </c>
      <c r="S140" s="87">
        <f>IF(AR140="","",AR140)</f>
        <v>0</v>
      </c>
      <c r="T140" s="86" t="str">
        <f t="shared" si="145"/>
        <v/>
      </c>
      <c r="U140" s="87">
        <f>IF(AT140="","",AT140)</f>
        <v>0</v>
      </c>
      <c r="V140" s="86" t="str">
        <f t="shared" si="146"/>
        <v/>
      </c>
      <c r="W140" s="87">
        <f>IF(AV140="","",AV140)</f>
        <v>0</v>
      </c>
      <c r="AA140" s="85" t="s">
        <v>1814</v>
      </c>
      <c r="AB140" s="86"/>
      <c r="AC140" s="86"/>
      <c r="AD140" s="124">
        <f>SUM(AD127:AD139)</f>
        <v>0</v>
      </c>
      <c r="AE140" s="86"/>
      <c r="AF140" s="124">
        <f>SUM(AF127:AF139)</f>
        <v>0</v>
      </c>
      <c r="AG140" s="86"/>
      <c r="AH140" s="124">
        <f>SUM(AH127:AH139)</f>
        <v>0</v>
      </c>
      <c r="AI140" s="86"/>
      <c r="AJ140" s="124">
        <f>SUM(AJ127:AJ139)</f>
        <v>0</v>
      </c>
      <c r="AK140" s="86"/>
      <c r="AL140" s="124">
        <f>SUM(AL127:AL139)</f>
        <v>0</v>
      </c>
      <c r="AM140" s="86"/>
      <c r="AN140" s="124">
        <f>SUM(AN127:AN139)</f>
        <v>0</v>
      </c>
      <c r="AO140" s="86"/>
      <c r="AP140" s="124">
        <f>SUM(AP127:AP139)</f>
        <v>0</v>
      </c>
      <c r="AQ140" s="86"/>
      <c r="AR140" s="124">
        <f>SUM(AR127:AR139)</f>
        <v>0</v>
      </c>
      <c r="AS140" s="86"/>
      <c r="AT140" s="124">
        <f>SUM(AT127:AT139)</f>
        <v>0</v>
      </c>
      <c r="AU140" s="86"/>
      <c r="AV140" s="125">
        <f>SUM(AV127:AV139)</f>
        <v>0</v>
      </c>
      <c r="AW140" s="101"/>
      <c r="AX140" s="102"/>
      <c r="BA140" s="212">
        <f>+AV140</f>
        <v>0</v>
      </c>
      <c r="BB140" s="213">
        <f>+AU139</f>
        <v>0</v>
      </c>
      <c r="BC140" s="214">
        <f>+AA122</f>
        <v>5</v>
      </c>
      <c r="BF140" s="215">
        <f>SUM(BF121:BF139)</f>
        <v>0</v>
      </c>
      <c r="BQ140" s="212">
        <f>+BB140/1000000+BA140</f>
        <v>0</v>
      </c>
      <c r="BR140" s="214">
        <f>RANK(BQ140,BQ:BQ)</f>
        <v>1</v>
      </c>
      <c r="BV140" s="214"/>
      <c r="BZ140" s="214"/>
    </row>
    <row r="141" spans="1:78" ht="11.25" customHeight="1" x14ac:dyDescent="0.3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3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46">
        <f t="shared" si="170"/>
        <v>6</v>
      </c>
      <c r="E142" s="346" t="str">
        <f t="shared" si="170"/>
        <v/>
      </c>
      <c r="F142" s="346">
        <f t="shared" si="170"/>
        <v>10</v>
      </c>
      <c r="G142" s="346" t="str">
        <f t="shared" si="170"/>
        <v/>
      </c>
      <c r="H142" s="346">
        <f t="shared" si="170"/>
        <v>4</v>
      </c>
      <c r="I142" s="346" t="str">
        <f t="shared" si="170"/>
        <v/>
      </c>
      <c r="J142" s="346">
        <f t="shared" si="170"/>
        <v>3</v>
      </c>
      <c r="K142" s="346" t="str">
        <f t="shared" si="170"/>
        <v/>
      </c>
      <c r="L142" s="346">
        <f t="shared" si="170"/>
        <v>9</v>
      </c>
      <c r="M142" s="346" t="str">
        <f t="shared" si="170"/>
        <v/>
      </c>
      <c r="N142" s="346">
        <f t="shared" si="170"/>
        <v>8</v>
      </c>
      <c r="O142" s="346" t="str">
        <f t="shared" si="170"/>
        <v/>
      </c>
      <c r="P142" s="346">
        <f t="shared" si="170"/>
        <v>1</v>
      </c>
      <c r="Q142" s="346" t="str">
        <f t="shared" si="170"/>
        <v/>
      </c>
      <c r="R142" s="346">
        <f t="shared" ref="L142:U144" si="171">IF(AQ142=0,"",AQ142)</f>
        <v>7</v>
      </c>
      <c r="S142" s="346" t="str">
        <f t="shared" si="171"/>
        <v/>
      </c>
      <c r="T142" s="346">
        <f t="shared" si="171"/>
        <v>2</v>
      </c>
      <c r="U142" s="346" t="str">
        <f t="shared" si="171"/>
        <v/>
      </c>
      <c r="V142" s="347"/>
      <c r="W142" s="347"/>
      <c r="AA142" s="88" t="s">
        <v>1797</v>
      </c>
      <c r="AB142" s="89" t="s">
        <v>1798</v>
      </c>
      <c r="AC142" s="370">
        <f>VLOOKUP($AA122,Schlüssel!$A$5:$DG$14,83)</f>
        <v>6</v>
      </c>
      <c r="AD142" s="371"/>
      <c r="AE142" s="370">
        <f>VLOOKUP($AA122,Schlüssel!$A$5:$EK$14,84)</f>
        <v>10</v>
      </c>
      <c r="AF142" s="371"/>
      <c r="AG142" s="370">
        <f>VLOOKUP($AA122,Schlüssel!$A$5:$EK$14,85)</f>
        <v>4</v>
      </c>
      <c r="AH142" s="371"/>
      <c r="AI142" s="370">
        <f>VLOOKUP($AA122,Schlüssel!$A$5:$EK$14,86)</f>
        <v>3</v>
      </c>
      <c r="AJ142" s="371"/>
      <c r="AK142" s="370">
        <f>VLOOKUP($AA122,Schlüssel!$A$5:$EK$14,87)</f>
        <v>9</v>
      </c>
      <c r="AL142" s="371"/>
      <c r="AM142" s="370">
        <f>VLOOKUP($AA122,Schlüssel!$A$5:$EK$14,88)</f>
        <v>8</v>
      </c>
      <c r="AN142" s="371"/>
      <c r="AO142" s="370">
        <f>VLOOKUP($AA122,Schlüssel!$A$5:$EK$14,89)</f>
        <v>1</v>
      </c>
      <c r="AP142" s="371"/>
      <c r="AQ142" s="370">
        <f>VLOOKUP($AA122,Schlüssel!$A$5:$EK$14,90)</f>
        <v>7</v>
      </c>
      <c r="AR142" s="371"/>
      <c r="AS142" s="370">
        <f>VLOOKUP($AA122,Schlüssel!$A$5:$EK$14,91)</f>
        <v>2</v>
      </c>
      <c r="AT142" s="371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35">
      <c r="B143" s="90" t="str">
        <f t="shared" ref="B143:K144" si="172">IF(AA143=0,"",AA143)</f>
        <v/>
      </c>
      <c r="C143" s="86" t="str">
        <f t="shared" si="172"/>
        <v/>
      </c>
      <c r="D143" s="343" t="str">
        <f t="shared" si="172"/>
        <v>Phönix 03 Lauf</v>
      </c>
      <c r="E143" s="344" t="str">
        <f t="shared" si="172"/>
        <v/>
      </c>
      <c r="F143" s="343" t="str">
        <f t="shared" si="172"/>
        <v>BK München 4</v>
      </c>
      <c r="G143" s="344" t="str">
        <f t="shared" si="172"/>
        <v/>
      </c>
      <c r="H143" s="343" t="str">
        <f t="shared" si="172"/>
        <v>BK München 3</v>
      </c>
      <c r="I143" s="344" t="str">
        <f t="shared" si="172"/>
        <v/>
      </c>
      <c r="J143" s="343" t="str">
        <f t="shared" si="172"/>
        <v>Highroller Rosenheim</v>
      </c>
      <c r="K143" s="344" t="str">
        <f t="shared" si="172"/>
        <v/>
      </c>
      <c r="L143" s="343" t="str">
        <f t="shared" si="171"/>
        <v>RW Lichtenhof 69 Stein 2</v>
      </c>
      <c r="M143" s="344" t="str">
        <f t="shared" si="171"/>
        <v/>
      </c>
      <c r="N143" s="343" t="str">
        <f t="shared" si="171"/>
        <v>EPA München 1</v>
      </c>
      <c r="O143" s="344" t="str">
        <f t="shared" si="171"/>
        <v/>
      </c>
      <c r="P143" s="343" t="str">
        <f t="shared" si="171"/>
        <v>Praetoria Regensburg</v>
      </c>
      <c r="Q143" s="344" t="str">
        <f t="shared" si="171"/>
        <v/>
      </c>
      <c r="R143" s="343" t="str">
        <f t="shared" si="171"/>
        <v>Frankenpower Nürnberg</v>
      </c>
      <c r="S143" s="344" t="str">
        <f t="shared" si="171"/>
        <v/>
      </c>
      <c r="T143" s="343" t="str">
        <f t="shared" si="171"/>
        <v>BK München 2</v>
      </c>
      <c r="U143" s="344" t="str">
        <f t="shared" si="171"/>
        <v/>
      </c>
      <c r="V143" s="345"/>
      <c r="W143" s="345"/>
      <c r="AA143" s="90"/>
      <c r="AB143" s="86"/>
      <c r="AC143" s="343" t="str">
        <f>VLOOKUP(AC142,Schlüssel!$A$5:$K$14,2)</f>
        <v>Phönix 03 Lauf</v>
      </c>
      <c r="AD143" s="344"/>
      <c r="AE143" s="343" t="str">
        <f>VLOOKUP(AE142,Schlüssel!$A$5:$K$14,2)</f>
        <v>BK München 4</v>
      </c>
      <c r="AF143" s="344"/>
      <c r="AG143" s="343" t="str">
        <f>VLOOKUP(AG142,Schlüssel!$A$5:$K$14,2)</f>
        <v>BK München 3</v>
      </c>
      <c r="AH143" s="344"/>
      <c r="AI143" s="343" t="str">
        <f>VLOOKUP(AI142,Schlüssel!$A$5:$K$14,2)</f>
        <v>Highroller Rosenheim</v>
      </c>
      <c r="AJ143" s="344"/>
      <c r="AK143" s="343" t="str">
        <f>VLOOKUP(AK142,Schlüssel!$A$5:$K$14,2)</f>
        <v>RW Lichtenhof 69 Stein 2</v>
      </c>
      <c r="AL143" s="344"/>
      <c r="AM143" s="343" t="str">
        <f>VLOOKUP(AM142,Schlüssel!$A$5:$K$14,2)</f>
        <v>EPA München 1</v>
      </c>
      <c r="AN143" s="344"/>
      <c r="AO143" s="343" t="str">
        <f>VLOOKUP(AO142,Schlüssel!$A$5:$K$14,2)</f>
        <v>Praetoria Regensburg</v>
      </c>
      <c r="AP143" s="344"/>
      <c r="AQ143" s="343" t="str">
        <f>VLOOKUP(AQ142,Schlüssel!$A$5:$K$14,2)</f>
        <v>Frankenpower Nürnberg</v>
      </c>
      <c r="AR143" s="344"/>
      <c r="AS143" s="343" t="str">
        <f>VLOOKUP(AS142,Schlüssel!$A$5:$K$14,2)</f>
        <v>BK München 2</v>
      </c>
      <c r="AT143" s="344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35">
      <c r="B144" s="90" t="str">
        <f t="shared" si="172"/>
        <v/>
      </c>
      <c r="C144" s="86" t="str">
        <f t="shared" si="172"/>
        <v/>
      </c>
      <c r="D144" s="341" t="str">
        <f t="shared" si="172"/>
        <v/>
      </c>
      <c r="E144" s="341" t="str">
        <f t="shared" si="172"/>
        <v/>
      </c>
      <c r="F144" s="341" t="str">
        <f t="shared" si="172"/>
        <v/>
      </c>
      <c r="G144" s="341" t="str">
        <f t="shared" si="172"/>
        <v/>
      </c>
      <c r="H144" s="341" t="str">
        <f t="shared" si="172"/>
        <v/>
      </c>
      <c r="I144" s="341" t="str">
        <f t="shared" si="172"/>
        <v/>
      </c>
      <c r="J144" s="341" t="str">
        <f t="shared" si="172"/>
        <v/>
      </c>
      <c r="K144" s="341" t="str">
        <f t="shared" si="172"/>
        <v/>
      </c>
      <c r="L144" s="341" t="str">
        <f t="shared" si="171"/>
        <v/>
      </c>
      <c r="M144" s="341" t="str">
        <f t="shared" si="171"/>
        <v/>
      </c>
      <c r="N144" s="341" t="str">
        <f t="shared" si="171"/>
        <v/>
      </c>
      <c r="O144" s="341" t="str">
        <f t="shared" si="171"/>
        <v/>
      </c>
      <c r="P144" s="341" t="str">
        <f t="shared" si="171"/>
        <v/>
      </c>
      <c r="Q144" s="341" t="str">
        <f t="shared" si="171"/>
        <v/>
      </c>
      <c r="R144" s="341" t="str">
        <f t="shared" si="171"/>
        <v/>
      </c>
      <c r="S144" s="341" t="str">
        <f t="shared" si="171"/>
        <v/>
      </c>
      <c r="T144" s="341" t="str">
        <f t="shared" si="171"/>
        <v/>
      </c>
      <c r="U144" s="342" t="str">
        <f t="shared" si="171"/>
        <v/>
      </c>
      <c r="V144" s="301"/>
      <c r="W144" s="301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6.05" customHeight="1" x14ac:dyDescent="0.35">
      <c r="B145" s="365" t="str">
        <f t="shared" ref="B145:C149" si="173">IF(AA145=0,"",AA145)</f>
        <v>Spieler 1</v>
      </c>
      <c r="C145" s="366" t="str">
        <f t="shared" si="173"/>
        <v/>
      </c>
      <c r="D145" s="339">
        <f>IF(AC145=301,"",AC145)</f>
        <v>0</v>
      </c>
      <c r="E145" s="339" t="str">
        <f>IF(AD145=0,"",AD145)</f>
        <v/>
      </c>
      <c r="F145" s="339">
        <f>IF(AE145=301,"",AE145)</f>
        <v>0</v>
      </c>
      <c r="G145" s="339" t="str">
        <f>IF(AF145=0,"",AF145)</f>
        <v/>
      </c>
      <c r="H145" s="339">
        <f>IF(AG145=301,"",AG145)</f>
        <v>0</v>
      </c>
      <c r="I145" s="339" t="str">
        <f>IF(AH145=0,"",AH145)</f>
        <v/>
      </c>
      <c r="J145" s="339">
        <f>IF(AI145=301,"",AI145)</f>
        <v>0</v>
      </c>
      <c r="K145" s="339" t="str">
        <f>IF(AJ145=0,"",AJ145)</f>
        <v/>
      </c>
      <c r="L145" s="339">
        <f>IF(AK145=301,"",AK145)</f>
        <v>0</v>
      </c>
      <c r="M145" s="339" t="str">
        <f>IF(AL145=0,"",AL145)</f>
        <v/>
      </c>
      <c r="N145" s="339">
        <f>IF(AM145=301,"",AM145)</f>
        <v>0</v>
      </c>
      <c r="O145" s="339" t="str">
        <f>IF(AN145=0,"",AN145)</f>
        <v/>
      </c>
      <c r="P145" s="339">
        <f>IF(AO145=301,"",AO145)</f>
        <v>0</v>
      </c>
      <c r="Q145" s="339" t="str">
        <f>IF(AP145=0,"",AP145)</f>
        <v/>
      </c>
      <c r="R145" s="339">
        <f>IF(AQ145=301,"",AQ145)</f>
        <v>0</v>
      </c>
      <c r="S145" s="339" t="str">
        <f>IF(AR145=0,"",AR145)</f>
        <v/>
      </c>
      <c r="T145" s="339">
        <f>IF(AS145=301,"",AS145)</f>
        <v>0</v>
      </c>
      <c r="U145" s="339" t="str">
        <f>IF(AT145=0,"",AT145)</f>
        <v/>
      </c>
      <c r="V145" s="340"/>
      <c r="W145" s="340"/>
      <c r="AA145" s="91" t="s">
        <v>0</v>
      </c>
      <c r="AB145" s="92"/>
      <c r="AC145" s="372">
        <f>ABS(INDEX(AC:AC,MATCH(AC142,$AA:$AA,0)+5)+INDEX(AC:AC,MATCH(AC142,$AA:$AA,0)+6)+INDEX(AC:AC,MATCH(AC142,$AA:$AA,0)+7))</f>
        <v>0</v>
      </c>
      <c r="AD145" s="373"/>
      <c r="AE145" s="372">
        <f>ABS(INDEX(AE:AE,MATCH(AE142,$AA:$AA,0)+5)+INDEX(AE:AE,MATCH(AE142,$AA:$AA,0)+6)+INDEX(AE:AE,MATCH(AE142,$AA:$AA,0)+7))</f>
        <v>0</v>
      </c>
      <c r="AF145" s="373"/>
      <c r="AG145" s="372">
        <f>ABS(INDEX(AG:AG,MATCH(AG142,$AA:$AA,0)+5)+INDEX(AG:AG,MATCH(AG142,$AA:$AA,0)+6)+INDEX(AG:AG,MATCH(AG142,$AA:$AA,0)+7))</f>
        <v>0</v>
      </c>
      <c r="AH145" s="373"/>
      <c r="AI145" s="372">
        <f>ABS(INDEX(AI:AI,MATCH(AI142,$AA:$AA,0)+5)+INDEX(AI:AI,MATCH(AI142,$AA:$AA,0)+6)+INDEX(AI:AI,MATCH(AI142,$AA:$AA,0)+7))</f>
        <v>0</v>
      </c>
      <c r="AJ145" s="373"/>
      <c r="AK145" s="372">
        <f>ABS(INDEX(AK:AK,MATCH(AK142,$AA:$AA,0)+5)+INDEX(AK:AK,MATCH(AK142,$AA:$AA,0)+6)+INDEX(AK:AK,MATCH(AK142,$AA:$AA,0)+7))</f>
        <v>0</v>
      </c>
      <c r="AL145" s="373"/>
      <c r="AM145" s="372">
        <f>ABS(INDEX(AM:AM,MATCH(AM142,$AA:$AA,0)+5)+INDEX(AM:AM,MATCH(AM142,$AA:$AA,0)+6)+INDEX(AM:AM,MATCH(AM142,$AA:$AA,0)+7))</f>
        <v>0</v>
      </c>
      <c r="AN145" s="373"/>
      <c r="AO145" s="372">
        <f>ABS(INDEX(AO:AO,MATCH(AO142,$AA:$AA,0)+5)+INDEX(AO:AO,MATCH(AO142,$AA:$AA,0)+6)+INDEX(AO:AO,MATCH(AO142,$AA:$AA,0)+7))</f>
        <v>0</v>
      </c>
      <c r="AP145" s="373"/>
      <c r="AQ145" s="372">
        <f>ABS(INDEX(AQ:AQ,MATCH(AQ142,$AA:$AA,0)+5)+INDEX(AQ:AQ,MATCH(AQ142,$AA:$AA,0)+6)+INDEX(AQ:AQ,MATCH(AQ142,$AA:$AA,0)+7))</f>
        <v>0</v>
      </c>
      <c r="AR145" s="373"/>
      <c r="AS145" s="372">
        <f>ABS(INDEX(AS:AS,MATCH(AS142,$AA:$AA,0)+5)+INDEX(AS:AS,MATCH(AS142,$AA:$AA,0)+6)+INDEX(AS:AS,MATCH(AS142,$AA:$AA,0)+7))</f>
        <v>0</v>
      </c>
      <c r="AT145" s="373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6.05" customHeight="1" x14ac:dyDescent="0.35">
      <c r="B146" s="365" t="str">
        <f t="shared" si="173"/>
        <v>Spieler 2</v>
      </c>
      <c r="C146" s="366" t="str">
        <f t="shared" si="173"/>
        <v/>
      </c>
      <c r="D146" s="339">
        <f>IF(AC146=301,"",AC146)</f>
        <v>0</v>
      </c>
      <c r="E146" s="339" t="str">
        <f>IF(AD146=0,"",AD146)</f>
        <v/>
      </c>
      <c r="F146" s="339">
        <f>IF(AE146=301,"",AE146)</f>
        <v>0</v>
      </c>
      <c r="G146" s="339" t="str">
        <f>IF(AF146=0,"",AF146)</f>
        <v/>
      </c>
      <c r="H146" s="339">
        <f>IF(AG146=301,"",AG146)</f>
        <v>0</v>
      </c>
      <c r="I146" s="339" t="str">
        <f>IF(AH146=0,"",AH146)</f>
        <v/>
      </c>
      <c r="J146" s="339">
        <f>IF(AI146=301,"",AI146)</f>
        <v>0</v>
      </c>
      <c r="K146" s="339" t="str">
        <f>IF(AJ146=0,"",AJ146)</f>
        <v/>
      </c>
      <c r="L146" s="339">
        <f>IF(AK146=301,"",AK146)</f>
        <v>0</v>
      </c>
      <c r="M146" s="339" t="str">
        <f>IF(AL146=0,"",AL146)</f>
        <v/>
      </c>
      <c r="N146" s="339">
        <f>IF(AM146=301,"",AM146)</f>
        <v>0</v>
      </c>
      <c r="O146" s="339" t="str">
        <f>IF(AN146=0,"",AN146)</f>
        <v/>
      </c>
      <c r="P146" s="339">
        <f>IF(AO146=301,"",AO146)</f>
        <v>0</v>
      </c>
      <c r="Q146" s="339" t="str">
        <f>IF(AP146=0,"",AP146)</f>
        <v/>
      </c>
      <c r="R146" s="339">
        <f>IF(AQ146=301,"",AQ146)</f>
        <v>0</v>
      </c>
      <c r="S146" s="339" t="str">
        <f>IF(AR146=0,"",AR146)</f>
        <v/>
      </c>
      <c r="T146" s="339">
        <f>IF(AS146=301,"",AS146)</f>
        <v>0</v>
      </c>
      <c r="U146" s="339" t="str">
        <f>IF(AT146=0,"",AT146)</f>
        <v/>
      </c>
      <c r="V146" s="340"/>
      <c r="W146" s="340"/>
      <c r="AA146" s="91" t="s">
        <v>2</v>
      </c>
      <c r="AB146" s="92"/>
      <c r="AC146" s="374">
        <f>ABS(INDEX(AC:AC,MATCH(AC142,$AA:$AA,0)+8)+INDEX(AC:AC,MATCH(AC142,$AA:$AA,0)+9)+INDEX(AC:AC,MATCH(AC142,$AA:$AA,0)+10))</f>
        <v>0</v>
      </c>
      <c r="AD146" s="375"/>
      <c r="AE146" s="374">
        <f>ABS(INDEX(AE:AE,MATCH(AE142,$AA:$AA,0)+8)+INDEX(AE:AE,MATCH(AE142,$AA:$AA,0)+9)+INDEX(AE:AE,MATCH(AE142,$AA:$AA,0)+10))</f>
        <v>0</v>
      </c>
      <c r="AF146" s="375"/>
      <c r="AG146" s="374">
        <f>ABS(INDEX(AG:AG,MATCH(AG142,$AA:$AA,0)+8)+INDEX(AG:AG,MATCH(AG142,$AA:$AA,0)+9)+INDEX(AG:AG,MATCH(AG142,$AA:$AA,0)+10))</f>
        <v>0</v>
      </c>
      <c r="AH146" s="375"/>
      <c r="AI146" s="374">
        <f>ABS(INDEX(AI:AI,MATCH(AI142,$AA:$AA,0)+8)+INDEX(AI:AI,MATCH(AI142,$AA:$AA,0)+9)+INDEX(AI:AI,MATCH(AI142,$AA:$AA,0)+10))</f>
        <v>0</v>
      </c>
      <c r="AJ146" s="375"/>
      <c r="AK146" s="374">
        <f>ABS(INDEX(AK:AK,MATCH(AK142,$AA:$AA,0)+8)+INDEX(AK:AK,MATCH(AK142,$AA:$AA,0)+9)+INDEX(AK:AK,MATCH(AK142,$AA:$AA,0)+10))</f>
        <v>0</v>
      </c>
      <c r="AL146" s="375"/>
      <c r="AM146" s="374">
        <f>ABS(INDEX(AM:AM,MATCH(AM142,$AA:$AA,0)+8)+INDEX(AM:AM,MATCH(AM142,$AA:$AA,0)+9)+INDEX(AM:AM,MATCH(AM142,$AA:$AA,0)+10))</f>
        <v>0</v>
      </c>
      <c r="AN146" s="375"/>
      <c r="AO146" s="374">
        <f>ABS(INDEX(AO:AO,MATCH(AO142,$AA:$AA,0)+8)+INDEX(AO:AO,MATCH(AO142,$AA:$AA,0)+9)+INDEX(AO:AO,MATCH(AO142,$AA:$AA,0)+10))</f>
        <v>0</v>
      </c>
      <c r="AP146" s="375"/>
      <c r="AQ146" s="374">
        <f>ABS(INDEX(AQ:AQ,MATCH(AQ142,$AA:$AA,0)+8)+INDEX(AQ:AQ,MATCH(AQ142,$AA:$AA,0)+9)+INDEX(AQ:AQ,MATCH(AQ142,$AA:$AA,0)+10))</f>
        <v>0</v>
      </c>
      <c r="AR146" s="375"/>
      <c r="AS146" s="374">
        <f>ABS(INDEX(AS:AS,MATCH(AS142,$AA:$AA,0)+8)+INDEX(AS:AS,MATCH(AS142,$AA:$AA,0)+9)+INDEX(AS:AS,MATCH(AS142,$AA:$AA,0)+10))</f>
        <v>0</v>
      </c>
      <c r="AT146" s="37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6.05" customHeight="1" x14ac:dyDescent="0.35">
      <c r="B147" s="365" t="str">
        <f t="shared" si="173"/>
        <v>Spieler 3</v>
      </c>
      <c r="C147" s="366" t="str">
        <f t="shared" si="173"/>
        <v/>
      </c>
      <c r="D147" s="339">
        <f>IF(AC147=301,"",AC147)</f>
        <v>0</v>
      </c>
      <c r="E147" s="339" t="str">
        <f>IF(AD147=0,"",AD147)</f>
        <v/>
      </c>
      <c r="F147" s="339">
        <f>IF(AE147=301,"",AE147)</f>
        <v>0</v>
      </c>
      <c r="G147" s="339" t="str">
        <f>IF(AF147=0,"",AF147)</f>
        <v/>
      </c>
      <c r="H147" s="339">
        <f>IF(AG147=301,"",AG147)</f>
        <v>0</v>
      </c>
      <c r="I147" s="339" t="str">
        <f>IF(AH147=0,"",AH147)</f>
        <v/>
      </c>
      <c r="J147" s="339">
        <f>IF(AI147=301,"",AI147)</f>
        <v>0</v>
      </c>
      <c r="K147" s="339" t="str">
        <f>IF(AJ147=0,"",AJ147)</f>
        <v/>
      </c>
      <c r="L147" s="339">
        <f>IF(AK147=301,"",AK147)</f>
        <v>0</v>
      </c>
      <c r="M147" s="339" t="str">
        <f>IF(AL147=0,"",AL147)</f>
        <v/>
      </c>
      <c r="N147" s="339">
        <f>IF(AM147=301,"",AM147)</f>
        <v>0</v>
      </c>
      <c r="O147" s="339" t="str">
        <f>IF(AN147=0,"",AN147)</f>
        <v/>
      </c>
      <c r="P147" s="339">
        <f>IF(AO147=301,"",AO147)</f>
        <v>0</v>
      </c>
      <c r="Q147" s="339" t="str">
        <f>IF(AP147=0,"",AP147)</f>
        <v/>
      </c>
      <c r="R147" s="339">
        <f>IF(AQ147=301,"",AQ147)</f>
        <v>0</v>
      </c>
      <c r="S147" s="339" t="str">
        <f>IF(AR147=0,"",AR147)</f>
        <v/>
      </c>
      <c r="T147" s="339">
        <f>IF(AS147=301,"",AS147)</f>
        <v>0</v>
      </c>
      <c r="U147" s="339" t="str">
        <f>IF(AT147=0,"",AT147)</f>
        <v/>
      </c>
      <c r="V147" s="340"/>
      <c r="W147" s="340"/>
      <c r="AA147" s="91" t="s">
        <v>3</v>
      </c>
      <c r="AB147" s="92"/>
      <c r="AC147" s="374">
        <f>ABS(INDEX(AC:AC,MATCH(AC142,$AA:$AA,0)+11)+INDEX(AC:AC,MATCH(AC142,$AA:$AA,0)+12)+INDEX(AC:AC,MATCH(AC142,$AA:$AA,0)+13))</f>
        <v>0</v>
      </c>
      <c r="AD147" s="375"/>
      <c r="AE147" s="374">
        <f>ABS(INDEX(AE:AE,MATCH(AE142,$AA:$AA,0)+11)+INDEX(AE:AE,MATCH(AE142,$AA:$AA,0)+12)+INDEX(AE:AE,MATCH(AE142,$AA:$AA,0)+13))</f>
        <v>0</v>
      </c>
      <c r="AF147" s="375"/>
      <c r="AG147" s="374">
        <f>ABS(INDEX(AG:AG,MATCH(AG142,$AA:$AA,0)+11)+INDEX(AG:AG,MATCH(AG142,$AA:$AA,0)+12)+INDEX(AG:AG,MATCH(AG142,$AA:$AA,0)+13))</f>
        <v>0</v>
      </c>
      <c r="AH147" s="375"/>
      <c r="AI147" s="374">
        <f>ABS(INDEX(AI:AI,MATCH(AI142,$AA:$AA,0)+11)+INDEX(AI:AI,MATCH(AI142,$AA:$AA,0)+12)+INDEX(AI:AI,MATCH(AI142,$AA:$AA,0)+13))</f>
        <v>0</v>
      </c>
      <c r="AJ147" s="375"/>
      <c r="AK147" s="374">
        <f>ABS(INDEX(AK:AK,MATCH(AK142,$AA:$AA,0)+11)+INDEX(AK:AK,MATCH(AK142,$AA:$AA,0)+12)+INDEX(AK:AK,MATCH(AK142,$AA:$AA,0)+13))</f>
        <v>0</v>
      </c>
      <c r="AL147" s="375"/>
      <c r="AM147" s="374">
        <f>ABS(INDEX(AM:AM,MATCH(AM142,$AA:$AA,0)+11)+INDEX(AM:AM,MATCH(AM142,$AA:$AA,0)+12)+INDEX(AM:AM,MATCH(AM142,$AA:$AA,0)+13))</f>
        <v>0</v>
      </c>
      <c r="AN147" s="375"/>
      <c r="AO147" s="374">
        <f>ABS(INDEX(AO:AO,MATCH(AO142,$AA:$AA,0)+11)+INDEX(AO:AO,MATCH(AO142,$AA:$AA,0)+12)+INDEX(AO:AO,MATCH(AO142,$AA:$AA,0)+13))</f>
        <v>0</v>
      </c>
      <c r="AP147" s="375"/>
      <c r="AQ147" s="374">
        <f>ABS(INDEX(AQ:AQ,MATCH(AQ142,$AA:$AA,0)+11)+INDEX(AQ:AQ,MATCH(AQ142,$AA:$AA,0)+12)+INDEX(AQ:AQ,MATCH(AQ142,$AA:$AA,0)+13))</f>
        <v>0</v>
      </c>
      <c r="AR147" s="375"/>
      <c r="AS147" s="374">
        <f>ABS(INDEX(AS:AS,MATCH(AS142,$AA:$AA,0)+11)+INDEX(AS:AS,MATCH(AS142,$AA:$AA,0)+12)+INDEX(AS:AS,MATCH(AS142,$AA:$AA,0)+13))</f>
        <v>0</v>
      </c>
      <c r="AT147" s="37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6.05" customHeight="1" x14ac:dyDescent="0.35">
      <c r="B148" s="365" t="str">
        <f t="shared" si="173"/>
        <v>Spieler 4</v>
      </c>
      <c r="C148" s="366" t="str">
        <f t="shared" si="173"/>
        <v/>
      </c>
      <c r="D148" s="339">
        <f>IF(AC148=301,"",AC148)</f>
        <v>0</v>
      </c>
      <c r="E148" s="339" t="str">
        <f>IF(AD148=0,"",AD148)</f>
        <v/>
      </c>
      <c r="F148" s="339">
        <f>IF(AE148=301,"",AE148)</f>
        <v>0</v>
      </c>
      <c r="G148" s="339" t="str">
        <f>IF(AF148=0,"",AF148)</f>
        <v/>
      </c>
      <c r="H148" s="339">
        <f>IF(AG148=301,"",AG148)</f>
        <v>0</v>
      </c>
      <c r="I148" s="339" t="str">
        <f>IF(AH148=0,"",AH148)</f>
        <v/>
      </c>
      <c r="J148" s="339">
        <f>IF(AI148=301,"",AI148)</f>
        <v>0</v>
      </c>
      <c r="K148" s="339" t="str">
        <f>IF(AJ148=0,"",AJ148)</f>
        <v/>
      </c>
      <c r="L148" s="339">
        <f>IF(AK148=301,"",AK148)</f>
        <v>0</v>
      </c>
      <c r="M148" s="339" t="str">
        <f>IF(AL148=0,"",AL148)</f>
        <v/>
      </c>
      <c r="N148" s="339">
        <f>IF(AM148=301,"",AM148)</f>
        <v>0</v>
      </c>
      <c r="O148" s="339" t="str">
        <f>IF(AN148=0,"",AN148)</f>
        <v/>
      </c>
      <c r="P148" s="339">
        <f>IF(AO148=301,"",AO148)</f>
        <v>0</v>
      </c>
      <c r="Q148" s="339" t="str">
        <f>IF(AP148=0,"",AP148)</f>
        <v/>
      </c>
      <c r="R148" s="339">
        <f>IF(AQ148=301,"",AQ148)</f>
        <v>0</v>
      </c>
      <c r="S148" s="339" t="str">
        <f>IF(AR148=0,"",AR148)</f>
        <v/>
      </c>
      <c r="T148" s="339">
        <f>IF(AS148=301,"",AS148)</f>
        <v>0</v>
      </c>
      <c r="U148" s="339" t="str">
        <f>IF(AT148=0,"",AT148)</f>
        <v/>
      </c>
      <c r="V148" s="340"/>
      <c r="W148" s="340"/>
      <c r="AA148" s="91" t="s">
        <v>11</v>
      </c>
      <c r="AB148" s="92"/>
      <c r="AC148" s="374">
        <f>ABS(INDEX(AC:AC,MATCH(AC142,$AA:$AA,0)+14)+INDEX(AC:AC,MATCH(AC142,$AA:$AA,0)+15)+INDEX(AC:AC,MATCH(AC142,$AA:$AA,0)+16))</f>
        <v>0</v>
      </c>
      <c r="AD148" s="375"/>
      <c r="AE148" s="374">
        <f>ABS(INDEX(AE:AE,MATCH(AE142,$AA:$AA,0)+14)+INDEX(AE:AE,MATCH(AE142,$AA:$AA,0)+15)+INDEX(AE:AE,MATCH(AE142,$AA:$AA,0)+16))</f>
        <v>0</v>
      </c>
      <c r="AF148" s="375"/>
      <c r="AG148" s="374">
        <f>ABS(INDEX(AG:AG,MATCH(AG142,$AA:$AA,0)+14)+INDEX(AG:AG,MATCH(AG142,$AA:$AA,0)+15)+INDEX(AG:AG,MATCH(AG142,$AA:$AA,0)+16))</f>
        <v>0</v>
      </c>
      <c r="AH148" s="375"/>
      <c r="AI148" s="374">
        <f>ABS(INDEX(AI:AI,MATCH(AI142,$AA:$AA,0)+14)+INDEX(AI:AI,MATCH(AI142,$AA:$AA,0)+15)+INDEX(AI:AI,MATCH(AI142,$AA:$AA,0)+16))</f>
        <v>0</v>
      </c>
      <c r="AJ148" s="375"/>
      <c r="AK148" s="374">
        <f>ABS(INDEX(AK:AK,MATCH(AK142,$AA:$AA,0)+14)+INDEX(AK:AK,MATCH(AK142,$AA:$AA,0)+15)+INDEX(AK:AK,MATCH(AK142,$AA:$AA,0)+16))</f>
        <v>0</v>
      </c>
      <c r="AL148" s="375"/>
      <c r="AM148" s="374">
        <f>ABS(INDEX(AM:AM,MATCH(AM142,$AA:$AA,0)+14)+INDEX(AM:AM,MATCH(AM142,$AA:$AA,0)+15)+INDEX(AM:AM,MATCH(AM142,$AA:$AA,0)+16))</f>
        <v>0</v>
      </c>
      <c r="AN148" s="375"/>
      <c r="AO148" s="374">
        <f>ABS(INDEX(AO:AO,MATCH(AO142,$AA:$AA,0)+14)+INDEX(AO:AO,MATCH(AO142,$AA:$AA,0)+15)+INDEX(AO:AO,MATCH(AO142,$AA:$AA,0)+16))</f>
        <v>0</v>
      </c>
      <c r="AP148" s="375"/>
      <c r="AQ148" s="374">
        <f>ABS(INDEX(AQ:AQ,MATCH(AQ142,$AA:$AA,0)+14)+INDEX(AQ:AQ,MATCH(AQ142,$AA:$AA,0)+15)+INDEX(AQ:AQ,MATCH(AQ142,$AA:$AA,0)+16))</f>
        <v>0</v>
      </c>
      <c r="AR148" s="375"/>
      <c r="AS148" s="374">
        <f>ABS(INDEX(AS:AS,MATCH(AS142,$AA:$AA,0)+14)+INDEX(AS:AS,MATCH(AS142,$AA:$AA,0)+15)+INDEX(AS:AS,MATCH(AS142,$AA:$AA,0)+16))</f>
        <v>0</v>
      </c>
      <c r="AT148" s="37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6.05" customHeight="1" x14ac:dyDescent="0.35">
      <c r="B149" s="354" t="str">
        <f t="shared" si="173"/>
        <v>Gesamt</v>
      </c>
      <c r="C149" s="355" t="str">
        <f t="shared" si="173"/>
        <v/>
      </c>
      <c r="D149" s="338">
        <f>IF(AC149=1505,"",AC149)</f>
        <v>0</v>
      </c>
      <c r="E149" s="338" t="str">
        <f>IF(AD149=0,"",AD149)</f>
        <v/>
      </c>
      <c r="F149" s="338">
        <f>IF(AE149=1505,"",AE149)</f>
        <v>0</v>
      </c>
      <c r="G149" s="338" t="str">
        <f>IF(AF149=0,"",AF149)</f>
        <v/>
      </c>
      <c r="H149" s="338">
        <f>IF(AG149=1505,"",AG149)</f>
        <v>0</v>
      </c>
      <c r="I149" s="338" t="str">
        <f>IF(AH149=0,"",AH149)</f>
        <v/>
      </c>
      <c r="J149" s="338">
        <f>IF(AI149=1505,"",AI149)</f>
        <v>0</v>
      </c>
      <c r="K149" s="338" t="str">
        <f>IF(AJ149=0,"",AJ149)</f>
        <v/>
      </c>
      <c r="L149" s="338">
        <f>IF(AK149=1505,"",AK149)</f>
        <v>0</v>
      </c>
      <c r="M149" s="338" t="str">
        <f>IF(AL149=0,"",AL149)</f>
        <v/>
      </c>
      <c r="N149" s="338">
        <f>IF(AM149=1505,"",AM149)</f>
        <v>0</v>
      </c>
      <c r="O149" s="338" t="str">
        <f>IF(AN149=0,"",AN149)</f>
        <v/>
      </c>
      <c r="P149" s="338">
        <f>IF(AO149=1505,"",AO149)</f>
        <v>0</v>
      </c>
      <c r="Q149" s="338" t="str">
        <f>IF(AP149=0,"",AP149)</f>
        <v/>
      </c>
      <c r="R149" s="338">
        <f>IF(AQ149=1505,"",AQ149)</f>
        <v>0</v>
      </c>
      <c r="S149" s="338" t="str">
        <f>IF(AR149=0,"",AR149)</f>
        <v/>
      </c>
      <c r="T149" s="338">
        <f>IF(AS149=1505,"",AS149)</f>
        <v>0</v>
      </c>
      <c r="U149" s="338" t="str">
        <f>IF(AT149=0,"",AT149)</f>
        <v/>
      </c>
      <c r="V149" s="290"/>
      <c r="W149" s="290"/>
      <c r="AA149" s="93" t="s">
        <v>1799</v>
      </c>
      <c r="AB149" s="94"/>
      <c r="AC149" s="354">
        <f>SUM(AC145:AC148)</f>
        <v>0</v>
      </c>
      <c r="AD149" s="355"/>
      <c r="AE149" s="354">
        <f>SUM(AE145:AE148)</f>
        <v>0</v>
      </c>
      <c r="AF149" s="355"/>
      <c r="AG149" s="354">
        <f>SUM(AG145:AG148)</f>
        <v>0</v>
      </c>
      <c r="AH149" s="355"/>
      <c r="AI149" s="354">
        <f>SUM(AI145:AI148)</f>
        <v>0</v>
      </c>
      <c r="AJ149" s="355"/>
      <c r="AK149" s="354">
        <f>SUM(AK145:AK148)</f>
        <v>0</v>
      </c>
      <c r="AL149" s="355"/>
      <c r="AM149" s="354">
        <f>SUM(AM145:AM148)</f>
        <v>0</v>
      </c>
      <c r="AN149" s="355"/>
      <c r="AO149" s="354">
        <f>SUM(AO145:AO148)</f>
        <v>0</v>
      </c>
      <c r="AP149" s="355"/>
      <c r="AQ149" s="354">
        <f>SUM(AQ145:AQ148)</f>
        <v>0</v>
      </c>
      <c r="AR149" s="355"/>
      <c r="AS149" s="354">
        <f>SUM(AS145:AS148)</f>
        <v>0</v>
      </c>
      <c r="AT149" s="35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3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7">
      <c r="B151" s="44" t="str">
        <f>AA151</f>
        <v>Team-Nr.</v>
      </c>
      <c r="C151" s="45"/>
      <c r="D151" s="44" t="str">
        <f>AC151</f>
        <v>Liga:</v>
      </c>
      <c r="E151" s="47"/>
      <c r="F151" s="359" t="str">
        <f>AE151</f>
        <v>Bayernliga Frauen</v>
      </c>
      <c r="G151" s="359"/>
      <c r="H151" s="359"/>
      <c r="I151" s="359"/>
      <c r="J151" s="359"/>
      <c r="K151" s="359"/>
      <c r="L151" s="359"/>
      <c r="M151" s="359"/>
      <c r="N151" s="359"/>
      <c r="O151" s="359"/>
      <c r="P151" s="359"/>
      <c r="Q151" s="359"/>
      <c r="R151" s="48"/>
      <c r="S151" s="49" t="s">
        <v>1794</v>
      </c>
      <c r="T151" s="50"/>
      <c r="U151" s="360" t="str">
        <f>AT151</f>
        <v>15.03./16.03.</v>
      </c>
      <c r="V151" s="361"/>
      <c r="W151" s="362"/>
      <c r="X151" s="363"/>
      <c r="Y151" s="364"/>
      <c r="Z151" s="364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0" t="str">
        <f>VLOOKUP(AS152,Spielorte!$A$1:$C$6,2)</f>
        <v>15.03./16.03.</v>
      </c>
      <c r="AU151" s="361"/>
      <c r="AV151" s="362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65">
      <c r="B152" s="53">
        <f>AA152</f>
        <v>6</v>
      </c>
      <c r="D152" s="46" t="s">
        <v>1793</v>
      </c>
      <c r="E152" s="54"/>
      <c r="F152" s="358" t="str">
        <f>AE152</f>
        <v>Brunnthal Max Munich</v>
      </c>
      <c r="G152" s="358"/>
      <c r="H152" s="358"/>
      <c r="I152" s="358"/>
      <c r="J152" s="358"/>
      <c r="K152" s="358"/>
      <c r="L152" s="358"/>
      <c r="M152" s="358"/>
      <c r="N152" s="358"/>
      <c r="O152" s="358"/>
      <c r="P152" s="55"/>
      <c r="Q152" s="55"/>
      <c r="S152" s="49" t="s">
        <v>1791</v>
      </c>
      <c r="T152" s="56">
        <f>AS152</f>
        <v>5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Brunnthal Max Munich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5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4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5" thickBot="1" x14ac:dyDescent="0.45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VLOOKUP(AA152,Schlüssel!$A$5:$DZ$14,93)</f>
        <v>8</v>
      </c>
      <c r="AE154" s="65" t="s">
        <v>10</v>
      </c>
      <c r="AF154" s="44">
        <f>VLOOKUP(AA152,Schlüssel!$A$5:$DZ$14,94)</f>
        <v>5</v>
      </c>
      <c r="AG154" s="65" t="s">
        <v>10</v>
      </c>
      <c r="AH154" s="44">
        <f>VLOOKUP(AA152,Schlüssel!$A$5:$DZ$14,95)</f>
        <v>4</v>
      </c>
      <c r="AI154" s="65" t="s">
        <v>10</v>
      </c>
      <c r="AJ154" s="44">
        <f>VLOOKUP(AA152,Schlüssel!$A$5:$DZ$14,96)</f>
        <v>2</v>
      </c>
      <c r="AK154" s="65" t="s">
        <v>10</v>
      </c>
      <c r="AL154" s="44">
        <f>VLOOKUP(AA152,Schlüssel!$A$5:$DZ$14,97)</f>
        <v>6</v>
      </c>
      <c r="AM154" s="65" t="s">
        <v>10</v>
      </c>
      <c r="AN154" s="44">
        <f>VLOOKUP(AA152,Schlüssel!$A$5:$DZ$14,98)</f>
        <v>1</v>
      </c>
      <c r="AO154" s="65" t="s">
        <v>10</v>
      </c>
      <c r="AP154" s="44">
        <f>VLOOKUP(AA152,Schlüssel!$A$5:$DZ$14,99)</f>
        <v>9</v>
      </c>
      <c r="AQ154" s="65" t="s">
        <v>10</v>
      </c>
      <c r="AR154" s="44">
        <f>VLOOKUP(AA152,Schlüssel!$A$5:$DZ$14,100)</f>
        <v>7</v>
      </c>
      <c r="AS154" s="65" t="s">
        <v>10</v>
      </c>
      <c r="AT154" s="44">
        <f>VLOOKUP(AA152,Schlüssel!$A$5:$DZ$14,101)</f>
        <v>3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35">
      <c r="B155" s="67" t="s">
        <v>1</v>
      </c>
      <c r="C155" s="68"/>
      <c r="D155" s="354" t="s">
        <v>1800</v>
      </c>
      <c r="E155" s="355"/>
      <c r="F155" s="354" t="s">
        <v>1801</v>
      </c>
      <c r="G155" s="355"/>
      <c r="H155" s="354" t="s">
        <v>1802</v>
      </c>
      <c r="I155" s="355"/>
      <c r="J155" s="354" t="s">
        <v>1803</v>
      </c>
      <c r="K155" s="355"/>
      <c r="L155" s="354" t="s">
        <v>1804</v>
      </c>
      <c r="M155" s="355"/>
      <c r="N155" s="354" t="s">
        <v>1805</v>
      </c>
      <c r="O155" s="355"/>
      <c r="P155" s="354" t="s">
        <v>1806</v>
      </c>
      <c r="Q155" s="355"/>
      <c r="R155" s="354" t="s">
        <v>1807</v>
      </c>
      <c r="S155" s="355"/>
      <c r="T155" s="354" t="s">
        <v>1808</v>
      </c>
      <c r="U155" s="355"/>
      <c r="V155" s="356" t="s">
        <v>1799</v>
      </c>
      <c r="W155" s="357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4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2" customHeight="1" x14ac:dyDescent="0.35">
      <c r="A157" s="367" t="s">
        <v>0</v>
      </c>
      <c r="B157" s="73" t="str">
        <f>IF(AA157=0,"",AA157)</f>
        <v/>
      </c>
      <c r="C157" s="74" t="str">
        <f>IF(AB157=0,"",AB157)</f>
        <v/>
      </c>
      <c r="D157" s="75" t="str">
        <f>IF(AC157=0,"",AC157)</f>
        <v/>
      </c>
      <c r="E157" s="348">
        <f>IF(AD157="","",AD157)</f>
        <v>0</v>
      </c>
      <c r="F157" s="75" t="str">
        <f t="shared" ref="F157:F170" si="174">IF(AE157=0,"",AE157)</f>
        <v/>
      </c>
      <c r="G157" s="348">
        <f>IF(AF157="","",AF157)</f>
        <v>0</v>
      </c>
      <c r="H157" s="75" t="str">
        <f t="shared" ref="H157:H170" si="175">IF(AG157=0,"",AG157)</f>
        <v/>
      </c>
      <c r="I157" s="348">
        <f>IF(AH157="","",AH157)</f>
        <v>0</v>
      </c>
      <c r="J157" s="75" t="str">
        <f t="shared" ref="J157:J170" si="176">IF(AI157=0,"",AI157)</f>
        <v/>
      </c>
      <c r="K157" s="348">
        <f>IF(AJ157="","",AJ157)</f>
        <v>0</v>
      </c>
      <c r="L157" s="75" t="str">
        <f t="shared" ref="L157:L170" si="177">IF(AK157=0,"",AK157)</f>
        <v/>
      </c>
      <c r="M157" s="348">
        <f>IF(AL157="","",AL157)</f>
        <v>0</v>
      </c>
      <c r="N157" s="75" t="str">
        <f>IF(AM157=0,"",AM157)</f>
        <v/>
      </c>
      <c r="O157" s="348">
        <f>IF(AN157="","",AN157)</f>
        <v>0</v>
      </c>
      <c r="P157" s="75" t="str">
        <f t="shared" ref="P157:P170" si="178">IF(AO157=0,"",AO157)</f>
        <v/>
      </c>
      <c r="Q157" s="348">
        <f>IF(AP157="","",AP157)</f>
        <v>0</v>
      </c>
      <c r="R157" s="75" t="str">
        <f t="shared" ref="R157:R170" si="179">IF(AQ157=0,"",AQ157)</f>
        <v/>
      </c>
      <c r="S157" s="348">
        <f>IF(AR157="","",AR157)</f>
        <v>0</v>
      </c>
      <c r="T157" s="75" t="str">
        <f t="shared" ref="T157:T170" si="180">IF(AS157=0,"",AS157)</f>
        <v/>
      </c>
      <c r="U157" s="348">
        <f>IF(AT157="","",AT157)</f>
        <v>0</v>
      </c>
      <c r="V157" s="75" t="str">
        <f t="shared" ref="V157:V170" si="181">IF(AU157=0,"",AU157)</f>
        <v/>
      </c>
      <c r="W157" s="348">
        <f>IF(AV157="","",AV157)</f>
        <v>0</v>
      </c>
      <c r="Z157" s="351" t="s">
        <v>0</v>
      </c>
      <c r="AA157" s="108" t="str">
        <f>IF(AB157=0,"",VLOOKUP(AB157,Starter!$A$1:$D$199,2,FALSE))</f>
        <v/>
      </c>
      <c r="AB157" s="99"/>
      <c r="AC157" s="185"/>
      <c r="AD157" s="109">
        <f>IF(SUM(AC157:AC159)+AC175=0,0,IF(SUM(AC157:AC159)=AC175,0.5,IF(SUM(AC157:AC159)&gt;AC175,1,0)))</f>
        <v>0</v>
      </c>
      <c r="AE157" s="185"/>
      <c r="AF157" s="109">
        <f>IF(SUM(AE157:AE159)+AE175=0,0,IF(SUM(AE157:AE159)=AE175,0.5,IF(SUM(AE157:AE159)&gt;AE175,1,0)))</f>
        <v>0</v>
      </c>
      <c r="AG157" s="185"/>
      <c r="AH157" s="109">
        <f>IF(SUM(AG157:AG159)+AG175=0,0,IF(SUM(AG157:AG159)=AG175,0.5,IF(SUM(AG157:AG159)&gt;AG175,1,0)))</f>
        <v>0</v>
      </c>
      <c r="AI157" s="185"/>
      <c r="AJ157" s="109">
        <f>IF(SUM(AI157:AI159)+AI175=0,0,IF(SUM(AI157:AI159)=AI175,0.5,IF(SUM(AI157:AI159)&gt;AI175,1,0)))</f>
        <v>0</v>
      </c>
      <c r="AK157" s="185"/>
      <c r="AL157" s="109">
        <f>IF(SUM(AK157:AK159)+AK175=0,0,IF(SUM(AK157:AK159)=AK175,0.5,IF(SUM(AK157:AK159)&gt;AK175,1,0)))</f>
        <v>0</v>
      </c>
      <c r="AM157" s="185"/>
      <c r="AN157" s="109">
        <f>IF(SUM(AM157:AM159)+AM175=0,0,IF(SUM(AM157:AM159)=AM175,0.5,IF(SUM(AM157:AM159)&gt;AM175,1,0)))</f>
        <v>0</v>
      </c>
      <c r="AO157" s="185"/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0</v>
      </c>
      <c r="AS157" s="185"/>
      <c r="AT157" s="109">
        <f>IF(SUM(AS157:AS159)+AS175=0,0,IF(SUM(AS157:AS159)=AS175,0.5,IF(SUM(AS157:AS159)&gt;AS175,1,0)))</f>
        <v>0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0</v>
      </c>
      <c r="AV157" s="111">
        <f>SUM(AD157+AF157+AH157+AJ157+AL157+AN157+AP157+AR157+AT157)</f>
        <v>0</v>
      </c>
      <c r="AW157" s="101"/>
      <c r="AX157" s="102"/>
      <c r="AZ157" s="63"/>
      <c r="BA157" s="212"/>
      <c r="BB157" s="213"/>
      <c r="BC157" s="214"/>
      <c r="BD157" s="217">
        <f>+AB157</f>
        <v>0</v>
      </c>
      <c r="BE157" s="213">
        <f>+AU157</f>
        <v>0</v>
      </c>
      <c r="BF157" s="215">
        <f>COUNT(BH157:BP157)</f>
        <v>0</v>
      </c>
      <c r="BG157" s="215">
        <f>COUNTIF(BH157:BP157,"&gt;0")</f>
        <v>0</v>
      </c>
      <c r="BH157" s="215" t="str">
        <f t="shared" ref="BH157:BH168" si="183">IF(AC157=0,"",AC157)</f>
        <v/>
      </c>
      <c r="BI157" s="215" t="str">
        <f t="shared" ref="BI157:BI168" si="184">IF(AE157=0,"",AE157)</f>
        <v/>
      </c>
      <c r="BJ157" s="215" t="str">
        <f t="shared" ref="BJ157:BJ168" si="185">IF(AG157=0,"",AG157)</f>
        <v/>
      </c>
      <c r="BK157" s="215" t="str">
        <f t="shared" ref="BK157:BK168" si="186">IF(AI157=0,"",AI157)</f>
        <v/>
      </c>
      <c r="BL157" s="215" t="str">
        <f t="shared" ref="BL157:BL168" si="187">IF(AK157=0,"",AK157)</f>
        <v/>
      </c>
      <c r="BM157" s="215" t="str">
        <f t="shared" ref="BM157:BM168" si="188">IF(AM157=0,"",AM157)</f>
        <v/>
      </c>
      <c r="BN157" s="215" t="str">
        <f t="shared" ref="BN157:BN168" si="189">IF(AO157=0,"",AO157)</f>
        <v/>
      </c>
      <c r="BO157" s="215" t="str">
        <f t="shared" ref="BO157:BO168" si="190">IF(AQ157=0,"",AQ157)</f>
        <v/>
      </c>
      <c r="BP157" s="215" t="str">
        <f t="shared" ref="BP157:BP168" si="191">IF(AS157=0,"",AS157)</f>
        <v/>
      </c>
      <c r="BQ157" s="216"/>
      <c r="BR157" s="214"/>
      <c r="BS157" s="215">
        <f>MAX(BH157:BP157)</f>
        <v>0</v>
      </c>
      <c r="BT157" s="215">
        <f>IF(BS157&lt;MAX(BS:BS),0,BS157+ROW()/1000000000)</f>
        <v>1.5699999999999999E-7</v>
      </c>
      <c r="BU157" s="215" t="str">
        <f>+AA153</f>
        <v>Phönix 03 Lauf</v>
      </c>
      <c r="BV157" s="214">
        <f>RANK(BT157,BT:BT)</f>
        <v>60</v>
      </c>
      <c r="BW157" s="215">
        <f>SUMIF(BH157:BP157,"&gt;0")</f>
        <v>0</v>
      </c>
      <c r="BX157" s="215">
        <f>IF(COUNTIF(BH157:BP157,"&gt;0")&lt;Spielorte!$A$23,0,BE157/Spielorte!$A$23)</f>
        <v>0</v>
      </c>
      <c r="BY157" s="215">
        <f>IF(BX157&lt;MAX(BX:BX),0,BX157+ROW()/1000000000)</f>
        <v>1.5699999999999999E-7</v>
      </c>
      <c r="BZ157" s="214">
        <f t="shared" ref="BZ157:BZ168" si="192">IF(BY157=0,0,RANK(BY157,BY:BY))</f>
        <v>60</v>
      </c>
    </row>
    <row r="158" spans="1:78" ht="17.2" customHeight="1" x14ac:dyDescent="0.35">
      <c r="A158" s="368"/>
      <c r="B158" s="76" t="str">
        <f t="shared" ref="B158:D170" si="193">IF(AA158=0,"",AA158)</f>
        <v/>
      </c>
      <c r="C158" s="77" t="str">
        <f t="shared" si="193"/>
        <v/>
      </c>
      <c r="D158" s="78" t="str">
        <f t="shared" si="193"/>
        <v/>
      </c>
      <c r="E158" s="349"/>
      <c r="F158" s="78" t="str">
        <f t="shared" si="174"/>
        <v/>
      </c>
      <c r="G158" s="349"/>
      <c r="H158" s="78" t="str">
        <f t="shared" si="175"/>
        <v/>
      </c>
      <c r="I158" s="349"/>
      <c r="J158" s="78" t="str">
        <f t="shared" si="176"/>
        <v/>
      </c>
      <c r="K158" s="349"/>
      <c r="L158" s="78" t="str">
        <f t="shared" si="177"/>
        <v/>
      </c>
      <c r="M158" s="349"/>
      <c r="N158" s="78" t="str">
        <f t="shared" ref="N158:N170" si="194">IF(AM158=0,"",AM158)</f>
        <v/>
      </c>
      <c r="O158" s="349"/>
      <c r="P158" s="78" t="str">
        <f t="shared" si="178"/>
        <v/>
      </c>
      <c r="Q158" s="349"/>
      <c r="R158" s="78" t="str">
        <f t="shared" si="179"/>
        <v/>
      </c>
      <c r="S158" s="349"/>
      <c r="T158" s="78" t="str">
        <f t="shared" si="180"/>
        <v/>
      </c>
      <c r="U158" s="349"/>
      <c r="V158" s="78" t="str">
        <f t="shared" si="181"/>
        <v/>
      </c>
      <c r="W158" s="349"/>
      <c r="Z158" s="352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82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0</v>
      </c>
      <c r="BE158" s="213">
        <f t="shared" ref="BE158:BE168" si="196">+AU158</f>
        <v>0</v>
      </c>
      <c r="BF158" s="215">
        <f t="shared" ref="BF158:BF168" si="197">COUNT(BH158:BP158)</f>
        <v>0</v>
      </c>
      <c r="BG158" s="215">
        <f t="shared" ref="BG158:BG168" si="198">COUNTIF(BH158:BP158,"&gt;0")</f>
        <v>0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 t="str">
        <f t="shared" si="187"/>
        <v/>
      </c>
      <c r="BM158" s="215" t="str">
        <f t="shared" si="188"/>
        <v/>
      </c>
      <c r="BN158" s="215" t="str">
        <f t="shared" si="189"/>
        <v/>
      </c>
      <c r="BO158" s="215" t="str">
        <f t="shared" si="190"/>
        <v/>
      </c>
      <c r="BP158" s="215" t="str">
        <f t="shared" si="191"/>
        <v/>
      </c>
      <c r="BQ158" s="216"/>
      <c r="BR158" s="214"/>
      <c r="BS158" s="215">
        <f t="shared" ref="BS158:BS168" si="199">MAX(BH158:BP158)</f>
        <v>0</v>
      </c>
      <c r="BT158" s="215">
        <f t="shared" ref="BT158:BT168" si="200">IF(BS158&lt;MAX(BS:BS),0,BS158+ROW()/1000000000)</f>
        <v>1.5800000000000001E-7</v>
      </c>
      <c r="BU158" s="215" t="str">
        <f t="shared" ref="BU158:BU168" si="201">+BU157</f>
        <v>Phönix 03 Lauf</v>
      </c>
      <c r="BV158" s="214">
        <f t="shared" ref="BV158:BV168" si="202">RANK(BT158,BT:BT)</f>
        <v>59</v>
      </c>
      <c r="BW158" s="215">
        <f t="shared" ref="BW158:BW168" si="203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1.5800000000000001E-7</v>
      </c>
      <c r="BZ158" s="214">
        <f t="shared" si="192"/>
        <v>59</v>
      </c>
    </row>
    <row r="159" spans="1:78" ht="17.2" customHeight="1" thickBot="1" x14ac:dyDescent="0.4">
      <c r="A159" s="369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50"/>
      <c r="F159" s="69" t="str">
        <f t="shared" si="174"/>
        <v/>
      </c>
      <c r="G159" s="350"/>
      <c r="H159" s="69" t="str">
        <f t="shared" si="175"/>
        <v/>
      </c>
      <c r="I159" s="350"/>
      <c r="J159" s="69" t="str">
        <f t="shared" si="176"/>
        <v/>
      </c>
      <c r="K159" s="350"/>
      <c r="L159" s="69" t="str">
        <f t="shared" si="177"/>
        <v/>
      </c>
      <c r="M159" s="350"/>
      <c r="N159" s="69" t="str">
        <f t="shared" si="194"/>
        <v/>
      </c>
      <c r="O159" s="350"/>
      <c r="P159" s="69" t="str">
        <f t="shared" si="178"/>
        <v/>
      </c>
      <c r="Q159" s="350"/>
      <c r="R159" s="69" t="str">
        <f t="shared" si="179"/>
        <v/>
      </c>
      <c r="S159" s="350"/>
      <c r="T159" s="69" t="str">
        <f t="shared" si="180"/>
        <v/>
      </c>
      <c r="U159" s="350"/>
      <c r="V159" s="69" t="str">
        <f t="shared" si="181"/>
        <v/>
      </c>
      <c r="W159" s="350"/>
      <c r="Z159" s="353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1.5900000000000001E-7</v>
      </c>
      <c r="BU159" s="215" t="str">
        <f t="shared" si="201"/>
        <v>Phönix 03 Lauf</v>
      </c>
      <c r="BV159" s="214">
        <f t="shared" si="202"/>
        <v>58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1.5900000000000001E-7</v>
      </c>
      <c r="BZ159" s="214">
        <f t="shared" si="192"/>
        <v>58</v>
      </c>
    </row>
    <row r="160" spans="1:78" ht="17.2" customHeight="1" x14ac:dyDescent="0.35">
      <c r="A160" s="367" t="s">
        <v>2</v>
      </c>
      <c r="B160" s="73" t="str">
        <f t="shared" si="193"/>
        <v/>
      </c>
      <c r="C160" s="74" t="str">
        <f t="shared" si="193"/>
        <v/>
      </c>
      <c r="D160" s="75" t="str">
        <f t="shared" si="193"/>
        <v/>
      </c>
      <c r="E160" s="348">
        <f>IF(AD160="","",AD160)</f>
        <v>0</v>
      </c>
      <c r="F160" s="75" t="str">
        <f t="shared" si="174"/>
        <v/>
      </c>
      <c r="G160" s="348">
        <f>IF(AF160="","",AF160)</f>
        <v>0</v>
      </c>
      <c r="H160" s="75" t="str">
        <f t="shared" si="175"/>
        <v/>
      </c>
      <c r="I160" s="348">
        <f>IF(AH160="","",AH160)</f>
        <v>0</v>
      </c>
      <c r="J160" s="75" t="str">
        <f t="shared" si="176"/>
        <v/>
      </c>
      <c r="K160" s="348">
        <f>IF(AJ160="","",AJ160)</f>
        <v>0</v>
      </c>
      <c r="L160" s="75" t="str">
        <f t="shared" si="177"/>
        <v/>
      </c>
      <c r="M160" s="348">
        <f>IF(AL160="","",AL160)</f>
        <v>0</v>
      </c>
      <c r="N160" s="75" t="str">
        <f t="shared" si="194"/>
        <v/>
      </c>
      <c r="O160" s="348">
        <f>IF(AN160="","",AN160)</f>
        <v>0</v>
      </c>
      <c r="P160" s="75" t="str">
        <f t="shared" si="178"/>
        <v/>
      </c>
      <c r="Q160" s="348">
        <f>IF(AP160="","",AP160)</f>
        <v>0</v>
      </c>
      <c r="R160" s="75" t="str">
        <f t="shared" si="179"/>
        <v/>
      </c>
      <c r="S160" s="348">
        <f>IF(AR160="","",AR160)</f>
        <v>0</v>
      </c>
      <c r="T160" s="75" t="str">
        <f t="shared" si="180"/>
        <v/>
      </c>
      <c r="U160" s="348">
        <f>IF(AT160="","",AT160)</f>
        <v>0</v>
      </c>
      <c r="V160" s="75" t="str">
        <f t="shared" si="181"/>
        <v/>
      </c>
      <c r="W160" s="348">
        <f>IF(AV160="","",AV160)</f>
        <v>0</v>
      </c>
      <c r="Z160" s="351" t="s">
        <v>2</v>
      </c>
      <c r="AA160" s="108" t="str">
        <f>IF(AB160=0,"",VLOOKUP(AB160,Starter!$A$1:$D$199,2,FALSE))</f>
        <v/>
      </c>
      <c r="AB160" s="99"/>
      <c r="AC160" s="188"/>
      <c r="AD160" s="109">
        <f>IF(SUM(AC160:AC162)+AC176=0,0,IF(SUM(AC160:AC162)=AC176,0.5,IF(SUM(AC160:AC162)&gt;AC176,1,0)))</f>
        <v>0</v>
      </c>
      <c r="AE160" s="188"/>
      <c r="AF160" s="109">
        <f>IF(SUM(AE160:AE162)+AE176=0,0,IF(SUM(AE160:AE162)=AE176,0.5,IF(SUM(AE160:AE162)&gt;AE176,1,0)))</f>
        <v>0</v>
      </c>
      <c r="AG160" s="188"/>
      <c r="AH160" s="109">
        <f>IF(SUM(AG160:AG162)+AG176=0,0,IF(SUM(AG160:AG162)=AG176,0.5,IF(SUM(AG160:AG162)&gt;AG176,1,0)))</f>
        <v>0</v>
      </c>
      <c r="AI160" s="188"/>
      <c r="AJ160" s="109">
        <f>IF(SUM(AI160:AI162)+AI176=0,0,IF(SUM(AI160:AI162)=AI176,0.5,IF(SUM(AI160:AI162)&gt;AI176,1,0)))</f>
        <v>0</v>
      </c>
      <c r="AK160" s="188"/>
      <c r="AL160" s="109">
        <f>IF(SUM(AK160:AK162)+AK176=0,0,IF(SUM(AK160:AK162)=AK176,0.5,IF(SUM(AK160:AK162)&gt;AK176,1,0)))</f>
        <v>0</v>
      </c>
      <c r="AM160" s="188"/>
      <c r="AN160" s="109">
        <f>IF(SUM(AM160:AM162)+AM176=0,0,IF(SUM(AM160:AM162)=AM176,0.5,IF(SUM(AM160:AM162)&gt;AM176,1,0)))</f>
        <v>0</v>
      </c>
      <c r="AO160" s="188"/>
      <c r="AP160" s="109">
        <f>IF(SUM(AO160:AO162)+AO176=0,0,IF(SUM(AO160:AO162)=AO176,0.5,IF(SUM(AO160:AO162)&gt;AO176,1,0)))</f>
        <v>0</v>
      </c>
      <c r="AQ160" s="188"/>
      <c r="AR160" s="109">
        <f>IF(SUM(AQ160:AQ162)+AQ176=0,0,IF(SUM(AQ160:AQ162)=AQ176,0.5,IF(SUM(AQ160:AQ162)&gt;AQ176,1,0)))</f>
        <v>0</v>
      </c>
      <c r="AS160" s="188"/>
      <c r="AT160" s="109">
        <f>IF(SUM(AS160:AS162)+AS176=0,0,IF(SUM(AS160:AS162)=AS176,0.5,IF(SUM(AS160:AS162)&gt;AS176,1,0)))</f>
        <v>0</v>
      </c>
      <c r="AU160" s="110">
        <f t="shared" si="182"/>
        <v>0</v>
      </c>
      <c r="AV160" s="111">
        <f>SUM(AD160+AF160+AH160+AJ160+AL160+AN160+AP160+AR160+AT160)</f>
        <v>0</v>
      </c>
      <c r="AW160" s="101"/>
      <c r="AX160" s="102"/>
      <c r="AZ160" s="63"/>
      <c r="BA160" s="212"/>
      <c r="BB160" s="213"/>
      <c r="BC160" s="214"/>
      <c r="BD160" s="217">
        <f t="shared" si="195"/>
        <v>0</v>
      </c>
      <c r="BE160" s="213">
        <f t="shared" si="196"/>
        <v>0</v>
      </c>
      <c r="BF160" s="215">
        <f t="shared" si="197"/>
        <v>0</v>
      </c>
      <c r="BG160" s="215">
        <f t="shared" si="198"/>
        <v>0</v>
      </c>
      <c r="BH160" s="215" t="str">
        <f t="shared" si="183"/>
        <v/>
      </c>
      <c r="BI160" s="215" t="str">
        <f t="shared" si="184"/>
        <v/>
      </c>
      <c r="BJ160" s="215" t="str">
        <f t="shared" si="185"/>
        <v/>
      </c>
      <c r="BK160" s="215" t="str">
        <f t="shared" si="186"/>
        <v/>
      </c>
      <c r="BL160" s="215" t="str">
        <f t="shared" si="187"/>
        <v/>
      </c>
      <c r="BM160" s="215" t="str">
        <f t="shared" si="188"/>
        <v/>
      </c>
      <c r="BN160" s="215" t="str">
        <f t="shared" si="189"/>
        <v/>
      </c>
      <c r="BO160" s="215" t="str">
        <f t="shared" si="190"/>
        <v/>
      </c>
      <c r="BP160" s="215" t="str">
        <f t="shared" si="191"/>
        <v/>
      </c>
      <c r="BQ160" s="216"/>
      <c r="BR160" s="214"/>
      <c r="BS160" s="215">
        <f t="shared" si="199"/>
        <v>0</v>
      </c>
      <c r="BT160" s="215">
        <f t="shared" si="200"/>
        <v>1.6E-7</v>
      </c>
      <c r="BU160" s="215" t="str">
        <f t="shared" si="201"/>
        <v>Phönix 03 Lauf</v>
      </c>
      <c r="BV160" s="214">
        <f t="shared" si="202"/>
        <v>57</v>
      </c>
      <c r="BW160" s="215">
        <f t="shared" si="203"/>
        <v>0</v>
      </c>
      <c r="BX160" s="215">
        <f>IF(COUNTIF(BH160:BP160,"&gt;0")&lt;Spielorte!$A$23,0,BE160/Spielorte!$A$23)</f>
        <v>0</v>
      </c>
      <c r="BY160" s="215">
        <f t="shared" si="204"/>
        <v>1.6E-7</v>
      </c>
      <c r="BZ160" s="214">
        <f t="shared" si="192"/>
        <v>57</v>
      </c>
    </row>
    <row r="161" spans="1:78" ht="17.2" customHeight="1" x14ac:dyDescent="0.35">
      <c r="A161" s="368"/>
      <c r="B161" s="76" t="str">
        <f t="shared" si="193"/>
        <v/>
      </c>
      <c r="C161" s="77" t="str">
        <f t="shared" si="193"/>
        <v/>
      </c>
      <c r="D161" s="78" t="str">
        <f t="shared" si="193"/>
        <v/>
      </c>
      <c r="E161" s="349"/>
      <c r="F161" s="78" t="str">
        <f t="shared" si="174"/>
        <v/>
      </c>
      <c r="G161" s="349"/>
      <c r="H161" s="78" t="str">
        <f t="shared" si="175"/>
        <v/>
      </c>
      <c r="I161" s="349"/>
      <c r="J161" s="78" t="str">
        <f t="shared" si="176"/>
        <v/>
      </c>
      <c r="K161" s="349"/>
      <c r="L161" s="78" t="str">
        <f t="shared" si="177"/>
        <v/>
      </c>
      <c r="M161" s="349"/>
      <c r="N161" s="78" t="str">
        <f t="shared" si="194"/>
        <v/>
      </c>
      <c r="O161" s="349"/>
      <c r="P161" s="78" t="str">
        <f t="shared" si="178"/>
        <v/>
      </c>
      <c r="Q161" s="349"/>
      <c r="R161" s="78" t="str">
        <f t="shared" si="179"/>
        <v/>
      </c>
      <c r="S161" s="349"/>
      <c r="T161" s="78" t="str">
        <f t="shared" si="180"/>
        <v/>
      </c>
      <c r="U161" s="349"/>
      <c r="V161" s="78" t="str">
        <f t="shared" si="181"/>
        <v/>
      </c>
      <c r="W161" s="349"/>
      <c r="Z161" s="352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82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0</v>
      </c>
      <c r="BE161" s="213">
        <f t="shared" si="196"/>
        <v>0</v>
      </c>
      <c r="BF161" s="215">
        <f t="shared" si="197"/>
        <v>0</v>
      </c>
      <c r="BG161" s="215">
        <f t="shared" si="198"/>
        <v>0</v>
      </c>
      <c r="BH161" s="215" t="str">
        <f t="shared" si="183"/>
        <v/>
      </c>
      <c r="BI161" s="215" t="str">
        <f t="shared" si="184"/>
        <v/>
      </c>
      <c r="BJ161" s="215" t="str">
        <f t="shared" si="185"/>
        <v/>
      </c>
      <c r="BK161" s="215" t="str">
        <f t="shared" si="186"/>
        <v/>
      </c>
      <c r="BL161" s="215" t="str">
        <f t="shared" si="187"/>
        <v/>
      </c>
      <c r="BM161" s="215" t="str">
        <f t="shared" si="188"/>
        <v/>
      </c>
      <c r="BN161" s="215" t="str">
        <f t="shared" si="189"/>
        <v/>
      </c>
      <c r="BO161" s="215" t="str">
        <f t="shared" si="190"/>
        <v/>
      </c>
      <c r="BP161" s="215" t="str">
        <f t="shared" si="191"/>
        <v/>
      </c>
      <c r="BQ161" s="216"/>
      <c r="BR161" s="214"/>
      <c r="BS161" s="215">
        <f t="shared" si="199"/>
        <v>0</v>
      </c>
      <c r="BT161" s="215">
        <f t="shared" si="200"/>
        <v>1.61E-7</v>
      </c>
      <c r="BU161" s="215" t="str">
        <f t="shared" si="201"/>
        <v>Phönix 03 Lauf</v>
      </c>
      <c r="BV161" s="214">
        <f t="shared" si="202"/>
        <v>56</v>
      </c>
      <c r="BW161" s="215">
        <f t="shared" si="203"/>
        <v>0</v>
      </c>
      <c r="BX161" s="215">
        <f>IF(COUNTIF(BH161:BP161,"&gt;0")&lt;Spielorte!$A$23,0,BE161/Spielorte!$A$23)</f>
        <v>0</v>
      </c>
      <c r="BY161" s="215">
        <f t="shared" si="204"/>
        <v>1.61E-7</v>
      </c>
      <c r="BZ161" s="214">
        <f t="shared" si="192"/>
        <v>56</v>
      </c>
    </row>
    <row r="162" spans="1:78" ht="17.2" customHeight="1" thickBot="1" x14ac:dyDescent="0.4">
      <c r="A162" s="369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50"/>
      <c r="F162" s="69" t="str">
        <f t="shared" si="174"/>
        <v/>
      </c>
      <c r="G162" s="350"/>
      <c r="H162" s="69" t="str">
        <f t="shared" si="175"/>
        <v/>
      </c>
      <c r="I162" s="350"/>
      <c r="J162" s="69" t="str">
        <f t="shared" si="176"/>
        <v/>
      </c>
      <c r="K162" s="350"/>
      <c r="L162" s="69" t="str">
        <f t="shared" si="177"/>
        <v/>
      </c>
      <c r="M162" s="350"/>
      <c r="N162" s="69" t="str">
        <f t="shared" si="194"/>
        <v/>
      </c>
      <c r="O162" s="350"/>
      <c r="P162" s="69" t="str">
        <f t="shared" si="178"/>
        <v/>
      </c>
      <c r="Q162" s="350"/>
      <c r="R162" s="69" t="str">
        <f t="shared" si="179"/>
        <v/>
      </c>
      <c r="S162" s="350"/>
      <c r="T162" s="69" t="str">
        <f t="shared" si="180"/>
        <v/>
      </c>
      <c r="U162" s="350"/>
      <c r="V162" s="69" t="str">
        <f t="shared" si="181"/>
        <v/>
      </c>
      <c r="W162" s="350"/>
      <c r="Z162" s="353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1.6199999999999999E-7</v>
      </c>
      <c r="BU162" s="215" t="str">
        <f t="shared" si="201"/>
        <v>Phönix 03 Lauf</v>
      </c>
      <c r="BV162" s="214">
        <f t="shared" si="202"/>
        <v>55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1.6199999999999999E-7</v>
      </c>
      <c r="BZ162" s="214">
        <f t="shared" si="192"/>
        <v>55</v>
      </c>
    </row>
    <row r="163" spans="1:78" ht="17.2" customHeight="1" x14ac:dyDescent="0.35">
      <c r="A163" s="367" t="s">
        <v>3</v>
      </c>
      <c r="B163" s="73" t="str">
        <f t="shared" si="193"/>
        <v/>
      </c>
      <c r="C163" s="74" t="str">
        <f t="shared" si="193"/>
        <v/>
      </c>
      <c r="D163" s="75" t="str">
        <f t="shared" si="193"/>
        <v/>
      </c>
      <c r="E163" s="348">
        <f>IF(AD163="","",AD163)</f>
        <v>0</v>
      </c>
      <c r="F163" s="75" t="str">
        <f t="shared" si="174"/>
        <v/>
      </c>
      <c r="G163" s="348">
        <f>IF(AF163="","",AF163)</f>
        <v>0</v>
      </c>
      <c r="H163" s="75" t="str">
        <f t="shared" si="175"/>
        <v/>
      </c>
      <c r="I163" s="348">
        <f>IF(AH163="","",AH163)</f>
        <v>0</v>
      </c>
      <c r="J163" s="75" t="str">
        <f t="shared" si="176"/>
        <v/>
      </c>
      <c r="K163" s="348">
        <f>IF(AJ163="","",AJ163)</f>
        <v>0</v>
      </c>
      <c r="L163" s="75" t="str">
        <f t="shared" si="177"/>
        <v/>
      </c>
      <c r="M163" s="348">
        <f>IF(AL163="","",AL163)</f>
        <v>0</v>
      </c>
      <c r="N163" s="75" t="str">
        <f t="shared" si="194"/>
        <v/>
      </c>
      <c r="O163" s="348">
        <f>IF(AN163="","",AN163)</f>
        <v>0</v>
      </c>
      <c r="P163" s="75" t="str">
        <f t="shared" si="178"/>
        <v/>
      </c>
      <c r="Q163" s="348">
        <f>IF(AP163="","",AP163)</f>
        <v>0</v>
      </c>
      <c r="R163" s="75" t="str">
        <f t="shared" si="179"/>
        <v/>
      </c>
      <c r="S163" s="348">
        <f>IF(AR163="","",AR163)</f>
        <v>0</v>
      </c>
      <c r="T163" s="75" t="str">
        <f t="shared" si="180"/>
        <v/>
      </c>
      <c r="U163" s="348">
        <f>IF(AT163="","",AT163)</f>
        <v>0</v>
      </c>
      <c r="V163" s="75" t="str">
        <f t="shared" si="181"/>
        <v/>
      </c>
      <c r="W163" s="348">
        <f>IF(AV163="","",AV163)</f>
        <v>0</v>
      </c>
      <c r="Z163" s="351" t="s">
        <v>3</v>
      </c>
      <c r="AA163" s="108" t="str">
        <f>IF(AB163=0,"",VLOOKUP(AB163,Starter!$A$1:$D$199,2,FALSE))</f>
        <v/>
      </c>
      <c r="AB163" s="99"/>
      <c r="AC163" s="188"/>
      <c r="AD163" s="109">
        <f>IF(SUM(AC163:AC165)+AC177=0,0,IF(SUM(AC163:AC165)=AC177,0.5,IF(SUM(AC163:AC165)&gt;AC177,1,0)))</f>
        <v>0</v>
      </c>
      <c r="AE163" s="188"/>
      <c r="AF163" s="109">
        <f>IF(SUM(AE163:AE165)+AE177=0,0,IF(SUM(AE163:AE165)=AE177,0.5,IF(SUM(AE163:AE165)&gt;AE177,1,0)))</f>
        <v>0</v>
      </c>
      <c r="AG163" s="188"/>
      <c r="AH163" s="109">
        <f>IF(SUM(AG163:AG165)+AG177=0,0,IF(SUM(AG163:AG165)=AG177,0.5,IF(SUM(AG163:AG165)&gt;AG177,1,0)))</f>
        <v>0</v>
      </c>
      <c r="AI163" s="188"/>
      <c r="AJ163" s="109">
        <f>IF(SUM(AI163:AI165)+AI177=0,0,IF(SUM(AI163:AI165)=AI177,0.5,IF(SUM(AI163:AI165)&gt;AI177,1,0)))</f>
        <v>0</v>
      </c>
      <c r="AK163" s="188"/>
      <c r="AL163" s="109">
        <f>IF(SUM(AK163:AK165)+AK177=0,0,IF(SUM(AK163:AK165)=AK177,0.5,IF(SUM(AK163:AK165)&gt;AK177,1,0)))</f>
        <v>0</v>
      </c>
      <c r="AM163" s="188"/>
      <c r="AN163" s="109">
        <f>IF(SUM(AM163:AM165)+AM177=0,0,IF(SUM(AM163:AM165)=AM177,0.5,IF(SUM(AM163:AM165)&gt;AM177,1,0)))</f>
        <v>0</v>
      </c>
      <c r="AO163" s="188"/>
      <c r="AP163" s="109">
        <f>IF(SUM(AO163:AO165)+AO177=0,0,IF(SUM(AO163:AO165)=AO177,0.5,IF(SUM(AO163:AO165)&gt;AO177,1,0)))</f>
        <v>0</v>
      </c>
      <c r="AQ163" s="188"/>
      <c r="AR163" s="109">
        <f>IF(SUM(AQ163:AQ165)+AQ177=0,0,IF(SUM(AQ163:AQ165)=AQ177,0.5,IF(SUM(AQ163:AQ165)&gt;AQ177,1,0)))</f>
        <v>0</v>
      </c>
      <c r="AS163" s="188"/>
      <c r="AT163" s="109">
        <f>IF(SUM(AS163:AS165)+AS177=0,0,IF(SUM(AS163:AS165)=AS177,0.5,IF(SUM(AS163:AS165)&gt;AS177,1,0)))</f>
        <v>0</v>
      </c>
      <c r="AU163" s="110">
        <f t="shared" si="182"/>
        <v>0</v>
      </c>
      <c r="AV163" s="111">
        <f>SUM(AD163+AF163+AH163+AJ163+AL163+AN163+AP163+AR163+AT163)</f>
        <v>0</v>
      </c>
      <c r="AW163" s="101"/>
      <c r="AX163" s="102"/>
      <c r="AZ163" s="63"/>
      <c r="BA163" s="212"/>
      <c r="BB163" s="213"/>
      <c r="BC163" s="214"/>
      <c r="BD163" s="217">
        <f t="shared" si="195"/>
        <v>0</v>
      </c>
      <c r="BE163" s="213">
        <f t="shared" si="196"/>
        <v>0</v>
      </c>
      <c r="BF163" s="215">
        <f t="shared" si="197"/>
        <v>0</v>
      </c>
      <c r="BG163" s="215">
        <f t="shared" si="198"/>
        <v>0</v>
      </c>
      <c r="BH163" s="215" t="str">
        <f t="shared" si="183"/>
        <v/>
      </c>
      <c r="BI163" s="215" t="str">
        <f t="shared" si="184"/>
        <v/>
      </c>
      <c r="BJ163" s="215" t="str">
        <f t="shared" si="185"/>
        <v/>
      </c>
      <c r="BK163" s="215" t="str">
        <f t="shared" si="186"/>
        <v/>
      </c>
      <c r="BL163" s="215" t="str">
        <f t="shared" si="187"/>
        <v/>
      </c>
      <c r="BM163" s="215" t="str">
        <f t="shared" si="188"/>
        <v/>
      </c>
      <c r="BN163" s="215" t="str">
        <f t="shared" si="189"/>
        <v/>
      </c>
      <c r="BO163" s="215" t="str">
        <f t="shared" si="190"/>
        <v/>
      </c>
      <c r="BP163" s="215" t="str">
        <f t="shared" si="191"/>
        <v/>
      </c>
      <c r="BQ163" s="216"/>
      <c r="BR163" s="214"/>
      <c r="BS163" s="215">
        <f t="shared" si="199"/>
        <v>0</v>
      </c>
      <c r="BT163" s="215">
        <f t="shared" si="200"/>
        <v>1.6299999999999999E-7</v>
      </c>
      <c r="BU163" s="215" t="str">
        <f t="shared" si="201"/>
        <v>Phönix 03 Lauf</v>
      </c>
      <c r="BV163" s="214">
        <f t="shared" si="202"/>
        <v>54</v>
      </c>
      <c r="BW163" s="215">
        <f t="shared" si="203"/>
        <v>0</v>
      </c>
      <c r="BX163" s="215">
        <f>IF(COUNTIF(BH163:BP163,"&gt;0")&lt;Spielorte!$A$23,0,BE163/Spielorte!$A$23)</f>
        <v>0</v>
      </c>
      <c r="BY163" s="215">
        <f t="shared" si="204"/>
        <v>1.6299999999999999E-7</v>
      </c>
      <c r="BZ163" s="214">
        <f t="shared" si="192"/>
        <v>54</v>
      </c>
    </row>
    <row r="164" spans="1:78" ht="17.2" customHeight="1" x14ac:dyDescent="0.35">
      <c r="A164" s="368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49"/>
      <c r="F164" s="78" t="str">
        <f t="shared" si="174"/>
        <v/>
      </c>
      <c r="G164" s="349"/>
      <c r="H164" s="78" t="str">
        <f t="shared" si="175"/>
        <v/>
      </c>
      <c r="I164" s="349"/>
      <c r="J164" s="78" t="str">
        <f t="shared" si="176"/>
        <v/>
      </c>
      <c r="K164" s="349"/>
      <c r="L164" s="78" t="str">
        <f t="shared" si="177"/>
        <v/>
      </c>
      <c r="M164" s="349"/>
      <c r="N164" s="78" t="str">
        <f t="shared" si="194"/>
        <v/>
      </c>
      <c r="O164" s="349"/>
      <c r="P164" s="78" t="str">
        <f t="shared" si="178"/>
        <v/>
      </c>
      <c r="Q164" s="349"/>
      <c r="R164" s="78" t="str">
        <f t="shared" si="179"/>
        <v/>
      </c>
      <c r="S164" s="349"/>
      <c r="T164" s="78" t="str">
        <f t="shared" si="180"/>
        <v/>
      </c>
      <c r="U164" s="349"/>
      <c r="V164" s="78" t="str">
        <f t="shared" si="181"/>
        <v/>
      </c>
      <c r="W164" s="349"/>
      <c r="Z164" s="352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1.6400000000000001E-7</v>
      </c>
      <c r="BU164" s="215" t="str">
        <f t="shared" si="201"/>
        <v>Phönix 03 Lauf</v>
      </c>
      <c r="BV164" s="214">
        <f t="shared" si="202"/>
        <v>53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1.6400000000000001E-7</v>
      </c>
      <c r="BZ164" s="214">
        <f t="shared" si="192"/>
        <v>53</v>
      </c>
    </row>
    <row r="165" spans="1:78" ht="17.2" customHeight="1" thickBot="1" x14ac:dyDescent="0.4">
      <c r="A165" s="369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50"/>
      <c r="F165" s="69" t="str">
        <f t="shared" si="174"/>
        <v/>
      </c>
      <c r="G165" s="350"/>
      <c r="H165" s="69" t="str">
        <f t="shared" si="175"/>
        <v/>
      </c>
      <c r="I165" s="350"/>
      <c r="J165" s="69" t="str">
        <f t="shared" si="176"/>
        <v/>
      </c>
      <c r="K165" s="350"/>
      <c r="L165" s="69" t="str">
        <f t="shared" si="177"/>
        <v/>
      </c>
      <c r="M165" s="350"/>
      <c r="N165" s="69" t="str">
        <f t="shared" si="194"/>
        <v/>
      </c>
      <c r="O165" s="350"/>
      <c r="P165" s="69" t="str">
        <f t="shared" si="178"/>
        <v/>
      </c>
      <c r="Q165" s="350"/>
      <c r="R165" s="69" t="str">
        <f t="shared" si="179"/>
        <v/>
      </c>
      <c r="S165" s="350"/>
      <c r="T165" s="69" t="str">
        <f t="shared" si="180"/>
        <v/>
      </c>
      <c r="U165" s="350"/>
      <c r="V165" s="69" t="str">
        <f t="shared" si="181"/>
        <v/>
      </c>
      <c r="W165" s="350"/>
      <c r="Z165" s="353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1.6500000000000001E-7</v>
      </c>
      <c r="BU165" s="215" t="str">
        <f t="shared" si="201"/>
        <v>Phönix 03 Lauf</v>
      </c>
      <c r="BV165" s="214">
        <f t="shared" si="202"/>
        <v>52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1.6500000000000001E-7</v>
      </c>
      <c r="BZ165" s="214">
        <f t="shared" si="192"/>
        <v>52</v>
      </c>
    </row>
    <row r="166" spans="1:78" ht="17.2" customHeight="1" x14ac:dyDescent="0.35">
      <c r="A166" s="367" t="s">
        <v>11</v>
      </c>
      <c r="B166" s="73" t="str">
        <f>IF(AA166=0,"",AA166)</f>
        <v/>
      </c>
      <c r="C166" s="74" t="str">
        <f t="shared" si="193"/>
        <v/>
      </c>
      <c r="D166" s="75" t="str">
        <f t="shared" si="193"/>
        <v/>
      </c>
      <c r="E166" s="348">
        <f>IF(AD166="","",AD166)</f>
        <v>0</v>
      </c>
      <c r="F166" s="75" t="str">
        <f t="shared" si="174"/>
        <v/>
      </c>
      <c r="G166" s="348">
        <f>IF(AF166="","",AF166)</f>
        <v>0</v>
      </c>
      <c r="H166" s="75" t="str">
        <f t="shared" si="175"/>
        <v/>
      </c>
      <c r="I166" s="348">
        <f>IF(AH166="","",AH166)</f>
        <v>0</v>
      </c>
      <c r="J166" s="75" t="str">
        <f t="shared" si="176"/>
        <v/>
      </c>
      <c r="K166" s="348">
        <f>IF(AJ166="","",AJ166)</f>
        <v>0</v>
      </c>
      <c r="L166" s="75" t="str">
        <f t="shared" si="177"/>
        <v/>
      </c>
      <c r="M166" s="348">
        <f>IF(AL166="","",AL166)</f>
        <v>0</v>
      </c>
      <c r="N166" s="75" t="str">
        <f t="shared" si="194"/>
        <v/>
      </c>
      <c r="O166" s="348">
        <f>IF(AN166="","",AN166)</f>
        <v>0</v>
      </c>
      <c r="P166" s="75" t="str">
        <f t="shared" si="178"/>
        <v/>
      </c>
      <c r="Q166" s="348">
        <f>IF(AP166="","",AP166)</f>
        <v>0</v>
      </c>
      <c r="R166" s="75" t="str">
        <f t="shared" si="179"/>
        <v/>
      </c>
      <c r="S166" s="348">
        <f>IF(AR166="","",AR166)</f>
        <v>0</v>
      </c>
      <c r="T166" s="75" t="str">
        <f t="shared" si="180"/>
        <v/>
      </c>
      <c r="U166" s="348">
        <f>IF(AT166="","",AT166)</f>
        <v>0</v>
      </c>
      <c r="V166" s="75" t="str">
        <f t="shared" si="181"/>
        <v/>
      </c>
      <c r="W166" s="348">
        <f>IF(AV166="","",AV166)</f>
        <v>0</v>
      </c>
      <c r="Z166" s="351" t="s">
        <v>11</v>
      </c>
      <c r="AA166" s="108" t="str">
        <f>IF(AB166=0,"",VLOOKUP(AB166,Starter!$A$1:$D$199,2,FALSE))</f>
        <v/>
      </c>
      <c r="AB166" s="99"/>
      <c r="AC166" s="188"/>
      <c r="AD166" s="109">
        <f>IF(SUM(AC166:AC168)+AC178=0,0,IF(SUM(AC166:AC168)=AC178,0.5,IF(SUM(AC166:AC168)&gt;AC178,1,0)))</f>
        <v>0</v>
      </c>
      <c r="AE166" s="188"/>
      <c r="AF166" s="109">
        <f>IF(SUM(AE166:AE168)+AE178=0,0,IF(SUM(AE166:AE168)=AE178,0.5,IF(SUM(AE166:AE168)&gt;AE178,1,0)))</f>
        <v>0</v>
      </c>
      <c r="AG166" s="188"/>
      <c r="AH166" s="109">
        <f>IF(SUM(AG166:AG168)+AG178=0,0,IF(SUM(AG166:AG168)=AG178,0.5,IF(SUM(AG166:AG168)&gt;AG178,1,0)))</f>
        <v>0</v>
      </c>
      <c r="AI166" s="188"/>
      <c r="AJ166" s="109">
        <f>IF(SUM(AI166:AI168)+AI178=0,0,IF(SUM(AI166:AI168)=AI178,0.5,IF(SUM(AI166:AI168)&gt;AI178,1,0)))</f>
        <v>0</v>
      </c>
      <c r="AK166" s="188"/>
      <c r="AL166" s="109">
        <f>IF(SUM(AK166:AK168)+AK178=0,0,IF(SUM(AK166:AK168)=AK178,0.5,IF(SUM(AK166:AK168)&gt;AK178,1,0)))</f>
        <v>0</v>
      </c>
      <c r="AM166" s="188"/>
      <c r="AN166" s="109">
        <f>IF(SUM(AM166:AM168)+AM178=0,0,IF(SUM(AM166:AM168)=AM178,0.5,IF(SUM(AM166:AM168)&gt;AM178,1,0)))</f>
        <v>0</v>
      </c>
      <c r="AO166" s="188"/>
      <c r="AP166" s="109">
        <f>IF(SUM(AO166:AO168)+AO178=0,0,IF(SUM(AO166:AO168)=AO178,0.5,IF(SUM(AO166:AO168)&gt;AO178,1,0)))</f>
        <v>0</v>
      </c>
      <c r="AQ166" s="188"/>
      <c r="AR166" s="109">
        <f>IF(SUM(AQ166:AQ168)+AQ178=0,0,IF(SUM(AQ166:AQ168)=AQ178,0.5,IF(SUM(AQ166:AQ168)&gt;AQ178,1,0)))</f>
        <v>0</v>
      </c>
      <c r="AS166" s="188"/>
      <c r="AT166" s="109">
        <f>IF(SUM(AS166:AS168)+AS178=0,0,IF(SUM(AS166:AS168)=AS178,0.5,IF(SUM(AS166:AS168)&gt;AS178,1,0)))</f>
        <v>0</v>
      </c>
      <c r="AU166" s="110">
        <f t="shared" si="182"/>
        <v>0</v>
      </c>
      <c r="AV166" s="111">
        <f>SUM(AD166+AF166+AH166+AJ166+AL166+AN166+AP166+AR166+AT166)</f>
        <v>0</v>
      </c>
      <c r="AW166" s="101"/>
      <c r="AX166" s="102"/>
      <c r="AZ166" s="63"/>
      <c r="BA166" s="212"/>
      <c r="BB166" s="213"/>
      <c r="BC166" s="214"/>
      <c r="BD166" s="217">
        <f t="shared" si="195"/>
        <v>0</v>
      </c>
      <c r="BE166" s="213">
        <f t="shared" si="196"/>
        <v>0</v>
      </c>
      <c r="BF166" s="215">
        <f t="shared" si="197"/>
        <v>0</v>
      </c>
      <c r="BG166" s="215">
        <f t="shared" si="198"/>
        <v>0</v>
      </c>
      <c r="BH166" s="215" t="str">
        <f t="shared" si="183"/>
        <v/>
      </c>
      <c r="BI166" s="215" t="str">
        <f t="shared" si="184"/>
        <v/>
      </c>
      <c r="BJ166" s="215" t="str">
        <f t="shared" si="185"/>
        <v/>
      </c>
      <c r="BK166" s="215" t="str">
        <f t="shared" si="186"/>
        <v/>
      </c>
      <c r="BL166" s="215" t="str">
        <f t="shared" si="187"/>
        <v/>
      </c>
      <c r="BM166" s="215" t="str">
        <f t="shared" si="188"/>
        <v/>
      </c>
      <c r="BN166" s="215" t="str">
        <f t="shared" si="189"/>
        <v/>
      </c>
      <c r="BO166" s="215" t="str">
        <f t="shared" si="190"/>
        <v/>
      </c>
      <c r="BP166" s="215" t="str">
        <f t="shared" si="191"/>
        <v/>
      </c>
      <c r="BQ166" s="216"/>
      <c r="BR166" s="214"/>
      <c r="BS166" s="215">
        <f t="shared" si="199"/>
        <v>0</v>
      </c>
      <c r="BT166" s="215">
        <f t="shared" si="200"/>
        <v>1.66E-7</v>
      </c>
      <c r="BU166" s="215" t="str">
        <f t="shared" si="201"/>
        <v>Phönix 03 Lauf</v>
      </c>
      <c r="BV166" s="214">
        <f t="shared" si="202"/>
        <v>51</v>
      </c>
      <c r="BW166" s="215">
        <f t="shared" si="203"/>
        <v>0</v>
      </c>
      <c r="BX166" s="215">
        <f>IF(COUNTIF(BH166:BP166,"&gt;0")&lt;Spielorte!$A$23,0,BE166/Spielorte!$A$23)</f>
        <v>0</v>
      </c>
      <c r="BY166" s="215">
        <f t="shared" si="204"/>
        <v>1.66E-7</v>
      </c>
      <c r="BZ166" s="214">
        <f t="shared" si="192"/>
        <v>51</v>
      </c>
    </row>
    <row r="167" spans="1:78" ht="17.2" customHeight="1" x14ac:dyDescent="0.35">
      <c r="A167" s="368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49"/>
      <c r="F167" s="78" t="str">
        <f t="shared" si="174"/>
        <v/>
      </c>
      <c r="G167" s="349"/>
      <c r="H167" s="78" t="str">
        <f t="shared" si="175"/>
        <v/>
      </c>
      <c r="I167" s="349"/>
      <c r="J167" s="78" t="str">
        <f t="shared" si="176"/>
        <v/>
      </c>
      <c r="K167" s="349"/>
      <c r="L167" s="78" t="str">
        <f t="shared" si="177"/>
        <v/>
      </c>
      <c r="M167" s="349"/>
      <c r="N167" s="78" t="str">
        <f t="shared" si="194"/>
        <v/>
      </c>
      <c r="O167" s="349"/>
      <c r="P167" s="78" t="str">
        <f t="shared" si="178"/>
        <v/>
      </c>
      <c r="Q167" s="349"/>
      <c r="R167" s="78" t="str">
        <f t="shared" si="179"/>
        <v/>
      </c>
      <c r="S167" s="349"/>
      <c r="T167" s="78" t="str">
        <f t="shared" si="180"/>
        <v/>
      </c>
      <c r="U167" s="349"/>
      <c r="V167" s="78" t="str">
        <f t="shared" si="181"/>
        <v/>
      </c>
      <c r="W167" s="349"/>
      <c r="Z167" s="352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1.67E-7</v>
      </c>
      <c r="BU167" s="215" t="str">
        <f t="shared" si="201"/>
        <v>Phönix 03 Lauf</v>
      </c>
      <c r="BV167" s="214">
        <f t="shared" si="202"/>
        <v>50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1.67E-7</v>
      </c>
      <c r="BZ167" s="214">
        <f t="shared" si="192"/>
        <v>50</v>
      </c>
    </row>
    <row r="168" spans="1:78" ht="17.2" customHeight="1" thickBot="1" x14ac:dyDescent="0.4">
      <c r="A168" s="369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50"/>
      <c r="F168" s="69" t="str">
        <f t="shared" si="174"/>
        <v/>
      </c>
      <c r="G168" s="350"/>
      <c r="H168" s="69" t="str">
        <f t="shared" si="175"/>
        <v/>
      </c>
      <c r="I168" s="350"/>
      <c r="J168" s="69" t="str">
        <f t="shared" si="176"/>
        <v/>
      </c>
      <c r="K168" s="350"/>
      <c r="L168" s="69" t="str">
        <f t="shared" si="177"/>
        <v/>
      </c>
      <c r="M168" s="350"/>
      <c r="N168" s="69" t="str">
        <f t="shared" si="194"/>
        <v/>
      </c>
      <c r="O168" s="350"/>
      <c r="P168" s="69" t="str">
        <f t="shared" si="178"/>
        <v/>
      </c>
      <c r="Q168" s="350"/>
      <c r="R168" s="69" t="str">
        <f t="shared" si="179"/>
        <v/>
      </c>
      <c r="S168" s="350"/>
      <c r="T168" s="69" t="str">
        <f t="shared" si="180"/>
        <v/>
      </c>
      <c r="U168" s="350"/>
      <c r="V168" s="69" t="str">
        <f t="shared" si="181"/>
        <v/>
      </c>
      <c r="W168" s="350"/>
      <c r="Z168" s="353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1.68E-7</v>
      </c>
      <c r="BU168" s="215" t="str">
        <f t="shared" si="201"/>
        <v>Phönix 03 Lauf</v>
      </c>
      <c r="BV168" s="214">
        <f t="shared" si="202"/>
        <v>49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1.68E-7</v>
      </c>
      <c r="BZ168" s="214">
        <f t="shared" si="192"/>
        <v>49</v>
      </c>
    </row>
    <row r="169" spans="1:78" ht="27.75" customHeight="1" thickBot="1" x14ac:dyDescent="0.4">
      <c r="B169" s="81" t="str">
        <f>IF(AA169=0,"",AA169)</f>
        <v>Gesamt</v>
      </c>
      <c r="C169" s="82" t="str">
        <f t="shared" si="193"/>
        <v/>
      </c>
      <c r="D169" s="83" t="str">
        <f t="shared" si="193"/>
        <v/>
      </c>
      <c r="E169" s="84">
        <f>IF(AD169="","",AD169)</f>
        <v>0</v>
      </c>
      <c r="F169" s="83" t="str">
        <f t="shared" si="174"/>
        <v/>
      </c>
      <c r="G169" s="84">
        <f>IF(AF169="","",AF169)</f>
        <v>0</v>
      </c>
      <c r="H169" s="83" t="str">
        <f t="shared" si="175"/>
        <v/>
      </c>
      <c r="I169" s="84">
        <f>IF(AH169="","",AH169)</f>
        <v>0</v>
      </c>
      <c r="J169" s="83" t="str">
        <f t="shared" si="176"/>
        <v/>
      </c>
      <c r="K169" s="84">
        <f>IF(AJ169="","",AJ169)</f>
        <v>0</v>
      </c>
      <c r="L169" s="83" t="str">
        <f t="shared" si="177"/>
        <v/>
      </c>
      <c r="M169" s="84">
        <f>IF(AL169="","",AL169)</f>
        <v>0</v>
      </c>
      <c r="N169" s="83" t="str">
        <f t="shared" si="194"/>
        <v/>
      </c>
      <c r="O169" s="84">
        <f>IF(AN169="","",AN169)</f>
        <v>0</v>
      </c>
      <c r="P169" s="83" t="str">
        <f t="shared" si="178"/>
        <v/>
      </c>
      <c r="Q169" s="84">
        <f>IF(AP169="","",AP169)</f>
        <v>0</v>
      </c>
      <c r="R169" s="83" t="str">
        <f t="shared" si="179"/>
        <v/>
      </c>
      <c r="S169" s="84">
        <f>IF(AR169="","",AR169)</f>
        <v>0</v>
      </c>
      <c r="T169" s="83" t="str">
        <f t="shared" si="180"/>
        <v/>
      </c>
      <c r="U169" s="84">
        <f>IF(AT169="","",AT169)</f>
        <v>0</v>
      </c>
      <c r="V169" s="83" t="str">
        <f t="shared" si="181"/>
        <v/>
      </c>
      <c r="W169" s="84">
        <f>IF(AV169="","",AV169)</f>
        <v>0</v>
      </c>
      <c r="AA169" s="81" t="s">
        <v>1799</v>
      </c>
      <c r="AB169" s="120"/>
      <c r="AC169" s="211">
        <f>ABS(SUM(AC157:AC159))+ABS(SUM(AC160:AC162))+ABS(SUM(AC163:AC165))+ABS(SUM(AC166:AC168))</f>
        <v>0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0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0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0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0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0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0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0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0</v>
      </c>
      <c r="AT169" s="121">
        <f>IF(AS169+AS179=0,0,IF(AS169=AS179,1,IF(AS169&gt;AS179,2,0)))</f>
        <v>0</v>
      </c>
      <c r="AU169" s="122">
        <f>SUM(AC169+AE169+AG169+AI169+AK169+AM169+AO169+AQ169+AS169)</f>
        <v>0</v>
      </c>
      <c r="AV169" s="123">
        <f>SUM(AD169+AF169+AH169+AJ169+AL169+AN169+AP169+AR169+AT169)</f>
        <v>0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4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0</v>
      </c>
      <c r="F170" s="86" t="str">
        <f t="shared" si="174"/>
        <v/>
      </c>
      <c r="G170" s="87">
        <f>IF(AF170="","",AF170)</f>
        <v>0</v>
      </c>
      <c r="H170" s="86" t="str">
        <f t="shared" si="175"/>
        <v/>
      </c>
      <c r="I170" s="87">
        <f>IF(AH170="","",AH170)</f>
        <v>0</v>
      </c>
      <c r="J170" s="86" t="str">
        <f t="shared" si="176"/>
        <v/>
      </c>
      <c r="K170" s="87">
        <f>IF(AJ170="","",AJ170)</f>
        <v>0</v>
      </c>
      <c r="L170" s="86" t="str">
        <f t="shared" si="177"/>
        <v/>
      </c>
      <c r="M170" s="87">
        <f>IF(AL170="","",AL170)</f>
        <v>0</v>
      </c>
      <c r="N170" s="86" t="str">
        <f t="shared" si="194"/>
        <v/>
      </c>
      <c r="O170" s="87">
        <f>IF(AN170="","",AN170)</f>
        <v>0</v>
      </c>
      <c r="P170" s="86" t="str">
        <f t="shared" si="178"/>
        <v/>
      </c>
      <c r="Q170" s="87">
        <f>IF(AP170="","",AP170)</f>
        <v>0</v>
      </c>
      <c r="R170" s="86" t="str">
        <f t="shared" si="179"/>
        <v/>
      </c>
      <c r="S170" s="87">
        <f>IF(AR170="","",AR170)</f>
        <v>0</v>
      </c>
      <c r="T170" s="86" t="str">
        <f t="shared" si="180"/>
        <v/>
      </c>
      <c r="U170" s="87">
        <f>IF(AT170="","",AT170)</f>
        <v>0</v>
      </c>
      <c r="V170" s="86" t="str">
        <f t="shared" si="181"/>
        <v/>
      </c>
      <c r="W170" s="87">
        <f>IF(AV170="","",AV170)</f>
        <v>0</v>
      </c>
      <c r="AA170" s="85" t="s">
        <v>1814</v>
      </c>
      <c r="AB170" s="86"/>
      <c r="AC170" s="86"/>
      <c r="AD170" s="124">
        <f>SUM(AD157:AD169)</f>
        <v>0</v>
      </c>
      <c r="AE170" s="86"/>
      <c r="AF170" s="124">
        <f>SUM(AF157:AF169)</f>
        <v>0</v>
      </c>
      <c r="AG170" s="86"/>
      <c r="AH170" s="124">
        <f>SUM(AH157:AH169)</f>
        <v>0</v>
      </c>
      <c r="AI170" s="86"/>
      <c r="AJ170" s="124">
        <f>SUM(AJ157:AJ169)</f>
        <v>0</v>
      </c>
      <c r="AK170" s="86"/>
      <c r="AL170" s="124">
        <f>SUM(AL157:AL169)</f>
        <v>0</v>
      </c>
      <c r="AM170" s="86"/>
      <c r="AN170" s="124">
        <f>SUM(AN157:AN169)</f>
        <v>0</v>
      </c>
      <c r="AO170" s="86"/>
      <c r="AP170" s="124">
        <f>SUM(AP157:AP169)</f>
        <v>0</v>
      </c>
      <c r="AQ170" s="86"/>
      <c r="AR170" s="124">
        <f>SUM(AR157:AR169)</f>
        <v>0</v>
      </c>
      <c r="AS170" s="86"/>
      <c r="AT170" s="124">
        <f>SUM(AT157:AT169)</f>
        <v>0</v>
      </c>
      <c r="AU170" s="86"/>
      <c r="AV170" s="125">
        <f>SUM(AV157:AV169)</f>
        <v>0</v>
      </c>
      <c r="AW170" s="101"/>
      <c r="AX170" s="102"/>
      <c r="BA170" s="212">
        <f>+AV170</f>
        <v>0</v>
      </c>
      <c r="BB170" s="213">
        <f>+AU169</f>
        <v>0</v>
      </c>
      <c r="BC170" s="214">
        <f>+AA152</f>
        <v>6</v>
      </c>
      <c r="BF170" s="215">
        <f>SUM(BF151:BF169)</f>
        <v>0</v>
      </c>
      <c r="BQ170" s="212">
        <f>+BB170/1000000+BA170</f>
        <v>0</v>
      </c>
      <c r="BR170" s="214">
        <f>RANK(BQ170,BQ:BQ)</f>
        <v>1</v>
      </c>
      <c r="BV170" s="214"/>
      <c r="BZ170" s="214"/>
    </row>
    <row r="171" spans="1:78" ht="11.25" customHeight="1" x14ac:dyDescent="0.3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3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46">
        <f t="shared" si="205"/>
        <v>5</v>
      </c>
      <c r="E172" s="346" t="str">
        <f t="shared" si="205"/>
        <v/>
      </c>
      <c r="F172" s="346">
        <f t="shared" si="205"/>
        <v>1</v>
      </c>
      <c r="G172" s="346" t="str">
        <f t="shared" si="205"/>
        <v/>
      </c>
      <c r="H172" s="346">
        <f t="shared" si="205"/>
        <v>7</v>
      </c>
      <c r="I172" s="346" t="str">
        <f t="shared" si="205"/>
        <v/>
      </c>
      <c r="J172" s="346">
        <f t="shared" si="205"/>
        <v>8</v>
      </c>
      <c r="K172" s="346" t="str">
        <f t="shared" si="205"/>
        <v/>
      </c>
      <c r="L172" s="346">
        <f t="shared" si="205"/>
        <v>2</v>
      </c>
      <c r="M172" s="346" t="str">
        <f t="shared" si="205"/>
        <v/>
      </c>
      <c r="N172" s="346">
        <f t="shared" si="205"/>
        <v>9</v>
      </c>
      <c r="O172" s="346" t="str">
        <f t="shared" si="205"/>
        <v/>
      </c>
      <c r="P172" s="346">
        <f t="shared" si="205"/>
        <v>4</v>
      </c>
      <c r="Q172" s="346" t="str">
        <f t="shared" si="205"/>
        <v/>
      </c>
      <c r="R172" s="346">
        <f t="shared" ref="L172:U174" si="206">IF(AQ172=0,"",AQ172)</f>
        <v>10</v>
      </c>
      <c r="S172" s="346" t="str">
        <f t="shared" si="206"/>
        <v/>
      </c>
      <c r="T172" s="346">
        <f t="shared" si="206"/>
        <v>3</v>
      </c>
      <c r="U172" s="346" t="str">
        <f t="shared" si="206"/>
        <v/>
      </c>
      <c r="V172" s="347"/>
      <c r="W172" s="347"/>
      <c r="AA172" s="88" t="s">
        <v>1797</v>
      </c>
      <c r="AB172" s="89" t="s">
        <v>1798</v>
      </c>
      <c r="AC172" s="370">
        <f>VLOOKUP($AA152,Schlüssel!$A$5:$DG$14,83)</f>
        <v>5</v>
      </c>
      <c r="AD172" s="371"/>
      <c r="AE172" s="370">
        <f>VLOOKUP($AA152,Schlüssel!$A$5:$EK$14,84)</f>
        <v>1</v>
      </c>
      <c r="AF172" s="371"/>
      <c r="AG172" s="370">
        <f>VLOOKUP($AA152,Schlüssel!$A$5:$EK$14,85)</f>
        <v>7</v>
      </c>
      <c r="AH172" s="371"/>
      <c r="AI172" s="370">
        <f>VLOOKUP($AA152,Schlüssel!$A$5:$EK$14,86)</f>
        <v>8</v>
      </c>
      <c r="AJ172" s="371"/>
      <c r="AK172" s="370">
        <f>VLOOKUP($AA152,Schlüssel!$A$5:$EK$14,87)</f>
        <v>2</v>
      </c>
      <c r="AL172" s="371"/>
      <c r="AM172" s="370">
        <f>VLOOKUP($AA152,Schlüssel!$A$5:$EK$14,88)</f>
        <v>9</v>
      </c>
      <c r="AN172" s="371"/>
      <c r="AO172" s="370">
        <f>VLOOKUP($AA152,Schlüssel!$A$5:$EK$14,89)</f>
        <v>4</v>
      </c>
      <c r="AP172" s="371"/>
      <c r="AQ172" s="370">
        <f>VLOOKUP($AA152,Schlüssel!$A$5:$EK$14,90)</f>
        <v>10</v>
      </c>
      <c r="AR172" s="371"/>
      <c r="AS172" s="370">
        <f>VLOOKUP($AA152,Schlüssel!$A$5:$EK$14,91)</f>
        <v>3</v>
      </c>
      <c r="AT172" s="371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35">
      <c r="B173" s="90" t="str">
        <f t="shared" ref="B173:K174" si="207">IF(AA173=0,"",AA173)</f>
        <v/>
      </c>
      <c r="C173" s="86" t="str">
        <f t="shared" si="207"/>
        <v/>
      </c>
      <c r="D173" s="343" t="str">
        <f t="shared" si="207"/>
        <v xml:space="preserve">Weiß Blau Unterföhring </v>
      </c>
      <c r="E173" s="344" t="str">
        <f t="shared" si="207"/>
        <v/>
      </c>
      <c r="F173" s="343" t="str">
        <f t="shared" si="207"/>
        <v>Praetoria Regensburg</v>
      </c>
      <c r="G173" s="344" t="str">
        <f t="shared" si="207"/>
        <v/>
      </c>
      <c r="H173" s="343" t="str">
        <f t="shared" si="207"/>
        <v>Frankenpower Nürnberg</v>
      </c>
      <c r="I173" s="344" t="str">
        <f t="shared" si="207"/>
        <v/>
      </c>
      <c r="J173" s="343" t="str">
        <f t="shared" si="207"/>
        <v>EPA München 1</v>
      </c>
      <c r="K173" s="344" t="str">
        <f t="shared" si="207"/>
        <v/>
      </c>
      <c r="L173" s="343" t="str">
        <f t="shared" si="206"/>
        <v>BK München 2</v>
      </c>
      <c r="M173" s="344" t="str">
        <f t="shared" si="206"/>
        <v/>
      </c>
      <c r="N173" s="343" t="str">
        <f t="shared" si="206"/>
        <v>RW Lichtenhof 69 Stein 2</v>
      </c>
      <c r="O173" s="344" t="str">
        <f t="shared" si="206"/>
        <v/>
      </c>
      <c r="P173" s="343" t="str">
        <f t="shared" si="206"/>
        <v>BK München 3</v>
      </c>
      <c r="Q173" s="344" t="str">
        <f t="shared" si="206"/>
        <v/>
      </c>
      <c r="R173" s="343" t="str">
        <f t="shared" si="206"/>
        <v>BK München 4</v>
      </c>
      <c r="S173" s="344" t="str">
        <f t="shared" si="206"/>
        <v/>
      </c>
      <c r="T173" s="343" t="str">
        <f t="shared" si="206"/>
        <v>Highroller Rosenheim</v>
      </c>
      <c r="U173" s="344" t="str">
        <f t="shared" si="206"/>
        <v/>
      </c>
      <c r="V173" s="345"/>
      <c r="W173" s="345"/>
      <c r="AA173" s="90"/>
      <c r="AB173" s="86"/>
      <c r="AC173" s="343" t="str">
        <f>VLOOKUP(AC172,Schlüssel!$A$5:$K$14,2)</f>
        <v xml:space="preserve">Weiß Blau Unterföhring </v>
      </c>
      <c r="AD173" s="344"/>
      <c r="AE173" s="343" t="str">
        <f>VLOOKUP(AE172,Schlüssel!$A$5:$K$14,2)</f>
        <v>Praetoria Regensburg</v>
      </c>
      <c r="AF173" s="344"/>
      <c r="AG173" s="343" t="str">
        <f>VLOOKUP(AG172,Schlüssel!$A$5:$K$14,2)</f>
        <v>Frankenpower Nürnberg</v>
      </c>
      <c r="AH173" s="344"/>
      <c r="AI173" s="343" t="str">
        <f>VLOOKUP(AI172,Schlüssel!$A$5:$K$14,2)</f>
        <v>EPA München 1</v>
      </c>
      <c r="AJ173" s="344"/>
      <c r="AK173" s="343" t="str">
        <f>VLOOKUP(AK172,Schlüssel!$A$5:$K$14,2)</f>
        <v>BK München 2</v>
      </c>
      <c r="AL173" s="344"/>
      <c r="AM173" s="343" t="str">
        <f>VLOOKUP(AM172,Schlüssel!$A$5:$K$14,2)</f>
        <v>RW Lichtenhof 69 Stein 2</v>
      </c>
      <c r="AN173" s="344"/>
      <c r="AO173" s="343" t="str">
        <f>VLOOKUP(AO172,Schlüssel!$A$5:$K$14,2)</f>
        <v>BK München 3</v>
      </c>
      <c r="AP173" s="344"/>
      <c r="AQ173" s="343" t="str">
        <f>VLOOKUP(AQ172,Schlüssel!$A$5:$K$14,2)</f>
        <v>BK München 4</v>
      </c>
      <c r="AR173" s="344"/>
      <c r="AS173" s="343" t="str">
        <f>VLOOKUP(AS172,Schlüssel!$A$5:$K$14,2)</f>
        <v>Highroller Rosenheim</v>
      </c>
      <c r="AT173" s="344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35">
      <c r="B174" s="90" t="str">
        <f t="shared" si="207"/>
        <v/>
      </c>
      <c r="C174" s="86" t="str">
        <f t="shared" si="207"/>
        <v/>
      </c>
      <c r="D174" s="341" t="str">
        <f t="shared" si="207"/>
        <v/>
      </c>
      <c r="E174" s="341" t="str">
        <f t="shared" si="207"/>
        <v/>
      </c>
      <c r="F174" s="341" t="str">
        <f t="shared" si="207"/>
        <v/>
      </c>
      <c r="G174" s="341" t="str">
        <f t="shared" si="207"/>
        <v/>
      </c>
      <c r="H174" s="341" t="str">
        <f t="shared" si="207"/>
        <v/>
      </c>
      <c r="I174" s="341" t="str">
        <f t="shared" si="207"/>
        <v/>
      </c>
      <c r="J174" s="341" t="str">
        <f t="shared" si="207"/>
        <v/>
      </c>
      <c r="K174" s="341" t="str">
        <f t="shared" si="207"/>
        <v/>
      </c>
      <c r="L174" s="341" t="str">
        <f t="shared" si="206"/>
        <v/>
      </c>
      <c r="M174" s="341" t="str">
        <f t="shared" si="206"/>
        <v/>
      </c>
      <c r="N174" s="341" t="str">
        <f t="shared" si="206"/>
        <v/>
      </c>
      <c r="O174" s="341" t="str">
        <f t="shared" si="206"/>
        <v/>
      </c>
      <c r="P174" s="341" t="str">
        <f t="shared" si="206"/>
        <v/>
      </c>
      <c r="Q174" s="341" t="str">
        <f t="shared" si="206"/>
        <v/>
      </c>
      <c r="R174" s="341" t="str">
        <f t="shared" si="206"/>
        <v/>
      </c>
      <c r="S174" s="341" t="str">
        <f t="shared" si="206"/>
        <v/>
      </c>
      <c r="T174" s="341" t="str">
        <f t="shared" si="206"/>
        <v/>
      </c>
      <c r="U174" s="342" t="str">
        <f t="shared" si="206"/>
        <v/>
      </c>
      <c r="V174" s="301"/>
      <c r="W174" s="301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6.05" customHeight="1" x14ac:dyDescent="0.35">
      <c r="B175" s="365" t="str">
        <f t="shared" ref="B175:C179" si="208">IF(AA175=0,"",AA175)</f>
        <v>Spieler 1</v>
      </c>
      <c r="C175" s="366" t="str">
        <f t="shared" si="208"/>
        <v/>
      </c>
      <c r="D175" s="339">
        <f>IF(AC175=301,"",AC175)</f>
        <v>0</v>
      </c>
      <c r="E175" s="339" t="str">
        <f>IF(AD175=0,"",AD175)</f>
        <v/>
      </c>
      <c r="F175" s="339">
        <f>IF(AE175=301,"",AE175)</f>
        <v>0</v>
      </c>
      <c r="G175" s="339" t="str">
        <f>IF(AF175=0,"",AF175)</f>
        <v/>
      </c>
      <c r="H175" s="339">
        <f>IF(AG175=301,"",AG175)</f>
        <v>0</v>
      </c>
      <c r="I175" s="339" t="str">
        <f>IF(AH175=0,"",AH175)</f>
        <v/>
      </c>
      <c r="J175" s="339">
        <f>IF(AI175=301,"",AI175)</f>
        <v>0</v>
      </c>
      <c r="K175" s="339" t="str">
        <f>IF(AJ175=0,"",AJ175)</f>
        <v/>
      </c>
      <c r="L175" s="339">
        <f>IF(AK175=301,"",AK175)</f>
        <v>0</v>
      </c>
      <c r="M175" s="339" t="str">
        <f>IF(AL175=0,"",AL175)</f>
        <v/>
      </c>
      <c r="N175" s="339">
        <f>IF(AM175=301,"",AM175)</f>
        <v>0</v>
      </c>
      <c r="O175" s="339" t="str">
        <f>IF(AN175=0,"",AN175)</f>
        <v/>
      </c>
      <c r="P175" s="339">
        <f>IF(AO175=301,"",AO175)</f>
        <v>0</v>
      </c>
      <c r="Q175" s="339" t="str">
        <f>IF(AP175=0,"",AP175)</f>
        <v/>
      </c>
      <c r="R175" s="339">
        <f>IF(AQ175=301,"",AQ175)</f>
        <v>0</v>
      </c>
      <c r="S175" s="339" t="str">
        <f>IF(AR175=0,"",AR175)</f>
        <v/>
      </c>
      <c r="T175" s="339">
        <f>IF(AS175=301,"",AS175)</f>
        <v>0</v>
      </c>
      <c r="U175" s="339" t="str">
        <f>IF(AT175=0,"",AT175)</f>
        <v/>
      </c>
      <c r="V175" s="340"/>
      <c r="W175" s="340"/>
      <c r="AA175" s="91" t="s">
        <v>0</v>
      </c>
      <c r="AB175" s="92"/>
      <c r="AC175" s="372">
        <f>ABS(INDEX(AC:AC,MATCH(AC172,$AA:$AA,0)+5)+INDEX(AC:AC,MATCH(AC172,$AA:$AA,0)+6)+INDEX(AC:AC,MATCH(AC172,$AA:$AA,0)+7))</f>
        <v>0</v>
      </c>
      <c r="AD175" s="373"/>
      <c r="AE175" s="372">
        <f>ABS(INDEX(AE:AE,MATCH(AE172,$AA:$AA,0)+5)+INDEX(AE:AE,MATCH(AE172,$AA:$AA,0)+6)+INDEX(AE:AE,MATCH(AE172,$AA:$AA,0)+7))</f>
        <v>0</v>
      </c>
      <c r="AF175" s="373"/>
      <c r="AG175" s="372">
        <f>ABS(INDEX(AG:AG,MATCH(AG172,$AA:$AA,0)+5)+INDEX(AG:AG,MATCH(AG172,$AA:$AA,0)+6)+INDEX(AG:AG,MATCH(AG172,$AA:$AA,0)+7))</f>
        <v>0</v>
      </c>
      <c r="AH175" s="373"/>
      <c r="AI175" s="372">
        <f>ABS(INDEX(AI:AI,MATCH(AI172,$AA:$AA,0)+5)+INDEX(AI:AI,MATCH(AI172,$AA:$AA,0)+6)+INDEX(AI:AI,MATCH(AI172,$AA:$AA,0)+7))</f>
        <v>0</v>
      </c>
      <c r="AJ175" s="373"/>
      <c r="AK175" s="372">
        <f>ABS(INDEX(AK:AK,MATCH(AK172,$AA:$AA,0)+5)+INDEX(AK:AK,MATCH(AK172,$AA:$AA,0)+6)+INDEX(AK:AK,MATCH(AK172,$AA:$AA,0)+7))</f>
        <v>0</v>
      </c>
      <c r="AL175" s="373"/>
      <c r="AM175" s="372">
        <f>ABS(INDEX(AM:AM,MATCH(AM172,$AA:$AA,0)+5)+INDEX(AM:AM,MATCH(AM172,$AA:$AA,0)+6)+INDEX(AM:AM,MATCH(AM172,$AA:$AA,0)+7))</f>
        <v>0</v>
      </c>
      <c r="AN175" s="373"/>
      <c r="AO175" s="372">
        <f>ABS(INDEX(AO:AO,MATCH(AO172,$AA:$AA,0)+5)+INDEX(AO:AO,MATCH(AO172,$AA:$AA,0)+6)+INDEX(AO:AO,MATCH(AO172,$AA:$AA,0)+7))</f>
        <v>0</v>
      </c>
      <c r="AP175" s="373"/>
      <c r="AQ175" s="372">
        <f>ABS(INDEX(AQ:AQ,MATCH(AQ172,$AA:$AA,0)+5)+INDEX(AQ:AQ,MATCH(AQ172,$AA:$AA,0)+6)+INDEX(AQ:AQ,MATCH(AQ172,$AA:$AA,0)+7))</f>
        <v>0</v>
      </c>
      <c r="AR175" s="373"/>
      <c r="AS175" s="372">
        <f>ABS(INDEX(AS:AS,MATCH(AS172,$AA:$AA,0)+5)+INDEX(AS:AS,MATCH(AS172,$AA:$AA,0)+6)+INDEX(AS:AS,MATCH(AS172,$AA:$AA,0)+7))</f>
        <v>0</v>
      </c>
      <c r="AT175" s="373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6.05" customHeight="1" x14ac:dyDescent="0.35">
      <c r="B176" s="365" t="str">
        <f t="shared" si="208"/>
        <v>Spieler 2</v>
      </c>
      <c r="C176" s="366" t="str">
        <f t="shared" si="208"/>
        <v/>
      </c>
      <c r="D176" s="339">
        <f>IF(AC176=301,"",AC176)</f>
        <v>0</v>
      </c>
      <c r="E176" s="339" t="str">
        <f>IF(AD176=0,"",AD176)</f>
        <v/>
      </c>
      <c r="F176" s="339">
        <f>IF(AE176=301,"",AE176)</f>
        <v>0</v>
      </c>
      <c r="G176" s="339" t="str">
        <f>IF(AF176=0,"",AF176)</f>
        <v/>
      </c>
      <c r="H176" s="339">
        <f>IF(AG176=301,"",AG176)</f>
        <v>0</v>
      </c>
      <c r="I176" s="339" t="str">
        <f>IF(AH176=0,"",AH176)</f>
        <v/>
      </c>
      <c r="J176" s="339">
        <f>IF(AI176=301,"",AI176)</f>
        <v>0</v>
      </c>
      <c r="K176" s="339" t="str">
        <f>IF(AJ176=0,"",AJ176)</f>
        <v/>
      </c>
      <c r="L176" s="339">
        <f>IF(AK176=301,"",AK176)</f>
        <v>0</v>
      </c>
      <c r="M176" s="339" t="str">
        <f>IF(AL176=0,"",AL176)</f>
        <v/>
      </c>
      <c r="N176" s="339">
        <f>IF(AM176=301,"",AM176)</f>
        <v>0</v>
      </c>
      <c r="O176" s="339" t="str">
        <f>IF(AN176=0,"",AN176)</f>
        <v/>
      </c>
      <c r="P176" s="339">
        <f>IF(AO176=301,"",AO176)</f>
        <v>0</v>
      </c>
      <c r="Q176" s="339" t="str">
        <f>IF(AP176=0,"",AP176)</f>
        <v/>
      </c>
      <c r="R176" s="339">
        <f>IF(AQ176=301,"",AQ176)</f>
        <v>0</v>
      </c>
      <c r="S176" s="339" t="str">
        <f>IF(AR176=0,"",AR176)</f>
        <v/>
      </c>
      <c r="T176" s="339">
        <f>IF(AS176=301,"",AS176)</f>
        <v>0</v>
      </c>
      <c r="U176" s="339" t="str">
        <f>IF(AT176=0,"",AT176)</f>
        <v/>
      </c>
      <c r="V176" s="340"/>
      <c r="W176" s="340"/>
      <c r="AA176" s="91" t="s">
        <v>2</v>
      </c>
      <c r="AB176" s="92"/>
      <c r="AC176" s="374">
        <f>ABS(INDEX(AC:AC,MATCH(AC172,$AA:$AA,0)+8)+INDEX(AC:AC,MATCH(AC172,$AA:$AA,0)+9)+INDEX(AC:AC,MATCH(AC172,$AA:$AA,0)+10))</f>
        <v>0</v>
      </c>
      <c r="AD176" s="375"/>
      <c r="AE176" s="374">
        <f>ABS(INDEX(AE:AE,MATCH(AE172,$AA:$AA,0)+8)+INDEX(AE:AE,MATCH(AE172,$AA:$AA,0)+9)+INDEX(AE:AE,MATCH(AE172,$AA:$AA,0)+10))</f>
        <v>0</v>
      </c>
      <c r="AF176" s="375"/>
      <c r="AG176" s="374">
        <f>ABS(INDEX(AG:AG,MATCH(AG172,$AA:$AA,0)+8)+INDEX(AG:AG,MATCH(AG172,$AA:$AA,0)+9)+INDEX(AG:AG,MATCH(AG172,$AA:$AA,0)+10))</f>
        <v>0</v>
      </c>
      <c r="AH176" s="375"/>
      <c r="AI176" s="374">
        <f>ABS(INDEX(AI:AI,MATCH(AI172,$AA:$AA,0)+8)+INDEX(AI:AI,MATCH(AI172,$AA:$AA,0)+9)+INDEX(AI:AI,MATCH(AI172,$AA:$AA,0)+10))</f>
        <v>0</v>
      </c>
      <c r="AJ176" s="375"/>
      <c r="AK176" s="374">
        <f>ABS(INDEX(AK:AK,MATCH(AK172,$AA:$AA,0)+8)+INDEX(AK:AK,MATCH(AK172,$AA:$AA,0)+9)+INDEX(AK:AK,MATCH(AK172,$AA:$AA,0)+10))</f>
        <v>0</v>
      </c>
      <c r="AL176" s="375"/>
      <c r="AM176" s="374">
        <f>ABS(INDEX(AM:AM,MATCH(AM172,$AA:$AA,0)+8)+INDEX(AM:AM,MATCH(AM172,$AA:$AA,0)+9)+INDEX(AM:AM,MATCH(AM172,$AA:$AA,0)+10))</f>
        <v>0</v>
      </c>
      <c r="AN176" s="375"/>
      <c r="AO176" s="374">
        <f>ABS(INDEX(AO:AO,MATCH(AO172,$AA:$AA,0)+8)+INDEX(AO:AO,MATCH(AO172,$AA:$AA,0)+9)+INDEX(AO:AO,MATCH(AO172,$AA:$AA,0)+10))</f>
        <v>0</v>
      </c>
      <c r="AP176" s="375"/>
      <c r="AQ176" s="374">
        <f>ABS(INDEX(AQ:AQ,MATCH(AQ172,$AA:$AA,0)+8)+INDEX(AQ:AQ,MATCH(AQ172,$AA:$AA,0)+9)+INDEX(AQ:AQ,MATCH(AQ172,$AA:$AA,0)+10))</f>
        <v>0</v>
      </c>
      <c r="AR176" s="375"/>
      <c r="AS176" s="374">
        <f>ABS(INDEX(AS:AS,MATCH(AS172,$AA:$AA,0)+8)+INDEX(AS:AS,MATCH(AS172,$AA:$AA,0)+9)+INDEX(AS:AS,MATCH(AS172,$AA:$AA,0)+10))</f>
        <v>0</v>
      </c>
      <c r="AT176" s="37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6.05" customHeight="1" x14ac:dyDescent="0.35">
      <c r="B177" s="365" t="str">
        <f t="shared" si="208"/>
        <v>Spieler 3</v>
      </c>
      <c r="C177" s="366" t="str">
        <f t="shared" si="208"/>
        <v/>
      </c>
      <c r="D177" s="339">
        <f>IF(AC177=301,"",AC177)</f>
        <v>0</v>
      </c>
      <c r="E177" s="339" t="str">
        <f>IF(AD177=0,"",AD177)</f>
        <v/>
      </c>
      <c r="F177" s="339">
        <f>IF(AE177=301,"",AE177)</f>
        <v>0</v>
      </c>
      <c r="G177" s="339" t="str">
        <f>IF(AF177=0,"",AF177)</f>
        <v/>
      </c>
      <c r="H177" s="339">
        <f>IF(AG177=301,"",AG177)</f>
        <v>0</v>
      </c>
      <c r="I177" s="339" t="str">
        <f>IF(AH177=0,"",AH177)</f>
        <v/>
      </c>
      <c r="J177" s="339">
        <f>IF(AI177=301,"",AI177)</f>
        <v>0</v>
      </c>
      <c r="K177" s="339" t="str">
        <f>IF(AJ177=0,"",AJ177)</f>
        <v/>
      </c>
      <c r="L177" s="339">
        <f>IF(AK177=301,"",AK177)</f>
        <v>0</v>
      </c>
      <c r="M177" s="339" t="str">
        <f>IF(AL177=0,"",AL177)</f>
        <v/>
      </c>
      <c r="N177" s="339">
        <f>IF(AM177=301,"",AM177)</f>
        <v>0</v>
      </c>
      <c r="O177" s="339" t="str">
        <f>IF(AN177=0,"",AN177)</f>
        <v/>
      </c>
      <c r="P177" s="339">
        <f>IF(AO177=301,"",AO177)</f>
        <v>0</v>
      </c>
      <c r="Q177" s="339" t="str">
        <f>IF(AP177=0,"",AP177)</f>
        <v/>
      </c>
      <c r="R177" s="339">
        <f>IF(AQ177=301,"",AQ177)</f>
        <v>0</v>
      </c>
      <c r="S177" s="339" t="str">
        <f>IF(AR177=0,"",AR177)</f>
        <v/>
      </c>
      <c r="T177" s="339">
        <f>IF(AS177=301,"",AS177)</f>
        <v>0</v>
      </c>
      <c r="U177" s="339" t="str">
        <f>IF(AT177=0,"",AT177)</f>
        <v/>
      </c>
      <c r="V177" s="340"/>
      <c r="W177" s="340"/>
      <c r="AA177" s="91" t="s">
        <v>3</v>
      </c>
      <c r="AB177" s="92"/>
      <c r="AC177" s="374">
        <f>ABS(INDEX(AC:AC,MATCH(AC172,$AA:$AA,0)+11)+INDEX(AC:AC,MATCH(AC172,$AA:$AA,0)+12)+INDEX(AC:AC,MATCH(AC172,$AA:$AA,0)+13))</f>
        <v>0</v>
      </c>
      <c r="AD177" s="375"/>
      <c r="AE177" s="374">
        <f>ABS(INDEX(AE:AE,MATCH(AE172,$AA:$AA,0)+11)+INDEX(AE:AE,MATCH(AE172,$AA:$AA,0)+12)+INDEX(AE:AE,MATCH(AE172,$AA:$AA,0)+13))</f>
        <v>0</v>
      </c>
      <c r="AF177" s="375"/>
      <c r="AG177" s="374">
        <f>ABS(INDEX(AG:AG,MATCH(AG172,$AA:$AA,0)+11)+INDEX(AG:AG,MATCH(AG172,$AA:$AA,0)+12)+INDEX(AG:AG,MATCH(AG172,$AA:$AA,0)+13))</f>
        <v>0</v>
      </c>
      <c r="AH177" s="375"/>
      <c r="AI177" s="374">
        <f>ABS(INDEX(AI:AI,MATCH(AI172,$AA:$AA,0)+11)+INDEX(AI:AI,MATCH(AI172,$AA:$AA,0)+12)+INDEX(AI:AI,MATCH(AI172,$AA:$AA,0)+13))</f>
        <v>0</v>
      </c>
      <c r="AJ177" s="375"/>
      <c r="AK177" s="374">
        <f>ABS(INDEX(AK:AK,MATCH(AK172,$AA:$AA,0)+11)+INDEX(AK:AK,MATCH(AK172,$AA:$AA,0)+12)+INDEX(AK:AK,MATCH(AK172,$AA:$AA,0)+13))</f>
        <v>0</v>
      </c>
      <c r="AL177" s="375"/>
      <c r="AM177" s="374">
        <f>ABS(INDEX(AM:AM,MATCH(AM172,$AA:$AA,0)+11)+INDEX(AM:AM,MATCH(AM172,$AA:$AA,0)+12)+INDEX(AM:AM,MATCH(AM172,$AA:$AA,0)+13))</f>
        <v>0</v>
      </c>
      <c r="AN177" s="375"/>
      <c r="AO177" s="374">
        <f>ABS(INDEX(AO:AO,MATCH(AO172,$AA:$AA,0)+11)+INDEX(AO:AO,MATCH(AO172,$AA:$AA,0)+12)+INDEX(AO:AO,MATCH(AO172,$AA:$AA,0)+13))</f>
        <v>0</v>
      </c>
      <c r="AP177" s="375"/>
      <c r="AQ177" s="374">
        <f>ABS(INDEX(AQ:AQ,MATCH(AQ172,$AA:$AA,0)+11)+INDEX(AQ:AQ,MATCH(AQ172,$AA:$AA,0)+12)+INDEX(AQ:AQ,MATCH(AQ172,$AA:$AA,0)+13))</f>
        <v>0</v>
      </c>
      <c r="AR177" s="375"/>
      <c r="AS177" s="374">
        <f>ABS(INDEX(AS:AS,MATCH(AS172,$AA:$AA,0)+11)+INDEX(AS:AS,MATCH(AS172,$AA:$AA,0)+12)+INDEX(AS:AS,MATCH(AS172,$AA:$AA,0)+13))</f>
        <v>0</v>
      </c>
      <c r="AT177" s="37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6.05" customHeight="1" x14ac:dyDescent="0.35">
      <c r="B178" s="365" t="str">
        <f t="shared" si="208"/>
        <v>Spieler 4</v>
      </c>
      <c r="C178" s="366" t="str">
        <f t="shared" si="208"/>
        <v/>
      </c>
      <c r="D178" s="339">
        <f>IF(AC178=301,"",AC178)</f>
        <v>0</v>
      </c>
      <c r="E178" s="339" t="str">
        <f>IF(AD178=0,"",AD178)</f>
        <v/>
      </c>
      <c r="F178" s="339">
        <f>IF(AE178=301,"",AE178)</f>
        <v>0</v>
      </c>
      <c r="G178" s="339" t="str">
        <f>IF(AF178=0,"",AF178)</f>
        <v/>
      </c>
      <c r="H178" s="339">
        <f>IF(AG178=301,"",AG178)</f>
        <v>0</v>
      </c>
      <c r="I178" s="339" t="str">
        <f>IF(AH178=0,"",AH178)</f>
        <v/>
      </c>
      <c r="J178" s="339">
        <f>IF(AI178=301,"",AI178)</f>
        <v>0</v>
      </c>
      <c r="K178" s="339" t="str">
        <f>IF(AJ178=0,"",AJ178)</f>
        <v/>
      </c>
      <c r="L178" s="339">
        <f>IF(AK178=301,"",AK178)</f>
        <v>0</v>
      </c>
      <c r="M178" s="339" t="str">
        <f>IF(AL178=0,"",AL178)</f>
        <v/>
      </c>
      <c r="N178" s="339">
        <f>IF(AM178=301,"",AM178)</f>
        <v>0</v>
      </c>
      <c r="O178" s="339" t="str">
        <f>IF(AN178=0,"",AN178)</f>
        <v/>
      </c>
      <c r="P178" s="339">
        <f>IF(AO178=301,"",AO178)</f>
        <v>0</v>
      </c>
      <c r="Q178" s="339" t="str">
        <f>IF(AP178=0,"",AP178)</f>
        <v/>
      </c>
      <c r="R178" s="339">
        <f>IF(AQ178=301,"",AQ178)</f>
        <v>0</v>
      </c>
      <c r="S178" s="339" t="str">
        <f>IF(AR178=0,"",AR178)</f>
        <v/>
      </c>
      <c r="T178" s="339">
        <f>IF(AS178=301,"",AS178)</f>
        <v>0</v>
      </c>
      <c r="U178" s="339" t="str">
        <f>IF(AT178=0,"",AT178)</f>
        <v/>
      </c>
      <c r="V178" s="340"/>
      <c r="W178" s="340"/>
      <c r="AA178" s="91" t="s">
        <v>11</v>
      </c>
      <c r="AB178" s="92"/>
      <c r="AC178" s="374">
        <f>ABS(INDEX(AC:AC,MATCH(AC172,$AA:$AA,0)+14)+INDEX(AC:AC,MATCH(AC172,$AA:$AA,0)+15)+INDEX(AC:AC,MATCH(AC172,$AA:$AA,0)+16))</f>
        <v>0</v>
      </c>
      <c r="AD178" s="375"/>
      <c r="AE178" s="374">
        <f>ABS(INDEX(AE:AE,MATCH(AE172,$AA:$AA,0)+14)+INDEX(AE:AE,MATCH(AE172,$AA:$AA,0)+15)+INDEX(AE:AE,MATCH(AE172,$AA:$AA,0)+16))</f>
        <v>0</v>
      </c>
      <c r="AF178" s="375"/>
      <c r="AG178" s="374">
        <f>ABS(INDEX(AG:AG,MATCH(AG172,$AA:$AA,0)+14)+INDEX(AG:AG,MATCH(AG172,$AA:$AA,0)+15)+INDEX(AG:AG,MATCH(AG172,$AA:$AA,0)+16))</f>
        <v>0</v>
      </c>
      <c r="AH178" s="375"/>
      <c r="AI178" s="374">
        <f>ABS(INDEX(AI:AI,MATCH(AI172,$AA:$AA,0)+14)+INDEX(AI:AI,MATCH(AI172,$AA:$AA,0)+15)+INDEX(AI:AI,MATCH(AI172,$AA:$AA,0)+16))</f>
        <v>0</v>
      </c>
      <c r="AJ178" s="375"/>
      <c r="AK178" s="374">
        <f>ABS(INDEX(AK:AK,MATCH(AK172,$AA:$AA,0)+14)+INDEX(AK:AK,MATCH(AK172,$AA:$AA,0)+15)+INDEX(AK:AK,MATCH(AK172,$AA:$AA,0)+16))</f>
        <v>0</v>
      </c>
      <c r="AL178" s="375"/>
      <c r="AM178" s="374">
        <f>ABS(INDEX(AM:AM,MATCH(AM172,$AA:$AA,0)+14)+INDEX(AM:AM,MATCH(AM172,$AA:$AA,0)+15)+INDEX(AM:AM,MATCH(AM172,$AA:$AA,0)+16))</f>
        <v>0</v>
      </c>
      <c r="AN178" s="375"/>
      <c r="AO178" s="374">
        <f>ABS(INDEX(AO:AO,MATCH(AO172,$AA:$AA,0)+14)+INDEX(AO:AO,MATCH(AO172,$AA:$AA,0)+15)+INDEX(AO:AO,MATCH(AO172,$AA:$AA,0)+16))</f>
        <v>0</v>
      </c>
      <c r="AP178" s="375"/>
      <c r="AQ178" s="374">
        <f>ABS(INDEX(AQ:AQ,MATCH(AQ172,$AA:$AA,0)+14)+INDEX(AQ:AQ,MATCH(AQ172,$AA:$AA,0)+15)+INDEX(AQ:AQ,MATCH(AQ172,$AA:$AA,0)+16))</f>
        <v>0</v>
      </c>
      <c r="AR178" s="375"/>
      <c r="AS178" s="374">
        <f>ABS(INDEX(AS:AS,MATCH(AS172,$AA:$AA,0)+14)+INDEX(AS:AS,MATCH(AS172,$AA:$AA,0)+15)+INDEX(AS:AS,MATCH(AS172,$AA:$AA,0)+16))</f>
        <v>0</v>
      </c>
      <c r="AT178" s="37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6.05" customHeight="1" x14ac:dyDescent="0.35">
      <c r="B179" s="354" t="str">
        <f t="shared" si="208"/>
        <v>Gesamt</v>
      </c>
      <c r="C179" s="355" t="str">
        <f t="shared" si="208"/>
        <v/>
      </c>
      <c r="D179" s="338">
        <f>IF(AC179=1505,"",AC179)</f>
        <v>0</v>
      </c>
      <c r="E179" s="338" t="str">
        <f>IF(AD179=0,"",AD179)</f>
        <v/>
      </c>
      <c r="F179" s="338">
        <f>IF(AE179=1505,"",AE179)</f>
        <v>0</v>
      </c>
      <c r="G179" s="338" t="str">
        <f>IF(AF179=0,"",AF179)</f>
        <v/>
      </c>
      <c r="H179" s="338">
        <f>IF(AG179=1505,"",AG179)</f>
        <v>0</v>
      </c>
      <c r="I179" s="338" t="str">
        <f>IF(AH179=0,"",AH179)</f>
        <v/>
      </c>
      <c r="J179" s="338">
        <f>IF(AI179=1505,"",AI179)</f>
        <v>0</v>
      </c>
      <c r="K179" s="338" t="str">
        <f>IF(AJ179=0,"",AJ179)</f>
        <v/>
      </c>
      <c r="L179" s="338">
        <f>IF(AK179=1505,"",AK179)</f>
        <v>0</v>
      </c>
      <c r="M179" s="338" t="str">
        <f>IF(AL179=0,"",AL179)</f>
        <v/>
      </c>
      <c r="N179" s="338">
        <f>IF(AM179=1505,"",AM179)</f>
        <v>0</v>
      </c>
      <c r="O179" s="338" t="str">
        <f>IF(AN179=0,"",AN179)</f>
        <v/>
      </c>
      <c r="P179" s="338">
        <f>IF(AO179=1505,"",AO179)</f>
        <v>0</v>
      </c>
      <c r="Q179" s="338" t="str">
        <f>IF(AP179=0,"",AP179)</f>
        <v/>
      </c>
      <c r="R179" s="338">
        <f>IF(AQ179=1505,"",AQ179)</f>
        <v>0</v>
      </c>
      <c r="S179" s="338" t="str">
        <f>IF(AR179=0,"",AR179)</f>
        <v/>
      </c>
      <c r="T179" s="338">
        <f>IF(AS179=1505,"",AS179)</f>
        <v>0</v>
      </c>
      <c r="U179" s="338" t="str">
        <f>IF(AT179=0,"",AT179)</f>
        <v/>
      </c>
      <c r="V179" s="290"/>
      <c r="W179" s="290"/>
      <c r="AA179" s="93" t="s">
        <v>1799</v>
      </c>
      <c r="AB179" s="94"/>
      <c r="AC179" s="354">
        <f>SUM(AC175:AC178)</f>
        <v>0</v>
      </c>
      <c r="AD179" s="355"/>
      <c r="AE179" s="354">
        <f>SUM(AE175:AE178)</f>
        <v>0</v>
      </c>
      <c r="AF179" s="355"/>
      <c r="AG179" s="354">
        <f>SUM(AG175:AG178)</f>
        <v>0</v>
      </c>
      <c r="AH179" s="355"/>
      <c r="AI179" s="354">
        <f>SUM(AI175:AI178)</f>
        <v>0</v>
      </c>
      <c r="AJ179" s="355"/>
      <c r="AK179" s="354">
        <f>SUM(AK175:AK178)</f>
        <v>0</v>
      </c>
      <c r="AL179" s="355"/>
      <c r="AM179" s="354">
        <f>SUM(AM175:AM178)</f>
        <v>0</v>
      </c>
      <c r="AN179" s="355"/>
      <c r="AO179" s="354">
        <f>SUM(AO175:AO178)</f>
        <v>0</v>
      </c>
      <c r="AP179" s="355"/>
      <c r="AQ179" s="354">
        <f>SUM(AQ175:AQ178)</f>
        <v>0</v>
      </c>
      <c r="AR179" s="355"/>
      <c r="AS179" s="354">
        <f>SUM(AS175:AS178)</f>
        <v>0</v>
      </c>
      <c r="AT179" s="35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3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7">
      <c r="B181" s="44" t="str">
        <f>AA181</f>
        <v>Team-Nr.</v>
      </c>
      <c r="C181" s="45"/>
      <c r="D181" s="44" t="str">
        <f>AC181</f>
        <v>Liga:</v>
      </c>
      <c r="E181" s="47"/>
      <c r="F181" s="359" t="str">
        <f>AE181</f>
        <v>Bayernliga Frauen</v>
      </c>
      <c r="G181" s="359"/>
      <c r="H181" s="359"/>
      <c r="I181" s="359"/>
      <c r="J181" s="359"/>
      <c r="K181" s="359"/>
      <c r="L181" s="359"/>
      <c r="M181" s="359"/>
      <c r="N181" s="359"/>
      <c r="O181" s="359"/>
      <c r="P181" s="359"/>
      <c r="Q181" s="359"/>
      <c r="R181" s="48"/>
      <c r="S181" s="49" t="s">
        <v>1794</v>
      </c>
      <c r="T181" s="50"/>
      <c r="U181" s="360" t="str">
        <f>AT181</f>
        <v>15.03./16.03.</v>
      </c>
      <c r="V181" s="361"/>
      <c r="W181" s="362"/>
      <c r="X181" s="363"/>
      <c r="Y181" s="364"/>
      <c r="Z181" s="364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0" t="str">
        <f>VLOOKUP(AS182,Spielorte!$A$1:$C$6,2)</f>
        <v>15.03./16.03.</v>
      </c>
      <c r="AU181" s="361"/>
      <c r="AV181" s="362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65">
      <c r="B182" s="53">
        <f>AA182</f>
        <v>7</v>
      </c>
      <c r="D182" s="46" t="s">
        <v>1793</v>
      </c>
      <c r="E182" s="54"/>
      <c r="F182" s="358" t="str">
        <f>AE182</f>
        <v>Brunnthal Max Munich</v>
      </c>
      <c r="G182" s="358"/>
      <c r="H182" s="358"/>
      <c r="I182" s="358"/>
      <c r="J182" s="358"/>
      <c r="K182" s="358"/>
      <c r="L182" s="358"/>
      <c r="M182" s="358"/>
      <c r="N182" s="358"/>
      <c r="O182" s="358"/>
      <c r="P182" s="55"/>
      <c r="Q182" s="55"/>
      <c r="S182" s="49" t="s">
        <v>1791</v>
      </c>
      <c r="T182" s="56">
        <f>AS182</f>
        <v>5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Brunnthal Max Munich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5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4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5" thickBot="1" x14ac:dyDescent="0.45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VLOOKUP(AA182,Schlüssel!$A$5:$DZ$14,93)</f>
        <v>1</v>
      </c>
      <c r="AE184" s="65" t="s">
        <v>10</v>
      </c>
      <c r="AF184" s="44">
        <f>VLOOKUP(AA182,Schlüssel!$A$5:$DZ$14,94)</f>
        <v>9</v>
      </c>
      <c r="AG184" s="65" t="s">
        <v>10</v>
      </c>
      <c r="AH184" s="44">
        <f>VLOOKUP(AA182,Schlüssel!$A$5:$DZ$14,95)</f>
        <v>3</v>
      </c>
      <c r="AI184" s="65" t="s">
        <v>10</v>
      </c>
      <c r="AJ184" s="44">
        <f>VLOOKUP(AA182,Schlüssel!$A$5:$DZ$14,96)</f>
        <v>8</v>
      </c>
      <c r="AK184" s="65" t="s">
        <v>10</v>
      </c>
      <c r="AL184" s="44">
        <f>VLOOKUP(AA182,Schlüssel!$A$5:$DZ$14,97)</f>
        <v>10</v>
      </c>
      <c r="AM184" s="65" t="s">
        <v>10</v>
      </c>
      <c r="AN184" s="44">
        <f>VLOOKUP(AA182,Schlüssel!$A$5:$DZ$14,98)</f>
        <v>7</v>
      </c>
      <c r="AO184" s="65" t="s">
        <v>10</v>
      </c>
      <c r="AP184" s="44">
        <f>VLOOKUP(AA182,Schlüssel!$A$5:$DZ$14,99)</f>
        <v>6</v>
      </c>
      <c r="AQ184" s="65" t="s">
        <v>10</v>
      </c>
      <c r="AR184" s="44">
        <f>VLOOKUP(AA182,Schlüssel!$A$5:$DZ$14,100)</f>
        <v>4</v>
      </c>
      <c r="AS184" s="65" t="s">
        <v>10</v>
      </c>
      <c r="AT184" s="44">
        <f>VLOOKUP(AA182,Schlüssel!$A$5:$DZ$14,101)</f>
        <v>2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35">
      <c r="B185" s="67" t="s">
        <v>1</v>
      </c>
      <c r="C185" s="68"/>
      <c r="D185" s="354" t="s">
        <v>1800</v>
      </c>
      <c r="E185" s="355"/>
      <c r="F185" s="354" t="s">
        <v>1801</v>
      </c>
      <c r="G185" s="355"/>
      <c r="H185" s="354" t="s">
        <v>1802</v>
      </c>
      <c r="I185" s="355"/>
      <c r="J185" s="354" t="s">
        <v>1803</v>
      </c>
      <c r="K185" s="355"/>
      <c r="L185" s="354" t="s">
        <v>1804</v>
      </c>
      <c r="M185" s="355"/>
      <c r="N185" s="354" t="s">
        <v>1805</v>
      </c>
      <c r="O185" s="355"/>
      <c r="P185" s="354" t="s">
        <v>1806</v>
      </c>
      <c r="Q185" s="355"/>
      <c r="R185" s="354" t="s">
        <v>1807</v>
      </c>
      <c r="S185" s="355"/>
      <c r="T185" s="354" t="s">
        <v>1808</v>
      </c>
      <c r="U185" s="355"/>
      <c r="V185" s="356" t="s">
        <v>1799</v>
      </c>
      <c r="W185" s="357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4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2" customHeight="1" x14ac:dyDescent="0.35">
      <c r="A187" s="367" t="s">
        <v>0</v>
      </c>
      <c r="B187" s="73" t="str">
        <f>IF(AA187=0,"",AA187)</f>
        <v/>
      </c>
      <c r="C187" s="74" t="str">
        <f>IF(AB187=0,"",AB187)</f>
        <v/>
      </c>
      <c r="D187" s="75" t="str">
        <f>IF(AC187=0,"",AC187)</f>
        <v/>
      </c>
      <c r="E187" s="348">
        <f>IF(AD187="","",AD187)</f>
        <v>0</v>
      </c>
      <c r="F187" s="75" t="str">
        <f t="shared" ref="F187:F200" si="209">IF(AE187=0,"",AE187)</f>
        <v/>
      </c>
      <c r="G187" s="348">
        <f>IF(AF187="","",AF187)</f>
        <v>0</v>
      </c>
      <c r="H187" s="75" t="str">
        <f t="shared" ref="H187:H200" si="210">IF(AG187=0,"",AG187)</f>
        <v/>
      </c>
      <c r="I187" s="348">
        <f>IF(AH187="","",AH187)</f>
        <v>0</v>
      </c>
      <c r="J187" s="75" t="str">
        <f t="shared" ref="J187:J200" si="211">IF(AI187=0,"",AI187)</f>
        <v/>
      </c>
      <c r="K187" s="348">
        <f>IF(AJ187="","",AJ187)</f>
        <v>0</v>
      </c>
      <c r="L187" s="75" t="str">
        <f t="shared" ref="L187:L200" si="212">IF(AK187=0,"",AK187)</f>
        <v/>
      </c>
      <c r="M187" s="348">
        <f>IF(AL187="","",AL187)</f>
        <v>0</v>
      </c>
      <c r="N187" s="75" t="str">
        <f>IF(AM187=0,"",AM187)</f>
        <v/>
      </c>
      <c r="O187" s="348">
        <f>IF(AN187="","",AN187)</f>
        <v>0</v>
      </c>
      <c r="P187" s="75" t="str">
        <f t="shared" ref="P187:P200" si="213">IF(AO187=0,"",AO187)</f>
        <v/>
      </c>
      <c r="Q187" s="348">
        <f>IF(AP187="","",AP187)</f>
        <v>0</v>
      </c>
      <c r="R187" s="75" t="str">
        <f t="shared" ref="R187:R200" si="214">IF(AQ187=0,"",AQ187)</f>
        <v/>
      </c>
      <c r="S187" s="348">
        <f>IF(AR187="","",AR187)</f>
        <v>0</v>
      </c>
      <c r="T187" s="75" t="str">
        <f t="shared" ref="T187:T200" si="215">IF(AS187=0,"",AS187)</f>
        <v/>
      </c>
      <c r="U187" s="348">
        <f>IF(AT187="","",AT187)</f>
        <v>0</v>
      </c>
      <c r="V187" s="75" t="str">
        <f t="shared" ref="V187:V200" si="216">IF(AU187=0,"",AU187)</f>
        <v/>
      </c>
      <c r="W187" s="348">
        <f>IF(AV187="","",AV187)</f>
        <v>0</v>
      </c>
      <c r="Z187" s="351" t="s">
        <v>0</v>
      </c>
      <c r="AA187" s="108" t="str">
        <f>IF(AB187=0,"",VLOOKUP(AB187,Starter!$A$1:$D$199,2,FALSE))</f>
        <v/>
      </c>
      <c r="AB187" s="99"/>
      <c r="AC187" s="185"/>
      <c r="AD187" s="109">
        <f>IF(SUM(AC187:AC189)+AC205=0,0,IF(SUM(AC187:AC189)=AC205,0.5,IF(SUM(AC187:AC189)&gt;AC205,1,0)))</f>
        <v>0</v>
      </c>
      <c r="AE187" s="185"/>
      <c r="AF187" s="109">
        <f>IF(SUM(AE187:AE189)+AE205=0,0,IF(SUM(AE187:AE189)=AE205,0.5,IF(SUM(AE187:AE189)&gt;AE205,1,0)))</f>
        <v>0</v>
      </c>
      <c r="AG187" s="185"/>
      <c r="AH187" s="109">
        <f>IF(SUM(AG187:AG189)+AG205=0,0,IF(SUM(AG187:AG189)=AG205,0.5,IF(SUM(AG187:AG189)&gt;AG205,1,0)))</f>
        <v>0</v>
      </c>
      <c r="AI187" s="185"/>
      <c r="AJ187" s="109">
        <f>IF(SUM(AI187:AI189)+AI205=0,0,IF(SUM(AI187:AI189)=AI205,0.5,IF(SUM(AI187:AI189)&gt;AI205,1,0)))</f>
        <v>0</v>
      </c>
      <c r="AK187" s="185"/>
      <c r="AL187" s="109">
        <f>IF(SUM(AK187:AK189)+AK205=0,0,IF(SUM(AK187:AK189)=AK205,0.5,IF(SUM(AK187:AK189)&gt;AK205,1,0)))</f>
        <v>0</v>
      </c>
      <c r="AM187" s="185"/>
      <c r="AN187" s="109">
        <f>IF(SUM(AM187:AM189)+AM205=0,0,IF(SUM(AM187:AM189)=AM205,0.5,IF(SUM(AM187:AM189)&gt;AM205,1,0)))</f>
        <v>0</v>
      </c>
      <c r="AO187" s="185"/>
      <c r="AP187" s="109">
        <f>IF(SUM(AO187:AO189)+AO205=0,0,IF(SUM(AO187:AO189)=AO205,0.5,IF(SUM(AO187:AO189)&gt;AO205,1,0)))</f>
        <v>0</v>
      </c>
      <c r="AQ187" s="185"/>
      <c r="AR187" s="109">
        <f>IF(SUM(AQ187:AQ189)+AQ205=0,0,IF(SUM(AQ187:AQ189)=AQ205,0.5,IF(SUM(AQ187:AQ189)&gt;AQ205,1,0)))</f>
        <v>0</v>
      </c>
      <c r="AS187" s="185"/>
      <c r="AT187" s="109">
        <f>IF(SUM(AS187:AS189)+AS205=0,0,IF(SUM(AS187:AS189)=AS205,0.5,IF(SUM(AS187:AS189)&gt;AS205,1,0)))</f>
        <v>0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0</v>
      </c>
      <c r="AV187" s="111">
        <f>SUM(AD187+AF187+AH187+AJ187+AL187+AN187+AP187+AR187+AT187)</f>
        <v>0</v>
      </c>
      <c r="AW187" s="101"/>
      <c r="AX187" s="102"/>
      <c r="AZ187" s="63"/>
      <c r="BA187" s="212"/>
      <c r="BB187" s="213"/>
      <c r="BC187" s="214"/>
      <c r="BD187" s="217">
        <f>+AB187</f>
        <v>0</v>
      </c>
      <c r="BE187" s="213">
        <f>+AU187</f>
        <v>0</v>
      </c>
      <c r="BF187" s="215">
        <f>COUNT(BH187:BP187)</f>
        <v>0</v>
      </c>
      <c r="BG187" s="215">
        <f>COUNTIF(BH187:BP187,"&gt;0")</f>
        <v>0</v>
      </c>
      <c r="BH187" s="215" t="str">
        <f t="shared" ref="BH187:BH198" si="218">IF(AC187=0,"",AC187)</f>
        <v/>
      </c>
      <c r="BI187" s="215" t="str">
        <f t="shared" ref="BI187:BI198" si="219">IF(AE187=0,"",AE187)</f>
        <v/>
      </c>
      <c r="BJ187" s="215" t="str">
        <f t="shared" ref="BJ187:BJ198" si="220">IF(AG187=0,"",AG187)</f>
        <v/>
      </c>
      <c r="BK187" s="215" t="str">
        <f t="shared" ref="BK187:BK198" si="221">IF(AI187=0,"",AI187)</f>
        <v/>
      </c>
      <c r="BL187" s="215" t="str">
        <f t="shared" ref="BL187:BL198" si="222">IF(AK187=0,"",AK187)</f>
        <v/>
      </c>
      <c r="BM187" s="215" t="str">
        <f t="shared" ref="BM187:BM198" si="223">IF(AM187=0,"",AM187)</f>
        <v/>
      </c>
      <c r="BN187" s="215" t="str">
        <f t="shared" ref="BN187:BN198" si="224">IF(AO187=0,"",AO187)</f>
        <v/>
      </c>
      <c r="BO187" s="215" t="str">
        <f t="shared" ref="BO187:BO198" si="225">IF(AQ187=0,"",AQ187)</f>
        <v/>
      </c>
      <c r="BP187" s="215" t="str">
        <f t="shared" ref="BP187:BP198" si="226">IF(AS187=0,"",AS187)</f>
        <v/>
      </c>
      <c r="BQ187" s="216"/>
      <c r="BR187" s="214"/>
      <c r="BS187" s="215">
        <f>MAX(BH187:BP187)</f>
        <v>0</v>
      </c>
      <c r="BT187" s="215">
        <f>IF(BS187&lt;MAX(BS:BS),0,BS187+ROW()/1000000000)</f>
        <v>1.8699999999999999E-7</v>
      </c>
      <c r="BU187" s="215" t="str">
        <f>+AA183</f>
        <v>Frankenpower Nürnberg</v>
      </c>
      <c r="BV187" s="214">
        <f>RANK(BT187,BT:BT)</f>
        <v>48</v>
      </c>
      <c r="BW187" s="215">
        <f>SUMIF(BH187:BP187,"&gt;0")</f>
        <v>0</v>
      </c>
      <c r="BX187" s="215">
        <f>IF(COUNTIF(BH187:BP187,"&gt;0")&lt;Spielorte!$A$23,0,BE187/Spielorte!$A$23)</f>
        <v>0</v>
      </c>
      <c r="BY187" s="215">
        <f>IF(BX187&lt;MAX(BX:BX),0,BX187+ROW()/1000000000)</f>
        <v>1.8699999999999999E-7</v>
      </c>
      <c r="BZ187" s="214">
        <f t="shared" ref="BZ187:BZ198" si="227">IF(BY187=0,0,RANK(BY187,BY:BY))</f>
        <v>48</v>
      </c>
    </row>
    <row r="188" spans="1:78" ht="17.2" customHeight="1" x14ac:dyDescent="0.35">
      <c r="A188" s="368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49"/>
      <c r="F188" s="78" t="str">
        <f t="shared" si="209"/>
        <v/>
      </c>
      <c r="G188" s="349"/>
      <c r="H188" s="78" t="str">
        <f t="shared" si="210"/>
        <v/>
      </c>
      <c r="I188" s="349"/>
      <c r="J188" s="78" t="str">
        <f t="shared" si="211"/>
        <v/>
      </c>
      <c r="K188" s="349"/>
      <c r="L188" s="78" t="str">
        <f t="shared" si="212"/>
        <v/>
      </c>
      <c r="M188" s="349"/>
      <c r="N188" s="78" t="str">
        <f t="shared" ref="N188:N200" si="229">IF(AM188=0,"",AM188)</f>
        <v/>
      </c>
      <c r="O188" s="349"/>
      <c r="P188" s="78" t="str">
        <f t="shared" si="213"/>
        <v/>
      </c>
      <c r="Q188" s="349"/>
      <c r="R188" s="78" t="str">
        <f t="shared" si="214"/>
        <v/>
      </c>
      <c r="S188" s="349"/>
      <c r="T188" s="78" t="str">
        <f t="shared" si="215"/>
        <v/>
      </c>
      <c r="U188" s="349"/>
      <c r="V188" s="78" t="str">
        <f t="shared" si="216"/>
        <v/>
      </c>
      <c r="W188" s="349"/>
      <c r="Z188" s="352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1.8799999999999999E-7</v>
      </c>
      <c r="BU188" s="215" t="str">
        <f t="shared" ref="BU188:BU198" si="236">+BU187</f>
        <v>Frankenpower Nürnberg</v>
      </c>
      <c r="BV188" s="214">
        <f t="shared" ref="BV188:BV198" si="237">RANK(BT188,BT:BT)</f>
        <v>47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1.8799999999999999E-7</v>
      </c>
      <c r="BZ188" s="214">
        <f t="shared" si="227"/>
        <v>47</v>
      </c>
    </row>
    <row r="189" spans="1:78" ht="17.2" customHeight="1" thickBot="1" x14ac:dyDescent="0.4">
      <c r="A189" s="369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50"/>
      <c r="F189" s="69" t="str">
        <f t="shared" si="209"/>
        <v/>
      </c>
      <c r="G189" s="350"/>
      <c r="H189" s="69" t="str">
        <f t="shared" si="210"/>
        <v/>
      </c>
      <c r="I189" s="350"/>
      <c r="J189" s="69" t="str">
        <f t="shared" si="211"/>
        <v/>
      </c>
      <c r="K189" s="350"/>
      <c r="L189" s="69" t="str">
        <f t="shared" si="212"/>
        <v/>
      </c>
      <c r="M189" s="350"/>
      <c r="N189" s="69" t="str">
        <f t="shared" si="229"/>
        <v/>
      </c>
      <c r="O189" s="350"/>
      <c r="P189" s="69" t="str">
        <f t="shared" si="213"/>
        <v/>
      </c>
      <c r="Q189" s="350"/>
      <c r="R189" s="69" t="str">
        <f t="shared" si="214"/>
        <v/>
      </c>
      <c r="S189" s="350"/>
      <c r="T189" s="69" t="str">
        <f t="shared" si="215"/>
        <v/>
      </c>
      <c r="U189" s="350"/>
      <c r="V189" s="69" t="str">
        <f t="shared" si="216"/>
        <v/>
      </c>
      <c r="W189" s="350"/>
      <c r="Z189" s="353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1.8900000000000001E-7</v>
      </c>
      <c r="BU189" s="215" t="str">
        <f t="shared" si="236"/>
        <v>Frankenpower Nürnberg</v>
      </c>
      <c r="BV189" s="214">
        <f t="shared" si="237"/>
        <v>46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1.8900000000000001E-7</v>
      </c>
      <c r="BZ189" s="214">
        <f t="shared" si="227"/>
        <v>46</v>
      </c>
    </row>
    <row r="190" spans="1:78" ht="17.2" customHeight="1" x14ac:dyDescent="0.35">
      <c r="A190" s="367" t="s">
        <v>2</v>
      </c>
      <c r="B190" s="73" t="str">
        <f t="shared" si="228"/>
        <v/>
      </c>
      <c r="C190" s="74" t="str">
        <f t="shared" si="228"/>
        <v/>
      </c>
      <c r="D190" s="75" t="str">
        <f t="shared" si="228"/>
        <v/>
      </c>
      <c r="E190" s="348">
        <f>IF(AD190="","",AD190)</f>
        <v>0</v>
      </c>
      <c r="F190" s="75" t="str">
        <f t="shared" si="209"/>
        <v/>
      </c>
      <c r="G190" s="348">
        <f>IF(AF190="","",AF190)</f>
        <v>0</v>
      </c>
      <c r="H190" s="75" t="str">
        <f t="shared" si="210"/>
        <v/>
      </c>
      <c r="I190" s="348">
        <f>IF(AH190="","",AH190)</f>
        <v>0</v>
      </c>
      <c r="J190" s="75" t="str">
        <f t="shared" si="211"/>
        <v/>
      </c>
      <c r="K190" s="348">
        <f>IF(AJ190="","",AJ190)</f>
        <v>0</v>
      </c>
      <c r="L190" s="75" t="str">
        <f t="shared" si="212"/>
        <v/>
      </c>
      <c r="M190" s="348">
        <f>IF(AL190="","",AL190)</f>
        <v>0</v>
      </c>
      <c r="N190" s="75" t="str">
        <f t="shared" si="229"/>
        <v/>
      </c>
      <c r="O190" s="348">
        <f>IF(AN190="","",AN190)</f>
        <v>0</v>
      </c>
      <c r="P190" s="75" t="str">
        <f t="shared" si="213"/>
        <v/>
      </c>
      <c r="Q190" s="348">
        <f>IF(AP190="","",AP190)</f>
        <v>0</v>
      </c>
      <c r="R190" s="75" t="str">
        <f t="shared" si="214"/>
        <v/>
      </c>
      <c r="S190" s="348">
        <f>IF(AR190="","",AR190)</f>
        <v>0</v>
      </c>
      <c r="T190" s="75" t="str">
        <f t="shared" si="215"/>
        <v/>
      </c>
      <c r="U190" s="348">
        <f>IF(AT190="","",AT190)</f>
        <v>0</v>
      </c>
      <c r="V190" s="75" t="str">
        <f t="shared" si="216"/>
        <v/>
      </c>
      <c r="W190" s="348">
        <f>IF(AV190="","",AV190)</f>
        <v>0</v>
      </c>
      <c r="Z190" s="351" t="s">
        <v>2</v>
      </c>
      <c r="AA190" s="108" t="str">
        <f>IF(AB190=0,"",VLOOKUP(AB190,Starter!$A$1:$D$199,2,FALSE))</f>
        <v/>
      </c>
      <c r="AB190" s="99"/>
      <c r="AC190" s="188"/>
      <c r="AD190" s="109">
        <f>IF(SUM(AC190:AC192)+AC206=0,0,IF(SUM(AC190:AC192)=AC206,0.5,IF(SUM(AC190:AC192)&gt;AC206,1,0)))</f>
        <v>0</v>
      </c>
      <c r="AE190" s="188"/>
      <c r="AF190" s="109">
        <f>IF(SUM(AE190:AE192)+AE206=0,0,IF(SUM(AE190:AE192)=AE206,0.5,IF(SUM(AE190:AE192)&gt;AE206,1,0)))</f>
        <v>0</v>
      </c>
      <c r="AG190" s="188"/>
      <c r="AH190" s="109">
        <f>IF(SUM(AG190:AG192)+AG206=0,0,IF(SUM(AG190:AG192)=AG206,0.5,IF(SUM(AG190:AG192)&gt;AG206,1,0)))</f>
        <v>0</v>
      </c>
      <c r="AI190" s="188"/>
      <c r="AJ190" s="109">
        <f>IF(SUM(AI190:AI192)+AI206=0,0,IF(SUM(AI190:AI192)=AI206,0.5,IF(SUM(AI190:AI192)&gt;AI206,1,0)))</f>
        <v>0</v>
      </c>
      <c r="AK190" s="188"/>
      <c r="AL190" s="109">
        <f>IF(SUM(AK190:AK192)+AK206=0,0,IF(SUM(AK190:AK192)=AK206,0.5,IF(SUM(AK190:AK192)&gt;AK206,1,0)))</f>
        <v>0</v>
      </c>
      <c r="AM190" s="188"/>
      <c r="AN190" s="109">
        <f>IF(SUM(AM190:AM192)+AM206=0,0,IF(SUM(AM190:AM192)=AM206,0.5,IF(SUM(AM190:AM192)&gt;AM206,1,0)))</f>
        <v>0</v>
      </c>
      <c r="AO190" s="188"/>
      <c r="AP190" s="109">
        <f>IF(SUM(AO190:AO192)+AO206=0,0,IF(SUM(AO190:AO192)=AO206,0.5,IF(SUM(AO190:AO192)&gt;AO206,1,0)))</f>
        <v>0</v>
      </c>
      <c r="AQ190" s="188"/>
      <c r="AR190" s="109">
        <f>IF(SUM(AQ190:AQ192)+AQ206=0,0,IF(SUM(AQ190:AQ192)=AQ206,0.5,IF(SUM(AQ190:AQ192)&gt;AQ206,1,0)))</f>
        <v>0</v>
      </c>
      <c r="AS190" s="188"/>
      <c r="AT190" s="109">
        <f>IF(SUM(AS190:AS192)+AS206=0,0,IF(SUM(AS190:AS192)=AS206,0.5,IF(SUM(AS190:AS192)&gt;AS206,1,0)))</f>
        <v>0</v>
      </c>
      <c r="AU190" s="110">
        <f t="shared" si="217"/>
        <v>0</v>
      </c>
      <c r="AV190" s="111">
        <f>SUM(AD190+AF190+AH190+AJ190+AL190+AN190+AP190+AR190+AT190)</f>
        <v>0</v>
      </c>
      <c r="AW190" s="101"/>
      <c r="AX190" s="102"/>
      <c r="AZ190" s="63"/>
      <c r="BA190" s="212"/>
      <c r="BB190" s="213"/>
      <c r="BC190" s="214"/>
      <c r="BD190" s="217">
        <f t="shared" si="230"/>
        <v>0</v>
      </c>
      <c r="BE190" s="213">
        <f t="shared" si="231"/>
        <v>0</v>
      </c>
      <c r="BF190" s="215">
        <f t="shared" si="232"/>
        <v>0</v>
      </c>
      <c r="BG190" s="215">
        <f t="shared" si="233"/>
        <v>0</v>
      </c>
      <c r="BH190" s="215" t="str">
        <f t="shared" si="218"/>
        <v/>
      </c>
      <c r="BI190" s="215" t="str">
        <f t="shared" si="219"/>
        <v/>
      </c>
      <c r="BJ190" s="215" t="str">
        <f t="shared" si="220"/>
        <v/>
      </c>
      <c r="BK190" s="215" t="str">
        <f t="shared" si="221"/>
        <v/>
      </c>
      <c r="BL190" s="215" t="str">
        <f t="shared" si="222"/>
        <v/>
      </c>
      <c r="BM190" s="215" t="str">
        <f t="shared" si="223"/>
        <v/>
      </c>
      <c r="BN190" s="215" t="str">
        <f t="shared" si="224"/>
        <v/>
      </c>
      <c r="BO190" s="215" t="str">
        <f t="shared" si="225"/>
        <v/>
      </c>
      <c r="BP190" s="215" t="str">
        <f t="shared" si="226"/>
        <v/>
      </c>
      <c r="BQ190" s="216"/>
      <c r="BR190" s="214"/>
      <c r="BS190" s="215">
        <f t="shared" si="234"/>
        <v>0</v>
      </c>
      <c r="BT190" s="215">
        <f t="shared" si="235"/>
        <v>1.9000000000000001E-7</v>
      </c>
      <c r="BU190" s="215" t="str">
        <f t="shared" si="236"/>
        <v>Frankenpower Nürnberg</v>
      </c>
      <c r="BV190" s="214">
        <f t="shared" si="237"/>
        <v>45</v>
      </c>
      <c r="BW190" s="215">
        <f t="shared" si="238"/>
        <v>0</v>
      </c>
      <c r="BX190" s="215">
        <f>IF(COUNTIF(BH190:BP190,"&gt;0")&lt;Spielorte!$A$23,0,BE190/Spielorte!$A$23)</f>
        <v>0</v>
      </c>
      <c r="BY190" s="215">
        <f t="shared" si="239"/>
        <v>1.9000000000000001E-7</v>
      </c>
      <c r="BZ190" s="214">
        <f t="shared" si="227"/>
        <v>45</v>
      </c>
    </row>
    <row r="191" spans="1:78" ht="17.2" customHeight="1" x14ac:dyDescent="0.35">
      <c r="A191" s="368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49"/>
      <c r="F191" s="78" t="str">
        <f t="shared" si="209"/>
        <v/>
      </c>
      <c r="G191" s="349"/>
      <c r="H191" s="78" t="str">
        <f t="shared" si="210"/>
        <v/>
      </c>
      <c r="I191" s="349"/>
      <c r="J191" s="78" t="str">
        <f t="shared" si="211"/>
        <v/>
      </c>
      <c r="K191" s="349"/>
      <c r="L191" s="78" t="str">
        <f t="shared" si="212"/>
        <v/>
      </c>
      <c r="M191" s="349"/>
      <c r="N191" s="78" t="str">
        <f t="shared" si="229"/>
        <v/>
      </c>
      <c r="O191" s="349"/>
      <c r="P191" s="78" t="str">
        <f t="shared" si="213"/>
        <v/>
      </c>
      <c r="Q191" s="349"/>
      <c r="R191" s="78" t="str">
        <f t="shared" si="214"/>
        <v/>
      </c>
      <c r="S191" s="349"/>
      <c r="T191" s="78" t="str">
        <f t="shared" si="215"/>
        <v/>
      </c>
      <c r="U191" s="349"/>
      <c r="V191" s="78" t="str">
        <f t="shared" si="216"/>
        <v/>
      </c>
      <c r="W191" s="349"/>
      <c r="Z191" s="352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1.91E-7</v>
      </c>
      <c r="BU191" s="215" t="str">
        <f t="shared" si="236"/>
        <v>Frankenpower Nürnberg</v>
      </c>
      <c r="BV191" s="214">
        <f t="shared" si="237"/>
        <v>44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1.91E-7</v>
      </c>
      <c r="BZ191" s="214">
        <f t="shared" si="227"/>
        <v>44</v>
      </c>
    </row>
    <row r="192" spans="1:78" ht="17.2" customHeight="1" thickBot="1" x14ac:dyDescent="0.4">
      <c r="A192" s="369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50"/>
      <c r="F192" s="69" t="str">
        <f t="shared" si="209"/>
        <v/>
      </c>
      <c r="G192" s="350"/>
      <c r="H192" s="69" t="str">
        <f t="shared" si="210"/>
        <v/>
      </c>
      <c r="I192" s="350"/>
      <c r="J192" s="69" t="str">
        <f t="shared" si="211"/>
        <v/>
      </c>
      <c r="K192" s="350"/>
      <c r="L192" s="69" t="str">
        <f t="shared" si="212"/>
        <v/>
      </c>
      <c r="M192" s="350"/>
      <c r="N192" s="69" t="str">
        <f t="shared" si="229"/>
        <v/>
      </c>
      <c r="O192" s="350"/>
      <c r="P192" s="69" t="str">
        <f t="shared" si="213"/>
        <v/>
      </c>
      <c r="Q192" s="350"/>
      <c r="R192" s="69" t="str">
        <f t="shared" si="214"/>
        <v/>
      </c>
      <c r="S192" s="350"/>
      <c r="T192" s="69" t="str">
        <f t="shared" si="215"/>
        <v/>
      </c>
      <c r="U192" s="350"/>
      <c r="V192" s="69" t="str">
        <f t="shared" si="216"/>
        <v/>
      </c>
      <c r="W192" s="350"/>
      <c r="Z192" s="353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1.92E-7</v>
      </c>
      <c r="BU192" s="215" t="str">
        <f t="shared" si="236"/>
        <v>Frankenpower Nürnberg</v>
      </c>
      <c r="BV192" s="214">
        <f t="shared" si="237"/>
        <v>43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1.92E-7</v>
      </c>
      <c r="BZ192" s="214">
        <f t="shared" si="227"/>
        <v>43</v>
      </c>
    </row>
    <row r="193" spans="1:78" ht="17.2" customHeight="1" x14ac:dyDescent="0.35">
      <c r="A193" s="367" t="s">
        <v>3</v>
      </c>
      <c r="B193" s="73" t="str">
        <f t="shared" si="228"/>
        <v/>
      </c>
      <c r="C193" s="74" t="str">
        <f t="shared" si="228"/>
        <v/>
      </c>
      <c r="D193" s="75" t="str">
        <f t="shared" si="228"/>
        <v/>
      </c>
      <c r="E193" s="348">
        <f>IF(AD193="","",AD193)</f>
        <v>0</v>
      </c>
      <c r="F193" s="75" t="str">
        <f t="shared" si="209"/>
        <v/>
      </c>
      <c r="G193" s="348">
        <f>IF(AF193="","",AF193)</f>
        <v>0</v>
      </c>
      <c r="H193" s="75" t="str">
        <f t="shared" si="210"/>
        <v/>
      </c>
      <c r="I193" s="348">
        <f>IF(AH193="","",AH193)</f>
        <v>0</v>
      </c>
      <c r="J193" s="75" t="str">
        <f t="shared" si="211"/>
        <v/>
      </c>
      <c r="K193" s="348">
        <f>IF(AJ193="","",AJ193)</f>
        <v>0</v>
      </c>
      <c r="L193" s="75" t="str">
        <f t="shared" si="212"/>
        <v/>
      </c>
      <c r="M193" s="348">
        <f>IF(AL193="","",AL193)</f>
        <v>0</v>
      </c>
      <c r="N193" s="75" t="str">
        <f t="shared" si="229"/>
        <v/>
      </c>
      <c r="O193" s="348">
        <f>IF(AN193="","",AN193)</f>
        <v>0</v>
      </c>
      <c r="P193" s="75" t="str">
        <f t="shared" si="213"/>
        <v/>
      </c>
      <c r="Q193" s="348">
        <f>IF(AP193="","",AP193)</f>
        <v>0</v>
      </c>
      <c r="R193" s="75" t="str">
        <f t="shared" si="214"/>
        <v/>
      </c>
      <c r="S193" s="348">
        <f>IF(AR193="","",AR193)</f>
        <v>0</v>
      </c>
      <c r="T193" s="75" t="str">
        <f t="shared" si="215"/>
        <v/>
      </c>
      <c r="U193" s="348">
        <f>IF(AT193="","",AT193)</f>
        <v>0</v>
      </c>
      <c r="V193" s="75" t="str">
        <f t="shared" si="216"/>
        <v/>
      </c>
      <c r="W193" s="348">
        <f>IF(AV193="","",AV193)</f>
        <v>0</v>
      </c>
      <c r="Z193" s="351" t="s">
        <v>3</v>
      </c>
      <c r="AA193" s="108" t="str">
        <f>IF(AB193=0,"",VLOOKUP(AB193,Starter!$A$1:$D$199,2,FALSE))</f>
        <v/>
      </c>
      <c r="AB193" s="99"/>
      <c r="AC193" s="188"/>
      <c r="AD193" s="109">
        <f>IF(SUM(AC193:AC195)+AC207=0,0,IF(SUM(AC193:AC195)=AC207,0.5,IF(SUM(AC193:AC195)&gt;AC207,1,0)))</f>
        <v>0</v>
      </c>
      <c r="AE193" s="188"/>
      <c r="AF193" s="109">
        <f>IF(SUM(AE193:AE195)+AE207=0,0,IF(SUM(AE193:AE195)=AE207,0.5,IF(SUM(AE193:AE195)&gt;AE207,1,0)))</f>
        <v>0</v>
      </c>
      <c r="AG193" s="188"/>
      <c r="AH193" s="109">
        <f>IF(SUM(AG193:AG195)+AG207=0,0,IF(SUM(AG193:AG195)=AG207,0.5,IF(SUM(AG193:AG195)&gt;AG207,1,0)))</f>
        <v>0</v>
      </c>
      <c r="AI193" s="188"/>
      <c r="AJ193" s="109">
        <f>IF(SUM(AI193:AI195)+AI207=0,0,IF(SUM(AI193:AI195)=AI207,0.5,IF(SUM(AI193:AI195)&gt;AI207,1,0)))</f>
        <v>0</v>
      </c>
      <c r="AK193" s="188"/>
      <c r="AL193" s="109">
        <f>IF(SUM(AK193:AK195)+AK207=0,0,IF(SUM(AK193:AK195)=AK207,0.5,IF(SUM(AK193:AK195)&gt;AK207,1,0)))</f>
        <v>0</v>
      </c>
      <c r="AM193" s="188"/>
      <c r="AN193" s="109">
        <f>IF(SUM(AM193:AM195)+AM207=0,0,IF(SUM(AM193:AM195)=AM207,0.5,IF(SUM(AM193:AM195)&gt;AM207,1,0)))</f>
        <v>0</v>
      </c>
      <c r="AO193" s="188"/>
      <c r="AP193" s="109">
        <f>IF(SUM(AO193:AO195)+AO207=0,0,IF(SUM(AO193:AO195)=AO207,0.5,IF(SUM(AO193:AO195)&gt;AO207,1,0)))</f>
        <v>0</v>
      </c>
      <c r="AQ193" s="188"/>
      <c r="AR193" s="109">
        <f>IF(SUM(AQ193:AQ195)+AQ207=0,0,IF(SUM(AQ193:AQ195)=AQ207,0.5,IF(SUM(AQ193:AQ195)&gt;AQ207,1,0)))</f>
        <v>0</v>
      </c>
      <c r="AS193" s="188"/>
      <c r="AT193" s="109">
        <f>IF(SUM(AS193:AS195)+AS207=0,0,IF(SUM(AS193:AS195)=AS207,0.5,IF(SUM(AS193:AS195)&gt;AS207,1,0)))</f>
        <v>0</v>
      </c>
      <c r="AU193" s="110">
        <f t="shared" si="217"/>
        <v>0</v>
      </c>
      <c r="AV193" s="111">
        <f>SUM(AD193+AF193+AH193+AJ193+AL193+AN193+AP193+AR193+AT193)</f>
        <v>0</v>
      </c>
      <c r="AW193" s="101"/>
      <c r="AX193" s="102"/>
      <c r="AZ193" s="63"/>
      <c r="BA193" s="212"/>
      <c r="BB193" s="213"/>
      <c r="BC193" s="214"/>
      <c r="BD193" s="217">
        <f t="shared" si="230"/>
        <v>0</v>
      </c>
      <c r="BE193" s="213">
        <f t="shared" si="231"/>
        <v>0</v>
      </c>
      <c r="BF193" s="215">
        <f t="shared" si="232"/>
        <v>0</v>
      </c>
      <c r="BG193" s="215">
        <f t="shared" si="233"/>
        <v>0</v>
      </c>
      <c r="BH193" s="215" t="str">
        <f t="shared" si="218"/>
        <v/>
      </c>
      <c r="BI193" s="215" t="str">
        <f t="shared" si="219"/>
        <v/>
      </c>
      <c r="BJ193" s="215" t="str">
        <f t="shared" si="220"/>
        <v/>
      </c>
      <c r="BK193" s="215" t="str">
        <f t="shared" si="221"/>
        <v/>
      </c>
      <c r="BL193" s="215" t="str">
        <f t="shared" si="222"/>
        <v/>
      </c>
      <c r="BM193" s="215" t="str">
        <f t="shared" si="223"/>
        <v/>
      </c>
      <c r="BN193" s="215" t="str">
        <f t="shared" si="224"/>
        <v/>
      </c>
      <c r="BO193" s="215" t="str">
        <f t="shared" si="225"/>
        <v/>
      </c>
      <c r="BP193" s="215" t="str">
        <f t="shared" si="226"/>
        <v/>
      </c>
      <c r="BQ193" s="216"/>
      <c r="BR193" s="214"/>
      <c r="BS193" s="215">
        <f t="shared" si="234"/>
        <v>0</v>
      </c>
      <c r="BT193" s="215">
        <f t="shared" si="235"/>
        <v>1.9299999999999999E-7</v>
      </c>
      <c r="BU193" s="215" t="str">
        <f t="shared" si="236"/>
        <v>Frankenpower Nürnberg</v>
      </c>
      <c r="BV193" s="214">
        <f t="shared" si="237"/>
        <v>42</v>
      </c>
      <c r="BW193" s="215">
        <f t="shared" si="238"/>
        <v>0</v>
      </c>
      <c r="BX193" s="215">
        <f>IF(COUNTIF(BH193:BP193,"&gt;0")&lt;Spielorte!$A$23,0,BE193/Spielorte!$A$23)</f>
        <v>0</v>
      </c>
      <c r="BY193" s="215">
        <f t="shared" si="239"/>
        <v>1.9299999999999999E-7</v>
      </c>
      <c r="BZ193" s="214">
        <f t="shared" si="227"/>
        <v>42</v>
      </c>
    </row>
    <row r="194" spans="1:78" ht="17.2" customHeight="1" x14ac:dyDescent="0.35">
      <c r="A194" s="368"/>
      <c r="B194" s="76" t="str">
        <f t="shared" si="228"/>
        <v/>
      </c>
      <c r="C194" s="77" t="str">
        <f t="shared" si="228"/>
        <v/>
      </c>
      <c r="D194" s="78" t="str">
        <f t="shared" si="228"/>
        <v/>
      </c>
      <c r="E194" s="349"/>
      <c r="F194" s="78" t="str">
        <f t="shared" si="209"/>
        <v/>
      </c>
      <c r="G194" s="349"/>
      <c r="H194" s="78" t="str">
        <f t="shared" si="210"/>
        <v/>
      </c>
      <c r="I194" s="349"/>
      <c r="J194" s="78" t="str">
        <f t="shared" si="211"/>
        <v/>
      </c>
      <c r="K194" s="349"/>
      <c r="L194" s="78" t="str">
        <f t="shared" si="212"/>
        <v/>
      </c>
      <c r="M194" s="349"/>
      <c r="N194" s="78" t="str">
        <f t="shared" si="229"/>
        <v/>
      </c>
      <c r="O194" s="349"/>
      <c r="P194" s="78" t="str">
        <f t="shared" si="213"/>
        <v/>
      </c>
      <c r="Q194" s="349"/>
      <c r="R194" s="78" t="str">
        <f t="shared" si="214"/>
        <v/>
      </c>
      <c r="S194" s="349"/>
      <c r="T194" s="78" t="str">
        <f t="shared" si="215"/>
        <v/>
      </c>
      <c r="U194" s="349"/>
      <c r="V194" s="78" t="str">
        <f t="shared" si="216"/>
        <v/>
      </c>
      <c r="W194" s="349"/>
      <c r="Z194" s="352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7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0</v>
      </c>
      <c r="BE194" s="213">
        <f t="shared" si="231"/>
        <v>0</v>
      </c>
      <c r="BF194" s="215">
        <f t="shared" si="232"/>
        <v>0</v>
      </c>
      <c r="BG194" s="215">
        <f t="shared" si="233"/>
        <v>0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 t="str">
        <f t="shared" si="222"/>
        <v/>
      </c>
      <c r="BM194" s="215" t="str">
        <f t="shared" si="223"/>
        <v/>
      </c>
      <c r="BN194" s="215" t="str">
        <f t="shared" si="224"/>
        <v/>
      </c>
      <c r="BO194" s="215" t="str">
        <f t="shared" si="225"/>
        <v/>
      </c>
      <c r="BP194" s="215" t="str">
        <f t="shared" si="226"/>
        <v/>
      </c>
      <c r="BQ194" s="216"/>
      <c r="BR194" s="214"/>
      <c r="BS194" s="215">
        <f t="shared" si="234"/>
        <v>0</v>
      </c>
      <c r="BT194" s="215">
        <f t="shared" si="235"/>
        <v>1.9399999999999999E-7</v>
      </c>
      <c r="BU194" s="215" t="str">
        <f t="shared" si="236"/>
        <v>Frankenpower Nürnberg</v>
      </c>
      <c r="BV194" s="214">
        <f t="shared" si="237"/>
        <v>41</v>
      </c>
      <c r="BW194" s="215">
        <f t="shared" si="238"/>
        <v>0</v>
      </c>
      <c r="BX194" s="215">
        <f>IF(COUNTIF(BH194:BP194,"&gt;0")&lt;Spielorte!$A$23,0,BE194/Spielorte!$A$23)</f>
        <v>0</v>
      </c>
      <c r="BY194" s="215">
        <f t="shared" si="239"/>
        <v>1.9399999999999999E-7</v>
      </c>
      <c r="BZ194" s="214">
        <f t="shared" si="227"/>
        <v>41</v>
      </c>
    </row>
    <row r="195" spans="1:78" ht="17.2" customHeight="1" thickBot="1" x14ac:dyDescent="0.4">
      <c r="A195" s="369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50"/>
      <c r="F195" s="69" t="str">
        <f t="shared" si="209"/>
        <v/>
      </c>
      <c r="G195" s="350"/>
      <c r="H195" s="69" t="str">
        <f t="shared" si="210"/>
        <v/>
      </c>
      <c r="I195" s="350"/>
      <c r="J195" s="69" t="str">
        <f t="shared" si="211"/>
        <v/>
      </c>
      <c r="K195" s="350"/>
      <c r="L195" s="69" t="str">
        <f t="shared" si="212"/>
        <v/>
      </c>
      <c r="M195" s="350"/>
      <c r="N195" s="69" t="str">
        <f t="shared" si="229"/>
        <v/>
      </c>
      <c r="O195" s="350"/>
      <c r="P195" s="69" t="str">
        <f t="shared" si="213"/>
        <v/>
      </c>
      <c r="Q195" s="350"/>
      <c r="R195" s="69" t="str">
        <f t="shared" si="214"/>
        <v/>
      </c>
      <c r="S195" s="350"/>
      <c r="T195" s="69" t="str">
        <f t="shared" si="215"/>
        <v/>
      </c>
      <c r="U195" s="350"/>
      <c r="V195" s="69" t="str">
        <f t="shared" si="216"/>
        <v/>
      </c>
      <c r="W195" s="350"/>
      <c r="Z195" s="353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1.9500000000000001E-7</v>
      </c>
      <c r="BU195" s="215" t="str">
        <f t="shared" si="236"/>
        <v>Frankenpower Nürnberg</v>
      </c>
      <c r="BV195" s="214">
        <f t="shared" si="237"/>
        <v>40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1.9500000000000001E-7</v>
      </c>
      <c r="BZ195" s="214">
        <f t="shared" si="227"/>
        <v>40</v>
      </c>
    </row>
    <row r="196" spans="1:78" ht="17.2" customHeight="1" x14ac:dyDescent="0.35">
      <c r="A196" s="367" t="s">
        <v>11</v>
      </c>
      <c r="B196" s="73" t="str">
        <f>IF(AA196=0,"",AA196)</f>
        <v/>
      </c>
      <c r="C196" s="74" t="str">
        <f t="shared" si="228"/>
        <v/>
      </c>
      <c r="D196" s="75" t="str">
        <f t="shared" si="228"/>
        <v/>
      </c>
      <c r="E196" s="348">
        <f>IF(AD196="","",AD196)</f>
        <v>0</v>
      </c>
      <c r="F196" s="75" t="str">
        <f t="shared" si="209"/>
        <v/>
      </c>
      <c r="G196" s="348">
        <f>IF(AF196="","",AF196)</f>
        <v>0</v>
      </c>
      <c r="H196" s="75" t="str">
        <f t="shared" si="210"/>
        <v/>
      </c>
      <c r="I196" s="348">
        <f>IF(AH196="","",AH196)</f>
        <v>0</v>
      </c>
      <c r="J196" s="75" t="str">
        <f t="shared" si="211"/>
        <v/>
      </c>
      <c r="K196" s="348">
        <f>IF(AJ196="","",AJ196)</f>
        <v>0</v>
      </c>
      <c r="L196" s="75" t="str">
        <f t="shared" si="212"/>
        <v/>
      </c>
      <c r="M196" s="348">
        <f>IF(AL196="","",AL196)</f>
        <v>0</v>
      </c>
      <c r="N196" s="75" t="str">
        <f t="shared" si="229"/>
        <v/>
      </c>
      <c r="O196" s="348">
        <f>IF(AN196="","",AN196)</f>
        <v>0</v>
      </c>
      <c r="P196" s="75" t="str">
        <f t="shared" si="213"/>
        <v/>
      </c>
      <c r="Q196" s="348">
        <f>IF(AP196="","",AP196)</f>
        <v>0</v>
      </c>
      <c r="R196" s="75" t="str">
        <f t="shared" si="214"/>
        <v/>
      </c>
      <c r="S196" s="348">
        <f>IF(AR196="","",AR196)</f>
        <v>0</v>
      </c>
      <c r="T196" s="75" t="str">
        <f t="shared" si="215"/>
        <v/>
      </c>
      <c r="U196" s="348">
        <f>IF(AT196="","",AT196)</f>
        <v>0</v>
      </c>
      <c r="V196" s="75" t="str">
        <f t="shared" si="216"/>
        <v/>
      </c>
      <c r="W196" s="348">
        <f>IF(AV196="","",AV196)</f>
        <v>0</v>
      </c>
      <c r="Z196" s="351" t="s">
        <v>11</v>
      </c>
      <c r="AA196" s="108" t="str">
        <f>IF(AB196=0,"",VLOOKUP(AB196,Starter!$A$1:$D$199,2,FALSE))</f>
        <v/>
      </c>
      <c r="AB196" s="99"/>
      <c r="AC196" s="188"/>
      <c r="AD196" s="109">
        <f>IF(SUM(AC196:AC198)+AC208=0,0,IF(SUM(AC196:AC198)=AC208,0.5,IF(SUM(AC196:AC198)&gt;AC208,1,0)))</f>
        <v>0</v>
      </c>
      <c r="AE196" s="188"/>
      <c r="AF196" s="109">
        <f>IF(SUM(AE196:AE198)+AE208=0,0,IF(SUM(AE196:AE198)=AE208,0.5,IF(SUM(AE196:AE198)&gt;AE208,1,0)))</f>
        <v>0</v>
      </c>
      <c r="AG196" s="188"/>
      <c r="AH196" s="109">
        <f>IF(SUM(AG196:AG198)+AG208=0,0,IF(SUM(AG196:AG198)=AG208,0.5,IF(SUM(AG196:AG198)&gt;AG208,1,0)))</f>
        <v>0</v>
      </c>
      <c r="AI196" s="188"/>
      <c r="AJ196" s="109">
        <f>IF(SUM(AI196:AI198)+AI208=0,0,IF(SUM(AI196:AI198)=AI208,0.5,IF(SUM(AI196:AI198)&gt;AI208,1,0)))</f>
        <v>0</v>
      </c>
      <c r="AK196" s="188"/>
      <c r="AL196" s="109">
        <f>IF(SUM(AK196:AK198)+AK208=0,0,IF(SUM(AK196:AK198)=AK208,0.5,IF(SUM(AK196:AK198)&gt;AK208,1,0)))</f>
        <v>0</v>
      </c>
      <c r="AM196" s="188"/>
      <c r="AN196" s="109">
        <f>IF(SUM(AM196:AM198)+AM208=0,0,IF(SUM(AM196:AM198)=AM208,0.5,IF(SUM(AM196:AM198)&gt;AM208,1,0)))</f>
        <v>0</v>
      </c>
      <c r="AO196" s="188"/>
      <c r="AP196" s="109">
        <f>IF(SUM(AO196:AO198)+AO208=0,0,IF(SUM(AO196:AO198)=AO208,0.5,IF(SUM(AO196:AO198)&gt;AO208,1,0)))</f>
        <v>0</v>
      </c>
      <c r="AQ196" s="188"/>
      <c r="AR196" s="109">
        <f>IF(SUM(AQ196:AQ198)+AQ208=0,0,IF(SUM(AQ196:AQ198)=AQ208,0.5,IF(SUM(AQ196:AQ198)&gt;AQ208,1,0)))</f>
        <v>0</v>
      </c>
      <c r="AS196" s="188"/>
      <c r="AT196" s="109">
        <f>IF(SUM(AS196:AS198)+AS208=0,0,IF(SUM(AS196:AS198)=AS208,0.5,IF(SUM(AS196:AS198)&gt;AS208,1,0)))</f>
        <v>0</v>
      </c>
      <c r="AU196" s="110">
        <f t="shared" si="217"/>
        <v>0</v>
      </c>
      <c r="AV196" s="111">
        <f>SUM(AD196+AF196+AH196+AJ196+AL196+AN196+AP196+AR196+AT196)</f>
        <v>0</v>
      </c>
      <c r="AW196" s="101"/>
      <c r="AX196" s="102"/>
      <c r="AZ196" s="63"/>
      <c r="BA196" s="212"/>
      <c r="BB196" s="213"/>
      <c r="BC196" s="214"/>
      <c r="BD196" s="217">
        <f t="shared" si="230"/>
        <v>0</v>
      </c>
      <c r="BE196" s="213">
        <f t="shared" si="231"/>
        <v>0</v>
      </c>
      <c r="BF196" s="215">
        <f t="shared" si="232"/>
        <v>0</v>
      </c>
      <c r="BG196" s="215">
        <f t="shared" si="233"/>
        <v>0</v>
      </c>
      <c r="BH196" s="215" t="str">
        <f t="shared" si="218"/>
        <v/>
      </c>
      <c r="BI196" s="215" t="str">
        <f t="shared" si="219"/>
        <v/>
      </c>
      <c r="BJ196" s="215" t="str">
        <f t="shared" si="220"/>
        <v/>
      </c>
      <c r="BK196" s="215" t="str">
        <f t="shared" si="221"/>
        <v/>
      </c>
      <c r="BL196" s="215" t="str">
        <f t="shared" si="222"/>
        <v/>
      </c>
      <c r="BM196" s="215" t="str">
        <f t="shared" si="223"/>
        <v/>
      </c>
      <c r="BN196" s="215" t="str">
        <f t="shared" si="224"/>
        <v/>
      </c>
      <c r="BO196" s="215" t="str">
        <f t="shared" si="225"/>
        <v/>
      </c>
      <c r="BP196" s="215" t="str">
        <f t="shared" si="226"/>
        <v/>
      </c>
      <c r="BQ196" s="216"/>
      <c r="BR196" s="214"/>
      <c r="BS196" s="215">
        <f t="shared" si="234"/>
        <v>0</v>
      </c>
      <c r="BT196" s="215">
        <f t="shared" si="235"/>
        <v>1.9600000000000001E-7</v>
      </c>
      <c r="BU196" s="215" t="str">
        <f t="shared" si="236"/>
        <v>Frankenpower Nürnberg</v>
      </c>
      <c r="BV196" s="214">
        <f t="shared" si="237"/>
        <v>39</v>
      </c>
      <c r="BW196" s="215">
        <f t="shared" si="238"/>
        <v>0</v>
      </c>
      <c r="BX196" s="215">
        <f>IF(COUNTIF(BH196:BP196,"&gt;0")&lt;Spielorte!$A$23,0,BE196/Spielorte!$A$23)</f>
        <v>0</v>
      </c>
      <c r="BY196" s="215">
        <f t="shared" si="239"/>
        <v>1.9600000000000001E-7</v>
      </c>
      <c r="BZ196" s="214">
        <f t="shared" si="227"/>
        <v>39</v>
      </c>
    </row>
    <row r="197" spans="1:78" ht="17.2" customHeight="1" x14ac:dyDescent="0.35">
      <c r="A197" s="368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49"/>
      <c r="F197" s="78" t="str">
        <f t="shared" si="209"/>
        <v/>
      </c>
      <c r="G197" s="349"/>
      <c r="H197" s="78" t="str">
        <f t="shared" si="210"/>
        <v/>
      </c>
      <c r="I197" s="349"/>
      <c r="J197" s="78" t="str">
        <f t="shared" si="211"/>
        <v/>
      </c>
      <c r="K197" s="349"/>
      <c r="L197" s="78" t="str">
        <f t="shared" si="212"/>
        <v/>
      </c>
      <c r="M197" s="349"/>
      <c r="N197" s="78" t="str">
        <f t="shared" si="229"/>
        <v/>
      </c>
      <c r="O197" s="349"/>
      <c r="P197" s="78" t="str">
        <f t="shared" si="213"/>
        <v/>
      </c>
      <c r="Q197" s="349"/>
      <c r="R197" s="78" t="str">
        <f t="shared" si="214"/>
        <v/>
      </c>
      <c r="S197" s="349"/>
      <c r="T197" s="78" t="str">
        <f t="shared" si="215"/>
        <v/>
      </c>
      <c r="U197" s="349"/>
      <c r="V197" s="78" t="str">
        <f t="shared" si="216"/>
        <v/>
      </c>
      <c r="W197" s="349"/>
      <c r="Z197" s="352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1.97E-7</v>
      </c>
      <c r="BU197" s="215" t="str">
        <f t="shared" si="236"/>
        <v>Frankenpower Nürnberg</v>
      </c>
      <c r="BV197" s="214">
        <f t="shared" si="237"/>
        <v>38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1.97E-7</v>
      </c>
      <c r="BZ197" s="214">
        <f t="shared" si="227"/>
        <v>38</v>
      </c>
    </row>
    <row r="198" spans="1:78" ht="17.2" customHeight="1" thickBot="1" x14ac:dyDescent="0.4">
      <c r="A198" s="369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50"/>
      <c r="F198" s="69" t="str">
        <f t="shared" si="209"/>
        <v/>
      </c>
      <c r="G198" s="350"/>
      <c r="H198" s="69" t="str">
        <f t="shared" si="210"/>
        <v/>
      </c>
      <c r="I198" s="350"/>
      <c r="J198" s="69" t="str">
        <f t="shared" si="211"/>
        <v/>
      </c>
      <c r="K198" s="350"/>
      <c r="L198" s="69" t="str">
        <f t="shared" si="212"/>
        <v/>
      </c>
      <c r="M198" s="350"/>
      <c r="N198" s="69" t="str">
        <f t="shared" si="229"/>
        <v/>
      </c>
      <c r="O198" s="350"/>
      <c r="P198" s="69" t="str">
        <f t="shared" si="213"/>
        <v/>
      </c>
      <c r="Q198" s="350"/>
      <c r="R198" s="69" t="str">
        <f t="shared" si="214"/>
        <v/>
      </c>
      <c r="S198" s="350"/>
      <c r="T198" s="69" t="str">
        <f t="shared" si="215"/>
        <v/>
      </c>
      <c r="U198" s="350"/>
      <c r="V198" s="69" t="str">
        <f t="shared" si="216"/>
        <v/>
      </c>
      <c r="W198" s="350"/>
      <c r="Z198" s="353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1.98E-7</v>
      </c>
      <c r="BU198" s="215" t="str">
        <f t="shared" si="236"/>
        <v>Frankenpower Nürnberg</v>
      </c>
      <c r="BV198" s="214">
        <f t="shared" si="237"/>
        <v>37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1.98E-7</v>
      </c>
      <c r="BZ198" s="214">
        <f t="shared" si="227"/>
        <v>37</v>
      </c>
    </row>
    <row r="199" spans="1:78" ht="27.75" customHeight="1" thickBot="1" x14ac:dyDescent="0.4">
      <c r="B199" s="81" t="str">
        <f>IF(AA199=0,"",AA199)</f>
        <v>Gesamt</v>
      </c>
      <c r="C199" s="82" t="str">
        <f t="shared" si="228"/>
        <v/>
      </c>
      <c r="D199" s="83" t="str">
        <f t="shared" si="228"/>
        <v/>
      </c>
      <c r="E199" s="84">
        <f>IF(AD199="","",AD199)</f>
        <v>0</v>
      </c>
      <c r="F199" s="83" t="str">
        <f t="shared" si="209"/>
        <v/>
      </c>
      <c r="G199" s="84">
        <f>IF(AF199="","",AF199)</f>
        <v>0</v>
      </c>
      <c r="H199" s="83" t="str">
        <f t="shared" si="210"/>
        <v/>
      </c>
      <c r="I199" s="84">
        <f>IF(AH199="","",AH199)</f>
        <v>0</v>
      </c>
      <c r="J199" s="83" t="str">
        <f t="shared" si="211"/>
        <v/>
      </c>
      <c r="K199" s="84">
        <f>IF(AJ199="","",AJ199)</f>
        <v>0</v>
      </c>
      <c r="L199" s="83" t="str">
        <f t="shared" si="212"/>
        <v/>
      </c>
      <c r="M199" s="84">
        <f>IF(AL199="","",AL199)</f>
        <v>0</v>
      </c>
      <c r="N199" s="83" t="str">
        <f t="shared" si="229"/>
        <v/>
      </c>
      <c r="O199" s="84">
        <f>IF(AN199="","",AN199)</f>
        <v>0</v>
      </c>
      <c r="P199" s="83" t="str">
        <f t="shared" si="213"/>
        <v/>
      </c>
      <c r="Q199" s="84">
        <f>IF(AP199="","",AP199)</f>
        <v>0</v>
      </c>
      <c r="R199" s="83" t="str">
        <f t="shared" si="214"/>
        <v/>
      </c>
      <c r="S199" s="84">
        <f>IF(AR199="","",AR199)</f>
        <v>0</v>
      </c>
      <c r="T199" s="83" t="str">
        <f t="shared" si="215"/>
        <v/>
      </c>
      <c r="U199" s="84">
        <f>IF(AT199="","",AT199)</f>
        <v>0</v>
      </c>
      <c r="V199" s="83" t="str">
        <f t="shared" si="216"/>
        <v/>
      </c>
      <c r="W199" s="84">
        <f>IF(AV199="","",AV199)</f>
        <v>0</v>
      </c>
      <c r="AA199" s="81" t="s">
        <v>1799</v>
      </c>
      <c r="AB199" s="120"/>
      <c r="AC199" s="211">
        <f>ABS(SUM(AC187:AC189))+ABS(SUM(AC190:AC192))+ABS(SUM(AC193:AC195))+ABS(SUM(AC196:AC198))</f>
        <v>0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0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0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0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0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0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0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0</v>
      </c>
      <c r="AT199" s="121">
        <f>IF(AS199+AS209=0,0,IF(AS199=AS209,1,IF(AS199&gt;AS209,2,0)))</f>
        <v>0</v>
      </c>
      <c r="AU199" s="122">
        <f>SUM(AC199+AE199+AG199+AI199+AK199+AM199+AO199+AQ199+AS199)</f>
        <v>0</v>
      </c>
      <c r="AV199" s="123">
        <f>SUM(AD199+AF199+AH199+AJ199+AL199+AN199+AP199+AR199+AT199)</f>
        <v>0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4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0</v>
      </c>
      <c r="F200" s="86" t="str">
        <f t="shared" si="209"/>
        <v/>
      </c>
      <c r="G200" s="87">
        <f>IF(AF200="","",AF200)</f>
        <v>0</v>
      </c>
      <c r="H200" s="86" t="str">
        <f t="shared" si="210"/>
        <v/>
      </c>
      <c r="I200" s="87">
        <f>IF(AH200="","",AH200)</f>
        <v>0</v>
      </c>
      <c r="J200" s="86" t="str">
        <f t="shared" si="211"/>
        <v/>
      </c>
      <c r="K200" s="87">
        <f>IF(AJ200="","",AJ200)</f>
        <v>0</v>
      </c>
      <c r="L200" s="86" t="str">
        <f t="shared" si="212"/>
        <v/>
      </c>
      <c r="M200" s="87">
        <f>IF(AL200="","",AL200)</f>
        <v>0</v>
      </c>
      <c r="N200" s="86" t="str">
        <f t="shared" si="229"/>
        <v/>
      </c>
      <c r="O200" s="87">
        <f>IF(AN200="","",AN200)</f>
        <v>0</v>
      </c>
      <c r="P200" s="86" t="str">
        <f t="shared" si="213"/>
        <v/>
      </c>
      <c r="Q200" s="87">
        <f>IF(AP200="","",AP200)</f>
        <v>0</v>
      </c>
      <c r="R200" s="86" t="str">
        <f t="shared" si="214"/>
        <v/>
      </c>
      <c r="S200" s="87">
        <f>IF(AR200="","",AR200)</f>
        <v>0</v>
      </c>
      <c r="T200" s="86" t="str">
        <f t="shared" si="215"/>
        <v/>
      </c>
      <c r="U200" s="87">
        <f>IF(AT200="","",AT200)</f>
        <v>0</v>
      </c>
      <c r="V200" s="86" t="str">
        <f t="shared" si="216"/>
        <v/>
      </c>
      <c r="W200" s="87">
        <f>IF(AV200="","",AV200)</f>
        <v>0</v>
      </c>
      <c r="AA200" s="85" t="s">
        <v>1814</v>
      </c>
      <c r="AB200" s="86"/>
      <c r="AC200" s="86"/>
      <c r="AD200" s="124">
        <f>SUM(AD187:AD199)</f>
        <v>0</v>
      </c>
      <c r="AE200" s="86"/>
      <c r="AF200" s="124">
        <f>SUM(AF187:AF199)</f>
        <v>0</v>
      </c>
      <c r="AG200" s="86"/>
      <c r="AH200" s="124">
        <f>SUM(AH187:AH199)</f>
        <v>0</v>
      </c>
      <c r="AI200" s="86"/>
      <c r="AJ200" s="124">
        <f>SUM(AJ187:AJ199)</f>
        <v>0</v>
      </c>
      <c r="AK200" s="86"/>
      <c r="AL200" s="124">
        <f>SUM(AL187:AL199)</f>
        <v>0</v>
      </c>
      <c r="AM200" s="86"/>
      <c r="AN200" s="124">
        <f>SUM(AN187:AN199)</f>
        <v>0</v>
      </c>
      <c r="AO200" s="86"/>
      <c r="AP200" s="124">
        <f>SUM(AP187:AP199)</f>
        <v>0</v>
      </c>
      <c r="AQ200" s="86"/>
      <c r="AR200" s="124">
        <f>SUM(AR187:AR199)</f>
        <v>0</v>
      </c>
      <c r="AS200" s="86"/>
      <c r="AT200" s="124">
        <f>SUM(AT187:AT199)</f>
        <v>0</v>
      </c>
      <c r="AU200" s="86"/>
      <c r="AV200" s="125">
        <f>SUM(AV187:AV199)</f>
        <v>0</v>
      </c>
      <c r="AW200" s="101"/>
      <c r="AX200" s="102"/>
      <c r="BA200" s="212">
        <f>+AV200</f>
        <v>0</v>
      </c>
      <c r="BB200" s="213">
        <f>+AU199</f>
        <v>0</v>
      </c>
      <c r="BC200" s="214">
        <f>+AA182</f>
        <v>7</v>
      </c>
      <c r="BF200" s="215">
        <f>SUM(BF181:BF199)</f>
        <v>0</v>
      </c>
      <c r="BQ200" s="212">
        <f>+BB200/1000000+BA200</f>
        <v>0</v>
      </c>
      <c r="BR200" s="214">
        <f>RANK(BQ200,BQ:BQ)</f>
        <v>1</v>
      </c>
      <c r="BV200" s="214"/>
      <c r="BZ200" s="214"/>
    </row>
    <row r="201" spans="1:78" ht="11.25" customHeight="1" x14ac:dyDescent="0.3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3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46">
        <f t="shared" si="240"/>
        <v>8</v>
      </c>
      <c r="E202" s="346" t="str">
        <f t="shared" si="240"/>
        <v/>
      </c>
      <c r="F202" s="346">
        <f t="shared" si="240"/>
        <v>3</v>
      </c>
      <c r="G202" s="346" t="str">
        <f t="shared" si="240"/>
        <v/>
      </c>
      <c r="H202" s="346">
        <f t="shared" si="240"/>
        <v>6</v>
      </c>
      <c r="I202" s="346" t="str">
        <f t="shared" si="240"/>
        <v/>
      </c>
      <c r="J202" s="346">
        <f t="shared" si="240"/>
        <v>4</v>
      </c>
      <c r="K202" s="346" t="str">
        <f t="shared" si="240"/>
        <v/>
      </c>
      <c r="L202" s="346">
        <f t="shared" si="240"/>
        <v>10</v>
      </c>
      <c r="M202" s="346" t="str">
        <f t="shared" si="240"/>
        <v/>
      </c>
      <c r="N202" s="346">
        <f t="shared" si="240"/>
        <v>2</v>
      </c>
      <c r="O202" s="346" t="str">
        <f t="shared" si="240"/>
        <v/>
      </c>
      <c r="P202" s="346">
        <f t="shared" si="240"/>
        <v>9</v>
      </c>
      <c r="Q202" s="346" t="str">
        <f t="shared" si="240"/>
        <v/>
      </c>
      <c r="R202" s="346">
        <f t="shared" ref="L202:U204" si="241">IF(AQ202=0,"",AQ202)</f>
        <v>5</v>
      </c>
      <c r="S202" s="346" t="str">
        <f t="shared" si="241"/>
        <v/>
      </c>
      <c r="T202" s="346">
        <f t="shared" si="241"/>
        <v>1</v>
      </c>
      <c r="U202" s="346" t="str">
        <f t="shared" si="241"/>
        <v/>
      </c>
      <c r="V202" s="347"/>
      <c r="W202" s="347"/>
      <c r="AA202" s="88" t="s">
        <v>1797</v>
      </c>
      <c r="AB202" s="89" t="s">
        <v>1798</v>
      </c>
      <c r="AC202" s="370">
        <f>VLOOKUP($AA182,Schlüssel!$A$5:$DG$14,83)</f>
        <v>8</v>
      </c>
      <c r="AD202" s="371"/>
      <c r="AE202" s="370">
        <f>VLOOKUP($AA182,Schlüssel!$A$5:$EK$14,84)</f>
        <v>3</v>
      </c>
      <c r="AF202" s="371"/>
      <c r="AG202" s="370">
        <f>VLOOKUP($AA182,Schlüssel!$A$5:$EK$14,85)</f>
        <v>6</v>
      </c>
      <c r="AH202" s="371"/>
      <c r="AI202" s="370">
        <f>VLOOKUP($AA182,Schlüssel!$A$5:$EK$14,86)</f>
        <v>4</v>
      </c>
      <c r="AJ202" s="371"/>
      <c r="AK202" s="370">
        <f>VLOOKUP($AA182,Schlüssel!$A$5:$EK$14,87)</f>
        <v>10</v>
      </c>
      <c r="AL202" s="371"/>
      <c r="AM202" s="370">
        <f>VLOOKUP($AA182,Schlüssel!$A$5:$EK$14,88)</f>
        <v>2</v>
      </c>
      <c r="AN202" s="371"/>
      <c r="AO202" s="370">
        <f>VLOOKUP($AA182,Schlüssel!$A$5:$EK$14,89)</f>
        <v>9</v>
      </c>
      <c r="AP202" s="371"/>
      <c r="AQ202" s="370">
        <f>VLOOKUP($AA182,Schlüssel!$A$5:$EK$14,90)</f>
        <v>5</v>
      </c>
      <c r="AR202" s="371"/>
      <c r="AS202" s="370">
        <f>VLOOKUP($AA182,Schlüssel!$A$5:$EK$14,91)</f>
        <v>1</v>
      </c>
      <c r="AT202" s="371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35">
      <c r="B203" s="90" t="str">
        <f t="shared" ref="B203:K204" si="242">IF(AA203=0,"",AA203)</f>
        <v/>
      </c>
      <c r="C203" s="86" t="str">
        <f t="shared" si="242"/>
        <v/>
      </c>
      <c r="D203" s="343" t="str">
        <f t="shared" si="242"/>
        <v>EPA München 1</v>
      </c>
      <c r="E203" s="344" t="str">
        <f t="shared" si="242"/>
        <v/>
      </c>
      <c r="F203" s="343" t="str">
        <f t="shared" si="242"/>
        <v>Highroller Rosenheim</v>
      </c>
      <c r="G203" s="344" t="str">
        <f t="shared" si="242"/>
        <v/>
      </c>
      <c r="H203" s="343" t="str">
        <f t="shared" si="242"/>
        <v>Phönix 03 Lauf</v>
      </c>
      <c r="I203" s="344" t="str">
        <f t="shared" si="242"/>
        <v/>
      </c>
      <c r="J203" s="343" t="str">
        <f t="shared" si="242"/>
        <v>BK München 3</v>
      </c>
      <c r="K203" s="344" t="str">
        <f t="shared" si="242"/>
        <v/>
      </c>
      <c r="L203" s="343" t="str">
        <f t="shared" si="241"/>
        <v>BK München 4</v>
      </c>
      <c r="M203" s="344" t="str">
        <f t="shared" si="241"/>
        <v/>
      </c>
      <c r="N203" s="343" t="str">
        <f t="shared" si="241"/>
        <v>BK München 2</v>
      </c>
      <c r="O203" s="344" t="str">
        <f t="shared" si="241"/>
        <v/>
      </c>
      <c r="P203" s="343" t="str">
        <f t="shared" si="241"/>
        <v>RW Lichtenhof 69 Stein 2</v>
      </c>
      <c r="Q203" s="344" t="str">
        <f t="shared" si="241"/>
        <v/>
      </c>
      <c r="R203" s="343" t="str">
        <f t="shared" si="241"/>
        <v xml:space="preserve">Weiß Blau Unterföhring </v>
      </c>
      <c r="S203" s="344" t="str">
        <f t="shared" si="241"/>
        <v/>
      </c>
      <c r="T203" s="343" t="str">
        <f t="shared" si="241"/>
        <v>Praetoria Regensburg</v>
      </c>
      <c r="U203" s="344" t="str">
        <f t="shared" si="241"/>
        <v/>
      </c>
      <c r="V203" s="345"/>
      <c r="W203" s="345"/>
      <c r="AA203" s="90"/>
      <c r="AB203" s="86"/>
      <c r="AC203" s="343" t="str">
        <f>VLOOKUP(AC202,Schlüssel!$A$5:$K$14,2)</f>
        <v>EPA München 1</v>
      </c>
      <c r="AD203" s="344"/>
      <c r="AE203" s="343" t="str">
        <f>VLOOKUP(AE202,Schlüssel!$A$5:$K$14,2)</f>
        <v>Highroller Rosenheim</v>
      </c>
      <c r="AF203" s="344"/>
      <c r="AG203" s="343" t="str">
        <f>VLOOKUP(AG202,Schlüssel!$A$5:$K$14,2)</f>
        <v>Phönix 03 Lauf</v>
      </c>
      <c r="AH203" s="344"/>
      <c r="AI203" s="343" t="str">
        <f>VLOOKUP(AI202,Schlüssel!$A$5:$K$14,2)</f>
        <v>BK München 3</v>
      </c>
      <c r="AJ203" s="344"/>
      <c r="AK203" s="343" t="str">
        <f>VLOOKUP(AK202,Schlüssel!$A$5:$K$14,2)</f>
        <v>BK München 4</v>
      </c>
      <c r="AL203" s="344"/>
      <c r="AM203" s="343" t="str">
        <f>VLOOKUP(AM202,Schlüssel!$A$5:$K$14,2)</f>
        <v>BK München 2</v>
      </c>
      <c r="AN203" s="344"/>
      <c r="AO203" s="343" t="str">
        <f>VLOOKUP(AO202,Schlüssel!$A$5:$K$14,2)</f>
        <v>RW Lichtenhof 69 Stein 2</v>
      </c>
      <c r="AP203" s="344"/>
      <c r="AQ203" s="343" t="str">
        <f>VLOOKUP(AQ202,Schlüssel!$A$5:$K$14,2)</f>
        <v xml:space="preserve">Weiß Blau Unterföhring </v>
      </c>
      <c r="AR203" s="344"/>
      <c r="AS203" s="343" t="str">
        <f>VLOOKUP(AS202,Schlüssel!$A$5:$K$14,2)</f>
        <v>Praetoria Regensburg</v>
      </c>
      <c r="AT203" s="344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35">
      <c r="B204" s="90" t="str">
        <f t="shared" si="242"/>
        <v/>
      </c>
      <c r="C204" s="86" t="str">
        <f t="shared" si="242"/>
        <v/>
      </c>
      <c r="D204" s="341" t="str">
        <f t="shared" si="242"/>
        <v/>
      </c>
      <c r="E204" s="341" t="str">
        <f t="shared" si="242"/>
        <v/>
      </c>
      <c r="F204" s="341" t="str">
        <f t="shared" si="242"/>
        <v/>
      </c>
      <c r="G204" s="341" t="str">
        <f t="shared" si="242"/>
        <v/>
      </c>
      <c r="H204" s="341" t="str">
        <f t="shared" si="242"/>
        <v/>
      </c>
      <c r="I204" s="341" t="str">
        <f t="shared" si="242"/>
        <v/>
      </c>
      <c r="J204" s="341" t="str">
        <f t="shared" si="242"/>
        <v/>
      </c>
      <c r="K204" s="341" t="str">
        <f t="shared" si="242"/>
        <v/>
      </c>
      <c r="L204" s="341" t="str">
        <f t="shared" si="241"/>
        <v/>
      </c>
      <c r="M204" s="341" t="str">
        <f t="shared" si="241"/>
        <v/>
      </c>
      <c r="N204" s="341" t="str">
        <f t="shared" si="241"/>
        <v/>
      </c>
      <c r="O204" s="341" t="str">
        <f t="shared" si="241"/>
        <v/>
      </c>
      <c r="P204" s="341" t="str">
        <f t="shared" si="241"/>
        <v/>
      </c>
      <c r="Q204" s="341" t="str">
        <f t="shared" si="241"/>
        <v/>
      </c>
      <c r="R204" s="341" t="str">
        <f t="shared" si="241"/>
        <v/>
      </c>
      <c r="S204" s="341" t="str">
        <f t="shared" si="241"/>
        <v/>
      </c>
      <c r="T204" s="341" t="str">
        <f t="shared" si="241"/>
        <v/>
      </c>
      <c r="U204" s="342" t="str">
        <f t="shared" si="241"/>
        <v/>
      </c>
      <c r="V204" s="301"/>
      <c r="W204" s="301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6.05" customHeight="1" x14ac:dyDescent="0.35">
      <c r="B205" s="365" t="str">
        <f t="shared" ref="B205:C209" si="243">IF(AA205=0,"",AA205)</f>
        <v>Spieler 1</v>
      </c>
      <c r="C205" s="366" t="str">
        <f t="shared" si="243"/>
        <v/>
      </c>
      <c r="D205" s="339">
        <f>IF(AC205=301,"",AC205)</f>
        <v>0</v>
      </c>
      <c r="E205" s="339" t="str">
        <f>IF(AD205=0,"",AD205)</f>
        <v/>
      </c>
      <c r="F205" s="339">
        <f>IF(AE205=301,"",AE205)</f>
        <v>0</v>
      </c>
      <c r="G205" s="339" t="str">
        <f>IF(AF205=0,"",AF205)</f>
        <v/>
      </c>
      <c r="H205" s="339">
        <f>IF(AG205=301,"",AG205)</f>
        <v>0</v>
      </c>
      <c r="I205" s="339" t="str">
        <f>IF(AH205=0,"",AH205)</f>
        <v/>
      </c>
      <c r="J205" s="339">
        <f>IF(AI205=301,"",AI205)</f>
        <v>0</v>
      </c>
      <c r="K205" s="339" t="str">
        <f>IF(AJ205=0,"",AJ205)</f>
        <v/>
      </c>
      <c r="L205" s="339">
        <f>IF(AK205=301,"",AK205)</f>
        <v>0</v>
      </c>
      <c r="M205" s="339" t="str">
        <f>IF(AL205=0,"",AL205)</f>
        <v/>
      </c>
      <c r="N205" s="339">
        <f>IF(AM205=301,"",AM205)</f>
        <v>0</v>
      </c>
      <c r="O205" s="339" t="str">
        <f>IF(AN205=0,"",AN205)</f>
        <v/>
      </c>
      <c r="P205" s="339">
        <f>IF(AO205=301,"",AO205)</f>
        <v>0</v>
      </c>
      <c r="Q205" s="339" t="str">
        <f>IF(AP205=0,"",AP205)</f>
        <v/>
      </c>
      <c r="R205" s="339">
        <f>IF(AQ205=301,"",AQ205)</f>
        <v>0</v>
      </c>
      <c r="S205" s="339" t="str">
        <f>IF(AR205=0,"",AR205)</f>
        <v/>
      </c>
      <c r="T205" s="339">
        <f>IF(AS205=301,"",AS205)</f>
        <v>0</v>
      </c>
      <c r="U205" s="339" t="str">
        <f>IF(AT205=0,"",AT205)</f>
        <v/>
      </c>
      <c r="V205" s="340"/>
      <c r="W205" s="340"/>
      <c r="AA205" s="91" t="s">
        <v>0</v>
      </c>
      <c r="AB205" s="92"/>
      <c r="AC205" s="372">
        <f>ABS(INDEX(AC:AC,MATCH(AC202,$AA:$AA,0)+5)+INDEX(AC:AC,MATCH(AC202,$AA:$AA,0)+6)+INDEX(AC:AC,MATCH(AC202,$AA:$AA,0)+7))</f>
        <v>0</v>
      </c>
      <c r="AD205" s="373"/>
      <c r="AE205" s="372">
        <f>ABS(INDEX(AE:AE,MATCH(AE202,$AA:$AA,0)+5)+INDEX(AE:AE,MATCH(AE202,$AA:$AA,0)+6)+INDEX(AE:AE,MATCH(AE202,$AA:$AA,0)+7))</f>
        <v>0</v>
      </c>
      <c r="AF205" s="373"/>
      <c r="AG205" s="372">
        <f>ABS(INDEX(AG:AG,MATCH(AG202,$AA:$AA,0)+5)+INDEX(AG:AG,MATCH(AG202,$AA:$AA,0)+6)+INDEX(AG:AG,MATCH(AG202,$AA:$AA,0)+7))</f>
        <v>0</v>
      </c>
      <c r="AH205" s="373"/>
      <c r="AI205" s="372">
        <f>ABS(INDEX(AI:AI,MATCH(AI202,$AA:$AA,0)+5)+INDEX(AI:AI,MATCH(AI202,$AA:$AA,0)+6)+INDEX(AI:AI,MATCH(AI202,$AA:$AA,0)+7))</f>
        <v>0</v>
      </c>
      <c r="AJ205" s="373"/>
      <c r="AK205" s="372">
        <f>ABS(INDEX(AK:AK,MATCH(AK202,$AA:$AA,0)+5)+INDEX(AK:AK,MATCH(AK202,$AA:$AA,0)+6)+INDEX(AK:AK,MATCH(AK202,$AA:$AA,0)+7))</f>
        <v>0</v>
      </c>
      <c r="AL205" s="373"/>
      <c r="AM205" s="372">
        <f>ABS(INDEX(AM:AM,MATCH(AM202,$AA:$AA,0)+5)+INDEX(AM:AM,MATCH(AM202,$AA:$AA,0)+6)+INDEX(AM:AM,MATCH(AM202,$AA:$AA,0)+7))</f>
        <v>0</v>
      </c>
      <c r="AN205" s="373"/>
      <c r="AO205" s="372">
        <f>ABS(INDEX(AO:AO,MATCH(AO202,$AA:$AA,0)+5)+INDEX(AO:AO,MATCH(AO202,$AA:$AA,0)+6)+INDEX(AO:AO,MATCH(AO202,$AA:$AA,0)+7))</f>
        <v>0</v>
      </c>
      <c r="AP205" s="373"/>
      <c r="AQ205" s="372">
        <f>ABS(INDEX(AQ:AQ,MATCH(AQ202,$AA:$AA,0)+5)+INDEX(AQ:AQ,MATCH(AQ202,$AA:$AA,0)+6)+INDEX(AQ:AQ,MATCH(AQ202,$AA:$AA,0)+7))</f>
        <v>0</v>
      </c>
      <c r="AR205" s="373"/>
      <c r="AS205" s="372">
        <f>ABS(INDEX(AS:AS,MATCH(AS202,$AA:$AA,0)+5)+INDEX(AS:AS,MATCH(AS202,$AA:$AA,0)+6)+INDEX(AS:AS,MATCH(AS202,$AA:$AA,0)+7))</f>
        <v>0</v>
      </c>
      <c r="AT205" s="373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6.05" customHeight="1" x14ac:dyDescent="0.35">
      <c r="B206" s="365" t="str">
        <f t="shared" si="243"/>
        <v>Spieler 2</v>
      </c>
      <c r="C206" s="366" t="str">
        <f t="shared" si="243"/>
        <v/>
      </c>
      <c r="D206" s="339">
        <f>IF(AC206=301,"",AC206)</f>
        <v>0</v>
      </c>
      <c r="E206" s="339" t="str">
        <f>IF(AD206=0,"",AD206)</f>
        <v/>
      </c>
      <c r="F206" s="339">
        <f>IF(AE206=301,"",AE206)</f>
        <v>0</v>
      </c>
      <c r="G206" s="339" t="str">
        <f>IF(AF206=0,"",AF206)</f>
        <v/>
      </c>
      <c r="H206" s="339">
        <f>IF(AG206=301,"",AG206)</f>
        <v>0</v>
      </c>
      <c r="I206" s="339" t="str">
        <f>IF(AH206=0,"",AH206)</f>
        <v/>
      </c>
      <c r="J206" s="339">
        <f>IF(AI206=301,"",AI206)</f>
        <v>0</v>
      </c>
      <c r="K206" s="339" t="str">
        <f>IF(AJ206=0,"",AJ206)</f>
        <v/>
      </c>
      <c r="L206" s="339">
        <f>IF(AK206=301,"",AK206)</f>
        <v>0</v>
      </c>
      <c r="M206" s="339" t="str">
        <f>IF(AL206=0,"",AL206)</f>
        <v/>
      </c>
      <c r="N206" s="339">
        <f>IF(AM206=301,"",AM206)</f>
        <v>0</v>
      </c>
      <c r="O206" s="339" t="str">
        <f>IF(AN206=0,"",AN206)</f>
        <v/>
      </c>
      <c r="P206" s="339">
        <f>IF(AO206=301,"",AO206)</f>
        <v>0</v>
      </c>
      <c r="Q206" s="339" t="str">
        <f>IF(AP206=0,"",AP206)</f>
        <v/>
      </c>
      <c r="R206" s="339">
        <f>IF(AQ206=301,"",AQ206)</f>
        <v>0</v>
      </c>
      <c r="S206" s="339" t="str">
        <f>IF(AR206=0,"",AR206)</f>
        <v/>
      </c>
      <c r="T206" s="339">
        <f>IF(AS206=301,"",AS206)</f>
        <v>0</v>
      </c>
      <c r="U206" s="339" t="str">
        <f>IF(AT206=0,"",AT206)</f>
        <v/>
      </c>
      <c r="V206" s="340"/>
      <c r="W206" s="340"/>
      <c r="AA206" s="91" t="s">
        <v>2</v>
      </c>
      <c r="AB206" s="92"/>
      <c r="AC206" s="374">
        <f>ABS(INDEX(AC:AC,MATCH(AC202,$AA:$AA,0)+8)+INDEX(AC:AC,MATCH(AC202,$AA:$AA,0)+9)+INDEX(AC:AC,MATCH(AC202,$AA:$AA,0)+10))</f>
        <v>0</v>
      </c>
      <c r="AD206" s="375"/>
      <c r="AE206" s="374">
        <f>ABS(INDEX(AE:AE,MATCH(AE202,$AA:$AA,0)+8)+INDEX(AE:AE,MATCH(AE202,$AA:$AA,0)+9)+INDEX(AE:AE,MATCH(AE202,$AA:$AA,0)+10))</f>
        <v>0</v>
      </c>
      <c r="AF206" s="375"/>
      <c r="AG206" s="374">
        <f>ABS(INDEX(AG:AG,MATCH(AG202,$AA:$AA,0)+8)+INDEX(AG:AG,MATCH(AG202,$AA:$AA,0)+9)+INDEX(AG:AG,MATCH(AG202,$AA:$AA,0)+10))</f>
        <v>0</v>
      </c>
      <c r="AH206" s="375"/>
      <c r="AI206" s="374">
        <f>ABS(INDEX(AI:AI,MATCH(AI202,$AA:$AA,0)+8)+INDEX(AI:AI,MATCH(AI202,$AA:$AA,0)+9)+INDEX(AI:AI,MATCH(AI202,$AA:$AA,0)+10))</f>
        <v>0</v>
      </c>
      <c r="AJ206" s="375"/>
      <c r="AK206" s="374">
        <f>ABS(INDEX(AK:AK,MATCH(AK202,$AA:$AA,0)+8)+INDEX(AK:AK,MATCH(AK202,$AA:$AA,0)+9)+INDEX(AK:AK,MATCH(AK202,$AA:$AA,0)+10))</f>
        <v>0</v>
      </c>
      <c r="AL206" s="375"/>
      <c r="AM206" s="374">
        <f>ABS(INDEX(AM:AM,MATCH(AM202,$AA:$AA,0)+8)+INDEX(AM:AM,MATCH(AM202,$AA:$AA,0)+9)+INDEX(AM:AM,MATCH(AM202,$AA:$AA,0)+10))</f>
        <v>0</v>
      </c>
      <c r="AN206" s="375"/>
      <c r="AO206" s="374">
        <f>ABS(INDEX(AO:AO,MATCH(AO202,$AA:$AA,0)+8)+INDEX(AO:AO,MATCH(AO202,$AA:$AA,0)+9)+INDEX(AO:AO,MATCH(AO202,$AA:$AA,0)+10))</f>
        <v>0</v>
      </c>
      <c r="AP206" s="375"/>
      <c r="AQ206" s="374">
        <f>ABS(INDEX(AQ:AQ,MATCH(AQ202,$AA:$AA,0)+8)+INDEX(AQ:AQ,MATCH(AQ202,$AA:$AA,0)+9)+INDEX(AQ:AQ,MATCH(AQ202,$AA:$AA,0)+10))</f>
        <v>0</v>
      </c>
      <c r="AR206" s="375"/>
      <c r="AS206" s="374">
        <f>ABS(INDEX(AS:AS,MATCH(AS202,$AA:$AA,0)+8)+INDEX(AS:AS,MATCH(AS202,$AA:$AA,0)+9)+INDEX(AS:AS,MATCH(AS202,$AA:$AA,0)+10))</f>
        <v>0</v>
      </c>
      <c r="AT206" s="37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6.05" customHeight="1" x14ac:dyDescent="0.35">
      <c r="B207" s="365" t="str">
        <f t="shared" si="243"/>
        <v>Spieler 3</v>
      </c>
      <c r="C207" s="366" t="str">
        <f t="shared" si="243"/>
        <v/>
      </c>
      <c r="D207" s="339">
        <f>IF(AC207=301,"",AC207)</f>
        <v>0</v>
      </c>
      <c r="E207" s="339" t="str">
        <f>IF(AD207=0,"",AD207)</f>
        <v/>
      </c>
      <c r="F207" s="339">
        <f>IF(AE207=301,"",AE207)</f>
        <v>0</v>
      </c>
      <c r="G207" s="339" t="str">
        <f>IF(AF207=0,"",AF207)</f>
        <v/>
      </c>
      <c r="H207" s="339">
        <f>IF(AG207=301,"",AG207)</f>
        <v>0</v>
      </c>
      <c r="I207" s="339" t="str">
        <f>IF(AH207=0,"",AH207)</f>
        <v/>
      </c>
      <c r="J207" s="339">
        <f>IF(AI207=301,"",AI207)</f>
        <v>0</v>
      </c>
      <c r="K207" s="339" t="str">
        <f>IF(AJ207=0,"",AJ207)</f>
        <v/>
      </c>
      <c r="L207" s="339">
        <f>IF(AK207=301,"",AK207)</f>
        <v>0</v>
      </c>
      <c r="M207" s="339" t="str">
        <f>IF(AL207=0,"",AL207)</f>
        <v/>
      </c>
      <c r="N207" s="339">
        <f>IF(AM207=301,"",AM207)</f>
        <v>0</v>
      </c>
      <c r="O207" s="339" t="str">
        <f>IF(AN207=0,"",AN207)</f>
        <v/>
      </c>
      <c r="P207" s="339">
        <f>IF(AO207=301,"",AO207)</f>
        <v>0</v>
      </c>
      <c r="Q207" s="339" t="str">
        <f>IF(AP207=0,"",AP207)</f>
        <v/>
      </c>
      <c r="R207" s="339">
        <f>IF(AQ207=301,"",AQ207)</f>
        <v>0</v>
      </c>
      <c r="S207" s="339" t="str">
        <f>IF(AR207=0,"",AR207)</f>
        <v/>
      </c>
      <c r="T207" s="339">
        <f>IF(AS207=301,"",AS207)</f>
        <v>0</v>
      </c>
      <c r="U207" s="339" t="str">
        <f>IF(AT207=0,"",AT207)</f>
        <v/>
      </c>
      <c r="V207" s="340"/>
      <c r="W207" s="340"/>
      <c r="AA207" s="91" t="s">
        <v>3</v>
      </c>
      <c r="AB207" s="92"/>
      <c r="AC207" s="374">
        <f>ABS(INDEX(AC:AC,MATCH(AC202,$AA:$AA,0)+11)+INDEX(AC:AC,MATCH(AC202,$AA:$AA,0)+12)+INDEX(AC:AC,MATCH(AC202,$AA:$AA,0)+13))</f>
        <v>0</v>
      </c>
      <c r="AD207" s="375"/>
      <c r="AE207" s="374">
        <f>ABS(INDEX(AE:AE,MATCH(AE202,$AA:$AA,0)+11)+INDEX(AE:AE,MATCH(AE202,$AA:$AA,0)+12)+INDEX(AE:AE,MATCH(AE202,$AA:$AA,0)+13))</f>
        <v>0</v>
      </c>
      <c r="AF207" s="375"/>
      <c r="AG207" s="374">
        <f>ABS(INDEX(AG:AG,MATCH(AG202,$AA:$AA,0)+11)+INDEX(AG:AG,MATCH(AG202,$AA:$AA,0)+12)+INDEX(AG:AG,MATCH(AG202,$AA:$AA,0)+13))</f>
        <v>0</v>
      </c>
      <c r="AH207" s="375"/>
      <c r="AI207" s="374">
        <f>ABS(INDEX(AI:AI,MATCH(AI202,$AA:$AA,0)+11)+INDEX(AI:AI,MATCH(AI202,$AA:$AA,0)+12)+INDEX(AI:AI,MATCH(AI202,$AA:$AA,0)+13))</f>
        <v>0</v>
      </c>
      <c r="AJ207" s="375"/>
      <c r="AK207" s="374">
        <f>ABS(INDEX(AK:AK,MATCH(AK202,$AA:$AA,0)+11)+INDEX(AK:AK,MATCH(AK202,$AA:$AA,0)+12)+INDEX(AK:AK,MATCH(AK202,$AA:$AA,0)+13))</f>
        <v>0</v>
      </c>
      <c r="AL207" s="375"/>
      <c r="AM207" s="374">
        <f>ABS(INDEX(AM:AM,MATCH(AM202,$AA:$AA,0)+11)+INDEX(AM:AM,MATCH(AM202,$AA:$AA,0)+12)+INDEX(AM:AM,MATCH(AM202,$AA:$AA,0)+13))</f>
        <v>0</v>
      </c>
      <c r="AN207" s="375"/>
      <c r="AO207" s="374">
        <f>ABS(INDEX(AO:AO,MATCH(AO202,$AA:$AA,0)+11)+INDEX(AO:AO,MATCH(AO202,$AA:$AA,0)+12)+INDEX(AO:AO,MATCH(AO202,$AA:$AA,0)+13))</f>
        <v>0</v>
      </c>
      <c r="AP207" s="375"/>
      <c r="AQ207" s="374">
        <f>ABS(INDEX(AQ:AQ,MATCH(AQ202,$AA:$AA,0)+11)+INDEX(AQ:AQ,MATCH(AQ202,$AA:$AA,0)+12)+INDEX(AQ:AQ,MATCH(AQ202,$AA:$AA,0)+13))</f>
        <v>0</v>
      </c>
      <c r="AR207" s="375"/>
      <c r="AS207" s="374">
        <f>ABS(INDEX(AS:AS,MATCH(AS202,$AA:$AA,0)+11)+INDEX(AS:AS,MATCH(AS202,$AA:$AA,0)+12)+INDEX(AS:AS,MATCH(AS202,$AA:$AA,0)+13))</f>
        <v>0</v>
      </c>
      <c r="AT207" s="37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6.05" customHeight="1" x14ac:dyDescent="0.35">
      <c r="B208" s="365" t="str">
        <f t="shared" si="243"/>
        <v>Spieler 4</v>
      </c>
      <c r="C208" s="366" t="str">
        <f t="shared" si="243"/>
        <v/>
      </c>
      <c r="D208" s="339">
        <f>IF(AC208=301,"",AC208)</f>
        <v>0</v>
      </c>
      <c r="E208" s="339" t="str">
        <f>IF(AD208=0,"",AD208)</f>
        <v/>
      </c>
      <c r="F208" s="339">
        <f>IF(AE208=301,"",AE208)</f>
        <v>0</v>
      </c>
      <c r="G208" s="339" t="str">
        <f>IF(AF208=0,"",AF208)</f>
        <v/>
      </c>
      <c r="H208" s="339">
        <f>IF(AG208=301,"",AG208)</f>
        <v>0</v>
      </c>
      <c r="I208" s="339" t="str">
        <f>IF(AH208=0,"",AH208)</f>
        <v/>
      </c>
      <c r="J208" s="339">
        <f>IF(AI208=301,"",AI208)</f>
        <v>0</v>
      </c>
      <c r="K208" s="339" t="str">
        <f>IF(AJ208=0,"",AJ208)</f>
        <v/>
      </c>
      <c r="L208" s="339">
        <f>IF(AK208=301,"",AK208)</f>
        <v>0</v>
      </c>
      <c r="M208" s="339" t="str">
        <f>IF(AL208=0,"",AL208)</f>
        <v/>
      </c>
      <c r="N208" s="339">
        <f>IF(AM208=301,"",AM208)</f>
        <v>0</v>
      </c>
      <c r="O208" s="339" t="str">
        <f>IF(AN208=0,"",AN208)</f>
        <v/>
      </c>
      <c r="P208" s="339">
        <f>IF(AO208=301,"",AO208)</f>
        <v>0</v>
      </c>
      <c r="Q208" s="339" t="str">
        <f>IF(AP208=0,"",AP208)</f>
        <v/>
      </c>
      <c r="R208" s="339">
        <f>IF(AQ208=301,"",AQ208)</f>
        <v>0</v>
      </c>
      <c r="S208" s="339" t="str">
        <f>IF(AR208=0,"",AR208)</f>
        <v/>
      </c>
      <c r="T208" s="339">
        <f>IF(AS208=301,"",AS208)</f>
        <v>0</v>
      </c>
      <c r="U208" s="339" t="str">
        <f>IF(AT208=0,"",AT208)</f>
        <v/>
      </c>
      <c r="V208" s="340"/>
      <c r="W208" s="340"/>
      <c r="AA208" s="91" t="s">
        <v>11</v>
      </c>
      <c r="AB208" s="92"/>
      <c r="AC208" s="374">
        <f>ABS(INDEX(AC:AC,MATCH(AC202,$AA:$AA,0)+14)+INDEX(AC:AC,MATCH(AC202,$AA:$AA,0)+15)+INDEX(AC:AC,MATCH(AC202,$AA:$AA,0)+16))</f>
        <v>0</v>
      </c>
      <c r="AD208" s="375"/>
      <c r="AE208" s="374">
        <f>ABS(INDEX(AE:AE,MATCH(AE202,$AA:$AA,0)+14)+INDEX(AE:AE,MATCH(AE202,$AA:$AA,0)+15)+INDEX(AE:AE,MATCH(AE202,$AA:$AA,0)+16))</f>
        <v>0</v>
      </c>
      <c r="AF208" s="375"/>
      <c r="AG208" s="374">
        <f>ABS(INDEX(AG:AG,MATCH(AG202,$AA:$AA,0)+14)+INDEX(AG:AG,MATCH(AG202,$AA:$AA,0)+15)+INDEX(AG:AG,MATCH(AG202,$AA:$AA,0)+16))</f>
        <v>0</v>
      </c>
      <c r="AH208" s="375"/>
      <c r="AI208" s="374">
        <f>ABS(INDEX(AI:AI,MATCH(AI202,$AA:$AA,0)+14)+INDEX(AI:AI,MATCH(AI202,$AA:$AA,0)+15)+INDEX(AI:AI,MATCH(AI202,$AA:$AA,0)+16))</f>
        <v>0</v>
      </c>
      <c r="AJ208" s="375"/>
      <c r="AK208" s="374">
        <f>ABS(INDEX(AK:AK,MATCH(AK202,$AA:$AA,0)+14)+INDEX(AK:AK,MATCH(AK202,$AA:$AA,0)+15)+INDEX(AK:AK,MATCH(AK202,$AA:$AA,0)+16))</f>
        <v>0</v>
      </c>
      <c r="AL208" s="375"/>
      <c r="AM208" s="374">
        <f>ABS(INDEX(AM:AM,MATCH(AM202,$AA:$AA,0)+14)+INDEX(AM:AM,MATCH(AM202,$AA:$AA,0)+15)+INDEX(AM:AM,MATCH(AM202,$AA:$AA,0)+16))</f>
        <v>0</v>
      </c>
      <c r="AN208" s="375"/>
      <c r="AO208" s="374">
        <f>ABS(INDEX(AO:AO,MATCH(AO202,$AA:$AA,0)+14)+INDEX(AO:AO,MATCH(AO202,$AA:$AA,0)+15)+INDEX(AO:AO,MATCH(AO202,$AA:$AA,0)+16))</f>
        <v>0</v>
      </c>
      <c r="AP208" s="375"/>
      <c r="AQ208" s="374">
        <f>ABS(INDEX(AQ:AQ,MATCH(AQ202,$AA:$AA,0)+14)+INDEX(AQ:AQ,MATCH(AQ202,$AA:$AA,0)+15)+INDEX(AQ:AQ,MATCH(AQ202,$AA:$AA,0)+16))</f>
        <v>0</v>
      </c>
      <c r="AR208" s="375"/>
      <c r="AS208" s="374">
        <f>ABS(INDEX(AS:AS,MATCH(AS202,$AA:$AA,0)+14)+INDEX(AS:AS,MATCH(AS202,$AA:$AA,0)+15)+INDEX(AS:AS,MATCH(AS202,$AA:$AA,0)+16))</f>
        <v>0</v>
      </c>
      <c r="AT208" s="37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6.05" customHeight="1" x14ac:dyDescent="0.35">
      <c r="B209" s="354" t="str">
        <f t="shared" si="243"/>
        <v>Gesamt</v>
      </c>
      <c r="C209" s="355" t="str">
        <f t="shared" si="243"/>
        <v/>
      </c>
      <c r="D209" s="338">
        <f>IF(AC209=1505,"",AC209)</f>
        <v>0</v>
      </c>
      <c r="E209" s="338" t="str">
        <f>IF(AD209=0,"",AD209)</f>
        <v/>
      </c>
      <c r="F209" s="338">
        <f>IF(AE209=1505,"",AE209)</f>
        <v>0</v>
      </c>
      <c r="G209" s="338" t="str">
        <f>IF(AF209=0,"",AF209)</f>
        <v/>
      </c>
      <c r="H209" s="338">
        <f>IF(AG209=1505,"",AG209)</f>
        <v>0</v>
      </c>
      <c r="I209" s="338" t="str">
        <f>IF(AH209=0,"",AH209)</f>
        <v/>
      </c>
      <c r="J209" s="338">
        <f>IF(AI209=1505,"",AI209)</f>
        <v>0</v>
      </c>
      <c r="K209" s="338" t="str">
        <f>IF(AJ209=0,"",AJ209)</f>
        <v/>
      </c>
      <c r="L209" s="338">
        <f>IF(AK209=1505,"",AK209)</f>
        <v>0</v>
      </c>
      <c r="M209" s="338" t="str">
        <f>IF(AL209=0,"",AL209)</f>
        <v/>
      </c>
      <c r="N209" s="338">
        <f>IF(AM209=1505,"",AM209)</f>
        <v>0</v>
      </c>
      <c r="O209" s="338" t="str">
        <f>IF(AN209=0,"",AN209)</f>
        <v/>
      </c>
      <c r="P209" s="338">
        <f>IF(AO209=1505,"",AO209)</f>
        <v>0</v>
      </c>
      <c r="Q209" s="338" t="str">
        <f>IF(AP209=0,"",AP209)</f>
        <v/>
      </c>
      <c r="R209" s="338">
        <f>IF(AQ209=1505,"",AQ209)</f>
        <v>0</v>
      </c>
      <c r="S209" s="338" t="str">
        <f>IF(AR209=0,"",AR209)</f>
        <v/>
      </c>
      <c r="T209" s="338">
        <f>IF(AS209=1505,"",AS209)</f>
        <v>0</v>
      </c>
      <c r="U209" s="338" t="str">
        <f>IF(AT209=0,"",AT209)</f>
        <v/>
      </c>
      <c r="V209" s="290"/>
      <c r="W209" s="290"/>
      <c r="AA209" s="93" t="s">
        <v>1799</v>
      </c>
      <c r="AB209" s="94"/>
      <c r="AC209" s="354">
        <f>SUM(AC205:AC208)</f>
        <v>0</v>
      </c>
      <c r="AD209" s="355"/>
      <c r="AE209" s="354">
        <f>SUM(AE205:AE208)</f>
        <v>0</v>
      </c>
      <c r="AF209" s="355"/>
      <c r="AG209" s="354">
        <f>SUM(AG205:AG208)</f>
        <v>0</v>
      </c>
      <c r="AH209" s="355"/>
      <c r="AI209" s="354">
        <f>SUM(AI205:AI208)</f>
        <v>0</v>
      </c>
      <c r="AJ209" s="355"/>
      <c r="AK209" s="354">
        <f>SUM(AK205:AK208)</f>
        <v>0</v>
      </c>
      <c r="AL209" s="355"/>
      <c r="AM209" s="354">
        <f>SUM(AM205:AM208)</f>
        <v>0</v>
      </c>
      <c r="AN209" s="355"/>
      <c r="AO209" s="354">
        <f>SUM(AO205:AO208)</f>
        <v>0</v>
      </c>
      <c r="AP209" s="355"/>
      <c r="AQ209" s="354">
        <f>SUM(AQ205:AQ208)</f>
        <v>0</v>
      </c>
      <c r="AR209" s="355"/>
      <c r="AS209" s="354">
        <f>SUM(AS205:AS208)</f>
        <v>0</v>
      </c>
      <c r="AT209" s="35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3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7">
      <c r="B211" s="44" t="str">
        <f>AA211</f>
        <v>Team-Nr.</v>
      </c>
      <c r="C211" s="45"/>
      <c r="D211" s="44" t="str">
        <f>AC211</f>
        <v>Liga:</v>
      </c>
      <c r="E211" s="47"/>
      <c r="F211" s="359" t="str">
        <f>AE211</f>
        <v>Bayernliga Frauen</v>
      </c>
      <c r="G211" s="359"/>
      <c r="H211" s="359"/>
      <c r="I211" s="359"/>
      <c r="J211" s="359"/>
      <c r="K211" s="359"/>
      <c r="L211" s="359"/>
      <c r="M211" s="359"/>
      <c r="N211" s="359"/>
      <c r="O211" s="359"/>
      <c r="P211" s="359"/>
      <c r="Q211" s="359"/>
      <c r="R211" s="48"/>
      <c r="S211" s="49" t="s">
        <v>1794</v>
      </c>
      <c r="T211" s="50"/>
      <c r="U211" s="360" t="str">
        <f>AT211</f>
        <v>15.03./16.03.</v>
      </c>
      <c r="V211" s="361"/>
      <c r="W211" s="362"/>
      <c r="X211" s="363"/>
      <c r="Y211" s="364"/>
      <c r="Z211" s="364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0" t="str">
        <f>VLOOKUP(AS212,Spielorte!$A$1:$C$6,2)</f>
        <v>15.03./16.03.</v>
      </c>
      <c r="AU211" s="361"/>
      <c r="AV211" s="362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65">
      <c r="B212" s="53">
        <f>AA212</f>
        <v>8</v>
      </c>
      <c r="D212" s="46" t="s">
        <v>1793</v>
      </c>
      <c r="E212" s="54"/>
      <c r="F212" s="358" t="str">
        <f>AE212</f>
        <v>Brunnthal Max Munich</v>
      </c>
      <c r="G212" s="358"/>
      <c r="H212" s="358"/>
      <c r="I212" s="358"/>
      <c r="J212" s="358"/>
      <c r="K212" s="358"/>
      <c r="L212" s="358"/>
      <c r="M212" s="358"/>
      <c r="N212" s="358"/>
      <c r="O212" s="358"/>
      <c r="P212" s="55"/>
      <c r="Q212" s="55"/>
      <c r="S212" s="49" t="s">
        <v>1791</v>
      </c>
      <c r="T212" s="56">
        <f>AS212</f>
        <v>5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Brunnthal Max Munich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5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4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5" thickBot="1" x14ac:dyDescent="0.45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VLOOKUP(AA212,Schlüssel!$A$5:$DZ$14,93)</f>
        <v>2</v>
      </c>
      <c r="AE214" s="65" t="s">
        <v>10</v>
      </c>
      <c r="AF214" s="44">
        <f>VLOOKUP(AA212,Schlüssel!$A$5:$DZ$14,94)</f>
        <v>4</v>
      </c>
      <c r="AG214" s="65" t="s">
        <v>10</v>
      </c>
      <c r="AH214" s="44">
        <f>VLOOKUP(AA212,Schlüssel!$A$5:$DZ$14,95)</f>
        <v>5</v>
      </c>
      <c r="AI214" s="65" t="s">
        <v>10</v>
      </c>
      <c r="AJ214" s="44">
        <f>VLOOKUP(AA212,Schlüssel!$A$5:$DZ$14,96)</f>
        <v>1</v>
      </c>
      <c r="AK214" s="65" t="s">
        <v>10</v>
      </c>
      <c r="AL214" s="44">
        <f>VLOOKUP(AA212,Schlüssel!$A$5:$DZ$14,97)</f>
        <v>8</v>
      </c>
      <c r="AM214" s="65" t="s">
        <v>10</v>
      </c>
      <c r="AN214" s="44">
        <f>VLOOKUP(AA212,Schlüssel!$A$5:$DZ$14,98)</f>
        <v>10</v>
      </c>
      <c r="AO214" s="65" t="s">
        <v>10</v>
      </c>
      <c r="AP214" s="44">
        <f>VLOOKUP(AA212,Schlüssel!$A$5:$DZ$14,99)</f>
        <v>3</v>
      </c>
      <c r="AQ214" s="65" t="s">
        <v>10</v>
      </c>
      <c r="AR214" s="44">
        <f>VLOOKUP(AA212,Schlüssel!$A$5:$DZ$14,100)</f>
        <v>6</v>
      </c>
      <c r="AS214" s="65" t="s">
        <v>10</v>
      </c>
      <c r="AT214" s="44">
        <f>VLOOKUP(AA212,Schlüssel!$A$5:$DZ$14,101)</f>
        <v>9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35">
      <c r="B215" s="67" t="s">
        <v>1</v>
      </c>
      <c r="C215" s="68"/>
      <c r="D215" s="354" t="s">
        <v>1800</v>
      </c>
      <c r="E215" s="355"/>
      <c r="F215" s="354" t="s">
        <v>1801</v>
      </c>
      <c r="G215" s="355"/>
      <c r="H215" s="354" t="s">
        <v>1802</v>
      </c>
      <c r="I215" s="355"/>
      <c r="J215" s="354" t="s">
        <v>1803</v>
      </c>
      <c r="K215" s="355"/>
      <c r="L215" s="354" t="s">
        <v>1804</v>
      </c>
      <c r="M215" s="355"/>
      <c r="N215" s="354" t="s">
        <v>1805</v>
      </c>
      <c r="O215" s="355"/>
      <c r="P215" s="354" t="s">
        <v>1806</v>
      </c>
      <c r="Q215" s="355"/>
      <c r="R215" s="354" t="s">
        <v>1807</v>
      </c>
      <c r="S215" s="355"/>
      <c r="T215" s="354" t="s">
        <v>1808</v>
      </c>
      <c r="U215" s="355"/>
      <c r="V215" s="356" t="s">
        <v>1799</v>
      </c>
      <c r="W215" s="357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4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2" customHeight="1" x14ac:dyDescent="0.35">
      <c r="A217" s="367" t="s">
        <v>0</v>
      </c>
      <c r="B217" s="73" t="str">
        <f>IF(AA217=0,"",AA217)</f>
        <v/>
      </c>
      <c r="C217" s="74" t="str">
        <f>IF(AB217=0,"",AB217)</f>
        <v/>
      </c>
      <c r="D217" s="75" t="str">
        <f>IF(AC217=0,"",AC217)</f>
        <v/>
      </c>
      <c r="E217" s="348">
        <f>IF(AD217="","",AD217)</f>
        <v>0</v>
      </c>
      <c r="F217" s="75" t="str">
        <f t="shared" ref="F217:F230" si="244">IF(AE217=0,"",AE217)</f>
        <v/>
      </c>
      <c r="G217" s="348">
        <f>IF(AF217="","",AF217)</f>
        <v>0</v>
      </c>
      <c r="H217" s="75" t="str">
        <f t="shared" ref="H217:H230" si="245">IF(AG217=0,"",AG217)</f>
        <v/>
      </c>
      <c r="I217" s="348">
        <f>IF(AH217="","",AH217)</f>
        <v>0</v>
      </c>
      <c r="J217" s="75" t="str">
        <f t="shared" ref="J217:J230" si="246">IF(AI217=0,"",AI217)</f>
        <v/>
      </c>
      <c r="K217" s="348">
        <f>IF(AJ217="","",AJ217)</f>
        <v>0</v>
      </c>
      <c r="L217" s="75" t="str">
        <f t="shared" ref="L217:L230" si="247">IF(AK217=0,"",AK217)</f>
        <v/>
      </c>
      <c r="M217" s="348">
        <f>IF(AL217="","",AL217)</f>
        <v>0</v>
      </c>
      <c r="N217" s="75" t="str">
        <f>IF(AM217=0,"",AM217)</f>
        <v/>
      </c>
      <c r="O217" s="348">
        <f>IF(AN217="","",AN217)</f>
        <v>0</v>
      </c>
      <c r="P217" s="75" t="str">
        <f t="shared" ref="P217:P230" si="248">IF(AO217=0,"",AO217)</f>
        <v/>
      </c>
      <c r="Q217" s="348">
        <f>IF(AP217="","",AP217)</f>
        <v>0</v>
      </c>
      <c r="R217" s="75" t="str">
        <f t="shared" ref="R217:R230" si="249">IF(AQ217=0,"",AQ217)</f>
        <v/>
      </c>
      <c r="S217" s="348">
        <f>IF(AR217="","",AR217)</f>
        <v>0</v>
      </c>
      <c r="T217" s="75" t="str">
        <f t="shared" ref="T217:T230" si="250">IF(AS217=0,"",AS217)</f>
        <v/>
      </c>
      <c r="U217" s="348">
        <f>IF(AT217="","",AT217)</f>
        <v>0</v>
      </c>
      <c r="V217" s="75" t="str">
        <f t="shared" ref="V217:V230" si="251">IF(AU217=0,"",AU217)</f>
        <v/>
      </c>
      <c r="W217" s="348">
        <f>IF(AV217="","",AV217)</f>
        <v>0</v>
      </c>
      <c r="Z217" s="351" t="s">
        <v>0</v>
      </c>
      <c r="AA217" s="108" t="str">
        <f>IF(AB217=0,"",VLOOKUP(AB217,Starter!$A$1:$D$199,2,FALSE))</f>
        <v/>
      </c>
      <c r="AB217" s="99"/>
      <c r="AC217" s="185"/>
      <c r="AD217" s="109">
        <f>IF(SUM(AC217:AC219)+AC235=0,0,IF(SUM(AC217:AC219)=AC235,0.5,IF(SUM(AC217:AC219)&gt;AC235,1,0)))</f>
        <v>0</v>
      </c>
      <c r="AE217" s="185"/>
      <c r="AF217" s="109">
        <f>IF(SUM(AE217:AE219)+AE235=0,0,IF(SUM(AE217:AE219)=AE235,0.5,IF(SUM(AE217:AE219)&gt;AE235,1,0)))</f>
        <v>0</v>
      </c>
      <c r="AG217" s="185"/>
      <c r="AH217" s="109">
        <f>IF(SUM(AG217:AG219)+AG235=0,0,IF(SUM(AG217:AG219)=AG235,0.5,IF(SUM(AG217:AG219)&gt;AG235,1,0)))</f>
        <v>0</v>
      </c>
      <c r="AI217" s="185"/>
      <c r="AJ217" s="109">
        <f>IF(SUM(AI217:AI219)+AI235=0,0,IF(SUM(AI217:AI219)=AI235,0.5,IF(SUM(AI217:AI219)&gt;AI235,1,0)))</f>
        <v>0</v>
      </c>
      <c r="AK217" s="185"/>
      <c r="AL217" s="109">
        <f>IF(SUM(AK217:AK219)+AK235=0,0,IF(SUM(AK217:AK219)=AK235,0.5,IF(SUM(AK217:AK219)&gt;AK235,1,0)))</f>
        <v>0</v>
      </c>
      <c r="AM217" s="185"/>
      <c r="AN217" s="109">
        <f>IF(SUM(AM217:AM219)+AM235=0,0,IF(SUM(AM217:AM219)=AM235,0.5,IF(SUM(AM217:AM219)&gt;AM235,1,0)))</f>
        <v>0</v>
      </c>
      <c r="AO217" s="185"/>
      <c r="AP217" s="109">
        <f>IF(SUM(AO217:AO219)+AO235=0,0,IF(SUM(AO217:AO219)=AO235,0.5,IF(SUM(AO217:AO219)&gt;AO235,1,0)))</f>
        <v>0</v>
      </c>
      <c r="AQ217" s="185"/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0</v>
      </c>
      <c r="AV217" s="111">
        <f>SUM(AD217+AF217+AH217+AJ217+AL217+AN217+AP217+AR217+AT217)</f>
        <v>0</v>
      </c>
      <c r="AW217" s="101"/>
      <c r="AX217" s="102"/>
      <c r="AZ217" s="63"/>
      <c r="BA217" s="212"/>
      <c r="BB217" s="213"/>
      <c r="BC217" s="214"/>
      <c r="BD217" s="217">
        <f>+AB217</f>
        <v>0</v>
      </c>
      <c r="BE217" s="213">
        <f>+AU217</f>
        <v>0</v>
      </c>
      <c r="BF217" s="215">
        <f>COUNT(BH217:BP217)</f>
        <v>0</v>
      </c>
      <c r="BG217" s="215">
        <f>COUNTIF(BH217:BP217,"&gt;0")</f>
        <v>0</v>
      </c>
      <c r="BH217" s="215" t="str">
        <f t="shared" ref="BH217:BH228" si="253">IF(AC217=0,"",AC217)</f>
        <v/>
      </c>
      <c r="BI217" s="215" t="str">
        <f t="shared" ref="BI217:BI228" si="254">IF(AE217=0,"",AE217)</f>
        <v/>
      </c>
      <c r="BJ217" s="215" t="str">
        <f t="shared" ref="BJ217:BJ228" si="255">IF(AG217=0,"",AG217)</f>
        <v/>
      </c>
      <c r="BK217" s="215" t="str">
        <f t="shared" ref="BK217:BK228" si="256">IF(AI217=0,"",AI217)</f>
        <v/>
      </c>
      <c r="BL217" s="215" t="str">
        <f t="shared" ref="BL217:BL228" si="257">IF(AK217=0,"",AK217)</f>
        <v/>
      </c>
      <c r="BM217" s="215" t="str">
        <f t="shared" ref="BM217:BM228" si="258">IF(AM217=0,"",AM217)</f>
        <v/>
      </c>
      <c r="BN217" s="215" t="str">
        <f t="shared" ref="BN217:BN228" si="259">IF(AO217=0,"",AO217)</f>
        <v/>
      </c>
      <c r="BO217" s="215" t="str">
        <f t="shared" ref="BO217:BO228" si="260">IF(AQ217=0,"",AQ217)</f>
        <v/>
      </c>
      <c r="BP217" s="215" t="str">
        <f t="shared" ref="BP217:BP228" si="261">IF(AS217=0,"",AS217)</f>
        <v/>
      </c>
      <c r="BQ217" s="216"/>
      <c r="BR217" s="214"/>
      <c r="BS217" s="215">
        <f>MAX(BH217:BP217)</f>
        <v>0</v>
      </c>
      <c r="BT217" s="215">
        <f>IF(BS217&lt;MAX(BS:BS),0,BS217+ROW()/1000000000)</f>
        <v>2.17E-7</v>
      </c>
      <c r="BU217" s="215" t="str">
        <f>+AA213</f>
        <v>EPA München 1</v>
      </c>
      <c r="BV217" s="214">
        <f>RANK(BT217,BT:BT)</f>
        <v>36</v>
      </c>
      <c r="BW217" s="215">
        <f>SUMIF(BH217:BP217,"&gt;0")</f>
        <v>0</v>
      </c>
      <c r="BX217" s="215">
        <f>IF(COUNTIF(BH217:BP217,"&gt;0")&lt;Spielorte!$A$23,0,BE217/Spielorte!$A$23)</f>
        <v>0</v>
      </c>
      <c r="BY217" s="215">
        <f>IF(BX217&lt;MAX(BX:BX),0,BX217+ROW()/1000000000)</f>
        <v>2.17E-7</v>
      </c>
      <c r="BZ217" s="214">
        <f t="shared" ref="BZ217:BZ228" si="262">IF(BY217=0,0,RANK(BY217,BY:BY))</f>
        <v>36</v>
      </c>
    </row>
    <row r="218" spans="1:78" ht="17.2" customHeight="1" x14ac:dyDescent="0.35">
      <c r="A218" s="368"/>
      <c r="B218" s="76" t="str">
        <f t="shared" ref="B218:D230" si="263">IF(AA218=0,"",AA218)</f>
        <v/>
      </c>
      <c r="C218" s="77" t="str">
        <f t="shared" si="263"/>
        <v/>
      </c>
      <c r="D218" s="78" t="str">
        <f t="shared" si="263"/>
        <v/>
      </c>
      <c r="E218" s="349"/>
      <c r="F218" s="78" t="str">
        <f t="shared" si="244"/>
        <v/>
      </c>
      <c r="G218" s="349"/>
      <c r="H218" s="78" t="str">
        <f t="shared" si="245"/>
        <v/>
      </c>
      <c r="I218" s="349"/>
      <c r="J218" s="78" t="str">
        <f t="shared" si="246"/>
        <v/>
      </c>
      <c r="K218" s="349"/>
      <c r="L218" s="78" t="str">
        <f t="shared" si="247"/>
        <v/>
      </c>
      <c r="M218" s="349"/>
      <c r="N218" s="78" t="str">
        <f t="shared" ref="N218:N230" si="264">IF(AM218=0,"",AM218)</f>
        <v/>
      </c>
      <c r="O218" s="349"/>
      <c r="P218" s="78" t="str">
        <f t="shared" si="248"/>
        <v/>
      </c>
      <c r="Q218" s="349"/>
      <c r="R218" s="78" t="str">
        <f t="shared" si="249"/>
        <v/>
      </c>
      <c r="S218" s="349"/>
      <c r="T218" s="78" t="str">
        <f t="shared" si="250"/>
        <v/>
      </c>
      <c r="U218" s="349"/>
      <c r="V218" s="78" t="str">
        <f t="shared" si="251"/>
        <v/>
      </c>
      <c r="W218" s="349"/>
      <c r="Z218" s="352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52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0</v>
      </c>
      <c r="BE218" s="213">
        <f t="shared" ref="BE218:BE228" si="266">+AU218</f>
        <v>0</v>
      </c>
      <c r="BF218" s="215">
        <f t="shared" ref="BF218:BF228" si="267">COUNT(BH218:BP218)</f>
        <v>0</v>
      </c>
      <c r="BG218" s="215">
        <f t="shared" ref="BG218:BG228" si="268">COUNTIF(BH218:BP218,"&gt;0")</f>
        <v>0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 t="str">
        <f t="shared" si="261"/>
        <v/>
      </c>
      <c r="BQ218" s="216"/>
      <c r="BR218" s="214"/>
      <c r="BS218" s="215">
        <f t="shared" ref="BS218:BS228" si="269">MAX(BH218:BP218)</f>
        <v>0</v>
      </c>
      <c r="BT218" s="215">
        <f t="shared" ref="BT218:BT228" si="270">IF(BS218&lt;MAX(BS:BS),0,BS218+ROW()/1000000000)</f>
        <v>2.1799999999999999E-7</v>
      </c>
      <c r="BU218" s="215" t="str">
        <f t="shared" ref="BU218:BU228" si="271">+BU217</f>
        <v>EPA München 1</v>
      </c>
      <c r="BV218" s="214">
        <f t="shared" ref="BV218:BV228" si="272">RANK(BT218,BT:BT)</f>
        <v>35</v>
      </c>
      <c r="BW218" s="215">
        <f t="shared" ref="BW218:BW228" si="273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2.1799999999999999E-7</v>
      </c>
      <c r="BZ218" s="214">
        <f t="shared" si="262"/>
        <v>35</v>
      </c>
    </row>
    <row r="219" spans="1:78" ht="17.2" customHeight="1" thickBot="1" x14ac:dyDescent="0.4">
      <c r="A219" s="369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50"/>
      <c r="F219" s="69" t="str">
        <f t="shared" si="244"/>
        <v/>
      </c>
      <c r="G219" s="350"/>
      <c r="H219" s="69" t="str">
        <f t="shared" si="245"/>
        <v/>
      </c>
      <c r="I219" s="350"/>
      <c r="J219" s="69" t="str">
        <f t="shared" si="246"/>
        <v/>
      </c>
      <c r="K219" s="350"/>
      <c r="L219" s="69" t="str">
        <f t="shared" si="247"/>
        <v/>
      </c>
      <c r="M219" s="350"/>
      <c r="N219" s="69" t="str">
        <f t="shared" si="264"/>
        <v/>
      </c>
      <c r="O219" s="350"/>
      <c r="P219" s="69" t="str">
        <f t="shared" si="248"/>
        <v/>
      </c>
      <c r="Q219" s="350"/>
      <c r="R219" s="69" t="str">
        <f t="shared" si="249"/>
        <v/>
      </c>
      <c r="S219" s="350"/>
      <c r="T219" s="69" t="str">
        <f t="shared" si="250"/>
        <v/>
      </c>
      <c r="U219" s="350"/>
      <c r="V219" s="69" t="str">
        <f t="shared" si="251"/>
        <v/>
      </c>
      <c r="W219" s="350"/>
      <c r="Z219" s="353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2.1899999999999999E-7</v>
      </c>
      <c r="BU219" s="215" t="str">
        <f t="shared" si="271"/>
        <v>EPA München 1</v>
      </c>
      <c r="BV219" s="214">
        <f t="shared" si="272"/>
        <v>34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2.1899999999999999E-7</v>
      </c>
      <c r="BZ219" s="214">
        <f t="shared" si="262"/>
        <v>34</v>
      </c>
    </row>
    <row r="220" spans="1:78" ht="17.2" customHeight="1" x14ac:dyDescent="0.35">
      <c r="A220" s="367" t="s">
        <v>2</v>
      </c>
      <c r="B220" s="73" t="str">
        <f t="shared" si="263"/>
        <v/>
      </c>
      <c r="C220" s="74" t="str">
        <f t="shared" si="263"/>
        <v/>
      </c>
      <c r="D220" s="75" t="str">
        <f t="shared" si="263"/>
        <v/>
      </c>
      <c r="E220" s="348">
        <f>IF(AD220="","",AD220)</f>
        <v>0</v>
      </c>
      <c r="F220" s="75" t="str">
        <f t="shared" si="244"/>
        <v/>
      </c>
      <c r="G220" s="348">
        <f>IF(AF220="","",AF220)</f>
        <v>0</v>
      </c>
      <c r="H220" s="75" t="str">
        <f t="shared" si="245"/>
        <v/>
      </c>
      <c r="I220" s="348">
        <f>IF(AH220="","",AH220)</f>
        <v>0</v>
      </c>
      <c r="J220" s="75" t="str">
        <f t="shared" si="246"/>
        <v/>
      </c>
      <c r="K220" s="348">
        <f>IF(AJ220="","",AJ220)</f>
        <v>0</v>
      </c>
      <c r="L220" s="75" t="str">
        <f t="shared" si="247"/>
        <v/>
      </c>
      <c r="M220" s="348">
        <f>IF(AL220="","",AL220)</f>
        <v>0</v>
      </c>
      <c r="N220" s="75" t="str">
        <f t="shared" si="264"/>
        <v/>
      </c>
      <c r="O220" s="348">
        <f>IF(AN220="","",AN220)</f>
        <v>0</v>
      </c>
      <c r="P220" s="75" t="str">
        <f t="shared" si="248"/>
        <v/>
      </c>
      <c r="Q220" s="348">
        <f>IF(AP220="","",AP220)</f>
        <v>0</v>
      </c>
      <c r="R220" s="75" t="str">
        <f t="shared" si="249"/>
        <v/>
      </c>
      <c r="S220" s="348">
        <f>IF(AR220="","",AR220)</f>
        <v>0</v>
      </c>
      <c r="T220" s="75" t="str">
        <f t="shared" si="250"/>
        <v/>
      </c>
      <c r="U220" s="348">
        <f>IF(AT220="","",AT220)</f>
        <v>0</v>
      </c>
      <c r="V220" s="75" t="str">
        <f t="shared" si="251"/>
        <v/>
      </c>
      <c r="W220" s="348">
        <f>IF(AV220="","",AV220)</f>
        <v>0</v>
      </c>
      <c r="Z220" s="351" t="s">
        <v>2</v>
      </c>
      <c r="AA220" s="108" t="str">
        <f>IF(AB220=0,"",VLOOKUP(AB220,Starter!$A$1:$D$199,2,FALSE))</f>
        <v/>
      </c>
      <c r="AB220" s="99"/>
      <c r="AC220" s="188"/>
      <c r="AD220" s="109">
        <f>IF(SUM(AC220:AC222)+AC236=0,0,IF(SUM(AC220:AC222)=AC236,0.5,IF(SUM(AC220:AC222)&gt;AC236,1,0)))</f>
        <v>0</v>
      </c>
      <c r="AE220" s="188"/>
      <c r="AF220" s="109">
        <f>IF(SUM(AE220:AE222)+AE236=0,0,IF(SUM(AE220:AE222)=AE236,0.5,IF(SUM(AE220:AE222)&gt;AE236,1,0)))</f>
        <v>0</v>
      </c>
      <c r="AG220" s="188"/>
      <c r="AH220" s="109">
        <f>IF(SUM(AG220:AG222)+AG236=0,0,IF(SUM(AG220:AG222)=AG236,0.5,IF(SUM(AG220:AG222)&gt;AG236,1,0)))</f>
        <v>0</v>
      </c>
      <c r="AI220" s="188"/>
      <c r="AJ220" s="109">
        <f>IF(SUM(AI220:AI222)+AI236=0,0,IF(SUM(AI220:AI222)=AI236,0.5,IF(SUM(AI220:AI222)&gt;AI236,1,0)))</f>
        <v>0</v>
      </c>
      <c r="AK220" s="188"/>
      <c r="AL220" s="109">
        <f>IF(SUM(AK220:AK222)+AK236=0,0,IF(SUM(AK220:AK222)=AK236,0.5,IF(SUM(AK220:AK222)&gt;AK236,1,0)))</f>
        <v>0</v>
      </c>
      <c r="AM220" s="188"/>
      <c r="AN220" s="109">
        <f>IF(SUM(AM220:AM222)+AM236=0,0,IF(SUM(AM220:AM222)=AM236,0.5,IF(SUM(AM220:AM222)&gt;AM236,1,0)))</f>
        <v>0</v>
      </c>
      <c r="AO220" s="188"/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0</v>
      </c>
      <c r="AS220" s="188"/>
      <c r="AT220" s="109">
        <f>IF(SUM(AS220:AS222)+AS236=0,0,IF(SUM(AS220:AS222)=AS236,0.5,IF(SUM(AS220:AS222)&gt;AS236,1,0)))</f>
        <v>0</v>
      </c>
      <c r="AU220" s="110">
        <f t="shared" si="252"/>
        <v>0</v>
      </c>
      <c r="AV220" s="111">
        <f>SUM(AD220+AF220+AH220+AJ220+AL220+AN220+AP220+AR220+AT220)</f>
        <v>0</v>
      </c>
      <c r="AW220" s="101"/>
      <c r="AX220" s="102"/>
      <c r="AZ220" s="63"/>
      <c r="BA220" s="212"/>
      <c r="BB220" s="213"/>
      <c r="BC220" s="214"/>
      <c r="BD220" s="217">
        <f t="shared" si="265"/>
        <v>0</v>
      </c>
      <c r="BE220" s="213">
        <f t="shared" si="266"/>
        <v>0</v>
      </c>
      <c r="BF220" s="215">
        <f t="shared" si="267"/>
        <v>0</v>
      </c>
      <c r="BG220" s="215">
        <f t="shared" si="268"/>
        <v>0</v>
      </c>
      <c r="BH220" s="215" t="str">
        <f t="shared" si="253"/>
        <v/>
      </c>
      <c r="BI220" s="215" t="str">
        <f t="shared" si="254"/>
        <v/>
      </c>
      <c r="BJ220" s="215" t="str">
        <f t="shared" si="255"/>
        <v/>
      </c>
      <c r="BK220" s="215" t="str">
        <f t="shared" si="256"/>
        <v/>
      </c>
      <c r="BL220" s="215" t="str">
        <f t="shared" si="257"/>
        <v/>
      </c>
      <c r="BM220" s="215" t="str">
        <f t="shared" si="258"/>
        <v/>
      </c>
      <c r="BN220" s="215" t="str">
        <f t="shared" si="259"/>
        <v/>
      </c>
      <c r="BO220" s="215" t="str">
        <f t="shared" si="260"/>
        <v/>
      </c>
      <c r="BP220" s="215" t="str">
        <f t="shared" si="261"/>
        <v/>
      </c>
      <c r="BQ220" s="216"/>
      <c r="BR220" s="214"/>
      <c r="BS220" s="215">
        <f t="shared" si="269"/>
        <v>0</v>
      </c>
      <c r="BT220" s="215">
        <f t="shared" si="270"/>
        <v>2.2000000000000001E-7</v>
      </c>
      <c r="BU220" s="215" t="str">
        <f t="shared" si="271"/>
        <v>EPA München 1</v>
      </c>
      <c r="BV220" s="214">
        <f t="shared" si="272"/>
        <v>33</v>
      </c>
      <c r="BW220" s="215">
        <f t="shared" si="273"/>
        <v>0</v>
      </c>
      <c r="BX220" s="215">
        <f>IF(COUNTIF(BH220:BP220,"&gt;0")&lt;Spielorte!$A$23,0,BE220/Spielorte!$A$23)</f>
        <v>0</v>
      </c>
      <c r="BY220" s="215">
        <f t="shared" si="274"/>
        <v>2.2000000000000001E-7</v>
      </c>
      <c r="BZ220" s="214">
        <f t="shared" si="262"/>
        <v>33</v>
      </c>
    </row>
    <row r="221" spans="1:78" ht="17.2" customHeight="1" x14ac:dyDescent="0.35">
      <c r="A221" s="368"/>
      <c r="B221" s="76" t="str">
        <f t="shared" si="263"/>
        <v/>
      </c>
      <c r="C221" s="77" t="str">
        <f t="shared" si="263"/>
        <v/>
      </c>
      <c r="D221" s="78" t="str">
        <f t="shared" si="263"/>
        <v/>
      </c>
      <c r="E221" s="349"/>
      <c r="F221" s="78" t="str">
        <f t="shared" si="244"/>
        <v/>
      </c>
      <c r="G221" s="349"/>
      <c r="H221" s="78" t="str">
        <f t="shared" si="245"/>
        <v/>
      </c>
      <c r="I221" s="349"/>
      <c r="J221" s="78" t="str">
        <f t="shared" si="246"/>
        <v/>
      </c>
      <c r="K221" s="349"/>
      <c r="L221" s="78" t="str">
        <f t="shared" si="247"/>
        <v/>
      </c>
      <c r="M221" s="349"/>
      <c r="N221" s="78" t="str">
        <f t="shared" si="264"/>
        <v/>
      </c>
      <c r="O221" s="349"/>
      <c r="P221" s="78" t="str">
        <f t="shared" si="248"/>
        <v/>
      </c>
      <c r="Q221" s="349"/>
      <c r="R221" s="78" t="str">
        <f t="shared" si="249"/>
        <v/>
      </c>
      <c r="S221" s="349"/>
      <c r="T221" s="78" t="str">
        <f t="shared" si="250"/>
        <v/>
      </c>
      <c r="U221" s="349"/>
      <c r="V221" s="78" t="str">
        <f t="shared" si="251"/>
        <v/>
      </c>
      <c r="W221" s="349"/>
      <c r="Z221" s="352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52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0</v>
      </c>
      <c r="BE221" s="213">
        <f t="shared" si="266"/>
        <v>0</v>
      </c>
      <c r="BF221" s="215">
        <f t="shared" si="267"/>
        <v>0</v>
      </c>
      <c r="BG221" s="215">
        <f t="shared" si="268"/>
        <v>0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 t="str">
        <f t="shared" si="258"/>
        <v/>
      </c>
      <c r="BN221" s="215" t="str">
        <f t="shared" si="259"/>
        <v/>
      </c>
      <c r="BO221" s="215" t="str">
        <f t="shared" si="260"/>
        <v/>
      </c>
      <c r="BP221" s="215" t="str">
        <f t="shared" si="261"/>
        <v/>
      </c>
      <c r="BQ221" s="216"/>
      <c r="BR221" s="214"/>
      <c r="BS221" s="215">
        <f t="shared" si="269"/>
        <v>0</v>
      </c>
      <c r="BT221" s="215">
        <f t="shared" si="270"/>
        <v>2.2100000000000001E-7</v>
      </c>
      <c r="BU221" s="215" t="str">
        <f t="shared" si="271"/>
        <v>EPA München 1</v>
      </c>
      <c r="BV221" s="214">
        <f t="shared" si="272"/>
        <v>32</v>
      </c>
      <c r="BW221" s="215">
        <f t="shared" si="273"/>
        <v>0</v>
      </c>
      <c r="BX221" s="215">
        <f>IF(COUNTIF(BH221:BP221,"&gt;0")&lt;Spielorte!$A$23,0,BE221/Spielorte!$A$23)</f>
        <v>0</v>
      </c>
      <c r="BY221" s="215">
        <f t="shared" si="274"/>
        <v>2.2100000000000001E-7</v>
      </c>
      <c r="BZ221" s="214">
        <f t="shared" si="262"/>
        <v>32</v>
      </c>
    </row>
    <row r="222" spans="1:78" ht="17.2" customHeight="1" thickBot="1" x14ac:dyDescent="0.4">
      <c r="A222" s="369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50"/>
      <c r="F222" s="69" t="str">
        <f t="shared" si="244"/>
        <v/>
      </c>
      <c r="G222" s="350"/>
      <c r="H222" s="69" t="str">
        <f t="shared" si="245"/>
        <v/>
      </c>
      <c r="I222" s="350"/>
      <c r="J222" s="69" t="str">
        <f t="shared" si="246"/>
        <v/>
      </c>
      <c r="K222" s="350"/>
      <c r="L222" s="69" t="str">
        <f t="shared" si="247"/>
        <v/>
      </c>
      <c r="M222" s="350"/>
      <c r="N222" s="69" t="str">
        <f t="shared" si="264"/>
        <v/>
      </c>
      <c r="O222" s="350"/>
      <c r="P222" s="69" t="str">
        <f t="shared" si="248"/>
        <v/>
      </c>
      <c r="Q222" s="350"/>
      <c r="R222" s="69" t="str">
        <f t="shared" si="249"/>
        <v/>
      </c>
      <c r="S222" s="350"/>
      <c r="T222" s="69" t="str">
        <f t="shared" si="250"/>
        <v/>
      </c>
      <c r="U222" s="350"/>
      <c r="V222" s="69" t="str">
        <f t="shared" si="251"/>
        <v/>
      </c>
      <c r="W222" s="350"/>
      <c r="Z222" s="353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2.22E-7</v>
      </c>
      <c r="BU222" s="215" t="str">
        <f t="shared" si="271"/>
        <v>EPA München 1</v>
      </c>
      <c r="BV222" s="214">
        <f t="shared" si="272"/>
        <v>31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2.22E-7</v>
      </c>
      <c r="BZ222" s="214">
        <f t="shared" si="262"/>
        <v>31</v>
      </c>
    </row>
    <row r="223" spans="1:78" ht="17.2" customHeight="1" x14ac:dyDescent="0.35">
      <c r="A223" s="367" t="s">
        <v>3</v>
      </c>
      <c r="B223" s="73" t="str">
        <f t="shared" si="263"/>
        <v/>
      </c>
      <c r="C223" s="74" t="str">
        <f t="shared" si="263"/>
        <v/>
      </c>
      <c r="D223" s="75" t="str">
        <f t="shared" si="263"/>
        <v/>
      </c>
      <c r="E223" s="348">
        <f>IF(AD223="","",AD223)</f>
        <v>0</v>
      </c>
      <c r="F223" s="75" t="str">
        <f t="shared" si="244"/>
        <v/>
      </c>
      <c r="G223" s="348">
        <f>IF(AF223="","",AF223)</f>
        <v>0</v>
      </c>
      <c r="H223" s="75" t="str">
        <f t="shared" si="245"/>
        <v/>
      </c>
      <c r="I223" s="348">
        <f>IF(AH223="","",AH223)</f>
        <v>0</v>
      </c>
      <c r="J223" s="75" t="str">
        <f t="shared" si="246"/>
        <v/>
      </c>
      <c r="K223" s="348">
        <f>IF(AJ223="","",AJ223)</f>
        <v>0</v>
      </c>
      <c r="L223" s="75" t="str">
        <f t="shared" si="247"/>
        <v/>
      </c>
      <c r="M223" s="348">
        <f>IF(AL223="","",AL223)</f>
        <v>0</v>
      </c>
      <c r="N223" s="75" t="str">
        <f t="shared" si="264"/>
        <v/>
      </c>
      <c r="O223" s="348">
        <f>IF(AN223="","",AN223)</f>
        <v>0</v>
      </c>
      <c r="P223" s="75" t="str">
        <f t="shared" si="248"/>
        <v/>
      </c>
      <c r="Q223" s="348">
        <f>IF(AP223="","",AP223)</f>
        <v>0</v>
      </c>
      <c r="R223" s="75" t="str">
        <f t="shared" si="249"/>
        <v/>
      </c>
      <c r="S223" s="348">
        <f>IF(AR223="","",AR223)</f>
        <v>0</v>
      </c>
      <c r="T223" s="75" t="str">
        <f t="shared" si="250"/>
        <v/>
      </c>
      <c r="U223" s="348">
        <f>IF(AT223="","",AT223)</f>
        <v>0</v>
      </c>
      <c r="V223" s="75" t="str">
        <f t="shared" si="251"/>
        <v/>
      </c>
      <c r="W223" s="348">
        <f>IF(AV223="","",AV223)</f>
        <v>0</v>
      </c>
      <c r="Z223" s="351" t="s">
        <v>3</v>
      </c>
      <c r="AA223" s="108" t="str">
        <f>IF(AB223=0,"",VLOOKUP(AB223,Starter!$A$1:$D$199,2,FALSE))</f>
        <v/>
      </c>
      <c r="AB223" s="99"/>
      <c r="AC223" s="188"/>
      <c r="AD223" s="109">
        <f>IF(SUM(AC223:AC225)+AC237=0,0,IF(SUM(AC223:AC225)=AC237,0.5,IF(SUM(AC223:AC225)&gt;AC237,1,0)))</f>
        <v>0</v>
      </c>
      <c r="AE223" s="188"/>
      <c r="AF223" s="109">
        <f>IF(SUM(AE223:AE225)+AE237=0,0,IF(SUM(AE223:AE225)=AE237,0.5,IF(SUM(AE223:AE225)&gt;AE237,1,0)))</f>
        <v>0</v>
      </c>
      <c r="AG223" s="188"/>
      <c r="AH223" s="109">
        <f>IF(SUM(AG223:AG225)+AG237=0,0,IF(SUM(AG223:AG225)=AG237,0.5,IF(SUM(AG223:AG225)&gt;AG237,1,0)))</f>
        <v>0</v>
      </c>
      <c r="AI223" s="188"/>
      <c r="AJ223" s="109">
        <f>IF(SUM(AI223:AI225)+AI237=0,0,IF(SUM(AI223:AI225)=AI237,0.5,IF(SUM(AI223:AI225)&gt;AI237,1,0)))</f>
        <v>0</v>
      </c>
      <c r="AK223" s="188"/>
      <c r="AL223" s="109">
        <f>IF(SUM(AK223:AK225)+AK237=0,0,IF(SUM(AK223:AK225)=AK237,0.5,IF(SUM(AK223:AK225)&gt;AK237,1,0)))</f>
        <v>0</v>
      </c>
      <c r="AM223" s="188"/>
      <c r="AN223" s="109">
        <f>IF(SUM(AM223:AM225)+AM237=0,0,IF(SUM(AM223:AM225)=AM237,0.5,IF(SUM(AM223:AM225)&gt;AM237,1,0)))</f>
        <v>0</v>
      </c>
      <c r="AO223" s="188"/>
      <c r="AP223" s="109">
        <f>IF(SUM(AO223:AO225)+AO237=0,0,IF(SUM(AO223:AO225)=AO237,0.5,IF(SUM(AO223:AO225)&gt;AO237,1,0)))</f>
        <v>0</v>
      </c>
      <c r="AQ223" s="188"/>
      <c r="AR223" s="109">
        <f>IF(SUM(AQ223:AQ225)+AQ237=0,0,IF(SUM(AQ223:AQ225)=AQ237,0.5,IF(SUM(AQ223:AQ225)&gt;AQ237,1,0)))</f>
        <v>0</v>
      </c>
      <c r="AS223" s="188"/>
      <c r="AT223" s="109">
        <f>IF(SUM(AS223:AS225)+AS237=0,0,IF(SUM(AS223:AS225)=AS237,0.5,IF(SUM(AS223:AS225)&gt;AS237,1,0)))</f>
        <v>0</v>
      </c>
      <c r="AU223" s="110">
        <f t="shared" si="252"/>
        <v>0</v>
      </c>
      <c r="AV223" s="111">
        <f>SUM(AD223+AF223+AH223+AJ223+AL223+AN223+AP223+AR223+AT223)</f>
        <v>0</v>
      </c>
      <c r="AW223" s="101"/>
      <c r="AX223" s="102"/>
      <c r="AZ223" s="63"/>
      <c r="BA223" s="212"/>
      <c r="BB223" s="213"/>
      <c r="BC223" s="214"/>
      <c r="BD223" s="217">
        <f t="shared" si="265"/>
        <v>0</v>
      </c>
      <c r="BE223" s="213">
        <f t="shared" si="266"/>
        <v>0</v>
      </c>
      <c r="BF223" s="215">
        <f t="shared" si="267"/>
        <v>0</v>
      </c>
      <c r="BG223" s="215">
        <f t="shared" si="268"/>
        <v>0</v>
      </c>
      <c r="BH223" s="215" t="str">
        <f t="shared" si="253"/>
        <v/>
      </c>
      <c r="BI223" s="215" t="str">
        <f t="shared" si="254"/>
        <v/>
      </c>
      <c r="BJ223" s="215" t="str">
        <f t="shared" si="255"/>
        <v/>
      </c>
      <c r="BK223" s="215" t="str">
        <f t="shared" si="256"/>
        <v/>
      </c>
      <c r="BL223" s="215" t="str">
        <f t="shared" si="257"/>
        <v/>
      </c>
      <c r="BM223" s="215" t="str">
        <f t="shared" si="258"/>
        <v/>
      </c>
      <c r="BN223" s="215" t="str">
        <f t="shared" si="259"/>
        <v/>
      </c>
      <c r="BO223" s="215" t="str">
        <f t="shared" si="260"/>
        <v/>
      </c>
      <c r="BP223" s="215" t="str">
        <f t="shared" si="261"/>
        <v/>
      </c>
      <c r="BQ223" s="216"/>
      <c r="BR223" s="214"/>
      <c r="BS223" s="215">
        <f t="shared" si="269"/>
        <v>0</v>
      </c>
      <c r="BT223" s="215">
        <f t="shared" si="270"/>
        <v>2.23E-7</v>
      </c>
      <c r="BU223" s="215" t="str">
        <f t="shared" si="271"/>
        <v>EPA München 1</v>
      </c>
      <c r="BV223" s="214">
        <f t="shared" si="272"/>
        <v>30</v>
      </c>
      <c r="BW223" s="215">
        <f t="shared" si="273"/>
        <v>0</v>
      </c>
      <c r="BX223" s="215">
        <f>IF(COUNTIF(BH223:BP223,"&gt;0")&lt;Spielorte!$A$23,0,BE223/Spielorte!$A$23)</f>
        <v>0</v>
      </c>
      <c r="BY223" s="215">
        <f t="shared" si="274"/>
        <v>2.23E-7</v>
      </c>
      <c r="BZ223" s="214">
        <f t="shared" si="262"/>
        <v>30</v>
      </c>
    </row>
    <row r="224" spans="1:78" ht="17.2" customHeight="1" x14ac:dyDescent="0.35">
      <c r="A224" s="368"/>
      <c r="B224" s="76" t="str">
        <f t="shared" si="263"/>
        <v/>
      </c>
      <c r="C224" s="77" t="str">
        <f t="shared" si="263"/>
        <v/>
      </c>
      <c r="D224" s="78" t="str">
        <f t="shared" si="263"/>
        <v/>
      </c>
      <c r="E224" s="349"/>
      <c r="F224" s="78" t="str">
        <f t="shared" si="244"/>
        <v/>
      </c>
      <c r="G224" s="349"/>
      <c r="H224" s="78" t="str">
        <f t="shared" si="245"/>
        <v/>
      </c>
      <c r="I224" s="349"/>
      <c r="J224" s="78" t="str">
        <f t="shared" si="246"/>
        <v/>
      </c>
      <c r="K224" s="349"/>
      <c r="L224" s="78" t="str">
        <f t="shared" si="247"/>
        <v/>
      </c>
      <c r="M224" s="349"/>
      <c r="N224" s="78" t="str">
        <f t="shared" si="264"/>
        <v/>
      </c>
      <c r="O224" s="349"/>
      <c r="P224" s="78" t="str">
        <f t="shared" si="248"/>
        <v/>
      </c>
      <c r="Q224" s="349"/>
      <c r="R224" s="78" t="str">
        <f t="shared" si="249"/>
        <v/>
      </c>
      <c r="S224" s="349"/>
      <c r="T224" s="78" t="str">
        <f t="shared" si="250"/>
        <v/>
      </c>
      <c r="U224" s="349"/>
      <c r="V224" s="78" t="str">
        <f t="shared" si="251"/>
        <v/>
      </c>
      <c r="W224" s="349"/>
      <c r="Z224" s="352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52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0</v>
      </c>
      <c r="BE224" s="213">
        <f t="shared" si="266"/>
        <v>0</v>
      </c>
      <c r="BF224" s="215">
        <f t="shared" si="267"/>
        <v>0</v>
      </c>
      <c r="BG224" s="215">
        <f t="shared" si="268"/>
        <v>0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 t="str">
        <f t="shared" si="257"/>
        <v/>
      </c>
      <c r="BM224" s="215" t="str">
        <f t="shared" si="258"/>
        <v/>
      </c>
      <c r="BN224" s="215" t="str">
        <f t="shared" si="259"/>
        <v/>
      </c>
      <c r="BO224" s="215" t="str">
        <f t="shared" si="260"/>
        <v/>
      </c>
      <c r="BP224" s="215" t="str">
        <f t="shared" si="261"/>
        <v/>
      </c>
      <c r="BQ224" s="216"/>
      <c r="BR224" s="214"/>
      <c r="BS224" s="215">
        <f t="shared" si="269"/>
        <v>0</v>
      </c>
      <c r="BT224" s="215">
        <f t="shared" si="270"/>
        <v>2.2399999999999999E-7</v>
      </c>
      <c r="BU224" s="215" t="str">
        <f t="shared" si="271"/>
        <v>EPA München 1</v>
      </c>
      <c r="BV224" s="214">
        <f t="shared" si="272"/>
        <v>29</v>
      </c>
      <c r="BW224" s="215">
        <f t="shared" si="273"/>
        <v>0</v>
      </c>
      <c r="BX224" s="215">
        <f>IF(COUNTIF(BH224:BP224,"&gt;0")&lt;Spielorte!$A$23,0,BE224/Spielorte!$A$23)</f>
        <v>0</v>
      </c>
      <c r="BY224" s="215">
        <f t="shared" si="274"/>
        <v>2.2399999999999999E-7</v>
      </c>
      <c r="BZ224" s="214">
        <f t="shared" si="262"/>
        <v>29</v>
      </c>
    </row>
    <row r="225" spans="1:78" ht="17.2" customHeight="1" thickBot="1" x14ac:dyDescent="0.4">
      <c r="A225" s="369"/>
      <c r="B225" s="79" t="str">
        <f t="shared" si="263"/>
        <v/>
      </c>
      <c r="C225" s="80" t="str">
        <f t="shared" si="263"/>
        <v/>
      </c>
      <c r="D225" s="69" t="str">
        <f t="shared" si="263"/>
        <v/>
      </c>
      <c r="E225" s="350"/>
      <c r="F225" s="69" t="str">
        <f t="shared" si="244"/>
        <v/>
      </c>
      <c r="G225" s="350"/>
      <c r="H225" s="69" t="str">
        <f t="shared" si="245"/>
        <v/>
      </c>
      <c r="I225" s="350"/>
      <c r="J225" s="69" t="str">
        <f t="shared" si="246"/>
        <v/>
      </c>
      <c r="K225" s="350"/>
      <c r="L225" s="69" t="str">
        <f t="shared" si="247"/>
        <v/>
      </c>
      <c r="M225" s="350"/>
      <c r="N225" s="69" t="str">
        <f t="shared" si="264"/>
        <v/>
      </c>
      <c r="O225" s="350"/>
      <c r="P225" s="69" t="str">
        <f t="shared" si="248"/>
        <v/>
      </c>
      <c r="Q225" s="350"/>
      <c r="R225" s="69" t="str">
        <f t="shared" si="249"/>
        <v/>
      </c>
      <c r="S225" s="350"/>
      <c r="T225" s="69" t="str">
        <f t="shared" si="250"/>
        <v/>
      </c>
      <c r="U225" s="350"/>
      <c r="V225" s="69" t="str">
        <f t="shared" si="251"/>
        <v/>
      </c>
      <c r="W225" s="350"/>
      <c r="Z225" s="353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52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0</v>
      </c>
      <c r="BE225" s="213">
        <f t="shared" si="266"/>
        <v>0</v>
      </c>
      <c r="BF225" s="215">
        <f t="shared" si="267"/>
        <v>0</v>
      </c>
      <c r="BG225" s="215">
        <f t="shared" si="268"/>
        <v>0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 t="str">
        <f t="shared" si="261"/>
        <v/>
      </c>
      <c r="BQ225" s="216"/>
      <c r="BR225" s="214"/>
      <c r="BS225" s="215">
        <f t="shared" si="269"/>
        <v>0</v>
      </c>
      <c r="BT225" s="215">
        <f t="shared" si="270"/>
        <v>2.2499999999999999E-7</v>
      </c>
      <c r="BU225" s="215" t="str">
        <f t="shared" si="271"/>
        <v>EPA München 1</v>
      </c>
      <c r="BV225" s="214">
        <f t="shared" si="272"/>
        <v>28</v>
      </c>
      <c r="BW225" s="215">
        <f t="shared" si="273"/>
        <v>0</v>
      </c>
      <c r="BX225" s="215">
        <f>IF(COUNTIF(BH225:BP225,"&gt;0")&lt;Spielorte!$A$23,0,BE225/Spielorte!$A$23)</f>
        <v>0</v>
      </c>
      <c r="BY225" s="215">
        <f t="shared" si="274"/>
        <v>2.2499999999999999E-7</v>
      </c>
      <c r="BZ225" s="214">
        <f t="shared" si="262"/>
        <v>28</v>
      </c>
    </row>
    <row r="226" spans="1:78" ht="17.2" customHeight="1" x14ac:dyDescent="0.35">
      <c r="A226" s="367" t="s">
        <v>11</v>
      </c>
      <c r="B226" s="73" t="str">
        <f>IF(AA226=0,"",AA226)</f>
        <v/>
      </c>
      <c r="C226" s="74" t="str">
        <f t="shared" si="263"/>
        <v/>
      </c>
      <c r="D226" s="75" t="str">
        <f t="shared" si="263"/>
        <v/>
      </c>
      <c r="E226" s="348">
        <f>IF(AD226="","",AD226)</f>
        <v>0</v>
      </c>
      <c r="F226" s="75" t="str">
        <f t="shared" si="244"/>
        <v/>
      </c>
      <c r="G226" s="348">
        <f>IF(AF226="","",AF226)</f>
        <v>0</v>
      </c>
      <c r="H226" s="75" t="str">
        <f t="shared" si="245"/>
        <v/>
      </c>
      <c r="I226" s="348">
        <f>IF(AH226="","",AH226)</f>
        <v>0</v>
      </c>
      <c r="J226" s="75" t="str">
        <f t="shared" si="246"/>
        <v/>
      </c>
      <c r="K226" s="348">
        <f>IF(AJ226="","",AJ226)</f>
        <v>0</v>
      </c>
      <c r="L226" s="75" t="str">
        <f t="shared" si="247"/>
        <v/>
      </c>
      <c r="M226" s="348">
        <f>IF(AL226="","",AL226)</f>
        <v>0</v>
      </c>
      <c r="N226" s="75" t="str">
        <f t="shared" si="264"/>
        <v/>
      </c>
      <c r="O226" s="348">
        <f>IF(AN226="","",AN226)</f>
        <v>0</v>
      </c>
      <c r="P226" s="75" t="str">
        <f t="shared" si="248"/>
        <v/>
      </c>
      <c r="Q226" s="348">
        <f>IF(AP226="","",AP226)</f>
        <v>0</v>
      </c>
      <c r="R226" s="75" t="str">
        <f t="shared" si="249"/>
        <v/>
      </c>
      <c r="S226" s="348">
        <f>IF(AR226="","",AR226)</f>
        <v>0</v>
      </c>
      <c r="T226" s="75" t="str">
        <f t="shared" si="250"/>
        <v/>
      </c>
      <c r="U226" s="348">
        <f>IF(AT226="","",AT226)</f>
        <v>0</v>
      </c>
      <c r="V226" s="75" t="str">
        <f t="shared" si="251"/>
        <v/>
      </c>
      <c r="W226" s="348">
        <f>IF(AV226="","",AV226)</f>
        <v>0</v>
      </c>
      <c r="Z226" s="351" t="s">
        <v>11</v>
      </c>
      <c r="AA226" s="108" t="str">
        <f>IF(AB226=0,"",VLOOKUP(AB226,Starter!$A$1:$D$199,2,FALSE))</f>
        <v/>
      </c>
      <c r="AB226" s="99"/>
      <c r="AC226" s="188"/>
      <c r="AD226" s="109">
        <f>IF(SUM(AC226:AC228)+AC238=0,0,IF(SUM(AC226:AC228)=AC238,0.5,IF(SUM(AC226:AC228)&gt;AC238,1,0)))</f>
        <v>0</v>
      </c>
      <c r="AE226" s="188"/>
      <c r="AF226" s="109">
        <f>IF(SUM(AE226:AE228)+AE238=0,0,IF(SUM(AE226:AE228)=AE238,0.5,IF(SUM(AE226:AE228)&gt;AE238,1,0)))</f>
        <v>0</v>
      </c>
      <c r="AG226" s="188"/>
      <c r="AH226" s="109">
        <f>IF(SUM(AG226:AG228)+AG238=0,0,IF(SUM(AG226:AG228)=AG238,0.5,IF(SUM(AG226:AG228)&gt;AG238,1,0)))</f>
        <v>0</v>
      </c>
      <c r="AI226" s="188"/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0</v>
      </c>
      <c r="AM226" s="188"/>
      <c r="AN226" s="109">
        <f>IF(SUM(AM226:AM228)+AM238=0,0,IF(SUM(AM226:AM228)=AM238,0.5,IF(SUM(AM226:AM228)&gt;AM238,1,0)))</f>
        <v>0</v>
      </c>
      <c r="AO226" s="188"/>
      <c r="AP226" s="109">
        <f>IF(SUM(AO226:AO228)+AO238=0,0,IF(SUM(AO226:AO228)=AO238,0.5,IF(SUM(AO226:AO228)&gt;AO238,1,0)))</f>
        <v>0</v>
      </c>
      <c r="AQ226" s="188"/>
      <c r="AR226" s="109">
        <f>IF(SUM(AQ226:AQ228)+AQ238=0,0,IF(SUM(AQ226:AQ228)=AQ238,0.5,IF(SUM(AQ226:AQ228)&gt;AQ238,1,0)))</f>
        <v>0</v>
      </c>
      <c r="AS226" s="188"/>
      <c r="AT226" s="109">
        <f>IF(SUM(AS226:AS228)+AS238=0,0,IF(SUM(AS226:AS228)=AS238,0.5,IF(SUM(AS226:AS228)&gt;AS238,1,0)))</f>
        <v>0</v>
      </c>
      <c r="AU226" s="110">
        <f t="shared" si="252"/>
        <v>0</v>
      </c>
      <c r="AV226" s="111">
        <f>SUM(AD226+AF226+AH226+AJ226+AL226+AN226+AP226+AR226+AT226)</f>
        <v>0</v>
      </c>
      <c r="AW226" s="101"/>
      <c r="AX226" s="102"/>
      <c r="AZ226" s="63"/>
      <c r="BA226" s="212"/>
      <c r="BB226" s="213"/>
      <c r="BC226" s="214"/>
      <c r="BD226" s="217">
        <f t="shared" si="265"/>
        <v>0</v>
      </c>
      <c r="BE226" s="213">
        <f t="shared" si="266"/>
        <v>0</v>
      </c>
      <c r="BF226" s="215">
        <f t="shared" si="267"/>
        <v>0</v>
      </c>
      <c r="BG226" s="215">
        <f t="shared" si="268"/>
        <v>0</v>
      </c>
      <c r="BH226" s="215" t="str">
        <f t="shared" si="253"/>
        <v/>
      </c>
      <c r="BI226" s="215" t="str">
        <f t="shared" si="254"/>
        <v/>
      </c>
      <c r="BJ226" s="215" t="str">
        <f t="shared" si="255"/>
        <v/>
      </c>
      <c r="BK226" s="215" t="str">
        <f t="shared" si="256"/>
        <v/>
      </c>
      <c r="BL226" s="215" t="str">
        <f t="shared" si="257"/>
        <v/>
      </c>
      <c r="BM226" s="215" t="str">
        <f t="shared" si="258"/>
        <v/>
      </c>
      <c r="BN226" s="215" t="str">
        <f t="shared" si="259"/>
        <v/>
      </c>
      <c r="BO226" s="215" t="str">
        <f t="shared" si="260"/>
        <v/>
      </c>
      <c r="BP226" s="215" t="str">
        <f t="shared" si="261"/>
        <v/>
      </c>
      <c r="BQ226" s="216"/>
      <c r="BR226" s="214"/>
      <c r="BS226" s="215">
        <f t="shared" si="269"/>
        <v>0</v>
      </c>
      <c r="BT226" s="215">
        <f t="shared" si="270"/>
        <v>2.2600000000000001E-7</v>
      </c>
      <c r="BU226" s="215" t="str">
        <f t="shared" si="271"/>
        <v>EPA München 1</v>
      </c>
      <c r="BV226" s="214">
        <f t="shared" si="272"/>
        <v>27</v>
      </c>
      <c r="BW226" s="215">
        <f t="shared" si="273"/>
        <v>0</v>
      </c>
      <c r="BX226" s="215">
        <f>IF(COUNTIF(BH226:BP226,"&gt;0")&lt;Spielorte!$A$23,0,BE226/Spielorte!$A$23)</f>
        <v>0</v>
      </c>
      <c r="BY226" s="215">
        <f t="shared" si="274"/>
        <v>2.2600000000000001E-7</v>
      </c>
      <c r="BZ226" s="214">
        <f t="shared" si="262"/>
        <v>27</v>
      </c>
    </row>
    <row r="227" spans="1:78" ht="17.2" customHeight="1" x14ac:dyDescent="0.35">
      <c r="A227" s="368"/>
      <c r="B227" s="76" t="str">
        <f>IF(AA227=0,"",AA227)</f>
        <v/>
      </c>
      <c r="C227" s="77" t="str">
        <f t="shared" si="263"/>
        <v/>
      </c>
      <c r="D227" s="78" t="str">
        <f t="shared" si="263"/>
        <v/>
      </c>
      <c r="E227" s="349"/>
      <c r="F227" s="78" t="str">
        <f t="shared" si="244"/>
        <v/>
      </c>
      <c r="G227" s="349"/>
      <c r="H227" s="78" t="str">
        <f t="shared" si="245"/>
        <v/>
      </c>
      <c r="I227" s="349"/>
      <c r="J227" s="78" t="str">
        <f t="shared" si="246"/>
        <v/>
      </c>
      <c r="K227" s="349"/>
      <c r="L227" s="78" t="str">
        <f t="shared" si="247"/>
        <v/>
      </c>
      <c r="M227" s="349"/>
      <c r="N227" s="78" t="str">
        <f t="shared" si="264"/>
        <v/>
      </c>
      <c r="O227" s="349"/>
      <c r="P227" s="78" t="str">
        <f t="shared" si="248"/>
        <v/>
      </c>
      <c r="Q227" s="349"/>
      <c r="R227" s="78" t="str">
        <f t="shared" si="249"/>
        <v/>
      </c>
      <c r="S227" s="349"/>
      <c r="T227" s="78" t="str">
        <f t="shared" si="250"/>
        <v/>
      </c>
      <c r="U227" s="349"/>
      <c r="V227" s="78" t="str">
        <f t="shared" si="251"/>
        <v/>
      </c>
      <c r="W227" s="349"/>
      <c r="Z227" s="352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0</v>
      </c>
      <c r="BE227" s="213">
        <f t="shared" si="266"/>
        <v>0</v>
      </c>
      <c r="BF227" s="215">
        <f t="shared" si="267"/>
        <v>0</v>
      </c>
      <c r="BG227" s="215">
        <f t="shared" si="268"/>
        <v>0</v>
      </c>
      <c r="BH227" s="215" t="str">
        <f t="shared" si="253"/>
        <v/>
      </c>
      <c r="BI227" s="215" t="str">
        <f t="shared" si="254"/>
        <v/>
      </c>
      <c r="BJ227" s="215" t="str">
        <f t="shared" si="255"/>
        <v/>
      </c>
      <c r="BK227" s="215" t="str">
        <f t="shared" si="256"/>
        <v/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0</v>
      </c>
      <c r="BT227" s="215">
        <f t="shared" si="270"/>
        <v>2.2700000000000001E-7</v>
      </c>
      <c r="BU227" s="215" t="str">
        <f t="shared" si="271"/>
        <v>EPA München 1</v>
      </c>
      <c r="BV227" s="214">
        <f t="shared" si="272"/>
        <v>26</v>
      </c>
      <c r="BW227" s="215">
        <f t="shared" si="273"/>
        <v>0</v>
      </c>
      <c r="BX227" s="215">
        <f>IF(COUNTIF(BH227:BP227,"&gt;0")&lt;Spielorte!$A$23,0,BE227/Spielorte!$A$23)</f>
        <v>0</v>
      </c>
      <c r="BY227" s="215">
        <f t="shared" si="274"/>
        <v>2.2700000000000001E-7</v>
      </c>
      <c r="BZ227" s="214">
        <f t="shared" si="262"/>
        <v>26</v>
      </c>
    </row>
    <row r="228" spans="1:78" ht="17.2" customHeight="1" thickBot="1" x14ac:dyDescent="0.4">
      <c r="A228" s="369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50"/>
      <c r="F228" s="69" t="str">
        <f t="shared" si="244"/>
        <v/>
      </c>
      <c r="G228" s="350"/>
      <c r="H228" s="69" t="str">
        <f t="shared" si="245"/>
        <v/>
      </c>
      <c r="I228" s="350"/>
      <c r="J228" s="69" t="str">
        <f t="shared" si="246"/>
        <v/>
      </c>
      <c r="K228" s="350"/>
      <c r="L228" s="69" t="str">
        <f t="shared" si="247"/>
        <v/>
      </c>
      <c r="M228" s="350"/>
      <c r="N228" s="69" t="str">
        <f t="shared" si="264"/>
        <v/>
      </c>
      <c r="O228" s="350"/>
      <c r="P228" s="69" t="str">
        <f t="shared" si="248"/>
        <v/>
      </c>
      <c r="Q228" s="350"/>
      <c r="R228" s="69" t="str">
        <f t="shared" si="249"/>
        <v/>
      </c>
      <c r="S228" s="350"/>
      <c r="T228" s="69" t="str">
        <f t="shared" si="250"/>
        <v/>
      </c>
      <c r="U228" s="350"/>
      <c r="V228" s="69" t="str">
        <f t="shared" si="251"/>
        <v/>
      </c>
      <c r="W228" s="350"/>
      <c r="Z228" s="353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2.28E-7</v>
      </c>
      <c r="BU228" s="215" t="str">
        <f t="shared" si="271"/>
        <v>EPA München 1</v>
      </c>
      <c r="BV228" s="214">
        <f t="shared" si="272"/>
        <v>25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2.28E-7</v>
      </c>
      <c r="BZ228" s="214">
        <f t="shared" si="262"/>
        <v>25</v>
      </c>
    </row>
    <row r="229" spans="1:78" ht="27.75" customHeight="1" thickBot="1" x14ac:dyDescent="0.4">
      <c r="B229" s="81" t="str">
        <f>IF(AA229=0,"",AA229)</f>
        <v>Gesamt</v>
      </c>
      <c r="C229" s="82" t="str">
        <f t="shared" si="263"/>
        <v/>
      </c>
      <c r="D229" s="83" t="str">
        <f t="shared" si="263"/>
        <v/>
      </c>
      <c r="E229" s="84">
        <f>IF(AD229="","",AD229)</f>
        <v>0</v>
      </c>
      <c r="F229" s="83" t="str">
        <f t="shared" si="244"/>
        <v/>
      </c>
      <c r="G229" s="84">
        <f>IF(AF229="","",AF229)</f>
        <v>0</v>
      </c>
      <c r="H229" s="83" t="str">
        <f t="shared" si="245"/>
        <v/>
      </c>
      <c r="I229" s="84">
        <f>IF(AH229="","",AH229)</f>
        <v>0</v>
      </c>
      <c r="J229" s="83" t="str">
        <f t="shared" si="246"/>
        <v/>
      </c>
      <c r="K229" s="84">
        <f>IF(AJ229="","",AJ229)</f>
        <v>0</v>
      </c>
      <c r="L229" s="83" t="str">
        <f t="shared" si="247"/>
        <v/>
      </c>
      <c r="M229" s="84">
        <f>IF(AL229="","",AL229)</f>
        <v>0</v>
      </c>
      <c r="N229" s="83" t="str">
        <f t="shared" si="264"/>
        <v/>
      </c>
      <c r="O229" s="84">
        <f>IF(AN229="","",AN229)</f>
        <v>0</v>
      </c>
      <c r="P229" s="83" t="str">
        <f t="shared" si="248"/>
        <v/>
      </c>
      <c r="Q229" s="84">
        <f>IF(AP229="","",AP229)</f>
        <v>0</v>
      </c>
      <c r="R229" s="83" t="str">
        <f t="shared" si="249"/>
        <v/>
      </c>
      <c r="S229" s="84">
        <f>IF(AR229="","",AR229)</f>
        <v>0</v>
      </c>
      <c r="T229" s="83" t="str">
        <f t="shared" si="250"/>
        <v/>
      </c>
      <c r="U229" s="84">
        <f>IF(AT229="","",AT229)</f>
        <v>0</v>
      </c>
      <c r="V229" s="83" t="str">
        <f t="shared" si="251"/>
        <v/>
      </c>
      <c r="W229" s="84">
        <f>IF(AV229="","",AV229)</f>
        <v>0</v>
      </c>
      <c r="AA229" s="81" t="s">
        <v>1799</v>
      </c>
      <c r="AB229" s="120"/>
      <c r="AC229" s="211">
        <f>ABS(SUM(AC217:AC219))+ABS(SUM(AC220:AC222))+ABS(SUM(AC223:AC225))+ABS(SUM(AC226:AC228))</f>
        <v>0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0</v>
      </c>
      <c r="AF229" s="121">
        <f>IF(AE229+AE239=0,0,IF(AE229=AE239,1,IF(AE229&gt;AE239,2,0)))</f>
        <v>0</v>
      </c>
      <c r="AG229" s="211">
        <f>ABS(SUM(AG217:AG219))+ABS(SUM(AG220:AG222))+ABS(SUM(AG223:AG225))+ABS(SUM(AG226:AG228))</f>
        <v>0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0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0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0</v>
      </c>
      <c r="AN229" s="121">
        <f>IF(AM229+AM239=0,0,IF(AM229=AM239,1,IF(AM229&gt;AM239,2,0)))</f>
        <v>0</v>
      </c>
      <c r="AO229" s="211">
        <f>ABS(SUM(AO217:AO219))+ABS(SUM(AO220:AO222))+ABS(SUM(AO223:AO225))+ABS(SUM(AO226:AO228))</f>
        <v>0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0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0</v>
      </c>
      <c r="AT229" s="121">
        <f>IF(AS229+AS239=0,0,IF(AS229=AS239,1,IF(AS229&gt;AS239,2,0)))</f>
        <v>0</v>
      </c>
      <c r="AU229" s="122">
        <f>SUM(AC229+AE229+AG229+AI229+AK229+AM229+AO229+AQ229+AS229)</f>
        <v>0</v>
      </c>
      <c r="AV229" s="123">
        <f>SUM(AD229+AF229+AH229+AJ229+AL229+AN229+AP229+AR229+AT229)</f>
        <v>0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4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0</v>
      </c>
      <c r="F230" s="86" t="str">
        <f t="shared" si="244"/>
        <v/>
      </c>
      <c r="G230" s="87">
        <f>IF(AF230="","",AF230)</f>
        <v>0</v>
      </c>
      <c r="H230" s="86" t="str">
        <f t="shared" si="245"/>
        <v/>
      </c>
      <c r="I230" s="87">
        <f>IF(AH230="","",AH230)</f>
        <v>0</v>
      </c>
      <c r="J230" s="86" t="str">
        <f t="shared" si="246"/>
        <v/>
      </c>
      <c r="K230" s="87">
        <f>IF(AJ230="","",AJ230)</f>
        <v>0</v>
      </c>
      <c r="L230" s="86" t="str">
        <f t="shared" si="247"/>
        <v/>
      </c>
      <c r="M230" s="87">
        <f>IF(AL230="","",AL230)</f>
        <v>0</v>
      </c>
      <c r="N230" s="86" t="str">
        <f t="shared" si="264"/>
        <v/>
      </c>
      <c r="O230" s="87">
        <f>IF(AN230="","",AN230)</f>
        <v>0</v>
      </c>
      <c r="P230" s="86" t="str">
        <f t="shared" si="248"/>
        <v/>
      </c>
      <c r="Q230" s="87">
        <f>IF(AP230="","",AP230)</f>
        <v>0</v>
      </c>
      <c r="R230" s="86" t="str">
        <f t="shared" si="249"/>
        <v/>
      </c>
      <c r="S230" s="87">
        <f>IF(AR230="","",AR230)</f>
        <v>0</v>
      </c>
      <c r="T230" s="86" t="str">
        <f t="shared" si="250"/>
        <v/>
      </c>
      <c r="U230" s="87">
        <f>IF(AT230="","",AT230)</f>
        <v>0</v>
      </c>
      <c r="V230" s="86" t="str">
        <f t="shared" si="251"/>
        <v/>
      </c>
      <c r="W230" s="87">
        <f>IF(AV230="","",AV230)</f>
        <v>0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0</v>
      </c>
      <c r="AG230" s="86"/>
      <c r="AH230" s="124">
        <f>SUM(AH217:AH229)</f>
        <v>0</v>
      </c>
      <c r="AI230" s="86"/>
      <c r="AJ230" s="124">
        <f>SUM(AJ217:AJ229)</f>
        <v>0</v>
      </c>
      <c r="AK230" s="86"/>
      <c r="AL230" s="124">
        <f>SUM(AL217:AL229)</f>
        <v>0</v>
      </c>
      <c r="AM230" s="86"/>
      <c r="AN230" s="124">
        <f>SUM(AN217:AN229)</f>
        <v>0</v>
      </c>
      <c r="AO230" s="86"/>
      <c r="AP230" s="124">
        <f>SUM(AP217:AP229)</f>
        <v>0</v>
      </c>
      <c r="AQ230" s="86"/>
      <c r="AR230" s="124">
        <f>SUM(AR217:AR229)</f>
        <v>0</v>
      </c>
      <c r="AS230" s="86"/>
      <c r="AT230" s="124">
        <f>SUM(AT217:AT229)</f>
        <v>0</v>
      </c>
      <c r="AU230" s="86"/>
      <c r="AV230" s="125">
        <f>SUM(AV217:AV229)</f>
        <v>0</v>
      </c>
      <c r="AW230" s="101"/>
      <c r="AX230" s="102"/>
      <c r="BA230" s="212">
        <f>+AV230</f>
        <v>0</v>
      </c>
      <c r="BB230" s="213">
        <f>+AU229</f>
        <v>0</v>
      </c>
      <c r="BC230" s="214">
        <f>+AA212</f>
        <v>8</v>
      </c>
      <c r="BF230" s="215">
        <f>SUM(BF211:BF229)</f>
        <v>0</v>
      </c>
      <c r="BQ230" s="212">
        <f>+BB230/1000000+BA230</f>
        <v>0</v>
      </c>
      <c r="BR230" s="214">
        <f>RANK(BQ230,BQ:BQ)</f>
        <v>1</v>
      </c>
      <c r="BV230" s="214"/>
      <c r="BZ230" s="214"/>
    </row>
    <row r="231" spans="1:78" ht="11.25" customHeight="1" x14ac:dyDescent="0.3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3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46">
        <f t="shared" si="275"/>
        <v>7</v>
      </c>
      <c r="E232" s="346" t="str">
        <f t="shared" si="275"/>
        <v/>
      </c>
      <c r="F232" s="346">
        <f t="shared" si="275"/>
        <v>4</v>
      </c>
      <c r="G232" s="346" t="str">
        <f t="shared" si="275"/>
        <v/>
      </c>
      <c r="H232" s="346">
        <f t="shared" si="275"/>
        <v>9</v>
      </c>
      <c r="I232" s="346" t="str">
        <f t="shared" si="275"/>
        <v/>
      </c>
      <c r="J232" s="346">
        <f t="shared" si="275"/>
        <v>6</v>
      </c>
      <c r="K232" s="346" t="str">
        <f t="shared" si="275"/>
        <v/>
      </c>
      <c r="L232" s="346">
        <f t="shared" si="275"/>
        <v>3</v>
      </c>
      <c r="M232" s="346" t="str">
        <f t="shared" si="275"/>
        <v/>
      </c>
      <c r="N232" s="346">
        <f t="shared" si="275"/>
        <v>5</v>
      </c>
      <c r="O232" s="346" t="str">
        <f t="shared" si="275"/>
        <v/>
      </c>
      <c r="P232" s="346">
        <f t="shared" si="275"/>
        <v>2</v>
      </c>
      <c r="Q232" s="346" t="str">
        <f t="shared" si="275"/>
        <v/>
      </c>
      <c r="R232" s="346">
        <f t="shared" ref="L232:U234" si="276">IF(AQ232=0,"",AQ232)</f>
        <v>1</v>
      </c>
      <c r="S232" s="346" t="str">
        <f t="shared" si="276"/>
        <v/>
      </c>
      <c r="T232" s="346">
        <f t="shared" si="276"/>
        <v>10</v>
      </c>
      <c r="U232" s="346" t="str">
        <f t="shared" si="276"/>
        <v/>
      </c>
      <c r="V232" s="347"/>
      <c r="W232" s="347"/>
      <c r="AA232" s="88" t="s">
        <v>1797</v>
      </c>
      <c r="AB232" s="89" t="s">
        <v>1798</v>
      </c>
      <c r="AC232" s="370">
        <f>VLOOKUP($AA212,Schlüssel!$A$5:$DG$14,83)</f>
        <v>7</v>
      </c>
      <c r="AD232" s="371"/>
      <c r="AE232" s="370">
        <f>VLOOKUP($AA212,Schlüssel!$A$5:$EK$14,84)</f>
        <v>4</v>
      </c>
      <c r="AF232" s="371"/>
      <c r="AG232" s="370">
        <f>VLOOKUP($AA212,Schlüssel!$A$5:$EK$14,85)</f>
        <v>9</v>
      </c>
      <c r="AH232" s="371"/>
      <c r="AI232" s="370">
        <f>VLOOKUP($AA212,Schlüssel!$A$5:$EK$14,86)</f>
        <v>6</v>
      </c>
      <c r="AJ232" s="371"/>
      <c r="AK232" s="370">
        <f>VLOOKUP($AA212,Schlüssel!$A$5:$EK$14,87)</f>
        <v>3</v>
      </c>
      <c r="AL232" s="371"/>
      <c r="AM232" s="370">
        <f>VLOOKUP($AA212,Schlüssel!$A$5:$EK$14,88)</f>
        <v>5</v>
      </c>
      <c r="AN232" s="371"/>
      <c r="AO232" s="370">
        <f>VLOOKUP($AA212,Schlüssel!$A$5:$EK$14,89)</f>
        <v>2</v>
      </c>
      <c r="AP232" s="371"/>
      <c r="AQ232" s="370">
        <f>VLOOKUP($AA212,Schlüssel!$A$5:$EK$14,90)</f>
        <v>1</v>
      </c>
      <c r="AR232" s="371"/>
      <c r="AS232" s="370">
        <f>VLOOKUP($AA212,Schlüssel!$A$5:$EK$14,91)</f>
        <v>10</v>
      </c>
      <c r="AT232" s="371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35">
      <c r="B233" s="90" t="str">
        <f t="shared" ref="B233:K234" si="277">IF(AA233=0,"",AA233)</f>
        <v/>
      </c>
      <c r="C233" s="86" t="str">
        <f t="shared" si="277"/>
        <v/>
      </c>
      <c r="D233" s="343" t="str">
        <f t="shared" si="277"/>
        <v>Frankenpower Nürnberg</v>
      </c>
      <c r="E233" s="344" t="str">
        <f t="shared" si="277"/>
        <v/>
      </c>
      <c r="F233" s="343" t="str">
        <f t="shared" si="277"/>
        <v>BK München 3</v>
      </c>
      <c r="G233" s="344" t="str">
        <f t="shared" si="277"/>
        <v/>
      </c>
      <c r="H233" s="343" t="str">
        <f t="shared" si="277"/>
        <v>RW Lichtenhof 69 Stein 2</v>
      </c>
      <c r="I233" s="344" t="str">
        <f t="shared" si="277"/>
        <v/>
      </c>
      <c r="J233" s="343" t="str">
        <f t="shared" si="277"/>
        <v>Phönix 03 Lauf</v>
      </c>
      <c r="K233" s="344" t="str">
        <f t="shared" si="277"/>
        <v/>
      </c>
      <c r="L233" s="343" t="str">
        <f t="shared" si="276"/>
        <v>Highroller Rosenheim</v>
      </c>
      <c r="M233" s="344" t="str">
        <f t="shared" si="276"/>
        <v/>
      </c>
      <c r="N233" s="343" t="str">
        <f t="shared" si="276"/>
        <v xml:space="preserve">Weiß Blau Unterföhring </v>
      </c>
      <c r="O233" s="344" t="str">
        <f t="shared" si="276"/>
        <v/>
      </c>
      <c r="P233" s="343" t="str">
        <f t="shared" si="276"/>
        <v>BK München 2</v>
      </c>
      <c r="Q233" s="344" t="str">
        <f t="shared" si="276"/>
        <v/>
      </c>
      <c r="R233" s="343" t="str">
        <f t="shared" si="276"/>
        <v>Praetoria Regensburg</v>
      </c>
      <c r="S233" s="344" t="str">
        <f t="shared" si="276"/>
        <v/>
      </c>
      <c r="T233" s="343" t="str">
        <f t="shared" si="276"/>
        <v>BK München 4</v>
      </c>
      <c r="U233" s="344" t="str">
        <f t="shared" si="276"/>
        <v/>
      </c>
      <c r="V233" s="345"/>
      <c r="W233" s="345"/>
      <c r="AA233" s="90"/>
      <c r="AB233" s="86"/>
      <c r="AC233" s="343" t="str">
        <f>VLOOKUP(AC232,Schlüssel!$A$5:$K$14,2)</f>
        <v>Frankenpower Nürnberg</v>
      </c>
      <c r="AD233" s="344"/>
      <c r="AE233" s="343" t="str">
        <f>VLOOKUP(AE232,Schlüssel!$A$5:$K$14,2)</f>
        <v>BK München 3</v>
      </c>
      <c r="AF233" s="344"/>
      <c r="AG233" s="343" t="str">
        <f>VLOOKUP(AG232,Schlüssel!$A$5:$K$14,2)</f>
        <v>RW Lichtenhof 69 Stein 2</v>
      </c>
      <c r="AH233" s="344"/>
      <c r="AI233" s="343" t="str">
        <f>VLOOKUP(AI232,Schlüssel!$A$5:$K$14,2)</f>
        <v>Phönix 03 Lauf</v>
      </c>
      <c r="AJ233" s="344"/>
      <c r="AK233" s="343" t="str">
        <f>VLOOKUP(AK232,Schlüssel!$A$5:$K$14,2)</f>
        <v>Highroller Rosenheim</v>
      </c>
      <c r="AL233" s="344"/>
      <c r="AM233" s="343" t="str">
        <f>VLOOKUP(AM232,Schlüssel!$A$5:$K$14,2)</f>
        <v xml:space="preserve">Weiß Blau Unterföhring </v>
      </c>
      <c r="AN233" s="344"/>
      <c r="AO233" s="343" t="str">
        <f>VLOOKUP(AO232,Schlüssel!$A$5:$K$14,2)</f>
        <v>BK München 2</v>
      </c>
      <c r="AP233" s="344"/>
      <c r="AQ233" s="343" t="str">
        <f>VLOOKUP(AQ232,Schlüssel!$A$5:$K$14,2)</f>
        <v>Praetoria Regensburg</v>
      </c>
      <c r="AR233" s="344"/>
      <c r="AS233" s="343" t="str">
        <f>VLOOKUP(AS232,Schlüssel!$A$5:$K$14,2)</f>
        <v>BK München 4</v>
      </c>
      <c r="AT233" s="344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35">
      <c r="B234" s="90" t="str">
        <f t="shared" si="277"/>
        <v/>
      </c>
      <c r="C234" s="86" t="str">
        <f t="shared" si="277"/>
        <v/>
      </c>
      <c r="D234" s="341" t="str">
        <f t="shared" si="277"/>
        <v/>
      </c>
      <c r="E234" s="341" t="str">
        <f t="shared" si="277"/>
        <v/>
      </c>
      <c r="F234" s="341" t="str">
        <f t="shared" si="277"/>
        <v/>
      </c>
      <c r="G234" s="341" t="str">
        <f t="shared" si="277"/>
        <v/>
      </c>
      <c r="H234" s="341" t="str">
        <f t="shared" si="277"/>
        <v/>
      </c>
      <c r="I234" s="341" t="str">
        <f t="shared" si="277"/>
        <v/>
      </c>
      <c r="J234" s="341" t="str">
        <f t="shared" si="277"/>
        <v/>
      </c>
      <c r="K234" s="341" t="str">
        <f t="shared" si="277"/>
        <v/>
      </c>
      <c r="L234" s="341" t="str">
        <f t="shared" si="276"/>
        <v/>
      </c>
      <c r="M234" s="341" t="str">
        <f t="shared" si="276"/>
        <v/>
      </c>
      <c r="N234" s="341" t="str">
        <f t="shared" si="276"/>
        <v/>
      </c>
      <c r="O234" s="341" t="str">
        <f t="shared" si="276"/>
        <v/>
      </c>
      <c r="P234" s="341" t="str">
        <f t="shared" si="276"/>
        <v/>
      </c>
      <c r="Q234" s="341" t="str">
        <f t="shared" si="276"/>
        <v/>
      </c>
      <c r="R234" s="341" t="str">
        <f t="shared" si="276"/>
        <v/>
      </c>
      <c r="S234" s="341" t="str">
        <f t="shared" si="276"/>
        <v/>
      </c>
      <c r="T234" s="341" t="str">
        <f t="shared" si="276"/>
        <v/>
      </c>
      <c r="U234" s="342" t="str">
        <f t="shared" si="276"/>
        <v/>
      </c>
      <c r="V234" s="301"/>
      <c r="W234" s="301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6.05" customHeight="1" x14ac:dyDescent="0.35">
      <c r="B235" s="365" t="str">
        <f t="shared" ref="B235:C239" si="278">IF(AA235=0,"",AA235)</f>
        <v>Spieler 1</v>
      </c>
      <c r="C235" s="366" t="str">
        <f t="shared" si="278"/>
        <v/>
      </c>
      <c r="D235" s="339">
        <f>IF(AC235=301,"",AC235)</f>
        <v>0</v>
      </c>
      <c r="E235" s="339" t="str">
        <f>IF(AD235=0,"",AD235)</f>
        <v/>
      </c>
      <c r="F235" s="339">
        <f>IF(AE235=301,"",AE235)</f>
        <v>0</v>
      </c>
      <c r="G235" s="339" t="str">
        <f>IF(AF235=0,"",AF235)</f>
        <v/>
      </c>
      <c r="H235" s="339">
        <f>IF(AG235=301,"",AG235)</f>
        <v>0</v>
      </c>
      <c r="I235" s="339" t="str">
        <f>IF(AH235=0,"",AH235)</f>
        <v/>
      </c>
      <c r="J235" s="339">
        <f>IF(AI235=301,"",AI235)</f>
        <v>0</v>
      </c>
      <c r="K235" s="339" t="str">
        <f>IF(AJ235=0,"",AJ235)</f>
        <v/>
      </c>
      <c r="L235" s="339">
        <f>IF(AK235=301,"",AK235)</f>
        <v>0</v>
      </c>
      <c r="M235" s="339" t="str">
        <f>IF(AL235=0,"",AL235)</f>
        <v/>
      </c>
      <c r="N235" s="339">
        <f>IF(AM235=301,"",AM235)</f>
        <v>0</v>
      </c>
      <c r="O235" s="339" t="str">
        <f>IF(AN235=0,"",AN235)</f>
        <v/>
      </c>
      <c r="P235" s="339">
        <f>IF(AO235=301,"",AO235)</f>
        <v>0</v>
      </c>
      <c r="Q235" s="339" t="str">
        <f>IF(AP235=0,"",AP235)</f>
        <v/>
      </c>
      <c r="R235" s="339">
        <f>IF(AQ235=301,"",AQ235)</f>
        <v>0</v>
      </c>
      <c r="S235" s="339" t="str">
        <f>IF(AR235=0,"",AR235)</f>
        <v/>
      </c>
      <c r="T235" s="339">
        <f>IF(AS235=301,"",AS235)</f>
        <v>0</v>
      </c>
      <c r="U235" s="339" t="str">
        <f>IF(AT235=0,"",AT235)</f>
        <v/>
      </c>
      <c r="V235" s="340"/>
      <c r="W235" s="340"/>
      <c r="AA235" s="91" t="s">
        <v>0</v>
      </c>
      <c r="AB235" s="92"/>
      <c r="AC235" s="372">
        <f>ABS(INDEX(AC:AC,MATCH(AC232,$AA:$AA,0)+5)+INDEX(AC:AC,MATCH(AC232,$AA:$AA,0)+6)+INDEX(AC:AC,MATCH(AC232,$AA:$AA,0)+7))</f>
        <v>0</v>
      </c>
      <c r="AD235" s="373"/>
      <c r="AE235" s="372">
        <f>ABS(INDEX(AE:AE,MATCH(AE232,$AA:$AA,0)+5)+INDEX(AE:AE,MATCH(AE232,$AA:$AA,0)+6)+INDEX(AE:AE,MATCH(AE232,$AA:$AA,0)+7))</f>
        <v>0</v>
      </c>
      <c r="AF235" s="373"/>
      <c r="AG235" s="372">
        <f>ABS(INDEX(AG:AG,MATCH(AG232,$AA:$AA,0)+5)+INDEX(AG:AG,MATCH(AG232,$AA:$AA,0)+6)+INDEX(AG:AG,MATCH(AG232,$AA:$AA,0)+7))</f>
        <v>0</v>
      </c>
      <c r="AH235" s="373"/>
      <c r="AI235" s="372">
        <f>ABS(INDEX(AI:AI,MATCH(AI232,$AA:$AA,0)+5)+INDEX(AI:AI,MATCH(AI232,$AA:$AA,0)+6)+INDEX(AI:AI,MATCH(AI232,$AA:$AA,0)+7))</f>
        <v>0</v>
      </c>
      <c r="AJ235" s="373"/>
      <c r="AK235" s="372">
        <f>ABS(INDEX(AK:AK,MATCH(AK232,$AA:$AA,0)+5)+INDEX(AK:AK,MATCH(AK232,$AA:$AA,0)+6)+INDEX(AK:AK,MATCH(AK232,$AA:$AA,0)+7))</f>
        <v>0</v>
      </c>
      <c r="AL235" s="373"/>
      <c r="AM235" s="372">
        <f>ABS(INDEX(AM:AM,MATCH(AM232,$AA:$AA,0)+5)+INDEX(AM:AM,MATCH(AM232,$AA:$AA,0)+6)+INDEX(AM:AM,MATCH(AM232,$AA:$AA,0)+7))</f>
        <v>0</v>
      </c>
      <c r="AN235" s="373"/>
      <c r="AO235" s="372">
        <f>ABS(INDEX(AO:AO,MATCH(AO232,$AA:$AA,0)+5)+INDEX(AO:AO,MATCH(AO232,$AA:$AA,0)+6)+INDEX(AO:AO,MATCH(AO232,$AA:$AA,0)+7))</f>
        <v>0</v>
      </c>
      <c r="AP235" s="373"/>
      <c r="AQ235" s="372">
        <f>ABS(INDEX(AQ:AQ,MATCH(AQ232,$AA:$AA,0)+5)+INDEX(AQ:AQ,MATCH(AQ232,$AA:$AA,0)+6)+INDEX(AQ:AQ,MATCH(AQ232,$AA:$AA,0)+7))</f>
        <v>0</v>
      </c>
      <c r="AR235" s="373"/>
      <c r="AS235" s="372">
        <f>ABS(INDEX(AS:AS,MATCH(AS232,$AA:$AA,0)+5)+INDEX(AS:AS,MATCH(AS232,$AA:$AA,0)+6)+INDEX(AS:AS,MATCH(AS232,$AA:$AA,0)+7))</f>
        <v>0</v>
      </c>
      <c r="AT235" s="373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6.05" customHeight="1" x14ac:dyDescent="0.35">
      <c r="B236" s="365" t="str">
        <f t="shared" si="278"/>
        <v>Spieler 2</v>
      </c>
      <c r="C236" s="366" t="str">
        <f t="shared" si="278"/>
        <v/>
      </c>
      <c r="D236" s="339">
        <f>IF(AC236=301,"",AC236)</f>
        <v>0</v>
      </c>
      <c r="E236" s="339" t="str">
        <f>IF(AD236=0,"",AD236)</f>
        <v/>
      </c>
      <c r="F236" s="339">
        <f>IF(AE236=301,"",AE236)</f>
        <v>0</v>
      </c>
      <c r="G236" s="339" t="str">
        <f>IF(AF236=0,"",AF236)</f>
        <v/>
      </c>
      <c r="H236" s="339">
        <f>IF(AG236=301,"",AG236)</f>
        <v>0</v>
      </c>
      <c r="I236" s="339" t="str">
        <f>IF(AH236=0,"",AH236)</f>
        <v/>
      </c>
      <c r="J236" s="339">
        <f>IF(AI236=301,"",AI236)</f>
        <v>0</v>
      </c>
      <c r="K236" s="339" t="str">
        <f>IF(AJ236=0,"",AJ236)</f>
        <v/>
      </c>
      <c r="L236" s="339">
        <f>IF(AK236=301,"",AK236)</f>
        <v>0</v>
      </c>
      <c r="M236" s="339" t="str">
        <f>IF(AL236=0,"",AL236)</f>
        <v/>
      </c>
      <c r="N236" s="339">
        <f>IF(AM236=301,"",AM236)</f>
        <v>0</v>
      </c>
      <c r="O236" s="339" t="str">
        <f>IF(AN236=0,"",AN236)</f>
        <v/>
      </c>
      <c r="P236" s="339">
        <f>IF(AO236=301,"",AO236)</f>
        <v>0</v>
      </c>
      <c r="Q236" s="339" t="str">
        <f>IF(AP236=0,"",AP236)</f>
        <v/>
      </c>
      <c r="R236" s="339">
        <f>IF(AQ236=301,"",AQ236)</f>
        <v>0</v>
      </c>
      <c r="S236" s="339" t="str">
        <f>IF(AR236=0,"",AR236)</f>
        <v/>
      </c>
      <c r="T236" s="339">
        <f>IF(AS236=301,"",AS236)</f>
        <v>0</v>
      </c>
      <c r="U236" s="339" t="str">
        <f>IF(AT236=0,"",AT236)</f>
        <v/>
      </c>
      <c r="V236" s="340"/>
      <c r="W236" s="340"/>
      <c r="AA236" s="91" t="s">
        <v>2</v>
      </c>
      <c r="AB236" s="92"/>
      <c r="AC236" s="374">
        <f>ABS(INDEX(AC:AC,MATCH(AC232,$AA:$AA,0)+8)+INDEX(AC:AC,MATCH(AC232,$AA:$AA,0)+9)+INDEX(AC:AC,MATCH(AC232,$AA:$AA,0)+10))</f>
        <v>0</v>
      </c>
      <c r="AD236" s="375"/>
      <c r="AE236" s="374">
        <f>ABS(INDEX(AE:AE,MATCH(AE232,$AA:$AA,0)+8)+INDEX(AE:AE,MATCH(AE232,$AA:$AA,0)+9)+INDEX(AE:AE,MATCH(AE232,$AA:$AA,0)+10))</f>
        <v>0</v>
      </c>
      <c r="AF236" s="375"/>
      <c r="AG236" s="374">
        <f>ABS(INDEX(AG:AG,MATCH(AG232,$AA:$AA,0)+8)+INDEX(AG:AG,MATCH(AG232,$AA:$AA,0)+9)+INDEX(AG:AG,MATCH(AG232,$AA:$AA,0)+10))</f>
        <v>0</v>
      </c>
      <c r="AH236" s="375"/>
      <c r="AI236" s="374">
        <f>ABS(INDEX(AI:AI,MATCH(AI232,$AA:$AA,0)+8)+INDEX(AI:AI,MATCH(AI232,$AA:$AA,0)+9)+INDEX(AI:AI,MATCH(AI232,$AA:$AA,0)+10))</f>
        <v>0</v>
      </c>
      <c r="AJ236" s="375"/>
      <c r="AK236" s="374">
        <f>ABS(INDEX(AK:AK,MATCH(AK232,$AA:$AA,0)+8)+INDEX(AK:AK,MATCH(AK232,$AA:$AA,0)+9)+INDEX(AK:AK,MATCH(AK232,$AA:$AA,0)+10))</f>
        <v>0</v>
      </c>
      <c r="AL236" s="375"/>
      <c r="AM236" s="374">
        <f>ABS(INDEX(AM:AM,MATCH(AM232,$AA:$AA,0)+8)+INDEX(AM:AM,MATCH(AM232,$AA:$AA,0)+9)+INDEX(AM:AM,MATCH(AM232,$AA:$AA,0)+10))</f>
        <v>0</v>
      </c>
      <c r="AN236" s="375"/>
      <c r="AO236" s="374">
        <f>ABS(INDEX(AO:AO,MATCH(AO232,$AA:$AA,0)+8)+INDEX(AO:AO,MATCH(AO232,$AA:$AA,0)+9)+INDEX(AO:AO,MATCH(AO232,$AA:$AA,0)+10))</f>
        <v>0</v>
      </c>
      <c r="AP236" s="375"/>
      <c r="AQ236" s="374">
        <f>ABS(INDEX(AQ:AQ,MATCH(AQ232,$AA:$AA,0)+8)+INDEX(AQ:AQ,MATCH(AQ232,$AA:$AA,0)+9)+INDEX(AQ:AQ,MATCH(AQ232,$AA:$AA,0)+10))</f>
        <v>0</v>
      </c>
      <c r="AR236" s="375"/>
      <c r="AS236" s="374">
        <f>ABS(INDEX(AS:AS,MATCH(AS232,$AA:$AA,0)+8)+INDEX(AS:AS,MATCH(AS232,$AA:$AA,0)+9)+INDEX(AS:AS,MATCH(AS232,$AA:$AA,0)+10))</f>
        <v>0</v>
      </c>
      <c r="AT236" s="37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6.05" customHeight="1" x14ac:dyDescent="0.35">
      <c r="B237" s="365" t="str">
        <f t="shared" si="278"/>
        <v>Spieler 3</v>
      </c>
      <c r="C237" s="366" t="str">
        <f t="shared" si="278"/>
        <v/>
      </c>
      <c r="D237" s="339">
        <f>IF(AC237=301,"",AC237)</f>
        <v>0</v>
      </c>
      <c r="E237" s="339" t="str">
        <f>IF(AD237=0,"",AD237)</f>
        <v/>
      </c>
      <c r="F237" s="339">
        <f>IF(AE237=301,"",AE237)</f>
        <v>0</v>
      </c>
      <c r="G237" s="339" t="str">
        <f>IF(AF237=0,"",AF237)</f>
        <v/>
      </c>
      <c r="H237" s="339">
        <f>IF(AG237=301,"",AG237)</f>
        <v>0</v>
      </c>
      <c r="I237" s="339" t="str">
        <f>IF(AH237=0,"",AH237)</f>
        <v/>
      </c>
      <c r="J237" s="339">
        <f>IF(AI237=301,"",AI237)</f>
        <v>0</v>
      </c>
      <c r="K237" s="339" t="str">
        <f>IF(AJ237=0,"",AJ237)</f>
        <v/>
      </c>
      <c r="L237" s="339">
        <f>IF(AK237=301,"",AK237)</f>
        <v>0</v>
      </c>
      <c r="M237" s="339" t="str">
        <f>IF(AL237=0,"",AL237)</f>
        <v/>
      </c>
      <c r="N237" s="339">
        <f>IF(AM237=301,"",AM237)</f>
        <v>0</v>
      </c>
      <c r="O237" s="339" t="str">
        <f>IF(AN237=0,"",AN237)</f>
        <v/>
      </c>
      <c r="P237" s="339">
        <f>IF(AO237=301,"",AO237)</f>
        <v>0</v>
      </c>
      <c r="Q237" s="339" t="str">
        <f>IF(AP237=0,"",AP237)</f>
        <v/>
      </c>
      <c r="R237" s="339">
        <f>IF(AQ237=301,"",AQ237)</f>
        <v>0</v>
      </c>
      <c r="S237" s="339" t="str">
        <f>IF(AR237=0,"",AR237)</f>
        <v/>
      </c>
      <c r="T237" s="339">
        <f>IF(AS237=301,"",AS237)</f>
        <v>0</v>
      </c>
      <c r="U237" s="339" t="str">
        <f>IF(AT237=0,"",AT237)</f>
        <v/>
      </c>
      <c r="V237" s="340"/>
      <c r="W237" s="340"/>
      <c r="AA237" s="91" t="s">
        <v>3</v>
      </c>
      <c r="AB237" s="92"/>
      <c r="AC237" s="374">
        <f>ABS(INDEX(AC:AC,MATCH(AC232,$AA:$AA,0)+11)+INDEX(AC:AC,MATCH(AC232,$AA:$AA,0)+12)+INDEX(AC:AC,MATCH(AC232,$AA:$AA,0)+13))</f>
        <v>0</v>
      </c>
      <c r="AD237" s="375"/>
      <c r="AE237" s="374">
        <f>ABS(INDEX(AE:AE,MATCH(AE232,$AA:$AA,0)+11)+INDEX(AE:AE,MATCH(AE232,$AA:$AA,0)+12)+INDEX(AE:AE,MATCH(AE232,$AA:$AA,0)+13))</f>
        <v>0</v>
      </c>
      <c r="AF237" s="375"/>
      <c r="AG237" s="374">
        <f>ABS(INDEX(AG:AG,MATCH(AG232,$AA:$AA,0)+11)+INDEX(AG:AG,MATCH(AG232,$AA:$AA,0)+12)+INDEX(AG:AG,MATCH(AG232,$AA:$AA,0)+13))</f>
        <v>0</v>
      </c>
      <c r="AH237" s="375"/>
      <c r="AI237" s="374">
        <f>ABS(INDEX(AI:AI,MATCH(AI232,$AA:$AA,0)+11)+INDEX(AI:AI,MATCH(AI232,$AA:$AA,0)+12)+INDEX(AI:AI,MATCH(AI232,$AA:$AA,0)+13))</f>
        <v>0</v>
      </c>
      <c r="AJ237" s="375"/>
      <c r="AK237" s="374">
        <f>ABS(INDEX(AK:AK,MATCH(AK232,$AA:$AA,0)+11)+INDEX(AK:AK,MATCH(AK232,$AA:$AA,0)+12)+INDEX(AK:AK,MATCH(AK232,$AA:$AA,0)+13))</f>
        <v>0</v>
      </c>
      <c r="AL237" s="375"/>
      <c r="AM237" s="374">
        <f>ABS(INDEX(AM:AM,MATCH(AM232,$AA:$AA,0)+11)+INDEX(AM:AM,MATCH(AM232,$AA:$AA,0)+12)+INDEX(AM:AM,MATCH(AM232,$AA:$AA,0)+13))</f>
        <v>0</v>
      </c>
      <c r="AN237" s="375"/>
      <c r="AO237" s="374">
        <f>ABS(INDEX(AO:AO,MATCH(AO232,$AA:$AA,0)+11)+INDEX(AO:AO,MATCH(AO232,$AA:$AA,0)+12)+INDEX(AO:AO,MATCH(AO232,$AA:$AA,0)+13))</f>
        <v>0</v>
      </c>
      <c r="AP237" s="375"/>
      <c r="AQ237" s="374">
        <f>ABS(INDEX(AQ:AQ,MATCH(AQ232,$AA:$AA,0)+11)+INDEX(AQ:AQ,MATCH(AQ232,$AA:$AA,0)+12)+INDEX(AQ:AQ,MATCH(AQ232,$AA:$AA,0)+13))</f>
        <v>0</v>
      </c>
      <c r="AR237" s="375"/>
      <c r="AS237" s="374">
        <f>ABS(INDEX(AS:AS,MATCH(AS232,$AA:$AA,0)+11)+INDEX(AS:AS,MATCH(AS232,$AA:$AA,0)+12)+INDEX(AS:AS,MATCH(AS232,$AA:$AA,0)+13))</f>
        <v>0</v>
      </c>
      <c r="AT237" s="37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6.05" customHeight="1" x14ac:dyDescent="0.35">
      <c r="B238" s="365" t="str">
        <f t="shared" si="278"/>
        <v>Spieler 4</v>
      </c>
      <c r="C238" s="366" t="str">
        <f t="shared" si="278"/>
        <v/>
      </c>
      <c r="D238" s="339">
        <f>IF(AC238=301,"",AC238)</f>
        <v>0</v>
      </c>
      <c r="E238" s="339" t="str">
        <f>IF(AD238=0,"",AD238)</f>
        <v/>
      </c>
      <c r="F238" s="339">
        <f>IF(AE238=301,"",AE238)</f>
        <v>0</v>
      </c>
      <c r="G238" s="339" t="str">
        <f>IF(AF238=0,"",AF238)</f>
        <v/>
      </c>
      <c r="H238" s="339">
        <f>IF(AG238=301,"",AG238)</f>
        <v>0</v>
      </c>
      <c r="I238" s="339" t="str">
        <f>IF(AH238=0,"",AH238)</f>
        <v/>
      </c>
      <c r="J238" s="339">
        <f>IF(AI238=301,"",AI238)</f>
        <v>0</v>
      </c>
      <c r="K238" s="339" t="str">
        <f>IF(AJ238=0,"",AJ238)</f>
        <v/>
      </c>
      <c r="L238" s="339">
        <f>IF(AK238=301,"",AK238)</f>
        <v>0</v>
      </c>
      <c r="M238" s="339" t="str">
        <f>IF(AL238=0,"",AL238)</f>
        <v/>
      </c>
      <c r="N238" s="339">
        <f>IF(AM238=301,"",AM238)</f>
        <v>0</v>
      </c>
      <c r="O238" s="339" t="str">
        <f>IF(AN238=0,"",AN238)</f>
        <v/>
      </c>
      <c r="P238" s="339">
        <f>IF(AO238=301,"",AO238)</f>
        <v>0</v>
      </c>
      <c r="Q238" s="339" t="str">
        <f>IF(AP238=0,"",AP238)</f>
        <v/>
      </c>
      <c r="R238" s="339">
        <f>IF(AQ238=301,"",AQ238)</f>
        <v>0</v>
      </c>
      <c r="S238" s="339" t="str">
        <f>IF(AR238=0,"",AR238)</f>
        <v/>
      </c>
      <c r="T238" s="339">
        <f>IF(AS238=301,"",AS238)</f>
        <v>0</v>
      </c>
      <c r="U238" s="339" t="str">
        <f>IF(AT238=0,"",AT238)</f>
        <v/>
      </c>
      <c r="V238" s="340"/>
      <c r="W238" s="340"/>
      <c r="AA238" s="91" t="s">
        <v>11</v>
      </c>
      <c r="AB238" s="92"/>
      <c r="AC238" s="374">
        <f>ABS(INDEX(AC:AC,MATCH(AC232,$AA:$AA,0)+14)+INDEX(AC:AC,MATCH(AC232,$AA:$AA,0)+15)+INDEX(AC:AC,MATCH(AC232,$AA:$AA,0)+16))</f>
        <v>0</v>
      </c>
      <c r="AD238" s="375"/>
      <c r="AE238" s="374">
        <f>ABS(INDEX(AE:AE,MATCH(AE232,$AA:$AA,0)+14)+INDEX(AE:AE,MATCH(AE232,$AA:$AA,0)+15)+INDEX(AE:AE,MATCH(AE232,$AA:$AA,0)+16))</f>
        <v>0</v>
      </c>
      <c r="AF238" s="375"/>
      <c r="AG238" s="374">
        <f>ABS(INDEX(AG:AG,MATCH(AG232,$AA:$AA,0)+14)+INDEX(AG:AG,MATCH(AG232,$AA:$AA,0)+15)+INDEX(AG:AG,MATCH(AG232,$AA:$AA,0)+16))</f>
        <v>0</v>
      </c>
      <c r="AH238" s="375"/>
      <c r="AI238" s="374">
        <f>ABS(INDEX(AI:AI,MATCH(AI232,$AA:$AA,0)+14)+INDEX(AI:AI,MATCH(AI232,$AA:$AA,0)+15)+INDEX(AI:AI,MATCH(AI232,$AA:$AA,0)+16))</f>
        <v>0</v>
      </c>
      <c r="AJ238" s="375"/>
      <c r="AK238" s="374">
        <f>ABS(INDEX(AK:AK,MATCH(AK232,$AA:$AA,0)+14)+INDEX(AK:AK,MATCH(AK232,$AA:$AA,0)+15)+INDEX(AK:AK,MATCH(AK232,$AA:$AA,0)+16))</f>
        <v>0</v>
      </c>
      <c r="AL238" s="375"/>
      <c r="AM238" s="374">
        <f>ABS(INDEX(AM:AM,MATCH(AM232,$AA:$AA,0)+14)+INDEX(AM:AM,MATCH(AM232,$AA:$AA,0)+15)+INDEX(AM:AM,MATCH(AM232,$AA:$AA,0)+16))</f>
        <v>0</v>
      </c>
      <c r="AN238" s="375"/>
      <c r="AO238" s="374">
        <f>ABS(INDEX(AO:AO,MATCH(AO232,$AA:$AA,0)+14)+INDEX(AO:AO,MATCH(AO232,$AA:$AA,0)+15)+INDEX(AO:AO,MATCH(AO232,$AA:$AA,0)+16))</f>
        <v>0</v>
      </c>
      <c r="AP238" s="375"/>
      <c r="AQ238" s="374">
        <f>ABS(INDEX(AQ:AQ,MATCH(AQ232,$AA:$AA,0)+14)+INDEX(AQ:AQ,MATCH(AQ232,$AA:$AA,0)+15)+INDEX(AQ:AQ,MATCH(AQ232,$AA:$AA,0)+16))</f>
        <v>0</v>
      </c>
      <c r="AR238" s="375"/>
      <c r="AS238" s="374">
        <f>ABS(INDEX(AS:AS,MATCH(AS232,$AA:$AA,0)+14)+INDEX(AS:AS,MATCH(AS232,$AA:$AA,0)+15)+INDEX(AS:AS,MATCH(AS232,$AA:$AA,0)+16))</f>
        <v>0</v>
      </c>
      <c r="AT238" s="37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6.05" customHeight="1" x14ac:dyDescent="0.35">
      <c r="B239" s="354" t="str">
        <f t="shared" si="278"/>
        <v>Gesamt</v>
      </c>
      <c r="C239" s="355" t="str">
        <f t="shared" si="278"/>
        <v/>
      </c>
      <c r="D239" s="338">
        <f>IF(AC239=1505,"",AC239)</f>
        <v>0</v>
      </c>
      <c r="E239" s="338" t="str">
        <f>IF(AD239=0,"",AD239)</f>
        <v/>
      </c>
      <c r="F239" s="338">
        <f>IF(AE239=1505,"",AE239)</f>
        <v>0</v>
      </c>
      <c r="G239" s="338" t="str">
        <f>IF(AF239=0,"",AF239)</f>
        <v/>
      </c>
      <c r="H239" s="338">
        <f>IF(AG239=1505,"",AG239)</f>
        <v>0</v>
      </c>
      <c r="I239" s="338" t="str">
        <f>IF(AH239=0,"",AH239)</f>
        <v/>
      </c>
      <c r="J239" s="338">
        <f>IF(AI239=1505,"",AI239)</f>
        <v>0</v>
      </c>
      <c r="K239" s="338" t="str">
        <f>IF(AJ239=0,"",AJ239)</f>
        <v/>
      </c>
      <c r="L239" s="338">
        <f>IF(AK239=1505,"",AK239)</f>
        <v>0</v>
      </c>
      <c r="M239" s="338" t="str">
        <f>IF(AL239=0,"",AL239)</f>
        <v/>
      </c>
      <c r="N239" s="338">
        <f>IF(AM239=1505,"",AM239)</f>
        <v>0</v>
      </c>
      <c r="O239" s="338" t="str">
        <f>IF(AN239=0,"",AN239)</f>
        <v/>
      </c>
      <c r="P239" s="338">
        <f>IF(AO239=1505,"",AO239)</f>
        <v>0</v>
      </c>
      <c r="Q239" s="338" t="str">
        <f>IF(AP239=0,"",AP239)</f>
        <v/>
      </c>
      <c r="R239" s="338">
        <f>IF(AQ239=1505,"",AQ239)</f>
        <v>0</v>
      </c>
      <c r="S239" s="338" t="str">
        <f>IF(AR239=0,"",AR239)</f>
        <v/>
      </c>
      <c r="T239" s="338">
        <f>IF(AS239=1505,"",AS239)</f>
        <v>0</v>
      </c>
      <c r="U239" s="338" t="str">
        <f>IF(AT239=0,"",AT239)</f>
        <v/>
      </c>
      <c r="V239" s="290"/>
      <c r="W239" s="290"/>
      <c r="AA239" s="93" t="s">
        <v>1799</v>
      </c>
      <c r="AB239" s="94"/>
      <c r="AC239" s="354">
        <f>SUM(AC235:AC238)</f>
        <v>0</v>
      </c>
      <c r="AD239" s="355"/>
      <c r="AE239" s="354">
        <f>SUM(AE235:AE238)</f>
        <v>0</v>
      </c>
      <c r="AF239" s="355"/>
      <c r="AG239" s="354">
        <f>SUM(AG235:AG238)</f>
        <v>0</v>
      </c>
      <c r="AH239" s="355"/>
      <c r="AI239" s="354">
        <f>SUM(AI235:AI238)</f>
        <v>0</v>
      </c>
      <c r="AJ239" s="355"/>
      <c r="AK239" s="354">
        <f>SUM(AK235:AK238)</f>
        <v>0</v>
      </c>
      <c r="AL239" s="355"/>
      <c r="AM239" s="354">
        <f>SUM(AM235:AM238)</f>
        <v>0</v>
      </c>
      <c r="AN239" s="355"/>
      <c r="AO239" s="354">
        <f>SUM(AO235:AO238)</f>
        <v>0</v>
      </c>
      <c r="AP239" s="355"/>
      <c r="AQ239" s="354">
        <f>SUM(AQ235:AQ238)</f>
        <v>0</v>
      </c>
      <c r="AR239" s="355"/>
      <c r="AS239" s="354">
        <f>SUM(AS235:AS238)</f>
        <v>0</v>
      </c>
      <c r="AT239" s="35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3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7">
      <c r="B241" s="44" t="str">
        <f>AA241</f>
        <v>Team-Nr.</v>
      </c>
      <c r="C241" s="45"/>
      <c r="D241" s="44" t="str">
        <f>AC241</f>
        <v>Liga:</v>
      </c>
      <c r="E241" s="47"/>
      <c r="F241" s="359" t="str">
        <f>AE241</f>
        <v>Bayernliga Frauen</v>
      </c>
      <c r="G241" s="359"/>
      <c r="H241" s="359"/>
      <c r="I241" s="359"/>
      <c r="J241" s="359"/>
      <c r="K241" s="359"/>
      <c r="L241" s="359"/>
      <c r="M241" s="359"/>
      <c r="N241" s="359"/>
      <c r="O241" s="359"/>
      <c r="P241" s="359"/>
      <c r="Q241" s="359"/>
      <c r="R241" s="48"/>
      <c r="S241" s="49" t="s">
        <v>1794</v>
      </c>
      <c r="T241" s="50"/>
      <c r="U241" s="360" t="str">
        <f>AT241</f>
        <v>15.03./16.03.</v>
      </c>
      <c r="V241" s="361"/>
      <c r="W241" s="362"/>
      <c r="X241" s="363"/>
      <c r="Y241" s="364"/>
      <c r="Z241" s="364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0" t="str">
        <f>VLOOKUP(AS242,Spielorte!$A$1:$C$6,2)</f>
        <v>15.03./16.03.</v>
      </c>
      <c r="AU241" s="361"/>
      <c r="AV241" s="362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65">
      <c r="B242" s="53">
        <f>AA242</f>
        <v>9</v>
      </c>
      <c r="D242" s="46" t="s">
        <v>1793</v>
      </c>
      <c r="E242" s="54"/>
      <c r="F242" s="358" t="str">
        <f>AE242</f>
        <v>Brunnthal Max Munich</v>
      </c>
      <c r="G242" s="358"/>
      <c r="H242" s="358"/>
      <c r="I242" s="358"/>
      <c r="J242" s="358"/>
      <c r="K242" s="358"/>
      <c r="L242" s="358"/>
      <c r="M242" s="358"/>
      <c r="N242" s="358"/>
      <c r="O242" s="358"/>
      <c r="P242" s="55"/>
      <c r="Q242" s="55"/>
      <c r="S242" s="49" t="s">
        <v>1791</v>
      </c>
      <c r="T242" s="56">
        <f>AS242</f>
        <v>5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Brunnthal Max Munich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5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4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5" thickBot="1" x14ac:dyDescent="0.45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VLOOKUP(AA242,Schlüssel!$A$5:$DZ$14,93)</f>
        <v>4</v>
      </c>
      <c r="AE244" s="65" t="s">
        <v>10</v>
      </c>
      <c r="AF244" s="44">
        <f>VLOOKUP(AA242,Schlüssel!$A$5:$DZ$14,94)</f>
        <v>8</v>
      </c>
      <c r="AG244" s="65" t="s">
        <v>10</v>
      </c>
      <c r="AH244" s="44">
        <f>VLOOKUP(AA242,Schlüssel!$A$5:$DZ$14,95)</f>
        <v>6</v>
      </c>
      <c r="AI244" s="65" t="s">
        <v>10</v>
      </c>
      <c r="AJ244" s="44">
        <f>VLOOKUP(AA242,Schlüssel!$A$5:$DZ$14,96)</f>
        <v>9</v>
      </c>
      <c r="AK244" s="65" t="s">
        <v>10</v>
      </c>
      <c r="AL244" s="44">
        <f>VLOOKUP(AA242,Schlüssel!$A$5:$DZ$14,97)</f>
        <v>3</v>
      </c>
      <c r="AM244" s="65" t="s">
        <v>10</v>
      </c>
      <c r="AN244" s="44">
        <f>VLOOKUP(AA242,Schlüssel!$A$5:$DZ$14,98)</f>
        <v>2</v>
      </c>
      <c r="AO244" s="65" t="s">
        <v>10</v>
      </c>
      <c r="AP244" s="44">
        <f>VLOOKUP(AA242,Schlüssel!$A$5:$DZ$14,99)</f>
        <v>5</v>
      </c>
      <c r="AQ244" s="65" t="s">
        <v>10</v>
      </c>
      <c r="AR244" s="44">
        <f>VLOOKUP(AA242,Schlüssel!$A$5:$DZ$14,100)</f>
        <v>10</v>
      </c>
      <c r="AS244" s="65" t="s">
        <v>10</v>
      </c>
      <c r="AT244" s="44">
        <f>VLOOKUP(AA242,Schlüssel!$A$5:$DZ$14,101)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35">
      <c r="B245" s="67" t="s">
        <v>1</v>
      </c>
      <c r="C245" s="68"/>
      <c r="D245" s="354" t="s">
        <v>1800</v>
      </c>
      <c r="E245" s="355"/>
      <c r="F245" s="354" t="s">
        <v>1801</v>
      </c>
      <c r="G245" s="355"/>
      <c r="H245" s="354" t="s">
        <v>1802</v>
      </c>
      <c r="I245" s="355"/>
      <c r="J245" s="354" t="s">
        <v>1803</v>
      </c>
      <c r="K245" s="355"/>
      <c r="L245" s="354" t="s">
        <v>1804</v>
      </c>
      <c r="M245" s="355"/>
      <c r="N245" s="354" t="s">
        <v>1805</v>
      </c>
      <c r="O245" s="355"/>
      <c r="P245" s="354" t="s">
        <v>1806</v>
      </c>
      <c r="Q245" s="355"/>
      <c r="R245" s="354" t="s">
        <v>1807</v>
      </c>
      <c r="S245" s="355"/>
      <c r="T245" s="354" t="s">
        <v>1808</v>
      </c>
      <c r="U245" s="355"/>
      <c r="V245" s="356" t="s">
        <v>1799</v>
      </c>
      <c r="W245" s="357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4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2" customHeight="1" x14ac:dyDescent="0.35">
      <c r="A247" s="367" t="s">
        <v>0</v>
      </c>
      <c r="B247" s="73" t="str">
        <f>IF(AA247=0,"",AA247)</f>
        <v/>
      </c>
      <c r="C247" s="74" t="str">
        <f>IF(AB247=0,"",AB247)</f>
        <v/>
      </c>
      <c r="D247" s="75" t="str">
        <f>IF(AC247=0,"",AC247)</f>
        <v/>
      </c>
      <c r="E247" s="348">
        <f>IF(AD247="","",AD247)</f>
        <v>0</v>
      </c>
      <c r="F247" s="75" t="str">
        <f t="shared" ref="F247:F260" si="279">IF(AE247=0,"",AE247)</f>
        <v/>
      </c>
      <c r="G247" s="348">
        <f>IF(AF247="","",AF247)</f>
        <v>0</v>
      </c>
      <c r="H247" s="75" t="str">
        <f t="shared" ref="H247:H260" si="280">IF(AG247=0,"",AG247)</f>
        <v/>
      </c>
      <c r="I247" s="348">
        <f>IF(AH247="","",AH247)</f>
        <v>0</v>
      </c>
      <c r="J247" s="75" t="str">
        <f t="shared" ref="J247:J260" si="281">IF(AI247=0,"",AI247)</f>
        <v/>
      </c>
      <c r="K247" s="348">
        <f>IF(AJ247="","",AJ247)</f>
        <v>0</v>
      </c>
      <c r="L247" s="75" t="str">
        <f t="shared" ref="L247:L260" si="282">IF(AK247=0,"",AK247)</f>
        <v/>
      </c>
      <c r="M247" s="348">
        <f>IF(AL247="","",AL247)</f>
        <v>0</v>
      </c>
      <c r="N247" s="75" t="str">
        <f>IF(AM247=0,"",AM247)</f>
        <v/>
      </c>
      <c r="O247" s="348">
        <f>IF(AN247="","",AN247)</f>
        <v>0</v>
      </c>
      <c r="P247" s="75" t="str">
        <f t="shared" ref="P247:P260" si="283">IF(AO247=0,"",AO247)</f>
        <v/>
      </c>
      <c r="Q247" s="348">
        <f>IF(AP247="","",AP247)</f>
        <v>0</v>
      </c>
      <c r="R247" s="75" t="str">
        <f t="shared" ref="R247:R260" si="284">IF(AQ247=0,"",AQ247)</f>
        <v/>
      </c>
      <c r="S247" s="348">
        <f>IF(AR247="","",AR247)</f>
        <v>0</v>
      </c>
      <c r="T247" s="75" t="str">
        <f t="shared" ref="T247:T260" si="285">IF(AS247=0,"",AS247)</f>
        <v/>
      </c>
      <c r="U247" s="348">
        <f>IF(AT247="","",AT247)</f>
        <v>0</v>
      </c>
      <c r="V247" s="75" t="str">
        <f t="shared" ref="V247:V260" si="286">IF(AU247=0,"",AU247)</f>
        <v/>
      </c>
      <c r="W247" s="348">
        <f>IF(AV247="","",AV247)</f>
        <v>0</v>
      </c>
      <c r="Z247" s="351" t="s">
        <v>0</v>
      </c>
      <c r="AA247" s="108" t="str">
        <f>IF(AB247=0,"",VLOOKUP(AB247,Starter!$A$1:$D$199,2,FALSE))</f>
        <v/>
      </c>
      <c r="AB247" s="99"/>
      <c r="AC247" s="185"/>
      <c r="AD247" s="109">
        <f>IF(SUM(AC247:AC249)+AC265=0,0,IF(SUM(AC247:AC249)=AC265,0.5,IF(SUM(AC247:AC249)&gt;AC265,1,0)))</f>
        <v>0</v>
      </c>
      <c r="AE247" s="185"/>
      <c r="AF247" s="109">
        <f>IF(SUM(AE247:AE249)+AE265=0,0,IF(SUM(AE247:AE249)=AE265,0.5,IF(SUM(AE247:AE249)&gt;AE265,1,0)))</f>
        <v>0</v>
      </c>
      <c r="AG247" s="185"/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0</v>
      </c>
      <c r="AK247" s="185"/>
      <c r="AL247" s="109">
        <f>IF(SUM(AK247:AK249)+AK265=0,0,IF(SUM(AK247:AK249)=AK265,0.5,IF(SUM(AK247:AK249)&gt;AK265,1,0)))</f>
        <v>0</v>
      </c>
      <c r="AM247" s="185"/>
      <c r="AN247" s="109">
        <f>IF(SUM(AM247:AM249)+AM265=0,0,IF(SUM(AM247:AM249)=AM265,0.5,IF(SUM(AM247:AM249)&gt;AM265,1,0)))</f>
        <v>0</v>
      </c>
      <c r="AO247" s="185"/>
      <c r="AP247" s="109">
        <f>IF(SUM(AO247:AO249)+AO265=0,0,IF(SUM(AO247:AO249)=AO265,0.5,IF(SUM(AO247:AO249)&gt;AO265,1,0)))</f>
        <v>0</v>
      </c>
      <c r="AQ247" s="185"/>
      <c r="AR247" s="109">
        <f>IF(SUM(AQ247:AQ249)+AQ265=0,0,IF(SUM(AQ247:AQ249)=AQ265,0.5,IF(SUM(AQ247:AQ249)&gt;AQ265,1,0)))</f>
        <v>0</v>
      </c>
      <c r="AS247" s="185"/>
      <c r="AT247" s="109">
        <f>IF(SUM(AS247:AS249)+AS265=0,0,IF(SUM(AS247:AS249)=AS265,0.5,IF(SUM(AS247:AS249)&gt;AS265,1,0)))</f>
        <v>0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0</v>
      </c>
      <c r="AV247" s="111">
        <f>SUM(AD247+AF247+AH247+AJ247+AL247+AN247+AP247+AR247+AT247)</f>
        <v>0</v>
      </c>
      <c r="AW247" s="101"/>
      <c r="AX247" s="102"/>
      <c r="AZ247" s="63"/>
      <c r="BA247" s="212"/>
      <c r="BB247" s="213"/>
      <c r="BC247" s="214"/>
      <c r="BD247" s="217">
        <f>+AB247</f>
        <v>0</v>
      </c>
      <c r="BE247" s="213">
        <f>+AU247</f>
        <v>0</v>
      </c>
      <c r="BF247" s="215">
        <f>COUNT(BH247:BP247)</f>
        <v>0</v>
      </c>
      <c r="BG247" s="215">
        <f>COUNTIF(BH247:BP247,"&gt;0")</f>
        <v>0</v>
      </c>
      <c r="BH247" s="215" t="str">
        <f t="shared" ref="BH247:BH258" si="288">IF(AC247=0,"",AC247)</f>
        <v/>
      </c>
      <c r="BI247" s="215" t="str">
        <f t="shared" ref="BI247:BI258" si="289">IF(AE247=0,"",AE247)</f>
        <v/>
      </c>
      <c r="BJ247" s="215" t="str">
        <f t="shared" ref="BJ247:BJ258" si="290">IF(AG247=0,"",AG247)</f>
        <v/>
      </c>
      <c r="BK247" s="215" t="str">
        <f t="shared" ref="BK247:BK258" si="291">IF(AI247=0,"",AI247)</f>
        <v/>
      </c>
      <c r="BL247" s="215" t="str">
        <f t="shared" ref="BL247:BL258" si="292">IF(AK247=0,"",AK247)</f>
        <v/>
      </c>
      <c r="BM247" s="215" t="str">
        <f t="shared" ref="BM247:BM258" si="293">IF(AM247=0,"",AM247)</f>
        <v/>
      </c>
      <c r="BN247" s="215" t="str">
        <f t="shared" ref="BN247:BN258" si="294">IF(AO247=0,"",AO247)</f>
        <v/>
      </c>
      <c r="BO247" s="215" t="str">
        <f t="shared" ref="BO247:BO258" si="295">IF(AQ247=0,"",AQ247)</f>
        <v/>
      </c>
      <c r="BP247" s="215" t="str">
        <f t="shared" ref="BP247:BP258" si="296">IF(AS247=0,"",AS247)</f>
        <v/>
      </c>
      <c r="BQ247" s="216"/>
      <c r="BR247" s="214"/>
      <c r="BS247" s="215">
        <f>MAX(BH247:BP247)</f>
        <v>0</v>
      </c>
      <c r="BT247" s="215">
        <f>IF(BS247&lt;MAX(BS:BS),0,BS247+ROW()/1000000000)</f>
        <v>2.4699999999999998E-7</v>
      </c>
      <c r="BU247" s="215" t="str">
        <f>+AA243</f>
        <v>RW Lichtenhof 69 Stein 2</v>
      </c>
      <c r="BV247" s="214">
        <f>RANK(BT247,BT:BT)</f>
        <v>24</v>
      </c>
      <c r="BW247" s="215">
        <f>SUMIF(BH247:BP247,"&gt;0")</f>
        <v>0</v>
      </c>
      <c r="BX247" s="215">
        <f>IF(COUNTIF(BH247:BP247,"&gt;0")&lt;Spielorte!$A$23,0,BE247/Spielorte!$A$23)</f>
        <v>0</v>
      </c>
      <c r="BY247" s="215">
        <f>IF(BX247&lt;MAX(BX:BX),0,BX247+ROW()/1000000000)</f>
        <v>2.4699999999999998E-7</v>
      </c>
      <c r="BZ247" s="214">
        <f t="shared" ref="BZ247:BZ258" si="297">IF(BY247=0,0,RANK(BY247,BY:BY))</f>
        <v>24</v>
      </c>
    </row>
    <row r="248" spans="1:78" ht="17.2" customHeight="1" x14ac:dyDescent="0.35">
      <c r="A248" s="368"/>
      <c r="B248" s="76" t="str">
        <f t="shared" ref="B248:D260" si="298">IF(AA248=0,"",AA248)</f>
        <v/>
      </c>
      <c r="C248" s="77" t="str">
        <f t="shared" si="298"/>
        <v/>
      </c>
      <c r="D248" s="78" t="str">
        <f t="shared" si="298"/>
        <v/>
      </c>
      <c r="E248" s="349"/>
      <c r="F248" s="78" t="str">
        <f t="shared" si="279"/>
        <v/>
      </c>
      <c r="G248" s="349"/>
      <c r="H248" s="78" t="str">
        <f t="shared" si="280"/>
        <v/>
      </c>
      <c r="I248" s="349"/>
      <c r="J248" s="78" t="str">
        <f t="shared" si="281"/>
        <v/>
      </c>
      <c r="K248" s="349"/>
      <c r="L248" s="78" t="str">
        <f t="shared" si="282"/>
        <v/>
      </c>
      <c r="M248" s="349"/>
      <c r="N248" s="78" t="str">
        <f t="shared" ref="N248:N260" si="299">IF(AM248=0,"",AM248)</f>
        <v/>
      </c>
      <c r="O248" s="349"/>
      <c r="P248" s="78" t="str">
        <f t="shared" si="283"/>
        <v/>
      </c>
      <c r="Q248" s="349"/>
      <c r="R248" s="78" t="str">
        <f t="shared" si="284"/>
        <v/>
      </c>
      <c r="S248" s="349"/>
      <c r="T248" s="78" t="str">
        <f t="shared" si="285"/>
        <v/>
      </c>
      <c r="U248" s="349"/>
      <c r="V248" s="78" t="str">
        <f t="shared" si="286"/>
        <v/>
      </c>
      <c r="W248" s="349"/>
      <c r="Z248" s="352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0</v>
      </c>
      <c r="BE248" s="213">
        <f t="shared" ref="BE248:BE258" si="301">+AU248</f>
        <v>0</v>
      </c>
      <c r="BF248" s="215">
        <f t="shared" ref="BF248:BF258" si="302">COUNT(BH248:BP248)</f>
        <v>0</v>
      </c>
      <c r="BG248" s="215">
        <f t="shared" ref="BG248:BG258" si="303">COUNTIF(BH248:BP248,"&gt;0")</f>
        <v>0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 t="str">
        <f t="shared" si="291"/>
        <v/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0</v>
      </c>
      <c r="BT248" s="215">
        <f t="shared" ref="BT248:BT258" si="305">IF(BS248&lt;MAX(BS:BS),0,BS248+ROW()/1000000000)</f>
        <v>2.48E-7</v>
      </c>
      <c r="BU248" s="215" t="str">
        <f t="shared" ref="BU248:BU258" si="306">+BU247</f>
        <v>RW Lichtenhof 69 Stein 2</v>
      </c>
      <c r="BV248" s="214">
        <f t="shared" ref="BV248:BV258" si="307">RANK(BT248,BT:BT)</f>
        <v>23</v>
      </c>
      <c r="BW248" s="215">
        <f t="shared" ref="BW248:BW258" si="308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2.48E-7</v>
      </c>
      <c r="BZ248" s="214">
        <f t="shared" si="297"/>
        <v>23</v>
      </c>
    </row>
    <row r="249" spans="1:78" ht="17.2" customHeight="1" thickBot="1" x14ac:dyDescent="0.4">
      <c r="A249" s="369"/>
      <c r="B249" s="79" t="str">
        <f t="shared" si="298"/>
        <v/>
      </c>
      <c r="C249" s="80" t="str">
        <f t="shared" si="298"/>
        <v/>
      </c>
      <c r="D249" s="69" t="str">
        <f t="shared" si="298"/>
        <v/>
      </c>
      <c r="E249" s="350"/>
      <c r="F249" s="69" t="str">
        <f t="shared" si="279"/>
        <v/>
      </c>
      <c r="G249" s="350"/>
      <c r="H249" s="69" t="str">
        <f t="shared" si="280"/>
        <v/>
      </c>
      <c r="I249" s="350"/>
      <c r="J249" s="69" t="str">
        <f t="shared" si="281"/>
        <v/>
      </c>
      <c r="K249" s="350"/>
      <c r="L249" s="69" t="str">
        <f t="shared" si="282"/>
        <v/>
      </c>
      <c r="M249" s="350"/>
      <c r="N249" s="69" t="str">
        <f t="shared" si="299"/>
        <v/>
      </c>
      <c r="O249" s="350"/>
      <c r="P249" s="69" t="str">
        <f t="shared" si="283"/>
        <v/>
      </c>
      <c r="Q249" s="350"/>
      <c r="R249" s="69" t="str">
        <f t="shared" si="284"/>
        <v/>
      </c>
      <c r="S249" s="350"/>
      <c r="T249" s="69" t="str">
        <f t="shared" si="285"/>
        <v/>
      </c>
      <c r="U249" s="350"/>
      <c r="V249" s="69" t="str">
        <f t="shared" si="286"/>
        <v/>
      </c>
      <c r="W249" s="350"/>
      <c r="Z249" s="353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7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0</v>
      </c>
      <c r="BE249" s="213">
        <f t="shared" si="301"/>
        <v>0</v>
      </c>
      <c r="BF249" s="215">
        <f t="shared" si="302"/>
        <v>0</v>
      </c>
      <c r="BG249" s="215">
        <f t="shared" si="303"/>
        <v>0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 t="str">
        <f t="shared" si="294"/>
        <v/>
      </c>
      <c r="BO249" s="215" t="str">
        <f t="shared" si="295"/>
        <v/>
      </c>
      <c r="BP249" s="215" t="str">
        <f t="shared" si="296"/>
        <v/>
      </c>
      <c r="BQ249" s="216"/>
      <c r="BR249" s="214"/>
      <c r="BS249" s="215">
        <f t="shared" si="304"/>
        <v>0</v>
      </c>
      <c r="BT249" s="215">
        <f t="shared" si="305"/>
        <v>2.4900000000000002E-7</v>
      </c>
      <c r="BU249" s="215" t="str">
        <f t="shared" si="306"/>
        <v>RW Lichtenhof 69 Stein 2</v>
      </c>
      <c r="BV249" s="214">
        <f t="shared" si="307"/>
        <v>22</v>
      </c>
      <c r="BW249" s="215">
        <f t="shared" si="308"/>
        <v>0</v>
      </c>
      <c r="BX249" s="215">
        <f>IF(COUNTIF(BH249:BP249,"&gt;0")&lt;Spielorte!$A$23,0,BE249/Spielorte!$A$23)</f>
        <v>0</v>
      </c>
      <c r="BY249" s="215">
        <f t="shared" si="309"/>
        <v>2.4900000000000002E-7</v>
      </c>
      <c r="BZ249" s="214">
        <f t="shared" si="297"/>
        <v>22</v>
      </c>
    </row>
    <row r="250" spans="1:78" ht="17.2" customHeight="1" x14ac:dyDescent="0.35">
      <c r="A250" s="367" t="s">
        <v>2</v>
      </c>
      <c r="B250" s="73" t="str">
        <f t="shared" si="298"/>
        <v/>
      </c>
      <c r="C250" s="74" t="str">
        <f t="shared" si="298"/>
        <v/>
      </c>
      <c r="D250" s="75" t="str">
        <f t="shared" si="298"/>
        <v/>
      </c>
      <c r="E250" s="348">
        <f>IF(AD250="","",AD250)</f>
        <v>0</v>
      </c>
      <c r="F250" s="75" t="str">
        <f t="shared" si="279"/>
        <v/>
      </c>
      <c r="G250" s="348">
        <f>IF(AF250="","",AF250)</f>
        <v>0</v>
      </c>
      <c r="H250" s="75" t="str">
        <f t="shared" si="280"/>
        <v/>
      </c>
      <c r="I250" s="348">
        <f>IF(AH250="","",AH250)</f>
        <v>0</v>
      </c>
      <c r="J250" s="75" t="str">
        <f t="shared" si="281"/>
        <v/>
      </c>
      <c r="K250" s="348">
        <f>IF(AJ250="","",AJ250)</f>
        <v>0</v>
      </c>
      <c r="L250" s="75" t="str">
        <f t="shared" si="282"/>
        <v/>
      </c>
      <c r="M250" s="348">
        <f>IF(AL250="","",AL250)</f>
        <v>0</v>
      </c>
      <c r="N250" s="75" t="str">
        <f t="shared" si="299"/>
        <v/>
      </c>
      <c r="O250" s="348">
        <f>IF(AN250="","",AN250)</f>
        <v>0</v>
      </c>
      <c r="P250" s="75" t="str">
        <f t="shared" si="283"/>
        <v/>
      </c>
      <c r="Q250" s="348">
        <f>IF(AP250="","",AP250)</f>
        <v>0</v>
      </c>
      <c r="R250" s="75" t="str">
        <f t="shared" si="284"/>
        <v/>
      </c>
      <c r="S250" s="348">
        <f>IF(AR250="","",AR250)</f>
        <v>0</v>
      </c>
      <c r="T250" s="75" t="str">
        <f t="shared" si="285"/>
        <v/>
      </c>
      <c r="U250" s="348">
        <f>IF(AT250="","",AT250)</f>
        <v>0</v>
      </c>
      <c r="V250" s="75" t="str">
        <f t="shared" si="286"/>
        <v/>
      </c>
      <c r="W250" s="348">
        <f>IF(AV250="","",AV250)</f>
        <v>0</v>
      </c>
      <c r="Z250" s="351" t="s">
        <v>2</v>
      </c>
      <c r="AA250" s="108" t="str">
        <f>IF(AB250=0,"",VLOOKUP(AB250,Starter!$A$1:$D$199,2,FALSE))</f>
        <v/>
      </c>
      <c r="AB250" s="99"/>
      <c r="AC250" s="188"/>
      <c r="AD250" s="109">
        <f>IF(SUM(AC250:AC252)+AC266=0,0,IF(SUM(AC250:AC252)=AC266,0.5,IF(SUM(AC250:AC252)&gt;AC266,1,0)))</f>
        <v>0</v>
      </c>
      <c r="AE250" s="188"/>
      <c r="AF250" s="109">
        <f>IF(SUM(AE250:AE252)+AE266=0,0,IF(SUM(AE250:AE252)=AE266,0.5,IF(SUM(AE250:AE252)&gt;AE266,1,0)))</f>
        <v>0</v>
      </c>
      <c r="AG250" s="188"/>
      <c r="AH250" s="109">
        <f>IF(SUM(AG250:AG252)+AG266=0,0,IF(SUM(AG250:AG252)=AG266,0.5,IF(SUM(AG250:AG252)&gt;AG266,1,0)))</f>
        <v>0</v>
      </c>
      <c r="AI250" s="188"/>
      <c r="AJ250" s="109">
        <f>IF(SUM(AI250:AI252)+AI266=0,0,IF(SUM(AI250:AI252)=AI266,0.5,IF(SUM(AI250:AI252)&gt;AI266,1,0)))</f>
        <v>0</v>
      </c>
      <c r="AK250" s="188"/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0</v>
      </c>
      <c r="AO250" s="188"/>
      <c r="AP250" s="109">
        <f>IF(SUM(AO250:AO252)+AO266=0,0,IF(SUM(AO250:AO252)=AO266,0.5,IF(SUM(AO250:AO252)&gt;AO266,1,0)))</f>
        <v>0</v>
      </c>
      <c r="AQ250" s="188"/>
      <c r="AR250" s="109">
        <f>IF(SUM(AQ250:AQ252)+AQ266=0,0,IF(SUM(AQ250:AQ252)=AQ266,0.5,IF(SUM(AQ250:AQ252)&gt;AQ266,1,0)))</f>
        <v>0</v>
      </c>
      <c r="AS250" s="188"/>
      <c r="AT250" s="109">
        <f>IF(SUM(AS250:AS252)+AS266=0,0,IF(SUM(AS250:AS252)=AS266,0.5,IF(SUM(AS250:AS252)&gt;AS266,1,0)))</f>
        <v>0</v>
      </c>
      <c r="AU250" s="110">
        <f t="shared" si="287"/>
        <v>0</v>
      </c>
      <c r="AV250" s="111">
        <f>SUM(AD250+AF250+AH250+AJ250+AL250+AN250+AP250+AR250+AT250)</f>
        <v>0</v>
      </c>
      <c r="AW250" s="101"/>
      <c r="AX250" s="102"/>
      <c r="AZ250" s="63"/>
      <c r="BA250" s="212"/>
      <c r="BB250" s="213"/>
      <c r="BC250" s="214"/>
      <c r="BD250" s="217">
        <f t="shared" si="300"/>
        <v>0</v>
      </c>
      <c r="BE250" s="213">
        <f t="shared" si="301"/>
        <v>0</v>
      </c>
      <c r="BF250" s="215">
        <f t="shared" si="302"/>
        <v>0</v>
      </c>
      <c r="BG250" s="215">
        <f t="shared" si="303"/>
        <v>0</v>
      </c>
      <c r="BH250" s="215" t="str">
        <f t="shared" si="288"/>
        <v/>
      </c>
      <c r="BI250" s="215" t="str">
        <f t="shared" si="289"/>
        <v/>
      </c>
      <c r="BJ250" s="215" t="str">
        <f t="shared" si="290"/>
        <v/>
      </c>
      <c r="BK250" s="215" t="str">
        <f t="shared" si="291"/>
        <v/>
      </c>
      <c r="BL250" s="215" t="str">
        <f t="shared" si="292"/>
        <v/>
      </c>
      <c r="BM250" s="215" t="str">
        <f t="shared" si="293"/>
        <v/>
      </c>
      <c r="BN250" s="215" t="str">
        <f t="shared" si="294"/>
        <v/>
      </c>
      <c r="BO250" s="215" t="str">
        <f t="shared" si="295"/>
        <v/>
      </c>
      <c r="BP250" s="215" t="str">
        <f t="shared" si="296"/>
        <v/>
      </c>
      <c r="BQ250" s="216"/>
      <c r="BR250" s="214"/>
      <c r="BS250" s="215">
        <f t="shared" si="304"/>
        <v>0</v>
      </c>
      <c r="BT250" s="215">
        <f t="shared" si="305"/>
        <v>2.4999999999999999E-7</v>
      </c>
      <c r="BU250" s="215" t="str">
        <f t="shared" si="306"/>
        <v>RW Lichtenhof 69 Stein 2</v>
      </c>
      <c r="BV250" s="214">
        <f t="shared" si="307"/>
        <v>21</v>
      </c>
      <c r="BW250" s="215">
        <f t="shared" si="308"/>
        <v>0</v>
      </c>
      <c r="BX250" s="215">
        <f>IF(COUNTIF(BH250:BP250,"&gt;0")&lt;Spielorte!$A$23,0,BE250/Spielorte!$A$23)</f>
        <v>0</v>
      </c>
      <c r="BY250" s="215">
        <f t="shared" si="309"/>
        <v>2.4999999999999999E-7</v>
      </c>
      <c r="BZ250" s="214">
        <f t="shared" si="297"/>
        <v>21</v>
      </c>
    </row>
    <row r="251" spans="1:78" ht="17.2" customHeight="1" x14ac:dyDescent="0.35">
      <c r="A251" s="368"/>
      <c r="B251" s="76" t="str">
        <f t="shared" si="298"/>
        <v/>
      </c>
      <c r="C251" s="77" t="str">
        <f t="shared" si="298"/>
        <v/>
      </c>
      <c r="D251" s="78" t="str">
        <f t="shared" si="298"/>
        <v/>
      </c>
      <c r="E251" s="349"/>
      <c r="F251" s="78" t="str">
        <f t="shared" si="279"/>
        <v/>
      </c>
      <c r="G251" s="349"/>
      <c r="H251" s="78" t="str">
        <f t="shared" si="280"/>
        <v/>
      </c>
      <c r="I251" s="349"/>
      <c r="J251" s="78" t="str">
        <f t="shared" si="281"/>
        <v/>
      </c>
      <c r="K251" s="349"/>
      <c r="L251" s="78" t="str">
        <f t="shared" si="282"/>
        <v/>
      </c>
      <c r="M251" s="349"/>
      <c r="N251" s="78" t="str">
        <f t="shared" si="299"/>
        <v/>
      </c>
      <c r="O251" s="349"/>
      <c r="P251" s="78" t="str">
        <f t="shared" si="283"/>
        <v/>
      </c>
      <c r="Q251" s="349"/>
      <c r="R251" s="78" t="str">
        <f t="shared" si="284"/>
        <v/>
      </c>
      <c r="S251" s="349"/>
      <c r="T251" s="78" t="str">
        <f t="shared" si="285"/>
        <v/>
      </c>
      <c r="U251" s="349"/>
      <c r="V251" s="78" t="str">
        <f t="shared" si="286"/>
        <v/>
      </c>
      <c r="W251" s="349"/>
      <c r="Z251" s="352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0</v>
      </c>
      <c r="BE251" s="213">
        <f t="shared" si="301"/>
        <v>0</v>
      </c>
      <c r="BF251" s="215">
        <f t="shared" si="302"/>
        <v>0</v>
      </c>
      <c r="BG251" s="215">
        <f t="shared" si="303"/>
        <v>0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0</v>
      </c>
      <c r="BT251" s="215">
        <f t="shared" si="305"/>
        <v>2.5100000000000001E-7</v>
      </c>
      <c r="BU251" s="215" t="str">
        <f t="shared" si="306"/>
        <v>RW Lichtenhof 69 Stein 2</v>
      </c>
      <c r="BV251" s="214">
        <f t="shared" si="307"/>
        <v>20</v>
      </c>
      <c r="BW251" s="215">
        <f t="shared" si="308"/>
        <v>0</v>
      </c>
      <c r="BX251" s="215">
        <f>IF(COUNTIF(BH251:BP251,"&gt;0")&lt;Spielorte!$A$23,0,BE251/Spielorte!$A$23)</f>
        <v>0</v>
      </c>
      <c r="BY251" s="215">
        <f t="shared" si="309"/>
        <v>2.5100000000000001E-7</v>
      </c>
      <c r="BZ251" s="214">
        <f t="shared" si="297"/>
        <v>20</v>
      </c>
    </row>
    <row r="252" spans="1:78" ht="17.2" customHeight="1" thickBot="1" x14ac:dyDescent="0.4">
      <c r="A252" s="369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50"/>
      <c r="F252" s="69" t="str">
        <f t="shared" si="279"/>
        <v/>
      </c>
      <c r="G252" s="350"/>
      <c r="H252" s="69" t="str">
        <f t="shared" si="280"/>
        <v/>
      </c>
      <c r="I252" s="350"/>
      <c r="J252" s="69" t="str">
        <f t="shared" si="281"/>
        <v/>
      </c>
      <c r="K252" s="350"/>
      <c r="L252" s="69" t="str">
        <f t="shared" si="282"/>
        <v/>
      </c>
      <c r="M252" s="350"/>
      <c r="N252" s="69" t="str">
        <f t="shared" si="299"/>
        <v/>
      </c>
      <c r="O252" s="350"/>
      <c r="P252" s="69" t="str">
        <f t="shared" si="283"/>
        <v/>
      </c>
      <c r="Q252" s="350"/>
      <c r="R252" s="69" t="str">
        <f t="shared" si="284"/>
        <v/>
      </c>
      <c r="S252" s="350"/>
      <c r="T252" s="69" t="str">
        <f t="shared" si="285"/>
        <v/>
      </c>
      <c r="U252" s="350"/>
      <c r="V252" s="69" t="str">
        <f t="shared" si="286"/>
        <v/>
      </c>
      <c r="W252" s="350"/>
      <c r="Z252" s="353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2.5199999999999998E-7</v>
      </c>
      <c r="BU252" s="215" t="str">
        <f t="shared" si="306"/>
        <v>RW Lichtenhof 69 Stein 2</v>
      </c>
      <c r="BV252" s="214">
        <f t="shared" si="307"/>
        <v>19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2.5199999999999998E-7</v>
      </c>
      <c r="BZ252" s="214">
        <f t="shared" si="297"/>
        <v>19</v>
      </c>
    </row>
    <row r="253" spans="1:78" ht="17.2" customHeight="1" x14ac:dyDescent="0.35">
      <c r="A253" s="367" t="s">
        <v>3</v>
      </c>
      <c r="B253" s="73" t="str">
        <f t="shared" si="298"/>
        <v/>
      </c>
      <c r="C253" s="74" t="str">
        <f t="shared" si="298"/>
        <v/>
      </c>
      <c r="D253" s="75" t="str">
        <f t="shared" si="298"/>
        <v/>
      </c>
      <c r="E253" s="348">
        <f>IF(AD253="","",AD253)</f>
        <v>0</v>
      </c>
      <c r="F253" s="75" t="str">
        <f t="shared" si="279"/>
        <v/>
      </c>
      <c r="G253" s="348">
        <f>IF(AF253="","",AF253)</f>
        <v>0</v>
      </c>
      <c r="H253" s="75" t="str">
        <f t="shared" si="280"/>
        <v/>
      </c>
      <c r="I253" s="348">
        <f>IF(AH253="","",AH253)</f>
        <v>0</v>
      </c>
      <c r="J253" s="75" t="str">
        <f t="shared" si="281"/>
        <v/>
      </c>
      <c r="K253" s="348">
        <f>IF(AJ253="","",AJ253)</f>
        <v>0</v>
      </c>
      <c r="L253" s="75" t="str">
        <f t="shared" si="282"/>
        <v/>
      </c>
      <c r="M253" s="348">
        <f>IF(AL253="","",AL253)</f>
        <v>0</v>
      </c>
      <c r="N253" s="75" t="str">
        <f t="shared" si="299"/>
        <v/>
      </c>
      <c r="O253" s="348">
        <f>IF(AN253="","",AN253)</f>
        <v>0</v>
      </c>
      <c r="P253" s="75" t="str">
        <f t="shared" si="283"/>
        <v/>
      </c>
      <c r="Q253" s="348">
        <f>IF(AP253="","",AP253)</f>
        <v>0</v>
      </c>
      <c r="R253" s="75" t="str">
        <f t="shared" si="284"/>
        <v/>
      </c>
      <c r="S253" s="348">
        <f>IF(AR253="","",AR253)</f>
        <v>0</v>
      </c>
      <c r="T253" s="75" t="str">
        <f t="shared" si="285"/>
        <v/>
      </c>
      <c r="U253" s="348">
        <f>IF(AT253="","",AT253)</f>
        <v>0</v>
      </c>
      <c r="V253" s="75" t="str">
        <f t="shared" si="286"/>
        <v/>
      </c>
      <c r="W253" s="348">
        <f>IF(AV253="","",AV253)</f>
        <v>0</v>
      </c>
      <c r="Z253" s="351" t="s">
        <v>3</v>
      </c>
      <c r="AA253" s="108" t="str">
        <f>IF(AB253=0,"",VLOOKUP(AB253,Starter!$A$1:$D$199,2,FALSE))</f>
        <v/>
      </c>
      <c r="AB253" s="99"/>
      <c r="AC253" s="188"/>
      <c r="AD253" s="109">
        <f>IF(SUM(AC253:AC255)+AC267=0,0,IF(SUM(AC253:AC255)=AC267,0.5,IF(SUM(AC253:AC255)&gt;AC267,1,0)))</f>
        <v>0</v>
      </c>
      <c r="AE253" s="188"/>
      <c r="AF253" s="109">
        <f>IF(SUM(AE253:AE255)+AE267=0,0,IF(SUM(AE253:AE255)=AE267,0.5,IF(SUM(AE253:AE255)&gt;AE267,1,0)))</f>
        <v>0</v>
      </c>
      <c r="AG253" s="188"/>
      <c r="AH253" s="109">
        <f>IF(SUM(AG253:AG255)+AG267=0,0,IF(SUM(AG253:AG255)=AG267,0.5,IF(SUM(AG253:AG255)&gt;AG267,1,0)))</f>
        <v>0</v>
      </c>
      <c r="AI253" s="188"/>
      <c r="AJ253" s="109">
        <f>IF(SUM(AI253:AI255)+AI267=0,0,IF(SUM(AI253:AI255)=AI267,0.5,IF(SUM(AI253:AI255)&gt;AI267,1,0)))</f>
        <v>0</v>
      </c>
      <c r="AK253" s="188"/>
      <c r="AL253" s="109">
        <f>IF(SUM(AK253:AK255)+AK267=0,0,IF(SUM(AK253:AK255)=AK267,0.5,IF(SUM(AK253:AK255)&gt;AK267,1,0)))</f>
        <v>0</v>
      </c>
      <c r="AM253" s="188"/>
      <c r="AN253" s="109">
        <f>IF(SUM(AM253:AM255)+AM267=0,0,IF(SUM(AM253:AM255)=AM267,0.5,IF(SUM(AM253:AM255)&gt;AM267,1,0)))</f>
        <v>0</v>
      </c>
      <c r="AO253" s="188"/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0</v>
      </c>
      <c r="AU253" s="110">
        <f t="shared" si="287"/>
        <v>0</v>
      </c>
      <c r="AV253" s="111">
        <f>SUM(AD253+AF253+AH253+AJ253+AL253+AN253+AP253+AR253+AT253)</f>
        <v>0</v>
      </c>
      <c r="AW253" s="101"/>
      <c r="AX253" s="102"/>
      <c r="AZ253" s="63"/>
      <c r="BA253" s="212"/>
      <c r="BB253" s="213"/>
      <c r="BC253" s="214"/>
      <c r="BD253" s="217">
        <f t="shared" si="300"/>
        <v>0</v>
      </c>
      <c r="BE253" s="213">
        <f t="shared" si="301"/>
        <v>0</v>
      </c>
      <c r="BF253" s="215">
        <f t="shared" si="302"/>
        <v>0</v>
      </c>
      <c r="BG253" s="215">
        <f t="shared" si="303"/>
        <v>0</v>
      </c>
      <c r="BH253" s="215" t="str">
        <f t="shared" si="288"/>
        <v/>
      </c>
      <c r="BI253" s="215" t="str">
        <f t="shared" si="289"/>
        <v/>
      </c>
      <c r="BJ253" s="215" t="str">
        <f t="shared" si="290"/>
        <v/>
      </c>
      <c r="BK253" s="215" t="str">
        <f t="shared" si="291"/>
        <v/>
      </c>
      <c r="BL253" s="215" t="str">
        <f t="shared" si="292"/>
        <v/>
      </c>
      <c r="BM253" s="215" t="str">
        <f t="shared" si="293"/>
        <v/>
      </c>
      <c r="BN253" s="215" t="str">
        <f t="shared" si="294"/>
        <v/>
      </c>
      <c r="BO253" s="215" t="str">
        <f t="shared" si="295"/>
        <v/>
      </c>
      <c r="BP253" s="215" t="str">
        <f t="shared" si="296"/>
        <v/>
      </c>
      <c r="BQ253" s="216"/>
      <c r="BR253" s="214"/>
      <c r="BS253" s="215">
        <f t="shared" si="304"/>
        <v>0</v>
      </c>
      <c r="BT253" s="215">
        <f t="shared" si="305"/>
        <v>2.53E-7</v>
      </c>
      <c r="BU253" s="215" t="str">
        <f t="shared" si="306"/>
        <v>RW Lichtenhof 69 Stein 2</v>
      </c>
      <c r="BV253" s="214">
        <f t="shared" si="307"/>
        <v>18</v>
      </c>
      <c r="BW253" s="215">
        <f t="shared" si="308"/>
        <v>0</v>
      </c>
      <c r="BX253" s="215">
        <f>IF(COUNTIF(BH253:BP253,"&gt;0")&lt;Spielorte!$A$23,0,BE253/Spielorte!$A$23)</f>
        <v>0</v>
      </c>
      <c r="BY253" s="215">
        <f t="shared" si="309"/>
        <v>2.53E-7</v>
      </c>
      <c r="BZ253" s="214">
        <f t="shared" si="297"/>
        <v>18</v>
      </c>
    </row>
    <row r="254" spans="1:78" ht="17.2" customHeight="1" x14ac:dyDescent="0.35">
      <c r="A254" s="368"/>
      <c r="B254" s="76" t="str">
        <f t="shared" si="298"/>
        <v/>
      </c>
      <c r="C254" s="77" t="str">
        <f t="shared" si="298"/>
        <v/>
      </c>
      <c r="D254" s="78" t="str">
        <f t="shared" si="298"/>
        <v/>
      </c>
      <c r="E254" s="349"/>
      <c r="F254" s="78" t="str">
        <f t="shared" si="279"/>
        <v/>
      </c>
      <c r="G254" s="349"/>
      <c r="H254" s="78" t="str">
        <f t="shared" si="280"/>
        <v/>
      </c>
      <c r="I254" s="349"/>
      <c r="J254" s="78" t="str">
        <f t="shared" si="281"/>
        <v/>
      </c>
      <c r="K254" s="349"/>
      <c r="L254" s="78" t="str">
        <f t="shared" si="282"/>
        <v/>
      </c>
      <c r="M254" s="349"/>
      <c r="N254" s="78" t="str">
        <f t="shared" si="299"/>
        <v/>
      </c>
      <c r="O254" s="349"/>
      <c r="P254" s="78" t="str">
        <f t="shared" si="283"/>
        <v/>
      </c>
      <c r="Q254" s="349"/>
      <c r="R254" s="78" t="str">
        <f t="shared" si="284"/>
        <v/>
      </c>
      <c r="S254" s="349"/>
      <c r="T254" s="78" t="str">
        <f t="shared" si="285"/>
        <v/>
      </c>
      <c r="U254" s="349"/>
      <c r="V254" s="78" t="str">
        <f t="shared" si="286"/>
        <v/>
      </c>
      <c r="W254" s="349"/>
      <c r="Z254" s="352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7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0</v>
      </c>
      <c r="BE254" s="213">
        <f t="shared" si="301"/>
        <v>0</v>
      </c>
      <c r="BF254" s="215">
        <f t="shared" si="302"/>
        <v>0</v>
      </c>
      <c r="BG254" s="215">
        <f t="shared" si="303"/>
        <v>0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 t="str">
        <f t="shared" si="295"/>
        <v/>
      </c>
      <c r="BP254" s="215" t="str">
        <f t="shared" si="296"/>
        <v/>
      </c>
      <c r="BQ254" s="216"/>
      <c r="BR254" s="214"/>
      <c r="BS254" s="215">
        <f t="shared" si="304"/>
        <v>0</v>
      </c>
      <c r="BT254" s="215">
        <f t="shared" si="305"/>
        <v>2.5400000000000002E-7</v>
      </c>
      <c r="BU254" s="215" t="str">
        <f t="shared" si="306"/>
        <v>RW Lichtenhof 69 Stein 2</v>
      </c>
      <c r="BV254" s="214">
        <f t="shared" si="307"/>
        <v>17</v>
      </c>
      <c r="BW254" s="215">
        <f t="shared" si="308"/>
        <v>0</v>
      </c>
      <c r="BX254" s="215">
        <f>IF(COUNTIF(BH254:BP254,"&gt;0")&lt;Spielorte!$A$23,0,BE254/Spielorte!$A$23)</f>
        <v>0</v>
      </c>
      <c r="BY254" s="215">
        <f t="shared" si="309"/>
        <v>2.5400000000000002E-7</v>
      </c>
      <c r="BZ254" s="214">
        <f t="shared" si="297"/>
        <v>17</v>
      </c>
    </row>
    <row r="255" spans="1:78" ht="17.2" customHeight="1" thickBot="1" x14ac:dyDescent="0.4">
      <c r="A255" s="369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50"/>
      <c r="F255" s="69" t="str">
        <f t="shared" si="279"/>
        <v/>
      </c>
      <c r="G255" s="350"/>
      <c r="H255" s="69" t="str">
        <f t="shared" si="280"/>
        <v/>
      </c>
      <c r="I255" s="350"/>
      <c r="J255" s="69" t="str">
        <f t="shared" si="281"/>
        <v/>
      </c>
      <c r="K255" s="350"/>
      <c r="L255" s="69" t="str">
        <f t="shared" si="282"/>
        <v/>
      </c>
      <c r="M255" s="350"/>
      <c r="N255" s="69" t="str">
        <f t="shared" si="299"/>
        <v/>
      </c>
      <c r="O255" s="350"/>
      <c r="P255" s="69" t="str">
        <f t="shared" si="283"/>
        <v/>
      </c>
      <c r="Q255" s="350"/>
      <c r="R255" s="69" t="str">
        <f t="shared" si="284"/>
        <v/>
      </c>
      <c r="S255" s="350"/>
      <c r="T255" s="69" t="str">
        <f t="shared" si="285"/>
        <v/>
      </c>
      <c r="U255" s="350"/>
      <c r="V255" s="69" t="str">
        <f t="shared" si="286"/>
        <v/>
      </c>
      <c r="W255" s="350"/>
      <c r="Z255" s="353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2.5499999999999999E-7</v>
      </c>
      <c r="BU255" s="215" t="str">
        <f t="shared" si="306"/>
        <v>RW Lichtenhof 69 Stein 2</v>
      </c>
      <c r="BV255" s="214">
        <f t="shared" si="307"/>
        <v>16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2.5499999999999999E-7</v>
      </c>
      <c r="BZ255" s="214">
        <f t="shared" si="297"/>
        <v>16</v>
      </c>
    </row>
    <row r="256" spans="1:78" ht="17.2" customHeight="1" x14ac:dyDescent="0.35">
      <c r="A256" s="367" t="s">
        <v>11</v>
      </c>
      <c r="B256" s="73" t="str">
        <f>IF(AA256=0,"",AA256)</f>
        <v/>
      </c>
      <c r="C256" s="74" t="str">
        <f t="shared" si="298"/>
        <v/>
      </c>
      <c r="D256" s="75" t="str">
        <f t="shared" si="298"/>
        <v/>
      </c>
      <c r="E256" s="348">
        <f>IF(AD256="","",AD256)</f>
        <v>0</v>
      </c>
      <c r="F256" s="75" t="str">
        <f t="shared" si="279"/>
        <v/>
      </c>
      <c r="G256" s="348">
        <f>IF(AF256="","",AF256)</f>
        <v>0</v>
      </c>
      <c r="H256" s="75" t="str">
        <f t="shared" si="280"/>
        <v/>
      </c>
      <c r="I256" s="348">
        <f>IF(AH256="","",AH256)</f>
        <v>0</v>
      </c>
      <c r="J256" s="75" t="str">
        <f t="shared" si="281"/>
        <v/>
      </c>
      <c r="K256" s="348">
        <f>IF(AJ256="","",AJ256)</f>
        <v>0</v>
      </c>
      <c r="L256" s="75" t="str">
        <f t="shared" si="282"/>
        <v/>
      </c>
      <c r="M256" s="348">
        <f>IF(AL256="","",AL256)</f>
        <v>0</v>
      </c>
      <c r="N256" s="75" t="str">
        <f t="shared" si="299"/>
        <v/>
      </c>
      <c r="O256" s="348">
        <f>IF(AN256="","",AN256)</f>
        <v>0</v>
      </c>
      <c r="P256" s="75" t="str">
        <f t="shared" si="283"/>
        <v/>
      </c>
      <c r="Q256" s="348">
        <f>IF(AP256="","",AP256)</f>
        <v>0</v>
      </c>
      <c r="R256" s="75" t="str">
        <f t="shared" si="284"/>
        <v/>
      </c>
      <c r="S256" s="348">
        <f>IF(AR256="","",AR256)</f>
        <v>0</v>
      </c>
      <c r="T256" s="75" t="str">
        <f t="shared" si="285"/>
        <v/>
      </c>
      <c r="U256" s="348">
        <f>IF(AT256="","",AT256)</f>
        <v>0</v>
      </c>
      <c r="V256" s="75" t="str">
        <f t="shared" si="286"/>
        <v/>
      </c>
      <c r="W256" s="348">
        <f>IF(AV256="","",AV256)</f>
        <v>0</v>
      </c>
      <c r="Z256" s="351" t="s">
        <v>11</v>
      </c>
      <c r="AA256" s="108" t="str">
        <f>IF(AB256=0,"",VLOOKUP(AB256,Starter!$A$1:$D$199,2,FALSE))</f>
        <v/>
      </c>
      <c r="AB256" s="99"/>
      <c r="AC256" s="188"/>
      <c r="AD256" s="109">
        <f>IF(SUM(AC256:AC258)+AC268=0,0,IF(SUM(AC256:AC258)=AC268,0.5,IF(SUM(AC256:AC258)&gt;AC268,1,0)))</f>
        <v>0</v>
      </c>
      <c r="AE256" s="188"/>
      <c r="AF256" s="109">
        <f>IF(SUM(AE256:AE258)+AE268=0,0,IF(SUM(AE256:AE258)=AE268,0.5,IF(SUM(AE256:AE258)&gt;AE268,1,0)))</f>
        <v>0</v>
      </c>
      <c r="AG256" s="188"/>
      <c r="AH256" s="109">
        <f>IF(SUM(AG256:AG258)+AG268=0,0,IF(SUM(AG256:AG258)=AG268,0.5,IF(SUM(AG256:AG258)&gt;AG268,1,0)))</f>
        <v>0</v>
      </c>
      <c r="AI256" s="188"/>
      <c r="AJ256" s="109">
        <f>IF(SUM(AI256:AI258)+AI268=0,0,IF(SUM(AI256:AI258)=AI268,0.5,IF(SUM(AI256:AI258)&gt;AI268,1,0)))</f>
        <v>0</v>
      </c>
      <c r="AK256" s="188"/>
      <c r="AL256" s="109">
        <f>IF(SUM(AK256:AK258)+AK268=0,0,IF(SUM(AK256:AK258)=AK268,0.5,IF(SUM(AK256:AK258)&gt;AK268,1,0)))</f>
        <v>0</v>
      </c>
      <c r="AM256" s="188"/>
      <c r="AN256" s="109">
        <f>IF(SUM(AM256:AM258)+AM268=0,0,IF(SUM(AM256:AM258)=AM268,0.5,IF(SUM(AM256:AM258)&gt;AM268,1,0)))</f>
        <v>0</v>
      </c>
      <c r="AO256" s="188"/>
      <c r="AP256" s="109">
        <f>IF(SUM(AO256:AO258)+AO268=0,0,IF(SUM(AO256:AO258)=AO268,0.5,IF(SUM(AO256:AO258)&gt;AO268,1,0)))</f>
        <v>0</v>
      </c>
      <c r="AQ256" s="188"/>
      <c r="AR256" s="109">
        <f>IF(SUM(AQ256:AQ258)+AQ268=0,0,IF(SUM(AQ256:AQ258)=AQ268,0.5,IF(SUM(AQ256:AQ258)&gt;AQ268,1,0)))</f>
        <v>0</v>
      </c>
      <c r="AS256" s="188"/>
      <c r="AT256" s="109">
        <f>IF(SUM(AS256:AS258)+AS268=0,0,IF(SUM(AS256:AS258)=AS268,0.5,IF(SUM(AS256:AS258)&gt;AS268,1,0)))</f>
        <v>0</v>
      </c>
      <c r="AU256" s="110">
        <f t="shared" si="287"/>
        <v>0</v>
      </c>
      <c r="AV256" s="111">
        <f>SUM(AD256+AF256+AH256+AJ256+AL256+AN256+AP256+AR256+AT256)</f>
        <v>0</v>
      </c>
      <c r="AW256" s="101"/>
      <c r="AX256" s="102"/>
      <c r="AZ256" s="63"/>
      <c r="BA256" s="212"/>
      <c r="BB256" s="213"/>
      <c r="BC256" s="214"/>
      <c r="BD256" s="217">
        <f t="shared" si="300"/>
        <v>0</v>
      </c>
      <c r="BE256" s="213">
        <f t="shared" si="301"/>
        <v>0</v>
      </c>
      <c r="BF256" s="215">
        <f t="shared" si="302"/>
        <v>0</v>
      </c>
      <c r="BG256" s="215">
        <f t="shared" si="303"/>
        <v>0</v>
      </c>
      <c r="BH256" s="215" t="str">
        <f t="shared" si="288"/>
        <v/>
      </c>
      <c r="BI256" s="215" t="str">
        <f t="shared" si="289"/>
        <v/>
      </c>
      <c r="BJ256" s="215" t="str">
        <f t="shared" si="290"/>
        <v/>
      </c>
      <c r="BK256" s="215" t="str">
        <f t="shared" si="291"/>
        <v/>
      </c>
      <c r="BL256" s="215" t="str">
        <f t="shared" si="292"/>
        <v/>
      </c>
      <c r="BM256" s="215" t="str">
        <f t="shared" si="293"/>
        <v/>
      </c>
      <c r="BN256" s="215" t="str">
        <f t="shared" si="294"/>
        <v/>
      </c>
      <c r="BO256" s="215" t="str">
        <f t="shared" si="295"/>
        <v/>
      </c>
      <c r="BP256" s="215" t="str">
        <f t="shared" si="296"/>
        <v/>
      </c>
      <c r="BQ256" s="216"/>
      <c r="BR256" s="214"/>
      <c r="BS256" s="215">
        <f t="shared" si="304"/>
        <v>0</v>
      </c>
      <c r="BT256" s="215">
        <f t="shared" si="305"/>
        <v>2.5600000000000002E-7</v>
      </c>
      <c r="BU256" s="215" t="str">
        <f t="shared" si="306"/>
        <v>RW Lichtenhof 69 Stein 2</v>
      </c>
      <c r="BV256" s="214">
        <f t="shared" si="307"/>
        <v>15</v>
      </c>
      <c r="BW256" s="215">
        <f t="shared" si="308"/>
        <v>0</v>
      </c>
      <c r="BX256" s="215">
        <f>IF(COUNTIF(BH256:BP256,"&gt;0")&lt;Spielorte!$A$23,0,BE256/Spielorte!$A$23)</f>
        <v>0</v>
      </c>
      <c r="BY256" s="215">
        <f t="shared" si="309"/>
        <v>2.5600000000000002E-7</v>
      </c>
      <c r="BZ256" s="214">
        <f t="shared" si="297"/>
        <v>15</v>
      </c>
    </row>
    <row r="257" spans="1:78" ht="17.2" customHeight="1" x14ac:dyDescent="0.35">
      <c r="A257" s="368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49"/>
      <c r="F257" s="78" t="str">
        <f t="shared" si="279"/>
        <v/>
      </c>
      <c r="G257" s="349"/>
      <c r="H257" s="78" t="str">
        <f t="shared" si="280"/>
        <v/>
      </c>
      <c r="I257" s="349"/>
      <c r="J257" s="78" t="str">
        <f t="shared" si="281"/>
        <v/>
      </c>
      <c r="K257" s="349"/>
      <c r="L257" s="78" t="str">
        <f t="shared" si="282"/>
        <v/>
      </c>
      <c r="M257" s="349"/>
      <c r="N257" s="78" t="str">
        <f t="shared" si="299"/>
        <v/>
      </c>
      <c r="O257" s="349"/>
      <c r="P257" s="78" t="str">
        <f t="shared" si="283"/>
        <v/>
      </c>
      <c r="Q257" s="349"/>
      <c r="R257" s="78" t="str">
        <f t="shared" si="284"/>
        <v/>
      </c>
      <c r="S257" s="349"/>
      <c r="T257" s="78" t="str">
        <f t="shared" si="285"/>
        <v/>
      </c>
      <c r="U257" s="349"/>
      <c r="V257" s="78" t="str">
        <f t="shared" si="286"/>
        <v/>
      </c>
      <c r="W257" s="349"/>
      <c r="Z257" s="352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2.5699999999999999E-7</v>
      </c>
      <c r="BU257" s="215" t="str">
        <f t="shared" si="306"/>
        <v>RW Lichtenhof 69 Stein 2</v>
      </c>
      <c r="BV257" s="214">
        <f t="shared" si="307"/>
        <v>14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2.5699999999999999E-7</v>
      </c>
      <c r="BZ257" s="214">
        <f t="shared" si="297"/>
        <v>14</v>
      </c>
    </row>
    <row r="258" spans="1:78" ht="17.2" customHeight="1" thickBot="1" x14ac:dyDescent="0.4">
      <c r="A258" s="369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50"/>
      <c r="F258" s="69" t="str">
        <f t="shared" si="279"/>
        <v/>
      </c>
      <c r="G258" s="350"/>
      <c r="H258" s="69" t="str">
        <f t="shared" si="280"/>
        <v/>
      </c>
      <c r="I258" s="350"/>
      <c r="J258" s="69" t="str">
        <f t="shared" si="281"/>
        <v/>
      </c>
      <c r="K258" s="350"/>
      <c r="L258" s="69" t="str">
        <f t="shared" si="282"/>
        <v/>
      </c>
      <c r="M258" s="350"/>
      <c r="N258" s="69" t="str">
        <f t="shared" si="299"/>
        <v/>
      </c>
      <c r="O258" s="350"/>
      <c r="P258" s="69" t="str">
        <f t="shared" si="283"/>
        <v/>
      </c>
      <c r="Q258" s="350"/>
      <c r="R258" s="69" t="str">
        <f t="shared" si="284"/>
        <v/>
      </c>
      <c r="S258" s="350"/>
      <c r="T258" s="69" t="str">
        <f t="shared" si="285"/>
        <v/>
      </c>
      <c r="U258" s="350"/>
      <c r="V258" s="69" t="str">
        <f t="shared" si="286"/>
        <v/>
      </c>
      <c r="W258" s="350"/>
      <c r="Z258" s="353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2.5800000000000001E-7</v>
      </c>
      <c r="BU258" s="215" t="str">
        <f t="shared" si="306"/>
        <v>RW Lichtenhof 69 Stein 2</v>
      </c>
      <c r="BV258" s="214">
        <f t="shared" si="307"/>
        <v>13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2.5800000000000001E-7</v>
      </c>
      <c r="BZ258" s="214">
        <f t="shared" si="297"/>
        <v>13</v>
      </c>
    </row>
    <row r="259" spans="1:78" ht="27.75" customHeight="1" thickBot="1" x14ac:dyDescent="0.4">
      <c r="B259" s="81" t="str">
        <f>IF(AA259=0,"",AA259)</f>
        <v>Gesamt</v>
      </c>
      <c r="C259" s="82" t="str">
        <f t="shared" si="298"/>
        <v/>
      </c>
      <c r="D259" s="83" t="str">
        <f t="shared" si="298"/>
        <v/>
      </c>
      <c r="E259" s="84">
        <f>IF(AD259="","",AD259)</f>
        <v>0</v>
      </c>
      <c r="F259" s="83" t="str">
        <f t="shared" si="279"/>
        <v/>
      </c>
      <c r="G259" s="84">
        <f>IF(AF259="","",AF259)</f>
        <v>0</v>
      </c>
      <c r="H259" s="83" t="str">
        <f t="shared" si="280"/>
        <v/>
      </c>
      <c r="I259" s="84">
        <f>IF(AH259="","",AH259)</f>
        <v>0</v>
      </c>
      <c r="J259" s="83" t="str">
        <f t="shared" si="281"/>
        <v/>
      </c>
      <c r="K259" s="84">
        <f>IF(AJ259="","",AJ259)</f>
        <v>0</v>
      </c>
      <c r="L259" s="83" t="str">
        <f t="shared" si="282"/>
        <v/>
      </c>
      <c r="M259" s="84">
        <f>IF(AL259="","",AL259)</f>
        <v>0</v>
      </c>
      <c r="N259" s="83" t="str">
        <f t="shared" si="299"/>
        <v/>
      </c>
      <c r="O259" s="84">
        <f>IF(AN259="","",AN259)</f>
        <v>0</v>
      </c>
      <c r="P259" s="83" t="str">
        <f t="shared" si="283"/>
        <v/>
      </c>
      <c r="Q259" s="84">
        <f>IF(AP259="","",AP259)</f>
        <v>0</v>
      </c>
      <c r="R259" s="83" t="str">
        <f t="shared" si="284"/>
        <v/>
      </c>
      <c r="S259" s="84">
        <f>IF(AR259="","",AR259)</f>
        <v>0</v>
      </c>
      <c r="T259" s="83" t="str">
        <f t="shared" si="285"/>
        <v/>
      </c>
      <c r="U259" s="84">
        <f>IF(AT259="","",AT259)</f>
        <v>0</v>
      </c>
      <c r="V259" s="83" t="str">
        <f t="shared" si="286"/>
        <v/>
      </c>
      <c r="W259" s="84">
        <f>IF(AV259="","",AV259)</f>
        <v>0</v>
      </c>
      <c r="AA259" s="81" t="s">
        <v>1799</v>
      </c>
      <c r="AB259" s="120"/>
      <c r="AC259" s="211">
        <f>ABS(SUM(AC247:AC249))+ABS(SUM(AC250:AC252))+ABS(SUM(AC253:AC255))+ABS(SUM(AC256:AC258))</f>
        <v>0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0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0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0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0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0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0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0</v>
      </c>
      <c r="AT259" s="121">
        <f>IF(AS259+AS269=0,0,IF(AS259=AS269,1,IF(AS259&gt;AS269,2,0)))</f>
        <v>0</v>
      </c>
      <c r="AU259" s="122">
        <f>SUM(AC259+AE259+AG259+AI259+AK259+AM259+AO259+AQ259+AS259)</f>
        <v>0</v>
      </c>
      <c r="AV259" s="123">
        <f>SUM(AD259+AF259+AH259+AJ259+AL259+AN259+AP259+AR259+AT259)</f>
        <v>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4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0</v>
      </c>
      <c r="F260" s="86" t="str">
        <f t="shared" si="279"/>
        <v/>
      </c>
      <c r="G260" s="87">
        <f>IF(AF260="","",AF260)</f>
        <v>0</v>
      </c>
      <c r="H260" s="86" t="str">
        <f t="shared" si="280"/>
        <v/>
      </c>
      <c r="I260" s="87">
        <f>IF(AH260="","",AH260)</f>
        <v>0</v>
      </c>
      <c r="J260" s="86" t="str">
        <f t="shared" si="281"/>
        <v/>
      </c>
      <c r="K260" s="87">
        <f>IF(AJ260="","",AJ260)</f>
        <v>0</v>
      </c>
      <c r="L260" s="86" t="str">
        <f t="shared" si="282"/>
        <v/>
      </c>
      <c r="M260" s="87">
        <f>IF(AL260="","",AL260)</f>
        <v>0</v>
      </c>
      <c r="N260" s="86" t="str">
        <f t="shared" si="299"/>
        <v/>
      </c>
      <c r="O260" s="87">
        <f>IF(AN260="","",AN260)</f>
        <v>0</v>
      </c>
      <c r="P260" s="86" t="str">
        <f t="shared" si="283"/>
        <v/>
      </c>
      <c r="Q260" s="87">
        <f>IF(AP260="","",AP260)</f>
        <v>0</v>
      </c>
      <c r="R260" s="86" t="str">
        <f t="shared" si="284"/>
        <v/>
      </c>
      <c r="S260" s="87">
        <f>IF(AR260="","",AR260)</f>
        <v>0</v>
      </c>
      <c r="T260" s="86" t="str">
        <f t="shared" si="285"/>
        <v/>
      </c>
      <c r="U260" s="87">
        <f>IF(AT260="","",AT260)</f>
        <v>0</v>
      </c>
      <c r="V260" s="86" t="str">
        <f t="shared" si="286"/>
        <v/>
      </c>
      <c r="W260" s="87">
        <f>IF(AV260="","",AV260)</f>
        <v>0</v>
      </c>
      <c r="AA260" s="85" t="s">
        <v>1814</v>
      </c>
      <c r="AB260" s="86"/>
      <c r="AC260" s="86"/>
      <c r="AD260" s="124">
        <f>SUM(AD247:AD259)</f>
        <v>0</v>
      </c>
      <c r="AE260" s="86"/>
      <c r="AF260" s="124">
        <f>SUM(AF247:AF259)</f>
        <v>0</v>
      </c>
      <c r="AG260" s="86"/>
      <c r="AH260" s="124">
        <f>SUM(AH247:AH259)</f>
        <v>0</v>
      </c>
      <c r="AI260" s="86"/>
      <c r="AJ260" s="124">
        <f>SUM(AJ247:AJ259)</f>
        <v>0</v>
      </c>
      <c r="AK260" s="86"/>
      <c r="AL260" s="124">
        <f>SUM(AL247:AL259)</f>
        <v>0</v>
      </c>
      <c r="AM260" s="86"/>
      <c r="AN260" s="124">
        <f>SUM(AN247:AN259)</f>
        <v>0</v>
      </c>
      <c r="AO260" s="86"/>
      <c r="AP260" s="124">
        <f>SUM(AP247:AP259)</f>
        <v>0</v>
      </c>
      <c r="AQ260" s="86"/>
      <c r="AR260" s="124">
        <f>SUM(AR247:AR259)</f>
        <v>0</v>
      </c>
      <c r="AS260" s="86"/>
      <c r="AT260" s="124">
        <f>SUM(AT247:AT259)</f>
        <v>0</v>
      </c>
      <c r="AU260" s="86"/>
      <c r="AV260" s="125">
        <f>SUM(AV247:AV259)</f>
        <v>0</v>
      </c>
      <c r="AW260" s="101"/>
      <c r="AX260" s="102"/>
      <c r="BA260" s="212">
        <f>+AV260</f>
        <v>0</v>
      </c>
      <c r="BB260" s="213">
        <f>+AU259</f>
        <v>0</v>
      </c>
      <c r="BC260" s="214">
        <f>+AA242</f>
        <v>9</v>
      </c>
      <c r="BF260" s="215">
        <f>SUM(BF241:BF259)</f>
        <v>0</v>
      </c>
      <c r="BQ260" s="212">
        <f>+BB260/1000000+BA260</f>
        <v>0</v>
      </c>
      <c r="BR260" s="214">
        <f>RANK(BQ260,BQ:BQ)</f>
        <v>1</v>
      </c>
      <c r="BV260" s="214"/>
      <c r="BZ260" s="214"/>
    </row>
    <row r="261" spans="1:78" ht="11.25" customHeight="1" x14ac:dyDescent="0.3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3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46">
        <f t="shared" si="310"/>
        <v>10</v>
      </c>
      <c r="E262" s="346" t="str">
        <f t="shared" si="310"/>
        <v/>
      </c>
      <c r="F262" s="346">
        <f t="shared" si="310"/>
        <v>2</v>
      </c>
      <c r="G262" s="346" t="str">
        <f t="shared" si="310"/>
        <v/>
      </c>
      <c r="H262" s="346">
        <f t="shared" si="310"/>
        <v>8</v>
      </c>
      <c r="I262" s="346" t="str">
        <f t="shared" si="310"/>
        <v/>
      </c>
      <c r="J262" s="346">
        <f t="shared" si="310"/>
        <v>1</v>
      </c>
      <c r="K262" s="346" t="str">
        <f t="shared" si="310"/>
        <v/>
      </c>
      <c r="L262" s="346">
        <f t="shared" si="310"/>
        <v>5</v>
      </c>
      <c r="M262" s="346" t="str">
        <f t="shared" si="310"/>
        <v/>
      </c>
      <c r="N262" s="346">
        <f t="shared" si="310"/>
        <v>6</v>
      </c>
      <c r="O262" s="346" t="str">
        <f t="shared" si="310"/>
        <v/>
      </c>
      <c r="P262" s="346">
        <f t="shared" si="310"/>
        <v>7</v>
      </c>
      <c r="Q262" s="346" t="str">
        <f t="shared" si="310"/>
        <v/>
      </c>
      <c r="R262" s="346">
        <f t="shared" ref="L262:U264" si="311">IF(AQ262=0,"",AQ262)</f>
        <v>3</v>
      </c>
      <c r="S262" s="346" t="str">
        <f t="shared" si="311"/>
        <v/>
      </c>
      <c r="T262" s="346">
        <f t="shared" si="311"/>
        <v>4</v>
      </c>
      <c r="U262" s="346" t="str">
        <f t="shared" si="311"/>
        <v/>
      </c>
      <c r="V262" s="347"/>
      <c r="W262" s="347"/>
      <c r="AA262" s="88" t="s">
        <v>1797</v>
      </c>
      <c r="AB262" s="89" t="s">
        <v>1798</v>
      </c>
      <c r="AC262" s="370">
        <f>VLOOKUP($AA242,Schlüssel!$A$5:$DG$14,83)</f>
        <v>10</v>
      </c>
      <c r="AD262" s="371"/>
      <c r="AE262" s="370">
        <f>VLOOKUP($AA242,Schlüssel!$A$5:$EK$14,84)</f>
        <v>2</v>
      </c>
      <c r="AF262" s="371"/>
      <c r="AG262" s="370">
        <f>VLOOKUP($AA242,Schlüssel!$A$5:$EK$14,85)</f>
        <v>8</v>
      </c>
      <c r="AH262" s="371"/>
      <c r="AI262" s="370">
        <f>VLOOKUP($AA242,Schlüssel!$A$5:$EK$14,86)</f>
        <v>1</v>
      </c>
      <c r="AJ262" s="371"/>
      <c r="AK262" s="370">
        <f>VLOOKUP($AA242,Schlüssel!$A$5:$EK$14,87)</f>
        <v>5</v>
      </c>
      <c r="AL262" s="371"/>
      <c r="AM262" s="370">
        <f>VLOOKUP($AA242,Schlüssel!$A$5:$EK$14,88)</f>
        <v>6</v>
      </c>
      <c r="AN262" s="371"/>
      <c r="AO262" s="370">
        <f>VLOOKUP($AA242,Schlüssel!$A$5:$EK$14,89)</f>
        <v>7</v>
      </c>
      <c r="AP262" s="371"/>
      <c r="AQ262" s="370">
        <f>VLOOKUP($AA242,Schlüssel!$A$5:$EK$14,90)</f>
        <v>3</v>
      </c>
      <c r="AR262" s="371"/>
      <c r="AS262" s="370">
        <f>VLOOKUP($AA242,Schlüssel!$A$5:$EK$14,91)</f>
        <v>4</v>
      </c>
      <c r="AT262" s="371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35">
      <c r="B263" s="90" t="str">
        <f t="shared" ref="B263:K264" si="312">IF(AA263=0,"",AA263)</f>
        <v/>
      </c>
      <c r="C263" s="86" t="str">
        <f t="shared" si="312"/>
        <v/>
      </c>
      <c r="D263" s="343" t="str">
        <f t="shared" si="312"/>
        <v>BK München 4</v>
      </c>
      <c r="E263" s="344" t="str">
        <f t="shared" si="312"/>
        <v/>
      </c>
      <c r="F263" s="343" t="str">
        <f t="shared" si="312"/>
        <v>BK München 2</v>
      </c>
      <c r="G263" s="344" t="str">
        <f t="shared" si="312"/>
        <v/>
      </c>
      <c r="H263" s="343" t="str">
        <f t="shared" si="312"/>
        <v>EPA München 1</v>
      </c>
      <c r="I263" s="344" t="str">
        <f t="shared" si="312"/>
        <v/>
      </c>
      <c r="J263" s="343" t="str">
        <f t="shared" si="312"/>
        <v>Praetoria Regensburg</v>
      </c>
      <c r="K263" s="344" t="str">
        <f t="shared" si="312"/>
        <v/>
      </c>
      <c r="L263" s="343" t="str">
        <f t="shared" si="311"/>
        <v xml:space="preserve">Weiß Blau Unterföhring </v>
      </c>
      <c r="M263" s="344" t="str">
        <f t="shared" si="311"/>
        <v/>
      </c>
      <c r="N263" s="343" t="str">
        <f t="shared" si="311"/>
        <v>Phönix 03 Lauf</v>
      </c>
      <c r="O263" s="344" t="str">
        <f t="shared" si="311"/>
        <v/>
      </c>
      <c r="P263" s="343" t="str">
        <f t="shared" si="311"/>
        <v>Frankenpower Nürnberg</v>
      </c>
      <c r="Q263" s="344" t="str">
        <f t="shared" si="311"/>
        <v/>
      </c>
      <c r="R263" s="343" t="str">
        <f t="shared" si="311"/>
        <v>Highroller Rosenheim</v>
      </c>
      <c r="S263" s="344" t="str">
        <f t="shared" si="311"/>
        <v/>
      </c>
      <c r="T263" s="343" t="str">
        <f t="shared" si="311"/>
        <v>BK München 3</v>
      </c>
      <c r="U263" s="344" t="str">
        <f t="shared" si="311"/>
        <v/>
      </c>
      <c r="V263" s="345"/>
      <c r="W263" s="345"/>
      <c r="AA263" s="90"/>
      <c r="AB263" s="86"/>
      <c r="AC263" s="343" t="str">
        <f>VLOOKUP(AC262,Schlüssel!$A$5:$K$14,2)</f>
        <v>BK München 4</v>
      </c>
      <c r="AD263" s="344"/>
      <c r="AE263" s="343" t="str">
        <f>VLOOKUP(AE262,Schlüssel!$A$5:$K$14,2)</f>
        <v>BK München 2</v>
      </c>
      <c r="AF263" s="344"/>
      <c r="AG263" s="343" t="str">
        <f>VLOOKUP(AG262,Schlüssel!$A$5:$K$14,2)</f>
        <v>EPA München 1</v>
      </c>
      <c r="AH263" s="344"/>
      <c r="AI263" s="343" t="str">
        <f>VLOOKUP(AI262,Schlüssel!$A$5:$K$14,2)</f>
        <v>Praetoria Regensburg</v>
      </c>
      <c r="AJ263" s="344"/>
      <c r="AK263" s="343" t="str">
        <f>VLOOKUP(AK262,Schlüssel!$A$5:$K$14,2)</f>
        <v xml:space="preserve">Weiß Blau Unterföhring </v>
      </c>
      <c r="AL263" s="344"/>
      <c r="AM263" s="343" t="str">
        <f>VLOOKUP(AM262,Schlüssel!$A$5:$K$14,2)</f>
        <v>Phönix 03 Lauf</v>
      </c>
      <c r="AN263" s="344"/>
      <c r="AO263" s="343" t="str">
        <f>VLOOKUP(AO262,Schlüssel!$A$5:$K$14,2)</f>
        <v>Frankenpower Nürnberg</v>
      </c>
      <c r="AP263" s="344"/>
      <c r="AQ263" s="343" t="str">
        <f>VLOOKUP(AQ262,Schlüssel!$A$5:$K$14,2)</f>
        <v>Highroller Rosenheim</v>
      </c>
      <c r="AR263" s="344"/>
      <c r="AS263" s="343" t="str">
        <f>VLOOKUP(AS262,Schlüssel!$A$5:$K$14,2)</f>
        <v>BK München 3</v>
      </c>
      <c r="AT263" s="344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35">
      <c r="B264" s="90" t="str">
        <f t="shared" si="312"/>
        <v/>
      </c>
      <c r="C264" s="86" t="str">
        <f t="shared" si="312"/>
        <v/>
      </c>
      <c r="D264" s="341" t="str">
        <f t="shared" si="312"/>
        <v/>
      </c>
      <c r="E264" s="341" t="str">
        <f t="shared" si="312"/>
        <v/>
      </c>
      <c r="F264" s="341" t="str">
        <f t="shared" si="312"/>
        <v/>
      </c>
      <c r="G264" s="341" t="str">
        <f t="shared" si="312"/>
        <v/>
      </c>
      <c r="H264" s="341" t="str">
        <f t="shared" si="312"/>
        <v/>
      </c>
      <c r="I264" s="341" t="str">
        <f t="shared" si="312"/>
        <v/>
      </c>
      <c r="J264" s="341" t="str">
        <f t="shared" si="312"/>
        <v/>
      </c>
      <c r="K264" s="341" t="str">
        <f t="shared" si="312"/>
        <v/>
      </c>
      <c r="L264" s="341" t="str">
        <f t="shared" si="311"/>
        <v/>
      </c>
      <c r="M264" s="341" t="str">
        <f t="shared" si="311"/>
        <v/>
      </c>
      <c r="N264" s="341" t="str">
        <f t="shared" si="311"/>
        <v/>
      </c>
      <c r="O264" s="341" t="str">
        <f t="shared" si="311"/>
        <v/>
      </c>
      <c r="P264" s="341" t="str">
        <f t="shared" si="311"/>
        <v/>
      </c>
      <c r="Q264" s="341" t="str">
        <f t="shared" si="311"/>
        <v/>
      </c>
      <c r="R264" s="341" t="str">
        <f t="shared" si="311"/>
        <v/>
      </c>
      <c r="S264" s="341" t="str">
        <f t="shared" si="311"/>
        <v/>
      </c>
      <c r="T264" s="341" t="str">
        <f t="shared" si="311"/>
        <v/>
      </c>
      <c r="U264" s="342" t="str">
        <f t="shared" si="311"/>
        <v/>
      </c>
      <c r="V264" s="301"/>
      <c r="W264" s="301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6.05" customHeight="1" x14ac:dyDescent="0.35">
      <c r="B265" s="365" t="str">
        <f t="shared" ref="B265:C269" si="313">IF(AA265=0,"",AA265)</f>
        <v>Spieler 1</v>
      </c>
      <c r="C265" s="366" t="str">
        <f t="shared" si="313"/>
        <v/>
      </c>
      <c r="D265" s="339">
        <f>IF(AC265=301,"",AC265)</f>
        <v>0</v>
      </c>
      <c r="E265" s="339" t="str">
        <f>IF(AD265=0,"",AD265)</f>
        <v/>
      </c>
      <c r="F265" s="339">
        <f>IF(AE265=301,"",AE265)</f>
        <v>0</v>
      </c>
      <c r="G265" s="339" t="str">
        <f>IF(AF265=0,"",AF265)</f>
        <v/>
      </c>
      <c r="H265" s="339">
        <f>IF(AG265=301,"",AG265)</f>
        <v>0</v>
      </c>
      <c r="I265" s="339" t="str">
        <f>IF(AH265=0,"",AH265)</f>
        <v/>
      </c>
      <c r="J265" s="339">
        <f>IF(AI265=301,"",AI265)</f>
        <v>0</v>
      </c>
      <c r="K265" s="339" t="str">
        <f>IF(AJ265=0,"",AJ265)</f>
        <v/>
      </c>
      <c r="L265" s="339">
        <f>IF(AK265=301,"",AK265)</f>
        <v>0</v>
      </c>
      <c r="M265" s="339" t="str">
        <f>IF(AL265=0,"",AL265)</f>
        <v/>
      </c>
      <c r="N265" s="339">
        <f>IF(AM265=301,"",AM265)</f>
        <v>0</v>
      </c>
      <c r="O265" s="339" t="str">
        <f>IF(AN265=0,"",AN265)</f>
        <v/>
      </c>
      <c r="P265" s="339">
        <f>IF(AO265=301,"",AO265)</f>
        <v>0</v>
      </c>
      <c r="Q265" s="339" t="str">
        <f>IF(AP265=0,"",AP265)</f>
        <v/>
      </c>
      <c r="R265" s="339">
        <f>IF(AQ265=301,"",AQ265)</f>
        <v>0</v>
      </c>
      <c r="S265" s="339" t="str">
        <f>IF(AR265=0,"",AR265)</f>
        <v/>
      </c>
      <c r="T265" s="339">
        <f>IF(AS265=301,"",AS265)</f>
        <v>0</v>
      </c>
      <c r="U265" s="339" t="str">
        <f>IF(AT265=0,"",AT265)</f>
        <v/>
      </c>
      <c r="V265" s="340"/>
      <c r="W265" s="340"/>
      <c r="AA265" s="91" t="s">
        <v>0</v>
      </c>
      <c r="AB265" s="92"/>
      <c r="AC265" s="372">
        <f>ABS(INDEX(AC:AC,MATCH(AC262,$AA:$AA,0)+5)+INDEX(AC:AC,MATCH(AC262,$AA:$AA,0)+6)+INDEX(AC:AC,MATCH(AC262,$AA:$AA,0)+7))</f>
        <v>0</v>
      </c>
      <c r="AD265" s="373"/>
      <c r="AE265" s="372">
        <f>ABS(INDEX(AE:AE,MATCH(AE262,$AA:$AA,0)+5)+INDEX(AE:AE,MATCH(AE262,$AA:$AA,0)+6)+INDEX(AE:AE,MATCH(AE262,$AA:$AA,0)+7))</f>
        <v>0</v>
      </c>
      <c r="AF265" s="373"/>
      <c r="AG265" s="372">
        <f>ABS(INDEX(AG:AG,MATCH(AG262,$AA:$AA,0)+5)+INDEX(AG:AG,MATCH(AG262,$AA:$AA,0)+6)+INDEX(AG:AG,MATCH(AG262,$AA:$AA,0)+7))</f>
        <v>0</v>
      </c>
      <c r="AH265" s="373"/>
      <c r="AI265" s="372">
        <f>ABS(INDEX(AI:AI,MATCH(AI262,$AA:$AA,0)+5)+INDEX(AI:AI,MATCH(AI262,$AA:$AA,0)+6)+INDEX(AI:AI,MATCH(AI262,$AA:$AA,0)+7))</f>
        <v>0</v>
      </c>
      <c r="AJ265" s="373"/>
      <c r="AK265" s="372">
        <f>ABS(INDEX(AK:AK,MATCH(AK262,$AA:$AA,0)+5)+INDEX(AK:AK,MATCH(AK262,$AA:$AA,0)+6)+INDEX(AK:AK,MATCH(AK262,$AA:$AA,0)+7))</f>
        <v>0</v>
      </c>
      <c r="AL265" s="373"/>
      <c r="AM265" s="372">
        <f>ABS(INDEX(AM:AM,MATCH(AM262,$AA:$AA,0)+5)+INDEX(AM:AM,MATCH(AM262,$AA:$AA,0)+6)+INDEX(AM:AM,MATCH(AM262,$AA:$AA,0)+7))</f>
        <v>0</v>
      </c>
      <c r="AN265" s="373"/>
      <c r="AO265" s="372">
        <f>ABS(INDEX(AO:AO,MATCH(AO262,$AA:$AA,0)+5)+INDEX(AO:AO,MATCH(AO262,$AA:$AA,0)+6)+INDEX(AO:AO,MATCH(AO262,$AA:$AA,0)+7))</f>
        <v>0</v>
      </c>
      <c r="AP265" s="373"/>
      <c r="AQ265" s="372">
        <f>ABS(INDEX(AQ:AQ,MATCH(AQ262,$AA:$AA,0)+5)+INDEX(AQ:AQ,MATCH(AQ262,$AA:$AA,0)+6)+INDEX(AQ:AQ,MATCH(AQ262,$AA:$AA,0)+7))</f>
        <v>0</v>
      </c>
      <c r="AR265" s="373"/>
      <c r="AS265" s="372">
        <f>ABS(INDEX(AS:AS,MATCH(AS262,$AA:$AA,0)+5)+INDEX(AS:AS,MATCH(AS262,$AA:$AA,0)+6)+INDEX(AS:AS,MATCH(AS262,$AA:$AA,0)+7))</f>
        <v>0</v>
      </c>
      <c r="AT265" s="373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6.05" customHeight="1" x14ac:dyDescent="0.35">
      <c r="B266" s="365" t="str">
        <f t="shared" si="313"/>
        <v>Spieler 2</v>
      </c>
      <c r="C266" s="366" t="str">
        <f t="shared" si="313"/>
        <v/>
      </c>
      <c r="D266" s="339">
        <f>IF(AC266=301,"",AC266)</f>
        <v>0</v>
      </c>
      <c r="E266" s="339" t="str">
        <f>IF(AD266=0,"",AD266)</f>
        <v/>
      </c>
      <c r="F266" s="339">
        <f>IF(AE266=301,"",AE266)</f>
        <v>0</v>
      </c>
      <c r="G266" s="339" t="str">
        <f>IF(AF266=0,"",AF266)</f>
        <v/>
      </c>
      <c r="H266" s="339">
        <f>IF(AG266=301,"",AG266)</f>
        <v>0</v>
      </c>
      <c r="I266" s="339" t="str">
        <f>IF(AH266=0,"",AH266)</f>
        <v/>
      </c>
      <c r="J266" s="339">
        <f>IF(AI266=301,"",AI266)</f>
        <v>0</v>
      </c>
      <c r="K266" s="339" t="str">
        <f>IF(AJ266=0,"",AJ266)</f>
        <v/>
      </c>
      <c r="L266" s="339">
        <f>IF(AK266=301,"",AK266)</f>
        <v>0</v>
      </c>
      <c r="M266" s="339" t="str">
        <f>IF(AL266=0,"",AL266)</f>
        <v/>
      </c>
      <c r="N266" s="339">
        <f>IF(AM266=301,"",AM266)</f>
        <v>0</v>
      </c>
      <c r="O266" s="339" t="str">
        <f>IF(AN266=0,"",AN266)</f>
        <v/>
      </c>
      <c r="P266" s="339">
        <f>IF(AO266=301,"",AO266)</f>
        <v>0</v>
      </c>
      <c r="Q266" s="339" t="str">
        <f>IF(AP266=0,"",AP266)</f>
        <v/>
      </c>
      <c r="R266" s="339">
        <f>IF(AQ266=301,"",AQ266)</f>
        <v>0</v>
      </c>
      <c r="S266" s="339" t="str">
        <f>IF(AR266=0,"",AR266)</f>
        <v/>
      </c>
      <c r="T266" s="339">
        <f>IF(AS266=301,"",AS266)</f>
        <v>0</v>
      </c>
      <c r="U266" s="339" t="str">
        <f>IF(AT266=0,"",AT266)</f>
        <v/>
      </c>
      <c r="V266" s="340"/>
      <c r="W266" s="340"/>
      <c r="AA266" s="91" t="s">
        <v>2</v>
      </c>
      <c r="AB266" s="92"/>
      <c r="AC266" s="374">
        <f>ABS(INDEX(AC:AC,MATCH(AC262,$AA:$AA,0)+8)+INDEX(AC:AC,MATCH(AC262,$AA:$AA,0)+9)+INDEX(AC:AC,MATCH(AC262,$AA:$AA,0)+10))</f>
        <v>0</v>
      </c>
      <c r="AD266" s="375"/>
      <c r="AE266" s="374">
        <f>ABS(INDEX(AE:AE,MATCH(AE262,$AA:$AA,0)+8)+INDEX(AE:AE,MATCH(AE262,$AA:$AA,0)+9)+INDEX(AE:AE,MATCH(AE262,$AA:$AA,0)+10))</f>
        <v>0</v>
      </c>
      <c r="AF266" s="375"/>
      <c r="AG266" s="374">
        <f>ABS(INDEX(AG:AG,MATCH(AG262,$AA:$AA,0)+8)+INDEX(AG:AG,MATCH(AG262,$AA:$AA,0)+9)+INDEX(AG:AG,MATCH(AG262,$AA:$AA,0)+10))</f>
        <v>0</v>
      </c>
      <c r="AH266" s="375"/>
      <c r="AI266" s="374">
        <f>ABS(INDEX(AI:AI,MATCH(AI262,$AA:$AA,0)+8)+INDEX(AI:AI,MATCH(AI262,$AA:$AA,0)+9)+INDEX(AI:AI,MATCH(AI262,$AA:$AA,0)+10))</f>
        <v>0</v>
      </c>
      <c r="AJ266" s="375"/>
      <c r="AK266" s="374">
        <f>ABS(INDEX(AK:AK,MATCH(AK262,$AA:$AA,0)+8)+INDEX(AK:AK,MATCH(AK262,$AA:$AA,0)+9)+INDEX(AK:AK,MATCH(AK262,$AA:$AA,0)+10))</f>
        <v>0</v>
      </c>
      <c r="AL266" s="375"/>
      <c r="AM266" s="374">
        <f>ABS(INDEX(AM:AM,MATCH(AM262,$AA:$AA,0)+8)+INDEX(AM:AM,MATCH(AM262,$AA:$AA,0)+9)+INDEX(AM:AM,MATCH(AM262,$AA:$AA,0)+10))</f>
        <v>0</v>
      </c>
      <c r="AN266" s="375"/>
      <c r="AO266" s="374">
        <f>ABS(INDEX(AO:AO,MATCH(AO262,$AA:$AA,0)+8)+INDEX(AO:AO,MATCH(AO262,$AA:$AA,0)+9)+INDEX(AO:AO,MATCH(AO262,$AA:$AA,0)+10))</f>
        <v>0</v>
      </c>
      <c r="AP266" s="375"/>
      <c r="AQ266" s="374">
        <f>ABS(INDEX(AQ:AQ,MATCH(AQ262,$AA:$AA,0)+8)+INDEX(AQ:AQ,MATCH(AQ262,$AA:$AA,0)+9)+INDEX(AQ:AQ,MATCH(AQ262,$AA:$AA,0)+10))</f>
        <v>0</v>
      </c>
      <c r="AR266" s="375"/>
      <c r="AS266" s="374">
        <f>ABS(INDEX(AS:AS,MATCH(AS262,$AA:$AA,0)+8)+INDEX(AS:AS,MATCH(AS262,$AA:$AA,0)+9)+INDEX(AS:AS,MATCH(AS262,$AA:$AA,0)+10))</f>
        <v>0</v>
      </c>
      <c r="AT266" s="37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6.05" customHeight="1" x14ac:dyDescent="0.35">
      <c r="B267" s="365" t="str">
        <f t="shared" si="313"/>
        <v>Spieler 3</v>
      </c>
      <c r="C267" s="366" t="str">
        <f t="shared" si="313"/>
        <v/>
      </c>
      <c r="D267" s="339">
        <f>IF(AC267=301,"",AC267)</f>
        <v>0</v>
      </c>
      <c r="E267" s="339" t="str">
        <f>IF(AD267=0,"",AD267)</f>
        <v/>
      </c>
      <c r="F267" s="339">
        <f>IF(AE267=301,"",AE267)</f>
        <v>0</v>
      </c>
      <c r="G267" s="339" t="str">
        <f>IF(AF267=0,"",AF267)</f>
        <v/>
      </c>
      <c r="H267" s="339">
        <f>IF(AG267=301,"",AG267)</f>
        <v>0</v>
      </c>
      <c r="I267" s="339" t="str">
        <f>IF(AH267=0,"",AH267)</f>
        <v/>
      </c>
      <c r="J267" s="339">
        <f>IF(AI267=301,"",AI267)</f>
        <v>0</v>
      </c>
      <c r="K267" s="339" t="str">
        <f>IF(AJ267=0,"",AJ267)</f>
        <v/>
      </c>
      <c r="L267" s="339">
        <f>IF(AK267=301,"",AK267)</f>
        <v>0</v>
      </c>
      <c r="M267" s="339" t="str">
        <f>IF(AL267=0,"",AL267)</f>
        <v/>
      </c>
      <c r="N267" s="339">
        <f>IF(AM267=301,"",AM267)</f>
        <v>0</v>
      </c>
      <c r="O267" s="339" t="str">
        <f>IF(AN267=0,"",AN267)</f>
        <v/>
      </c>
      <c r="P267" s="339">
        <f>IF(AO267=301,"",AO267)</f>
        <v>0</v>
      </c>
      <c r="Q267" s="339" t="str">
        <f>IF(AP267=0,"",AP267)</f>
        <v/>
      </c>
      <c r="R267" s="339">
        <f>IF(AQ267=301,"",AQ267)</f>
        <v>0</v>
      </c>
      <c r="S267" s="339" t="str">
        <f>IF(AR267=0,"",AR267)</f>
        <v/>
      </c>
      <c r="T267" s="339">
        <f>IF(AS267=301,"",AS267)</f>
        <v>0</v>
      </c>
      <c r="U267" s="339" t="str">
        <f>IF(AT267=0,"",AT267)</f>
        <v/>
      </c>
      <c r="V267" s="340"/>
      <c r="W267" s="340"/>
      <c r="AA267" s="91" t="s">
        <v>3</v>
      </c>
      <c r="AB267" s="92"/>
      <c r="AC267" s="374">
        <f>ABS(INDEX(AC:AC,MATCH(AC262,$AA:$AA,0)+11)+INDEX(AC:AC,MATCH(AC262,$AA:$AA,0)+12)+INDEX(AC:AC,MATCH(AC262,$AA:$AA,0)+13))</f>
        <v>0</v>
      </c>
      <c r="AD267" s="375"/>
      <c r="AE267" s="374">
        <f>ABS(INDEX(AE:AE,MATCH(AE262,$AA:$AA,0)+11)+INDEX(AE:AE,MATCH(AE262,$AA:$AA,0)+12)+INDEX(AE:AE,MATCH(AE262,$AA:$AA,0)+13))</f>
        <v>0</v>
      </c>
      <c r="AF267" s="375"/>
      <c r="AG267" s="374">
        <f>ABS(INDEX(AG:AG,MATCH(AG262,$AA:$AA,0)+11)+INDEX(AG:AG,MATCH(AG262,$AA:$AA,0)+12)+INDEX(AG:AG,MATCH(AG262,$AA:$AA,0)+13))</f>
        <v>0</v>
      </c>
      <c r="AH267" s="375"/>
      <c r="AI267" s="374">
        <f>ABS(INDEX(AI:AI,MATCH(AI262,$AA:$AA,0)+11)+INDEX(AI:AI,MATCH(AI262,$AA:$AA,0)+12)+INDEX(AI:AI,MATCH(AI262,$AA:$AA,0)+13))</f>
        <v>0</v>
      </c>
      <c r="AJ267" s="375"/>
      <c r="AK267" s="374">
        <f>ABS(INDEX(AK:AK,MATCH(AK262,$AA:$AA,0)+11)+INDEX(AK:AK,MATCH(AK262,$AA:$AA,0)+12)+INDEX(AK:AK,MATCH(AK262,$AA:$AA,0)+13))</f>
        <v>0</v>
      </c>
      <c r="AL267" s="375"/>
      <c r="AM267" s="374">
        <f>ABS(INDEX(AM:AM,MATCH(AM262,$AA:$AA,0)+11)+INDEX(AM:AM,MATCH(AM262,$AA:$AA,0)+12)+INDEX(AM:AM,MATCH(AM262,$AA:$AA,0)+13))</f>
        <v>0</v>
      </c>
      <c r="AN267" s="375"/>
      <c r="AO267" s="374">
        <f>ABS(INDEX(AO:AO,MATCH(AO262,$AA:$AA,0)+11)+INDEX(AO:AO,MATCH(AO262,$AA:$AA,0)+12)+INDEX(AO:AO,MATCH(AO262,$AA:$AA,0)+13))</f>
        <v>0</v>
      </c>
      <c r="AP267" s="375"/>
      <c r="AQ267" s="374">
        <f>ABS(INDEX(AQ:AQ,MATCH(AQ262,$AA:$AA,0)+11)+INDEX(AQ:AQ,MATCH(AQ262,$AA:$AA,0)+12)+INDEX(AQ:AQ,MATCH(AQ262,$AA:$AA,0)+13))</f>
        <v>0</v>
      </c>
      <c r="AR267" s="375"/>
      <c r="AS267" s="374">
        <f>ABS(INDEX(AS:AS,MATCH(AS262,$AA:$AA,0)+11)+INDEX(AS:AS,MATCH(AS262,$AA:$AA,0)+12)+INDEX(AS:AS,MATCH(AS262,$AA:$AA,0)+13))</f>
        <v>0</v>
      </c>
      <c r="AT267" s="37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6.05" customHeight="1" x14ac:dyDescent="0.35">
      <c r="B268" s="365" t="str">
        <f t="shared" si="313"/>
        <v>Spieler 4</v>
      </c>
      <c r="C268" s="366" t="str">
        <f t="shared" si="313"/>
        <v/>
      </c>
      <c r="D268" s="339">
        <f>IF(AC268=301,"",AC268)</f>
        <v>0</v>
      </c>
      <c r="E268" s="339" t="str">
        <f>IF(AD268=0,"",AD268)</f>
        <v/>
      </c>
      <c r="F268" s="339">
        <f>IF(AE268=301,"",AE268)</f>
        <v>0</v>
      </c>
      <c r="G268" s="339" t="str">
        <f>IF(AF268=0,"",AF268)</f>
        <v/>
      </c>
      <c r="H268" s="339">
        <f>IF(AG268=301,"",AG268)</f>
        <v>0</v>
      </c>
      <c r="I268" s="339" t="str">
        <f>IF(AH268=0,"",AH268)</f>
        <v/>
      </c>
      <c r="J268" s="339">
        <f>IF(AI268=301,"",AI268)</f>
        <v>0</v>
      </c>
      <c r="K268" s="339" t="str">
        <f>IF(AJ268=0,"",AJ268)</f>
        <v/>
      </c>
      <c r="L268" s="339">
        <f>IF(AK268=301,"",AK268)</f>
        <v>0</v>
      </c>
      <c r="M268" s="339" t="str">
        <f>IF(AL268=0,"",AL268)</f>
        <v/>
      </c>
      <c r="N268" s="339">
        <f>IF(AM268=301,"",AM268)</f>
        <v>0</v>
      </c>
      <c r="O268" s="339" t="str">
        <f>IF(AN268=0,"",AN268)</f>
        <v/>
      </c>
      <c r="P268" s="339">
        <f>IF(AO268=301,"",AO268)</f>
        <v>0</v>
      </c>
      <c r="Q268" s="339" t="str">
        <f>IF(AP268=0,"",AP268)</f>
        <v/>
      </c>
      <c r="R268" s="339">
        <f>IF(AQ268=301,"",AQ268)</f>
        <v>0</v>
      </c>
      <c r="S268" s="339" t="str">
        <f>IF(AR268=0,"",AR268)</f>
        <v/>
      </c>
      <c r="T268" s="339">
        <f>IF(AS268=301,"",AS268)</f>
        <v>0</v>
      </c>
      <c r="U268" s="339" t="str">
        <f>IF(AT268=0,"",AT268)</f>
        <v/>
      </c>
      <c r="V268" s="340"/>
      <c r="W268" s="340"/>
      <c r="AA268" s="91" t="s">
        <v>11</v>
      </c>
      <c r="AB268" s="92"/>
      <c r="AC268" s="374">
        <f>ABS(INDEX(AC:AC,MATCH(AC262,$AA:$AA,0)+14)+INDEX(AC:AC,MATCH(AC262,$AA:$AA,0)+15)+INDEX(AC:AC,MATCH(AC262,$AA:$AA,0)+16))</f>
        <v>0</v>
      </c>
      <c r="AD268" s="375"/>
      <c r="AE268" s="374">
        <f>ABS(INDEX(AE:AE,MATCH(AE262,$AA:$AA,0)+14)+INDEX(AE:AE,MATCH(AE262,$AA:$AA,0)+15)+INDEX(AE:AE,MATCH(AE262,$AA:$AA,0)+16))</f>
        <v>0</v>
      </c>
      <c r="AF268" s="375"/>
      <c r="AG268" s="374">
        <f>ABS(INDEX(AG:AG,MATCH(AG262,$AA:$AA,0)+14)+INDEX(AG:AG,MATCH(AG262,$AA:$AA,0)+15)+INDEX(AG:AG,MATCH(AG262,$AA:$AA,0)+16))</f>
        <v>0</v>
      </c>
      <c r="AH268" s="375"/>
      <c r="AI268" s="374">
        <f>ABS(INDEX(AI:AI,MATCH(AI262,$AA:$AA,0)+14)+INDEX(AI:AI,MATCH(AI262,$AA:$AA,0)+15)+INDEX(AI:AI,MATCH(AI262,$AA:$AA,0)+16))</f>
        <v>0</v>
      </c>
      <c r="AJ268" s="375"/>
      <c r="AK268" s="374">
        <f>ABS(INDEX(AK:AK,MATCH(AK262,$AA:$AA,0)+14)+INDEX(AK:AK,MATCH(AK262,$AA:$AA,0)+15)+INDEX(AK:AK,MATCH(AK262,$AA:$AA,0)+16))</f>
        <v>0</v>
      </c>
      <c r="AL268" s="375"/>
      <c r="AM268" s="374">
        <f>ABS(INDEX(AM:AM,MATCH(AM262,$AA:$AA,0)+14)+INDEX(AM:AM,MATCH(AM262,$AA:$AA,0)+15)+INDEX(AM:AM,MATCH(AM262,$AA:$AA,0)+16))</f>
        <v>0</v>
      </c>
      <c r="AN268" s="375"/>
      <c r="AO268" s="374">
        <f>ABS(INDEX(AO:AO,MATCH(AO262,$AA:$AA,0)+14)+INDEX(AO:AO,MATCH(AO262,$AA:$AA,0)+15)+INDEX(AO:AO,MATCH(AO262,$AA:$AA,0)+16))</f>
        <v>0</v>
      </c>
      <c r="AP268" s="375"/>
      <c r="AQ268" s="374">
        <f>ABS(INDEX(AQ:AQ,MATCH(AQ262,$AA:$AA,0)+14)+INDEX(AQ:AQ,MATCH(AQ262,$AA:$AA,0)+15)+INDEX(AQ:AQ,MATCH(AQ262,$AA:$AA,0)+16))</f>
        <v>0</v>
      </c>
      <c r="AR268" s="375"/>
      <c r="AS268" s="374">
        <f>ABS(INDEX(AS:AS,MATCH(AS262,$AA:$AA,0)+14)+INDEX(AS:AS,MATCH(AS262,$AA:$AA,0)+15)+INDEX(AS:AS,MATCH(AS262,$AA:$AA,0)+16))</f>
        <v>0</v>
      </c>
      <c r="AT268" s="37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6.05" customHeight="1" x14ac:dyDescent="0.35">
      <c r="B269" s="354" t="str">
        <f t="shared" si="313"/>
        <v>Gesamt</v>
      </c>
      <c r="C269" s="355" t="str">
        <f t="shared" si="313"/>
        <v/>
      </c>
      <c r="D269" s="338">
        <f>IF(AC269=1505,"",AC269)</f>
        <v>0</v>
      </c>
      <c r="E269" s="338" t="str">
        <f>IF(AD269=0,"",AD269)</f>
        <v/>
      </c>
      <c r="F269" s="338">
        <f>IF(AE269=1505,"",AE269)</f>
        <v>0</v>
      </c>
      <c r="G269" s="338" t="str">
        <f>IF(AF269=0,"",AF269)</f>
        <v/>
      </c>
      <c r="H269" s="338">
        <f>IF(AG269=1505,"",AG269)</f>
        <v>0</v>
      </c>
      <c r="I269" s="338" t="str">
        <f>IF(AH269=0,"",AH269)</f>
        <v/>
      </c>
      <c r="J269" s="338">
        <f>IF(AI269=1505,"",AI269)</f>
        <v>0</v>
      </c>
      <c r="K269" s="338" t="str">
        <f>IF(AJ269=0,"",AJ269)</f>
        <v/>
      </c>
      <c r="L269" s="338">
        <f>IF(AK269=1505,"",AK269)</f>
        <v>0</v>
      </c>
      <c r="M269" s="338" t="str">
        <f>IF(AL269=0,"",AL269)</f>
        <v/>
      </c>
      <c r="N269" s="338">
        <f>IF(AM269=1505,"",AM269)</f>
        <v>0</v>
      </c>
      <c r="O269" s="338" t="str">
        <f>IF(AN269=0,"",AN269)</f>
        <v/>
      </c>
      <c r="P269" s="338">
        <f>IF(AO269=1505,"",AO269)</f>
        <v>0</v>
      </c>
      <c r="Q269" s="338" t="str">
        <f>IF(AP269=0,"",AP269)</f>
        <v/>
      </c>
      <c r="R269" s="338">
        <f>IF(AQ269=1505,"",AQ269)</f>
        <v>0</v>
      </c>
      <c r="S269" s="338" t="str">
        <f>IF(AR269=0,"",AR269)</f>
        <v/>
      </c>
      <c r="T269" s="338">
        <f>IF(AS269=1505,"",AS269)</f>
        <v>0</v>
      </c>
      <c r="U269" s="338" t="str">
        <f>IF(AT269=0,"",AT269)</f>
        <v/>
      </c>
      <c r="V269" s="290"/>
      <c r="W269" s="290"/>
      <c r="AA269" s="93" t="s">
        <v>1799</v>
      </c>
      <c r="AB269" s="94"/>
      <c r="AC269" s="354">
        <f>SUM(AC265:AC268)</f>
        <v>0</v>
      </c>
      <c r="AD269" s="355"/>
      <c r="AE269" s="354">
        <f>SUM(AE265:AE268)</f>
        <v>0</v>
      </c>
      <c r="AF269" s="355"/>
      <c r="AG269" s="354">
        <f>SUM(AG265:AG268)</f>
        <v>0</v>
      </c>
      <c r="AH269" s="355"/>
      <c r="AI269" s="354">
        <f>SUM(AI265:AI268)</f>
        <v>0</v>
      </c>
      <c r="AJ269" s="355"/>
      <c r="AK269" s="354">
        <f>SUM(AK265:AK268)</f>
        <v>0</v>
      </c>
      <c r="AL269" s="355"/>
      <c r="AM269" s="354">
        <f>SUM(AM265:AM268)</f>
        <v>0</v>
      </c>
      <c r="AN269" s="355"/>
      <c r="AO269" s="354">
        <f>SUM(AO265:AO268)</f>
        <v>0</v>
      </c>
      <c r="AP269" s="355"/>
      <c r="AQ269" s="354">
        <f>SUM(AQ265:AQ268)</f>
        <v>0</v>
      </c>
      <c r="AR269" s="355"/>
      <c r="AS269" s="354">
        <f>SUM(AS265:AS268)</f>
        <v>0</v>
      </c>
      <c r="AT269" s="35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3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7">
      <c r="B271" s="44" t="str">
        <f>AA271</f>
        <v>Team-Nr.</v>
      </c>
      <c r="C271" s="45"/>
      <c r="D271" s="44" t="str">
        <f>AC271</f>
        <v>Liga:</v>
      </c>
      <c r="E271" s="47"/>
      <c r="F271" s="359" t="str">
        <f>AE271</f>
        <v>Bayernliga Frauen</v>
      </c>
      <c r="G271" s="359"/>
      <c r="H271" s="359"/>
      <c r="I271" s="359"/>
      <c r="J271" s="359"/>
      <c r="K271" s="359"/>
      <c r="L271" s="359"/>
      <c r="M271" s="359"/>
      <c r="N271" s="359"/>
      <c r="O271" s="359"/>
      <c r="P271" s="359"/>
      <c r="Q271" s="359"/>
      <c r="R271" s="48"/>
      <c r="S271" s="49" t="s">
        <v>1794</v>
      </c>
      <c r="T271" s="50"/>
      <c r="U271" s="360" t="str">
        <f>AT271</f>
        <v>15.03./16.03.</v>
      </c>
      <c r="V271" s="361"/>
      <c r="W271" s="362"/>
      <c r="X271" s="363"/>
      <c r="Y271" s="364"/>
      <c r="Z271" s="364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0" t="str">
        <f>VLOOKUP(AS272,Spielorte!$A$1:$C$6,2)</f>
        <v>15.03./16.03.</v>
      </c>
      <c r="AU271" s="361"/>
      <c r="AV271" s="362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65">
      <c r="B272" s="53">
        <f>AA272</f>
        <v>10</v>
      </c>
      <c r="D272" s="46" t="s">
        <v>1793</v>
      </c>
      <c r="E272" s="54"/>
      <c r="F272" s="358" t="str">
        <f>AE272</f>
        <v>Brunnthal Max Munich</v>
      </c>
      <c r="G272" s="358"/>
      <c r="H272" s="358"/>
      <c r="I272" s="358"/>
      <c r="J272" s="358"/>
      <c r="K272" s="358"/>
      <c r="L272" s="358"/>
      <c r="M272" s="358"/>
      <c r="N272" s="358"/>
      <c r="O272" s="358"/>
      <c r="P272" s="55"/>
      <c r="Q272" s="55"/>
      <c r="S272" s="49" t="s">
        <v>1791</v>
      </c>
      <c r="T272" s="56">
        <f>AS272</f>
        <v>5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Brunnthal Max Munich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5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4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5" thickBot="1" x14ac:dyDescent="0.45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VLOOKUP(AA272,Schlüssel!$A$5:$DZ$14,93)</f>
        <v>3</v>
      </c>
      <c r="AE274" s="65" t="s">
        <v>10</v>
      </c>
      <c r="AF274" s="44">
        <f>VLOOKUP(AA272,Schlüssel!$A$5:$DZ$14,94)</f>
        <v>2</v>
      </c>
      <c r="AG274" s="65" t="s">
        <v>10</v>
      </c>
      <c r="AH274" s="44">
        <f>VLOOKUP(AA272,Schlüssel!$A$5:$DZ$14,95)</f>
        <v>7</v>
      </c>
      <c r="AI274" s="65" t="s">
        <v>10</v>
      </c>
      <c r="AJ274" s="44">
        <f>VLOOKUP(AA272,Schlüssel!$A$5:$DZ$14,96)</f>
        <v>4</v>
      </c>
      <c r="AK274" s="65" t="s">
        <v>10</v>
      </c>
      <c r="AL274" s="44">
        <f>VLOOKUP(AA272,Schlüssel!$A$5:$DZ$14,97)</f>
        <v>9</v>
      </c>
      <c r="AM274" s="65" t="s">
        <v>10</v>
      </c>
      <c r="AN274" s="44">
        <f>VLOOKUP(AA272,Schlüssel!$A$5:$DZ$14,98)</f>
        <v>5</v>
      </c>
      <c r="AO274" s="65" t="s">
        <v>10</v>
      </c>
      <c r="AP274" s="44">
        <f>VLOOKUP(AA272,Schlüssel!$A$5:$DZ$14,99)</f>
        <v>1</v>
      </c>
      <c r="AQ274" s="65" t="s">
        <v>10</v>
      </c>
      <c r="AR274" s="44">
        <f>VLOOKUP(AA272,Schlüssel!$A$5:$DZ$14,100)</f>
        <v>8</v>
      </c>
      <c r="AS274" s="65" t="s">
        <v>10</v>
      </c>
      <c r="AT274" s="44">
        <f>VLOOKUP(AA272,Schlüssel!$A$5:$DZ$14,101)</f>
        <v>10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35">
      <c r="B275" s="67" t="s">
        <v>1</v>
      </c>
      <c r="C275" s="68"/>
      <c r="D275" s="354" t="s">
        <v>1800</v>
      </c>
      <c r="E275" s="355"/>
      <c r="F275" s="354" t="s">
        <v>1801</v>
      </c>
      <c r="G275" s="355"/>
      <c r="H275" s="354" t="s">
        <v>1802</v>
      </c>
      <c r="I275" s="355"/>
      <c r="J275" s="354" t="s">
        <v>1803</v>
      </c>
      <c r="K275" s="355"/>
      <c r="L275" s="354" t="s">
        <v>1804</v>
      </c>
      <c r="M275" s="355"/>
      <c r="N275" s="354" t="s">
        <v>1805</v>
      </c>
      <c r="O275" s="355"/>
      <c r="P275" s="354" t="s">
        <v>1806</v>
      </c>
      <c r="Q275" s="355"/>
      <c r="R275" s="354" t="s">
        <v>1807</v>
      </c>
      <c r="S275" s="355"/>
      <c r="T275" s="354" t="s">
        <v>1808</v>
      </c>
      <c r="U275" s="355"/>
      <c r="V275" s="356" t="s">
        <v>1799</v>
      </c>
      <c r="W275" s="357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4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2" customHeight="1" x14ac:dyDescent="0.35">
      <c r="A277" s="367" t="s">
        <v>0</v>
      </c>
      <c r="B277" s="73" t="str">
        <f>IF(AA277=0,"",AA277)</f>
        <v/>
      </c>
      <c r="C277" s="74" t="str">
        <f>IF(AB277=0,"",AB277)</f>
        <v/>
      </c>
      <c r="D277" s="75" t="str">
        <f>IF(AC277=0,"",AC277)</f>
        <v/>
      </c>
      <c r="E277" s="348">
        <f>IF(AD277="","",AD277)</f>
        <v>0</v>
      </c>
      <c r="F277" s="75" t="str">
        <f t="shared" ref="F277:F290" si="314">IF(AE277=0,"",AE277)</f>
        <v/>
      </c>
      <c r="G277" s="348">
        <f>IF(AF277="","",AF277)</f>
        <v>0</v>
      </c>
      <c r="H277" s="75" t="str">
        <f t="shared" ref="H277:H290" si="315">IF(AG277=0,"",AG277)</f>
        <v/>
      </c>
      <c r="I277" s="348">
        <f>IF(AH277="","",AH277)</f>
        <v>0</v>
      </c>
      <c r="J277" s="75" t="str">
        <f t="shared" ref="J277:J290" si="316">IF(AI277=0,"",AI277)</f>
        <v/>
      </c>
      <c r="K277" s="348">
        <f>IF(AJ277="","",AJ277)</f>
        <v>0</v>
      </c>
      <c r="L277" s="75" t="str">
        <f t="shared" ref="L277:L290" si="317">IF(AK277=0,"",AK277)</f>
        <v/>
      </c>
      <c r="M277" s="348">
        <f>IF(AL277="","",AL277)</f>
        <v>0</v>
      </c>
      <c r="N277" s="75" t="str">
        <f>IF(AM277=0,"",AM277)</f>
        <v/>
      </c>
      <c r="O277" s="348">
        <f>IF(AN277="","",AN277)</f>
        <v>0</v>
      </c>
      <c r="P277" s="75" t="str">
        <f t="shared" ref="P277:P290" si="318">IF(AO277=0,"",AO277)</f>
        <v/>
      </c>
      <c r="Q277" s="348">
        <f>IF(AP277="","",AP277)</f>
        <v>0</v>
      </c>
      <c r="R277" s="75" t="str">
        <f t="shared" ref="R277:R290" si="319">IF(AQ277=0,"",AQ277)</f>
        <v/>
      </c>
      <c r="S277" s="348">
        <f>IF(AR277="","",AR277)</f>
        <v>0</v>
      </c>
      <c r="T277" s="75" t="str">
        <f t="shared" ref="T277:T290" si="320">IF(AS277=0,"",AS277)</f>
        <v/>
      </c>
      <c r="U277" s="348">
        <f>IF(AT277="","",AT277)</f>
        <v>0</v>
      </c>
      <c r="V277" s="75" t="str">
        <f t="shared" ref="V277:V290" si="321">IF(AU277=0,"",AU277)</f>
        <v/>
      </c>
      <c r="W277" s="348">
        <f>IF(AV277="","",AV277)</f>
        <v>0</v>
      </c>
      <c r="Z277" s="351" t="s">
        <v>0</v>
      </c>
      <c r="AA277" s="108" t="str">
        <f>IF(AB277=0,"",VLOOKUP(AB277,Starter!$A$1:$D$199,2,FALSE))</f>
        <v/>
      </c>
      <c r="AB277" s="99"/>
      <c r="AC277" s="185"/>
      <c r="AD277" s="109">
        <f>IF(SUM(AC277:AC279)+AC295=0,0,IF(SUM(AC277:AC279)=AC295,0.5,IF(SUM(AC277:AC279)&gt;AC295,1,0)))</f>
        <v>0</v>
      </c>
      <c r="AE277" s="185"/>
      <c r="AF277" s="109">
        <f>IF(SUM(AE277:AE279)+AE295=0,0,IF(SUM(AE277:AE279)=AE295,0.5,IF(SUM(AE277:AE279)&gt;AE295,1,0)))</f>
        <v>0</v>
      </c>
      <c r="AG277" s="185"/>
      <c r="AH277" s="109">
        <f>IF(SUM(AG277:AG279)+AG295=0,0,IF(SUM(AG277:AG279)=AG295,0.5,IF(SUM(AG277:AG279)&gt;AG295,1,0)))</f>
        <v>0</v>
      </c>
      <c r="AI277" s="185"/>
      <c r="AJ277" s="109">
        <f>IF(SUM(AI277:AI279)+AI295=0,0,IF(SUM(AI277:AI279)=AI295,0.5,IF(SUM(AI277:AI279)&gt;AI295,1,0)))</f>
        <v>0</v>
      </c>
      <c r="AK277" s="185"/>
      <c r="AL277" s="109">
        <f>IF(SUM(AK277:AK279)+AK295=0,0,IF(SUM(AK277:AK279)=AK295,0.5,IF(SUM(AK277:AK279)&gt;AK295,1,0)))</f>
        <v>0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0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0</v>
      </c>
      <c r="AV277" s="111">
        <f>SUM(AD277+AF277+AH277+AJ277+AL277+AN277+AP277+AR277+AT277)</f>
        <v>0</v>
      </c>
      <c r="AW277" s="101"/>
      <c r="AX277" s="102"/>
      <c r="AZ277" s="63"/>
      <c r="BA277" s="212"/>
      <c r="BB277" s="213"/>
      <c r="BC277" s="214"/>
      <c r="BD277" s="217">
        <f>+AB277</f>
        <v>0</v>
      </c>
      <c r="BE277" s="213">
        <f>+AU277</f>
        <v>0</v>
      </c>
      <c r="BF277" s="215">
        <f>COUNT(BH277:BP277)</f>
        <v>0</v>
      </c>
      <c r="BG277" s="215">
        <f>COUNTIF(BH277:BP277,"&gt;0")</f>
        <v>0</v>
      </c>
      <c r="BH277" s="215" t="str">
        <f t="shared" ref="BH277:BH288" si="323">IF(AC277=0,"",AC277)</f>
        <v/>
      </c>
      <c r="BI277" s="215" t="str">
        <f t="shared" ref="BI277:BI288" si="324">IF(AE277=0,"",AE277)</f>
        <v/>
      </c>
      <c r="BJ277" s="215" t="str">
        <f t="shared" ref="BJ277:BJ288" si="325">IF(AG277=0,"",AG277)</f>
        <v/>
      </c>
      <c r="BK277" s="215" t="str">
        <f t="shared" ref="BK277:BK288" si="326">IF(AI277=0,"",AI277)</f>
        <v/>
      </c>
      <c r="BL277" s="215" t="str">
        <f t="shared" ref="BL277:BL288" si="327">IF(AK277=0,"",AK277)</f>
        <v/>
      </c>
      <c r="BM277" s="215" t="str">
        <f t="shared" ref="BM277:BM288" si="328">IF(AM277=0,"",AM277)</f>
        <v/>
      </c>
      <c r="BN277" s="215" t="str">
        <f t="shared" ref="BN277:BN288" si="329">IF(AO277=0,"",AO277)</f>
        <v/>
      </c>
      <c r="BO277" s="215" t="str">
        <f t="shared" ref="BO277:BO288" si="330">IF(AQ277=0,"",AQ277)</f>
        <v/>
      </c>
      <c r="BP277" s="215" t="str">
        <f t="shared" ref="BP277:BP288" si="331">IF(AS277=0,"",AS277)</f>
        <v/>
      </c>
      <c r="BQ277" s="216"/>
      <c r="BR277" s="214"/>
      <c r="BS277" s="215">
        <f>MAX(BH277:BP277)</f>
        <v>0</v>
      </c>
      <c r="BT277" s="215">
        <f>IF(BS277&lt;MAX(BS:BS),0,BS277+ROW()/1000000000)</f>
        <v>2.7700000000000001E-7</v>
      </c>
      <c r="BU277" s="215" t="str">
        <f>+AA273</f>
        <v>BK München 4</v>
      </c>
      <c r="BV277" s="214">
        <f>RANK(BT277,BT:BT)</f>
        <v>12</v>
      </c>
      <c r="BW277" s="215">
        <f>SUMIF(BH277:BP277,"&gt;0")</f>
        <v>0</v>
      </c>
      <c r="BX277" s="215">
        <f>IF(COUNTIF(BH277:BP277,"&gt;0")&lt;Spielorte!$A$23,0,BE277/Spielorte!$A$23)</f>
        <v>0</v>
      </c>
      <c r="BY277" s="215">
        <f>IF(BX277&lt;MAX(BX:BX),0,BX277+ROW()/1000000000)</f>
        <v>2.7700000000000001E-7</v>
      </c>
      <c r="BZ277" s="214">
        <f t="shared" ref="BZ277:BZ288" si="332">IF(BY277=0,0,RANK(BY277,BY:BY))</f>
        <v>12</v>
      </c>
    </row>
    <row r="278" spans="1:78" ht="17.2" customHeight="1" x14ac:dyDescent="0.35">
      <c r="A278" s="368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49"/>
      <c r="F278" s="78" t="str">
        <f t="shared" si="314"/>
        <v/>
      </c>
      <c r="G278" s="349"/>
      <c r="H278" s="78" t="str">
        <f t="shared" si="315"/>
        <v/>
      </c>
      <c r="I278" s="349"/>
      <c r="J278" s="78" t="str">
        <f t="shared" si="316"/>
        <v/>
      </c>
      <c r="K278" s="349"/>
      <c r="L278" s="78" t="str">
        <f t="shared" si="317"/>
        <v/>
      </c>
      <c r="M278" s="349"/>
      <c r="N278" s="78" t="str">
        <f t="shared" ref="N278:N290" si="334">IF(AM278=0,"",AM278)</f>
        <v/>
      </c>
      <c r="O278" s="349"/>
      <c r="P278" s="78" t="str">
        <f t="shared" si="318"/>
        <v/>
      </c>
      <c r="Q278" s="349"/>
      <c r="R278" s="78" t="str">
        <f t="shared" si="319"/>
        <v/>
      </c>
      <c r="S278" s="349"/>
      <c r="T278" s="78" t="str">
        <f t="shared" si="320"/>
        <v/>
      </c>
      <c r="U278" s="349"/>
      <c r="V278" s="78" t="str">
        <f t="shared" si="321"/>
        <v/>
      </c>
      <c r="W278" s="349"/>
      <c r="Z278" s="352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2.7799999999999997E-7</v>
      </c>
      <c r="BU278" s="215" t="str">
        <f t="shared" ref="BU278:BU288" si="341">+BU277</f>
        <v>BK München 4</v>
      </c>
      <c r="BV278" s="214">
        <f t="shared" ref="BV278:BV288" si="342">RANK(BT278,BT:BT)</f>
        <v>11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2.7799999999999997E-7</v>
      </c>
      <c r="BZ278" s="214">
        <f t="shared" si="332"/>
        <v>11</v>
      </c>
    </row>
    <row r="279" spans="1:78" ht="17.2" customHeight="1" thickBot="1" x14ac:dyDescent="0.4">
      <c r="A279" s="369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50"/>
      <c r="F279" s="69" t="str">
        <f t="shared" si="314"/>
        <v/>
      </c>
      <c r="G279" s="350"/>
      <c r="H279" s="69" t="str">
        <f t="shared" si="315"/>
        <v/>
      </c>
      <c r="I279" s="350"/>
      <c r="J279" s="69" t="str">
        <f t="shared" si="316"/>
        <v/>
      </c>
      <c r="K279" s="350"/>
      <c r="L279" s="69" t="str">
        <f t="shared" si="317"/>
        <v/>
      </c>
      <c r="M279" s="350"/>
      <c r="N279" s="69" t="str">
        <f t="shared" si="334"/>
        <v/>
      </c>
      <c r="O279" s="350"/>
      <c r="P279" s="69" t="str">
        <f t="shared" si="318"/>
        <v/>
      </c>
      <c r="Q279" s="350"/>
      <c r="R279" s="69" t="str">
        <f t="shared" si="319"/>
        <v/>
      </c>
      <c r="S279" s="350"/>
      <c r="T279" s="69" t="str">
        <f t="shared" si="320"/>
        <v/>
      </c>
      <c r="U279" s="350"/>
      <c r="V279" s="69" t="str">
        <f t="shared" si="321"/>
        <v/>
      </c>
      <c r="W279" s="350"/>
      <c r="Z279" s="353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2.79E-7</v>
      </c>
      <c r="BU279" s="215" t="str">
        <f t="shared" si="341"/>
        <v>BK München 4</v>
      </c>
      <c r="BV279" s="214">
        <f t="shared" si="342"/>
        <v>10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2.79E-7</v>
      </c>
      <c r="BZ279" s="214">
        <f t="shared" si="332"/>
        <v>10</v>
      </c>
    </row>
    <row r="280" spans="1:78" ht="17.2" customHeight="1" x14ac:dyDescent="0.35">
      <c r="A280" s="367" t="s">
        <v>2</v>
      </c>
      <c r="B280" s="73" t="str">
        <f t="shared" si="333"/>
        <v/>
      </c>
      <c r="C280" s="74" t="str">
        <f t="shared" si="333"/>
        <v/>
      </c>
      <c r="D280" s="75" t="str">
        <f t="shared" si="333"/>
        <v/>
      </c>
      <c r="E280" s="348">
        <f>IF(AD280="","",AD280)</f>
        <v>0</v>
      </c>
      <c r="F280" s="75" t="str">
        <f t="shared" si="314"/>
        <v/>
      </c>
      <c r="G280" s="348">
        <f>IF(AF280="","",AF280)</f>
        <v>0</v>
      </c>
      <c r="H280" s="75" t="str">
        <f t="shared" si="315"/>
        <v/>
      </c>
      <c r="I280" s="348">
        <f>IF(AH280="","",AH280)</f>
        <v>0</v>
      </c>
      <c r="J280" s="75" t="str">
        <f t="shared" si="316"/>
        <v/>
      </c>
      <c r="K280" s="348">
        <f>IF(AJ280="","",AJ280)</f>
        <v>0</v>
      </c>
      <c r="L280" s="75" t="str">
        <f t="shared" si="317"/>
        <v/>
      </c>
      <c r="M280" s="348">
        <f>IF(AL280="","",AL280)</f>
        <v>0</v>
      </c>
      <c r="N280" s="75" t="str">
        <f t="shared" si="334"/>
        <v/>
      </c>
      <c r="O280" s="348">
        <f>IF(AN280="","",AN280)</f>
        <v>0</v>
      </c>
      <c r="P280" s="75" t="str">
        <f t="shared" si="318"/>
        <v/>
      </c>
      <c r="Q280" s="348">
        <f>IF(AP280="","",AP280)</f>
        <v>0</v>
      </c>
      <c r="R280" s="75" t="str">
        <f t="shared" si="319"/>
        <v/>
      </c>
      <c r="S280" s="348">
        <f>IF(AR280="","",AR280)</f>
        <v>0</v>
      </c>
      <c r="T280" s="75" t="str">
        <f t="shared" si="320"/>
        <v/>
      </c>
      <c r="U280" s="348">
        <f>IF(AT280="","",AT280)</f>
        <v>0</v>
      </c>
      <c r="V280" s="75" t="str">
        <f t="shared" si="321"/>
        <v/>
      </c>
      <c r="W280" s="348">
        <f>IF(AV280="","",AV280)</f>
        <v>0</v>
      </c>
      <c r="Z280" s="351" t="s">
        <v>2</v>
      </c>
      <c r="AA280" s="108" t="str">
        <f>IF(AB280=0,"",VLOOKUP(AB280,Starter!$A$1:$D$199,2,FALSE))</f>
        <v/>
      </c>
      <c r="AB280" s="99"/>
      <c r="AC280" s="188"/>
      <c r="AD280" s="109">
        <f>IF(SUM(AC280:AC282)+AC296=0,0,IF(SUM(AC280:AC282)=AC296,0.5,IF(SUM(AC280:AC282)&gt;AC296,1,0)))</f>
        <v>0</v>
      </c>
      <c r="AE280" s="188"/>
      <c r="AF280" s="109">
        <f>IF(SUM(AE280:AE282)+AE296=0,0,IF(SUM(AE280:AE282)=AE296,0.5,IF(SUM(AE280:AE282)&gt;AE296,1,0)))</f>
        <v>0</v>
      </c>
      <c r="AG280" s="188"/>
      <c r="AH280" s="109">
        <f>IF(SUM(AG280:AG282)+AG296=0,0,IF(SUM(AG280:AG282)=AG296,0.5,IF(SUM(AG280:AG282)&gt;AG296,1,0)))</f>
        <v>0</v>
      </c>
      <c r="AI280" s="188"/>
      <c r="AJ280" s="109">
        <f>IF(SUM(AI280:AI282)+AI296=0,0,IF(SUM(AI280:AI282)=AI296,0.5,IF(SUM(AI280:AI282)&gt;AI296,1,0)))</f>
        <v>0</v>
      </c>
      <c r="AK280" s="188"/>
      <c r="AL280" s="109">
        <f>IF(SUM(AK280:AK282)+AK296=0,0,IF(SUM(AK280:AK282)=AK296,0.5,IF(SUM(AK280:AK282)&gt;AK296,1,0)))</f>
        <v>0</v>
      </c>
      <c r="AM280" s="188"/>
      <c r="AN280" s="109">
        <f>IF(SUM(AM280:AM282)+AM296=0,0,IF(SUM(AM280:AM282)=AM296,0.5,IF(SUM(AM280:AM282)&gt;AM296,1,0)))</f>
        <v>0</v>
      </c>
      <c r="AO280" s="188"/>
      <c r="AP280" s="109">
        <f>IF(SUM(AO280:AO282)+AO296=0,0,IF(SUM(AO280:AO282)=AO296,0.5,IF(SUM(AO280:AO282)&gt;AO296,1,0)))</f>
        <v>0</v>
      </c>
      <c r="AQ280" s="188"/>
      <c r="AR280" s="109">
        <f>IF(SUM(AQ280:AQ282)+AQ296=0,0,IF(SUM(AQ280:AQ282)=AQ296,0.5,IF(SUM(AQ280:AQ282)&gt;AQ296,1,0)))</f>
        <v>0</v>
      </c>
      <c r="AS280" s="188"/>
      <c r="AT280" s="109">
        <f>IF(SUM(AS280:AS282)+AS296=0,0,IF(SUM(AS280:AS282)=AS296,0.5,IF(SUM(AS280:AS282)&gt;AS296,1,0)))</f>
        <v>0</v>
      </c>
      <c r="AU280" s="110">
        <f t="shared" si="322"/>
        <v>0</v>
      </c>
      <c r="AV280" s="111">
        <f>SUM(AD280+AF280+AH280+AJ280+AL280+AN280+AP280+AR280+AT280)</f>
        <v>0</v>
      </c>
      <c r="AW280" s="101"/>
      <c r="AX280" s="102"/>
      <c r="AZ280" s="63"/>
      <c r="BA280" s="212"/>
      <c r="BB280" s="213"/>
      <c r="BC280" s="214"/>
      <c r="BD280" s="217">
        <f t="shared" si="335"/>
        <v>0</v>
      </c>
      <c r="BE280" s="213">
        <f t="shared" si="336"/>
        <v>0</v>
      </c>
      <c r="BF280" s="215">
        <f t="shared" si="337"/>
        <v>0</v>
      </c>
      <c r="BG280" s="215">
        <f t="shared" si="338"/>
        <v>0</v>
      </c>
      <c r="BH280" s="215" t="str">
        <f t="shared" si="323"/>
        <v/>
      </c>
      <c r="BI280" s="215" t="str">
        <f t="shared" si="324"/>
        <v/>
      </c>
      <c r="BJ280" s="215" t="str">
        <f t="shared" si="325"/>
        <v/>
      </c>
      <c r="BK280" s="215" t="str">
        <f t="shared" si="326"/>
        <v/>
      </c>
      <c r="BL280" s="215" t="str">
        <f t="shared" si="327"/>
        <v/>
      </c>
      <c r="BM280" s="215" t="str">
        <f t="shared" si="328"/>
        <v/>
      </c>
      <c r="BN280" s="215" t="str">
        <f t="shared" si="329"/>
        <v/>
      </c>
      <c r="BO280" s="215" t="str">
        <f t="shared" si="330"/>
        <v/>
      </c>
      <c r="BP280" s="215" t="str">
        <f t="shared" si="331"/>
        <v/>
      </c>
      <c r="BQ280" s="216"/>
      <c r="BR280" s="214"/>
      <c r="BS280" s="215">
        <f t="shared" si="339"/>
        <v>0</v>
      </c>
      <c r="BT280" s="215">
        <f t="shared" si="340"/>
        <v>2.8000000000000002E-7</v>
      </c>
      <c r="BU280" s="215" t="str">
        <f t="shared" si="341"/>
        <v>BK München 4</v>
      </c>
      <c r="BV280" s="214">
        <f t="shared" si="342"/>
        <v>9</v>
      </c>
      <c r="BW280" s="215">
        <f t="shared" si="343"/>
        <v>0</v>
      </c>
      <c r="BX280" s="215">
        <f>IF(COUNTIF(BH280:BP280,"&gt;0")&lt;Spielorte!$A$23,0,BE280/Spielorte!$A$23)</f>
        <v>0</v>
      </c>
      <c r="BY280" s="215">
        <f t="shared" si="344"/>
        <v>2.8000000000000002E-7</v>
      </c>
      <c r="BZ280" s="214">
        <f t="shared" si="332"/>
        <v>9</v>
      </c>
    </row>
    <row r="281" spans="1:78" ht="17.2" customHeight="1" x14ac:dyDescent="0.35">
      <c r="A281" s="368"/>
      <c r="B281" s="76" t="str">
        <f t="shared" si="333"/>
        <v/>
      </c>
      <c r="C281" s="77" t="str">
        <f t="shared" si="333"/>
        <v/>
      </c>
      <c r="D281" s="78" t="str">
        <f t="shared" si="333"/>
        <v/>
      </c>
      <c r="E281" s="349"/>
      <c r="F281" s="78" t="str">
        <f t="shared" si="314"/>
        <v/>
      </c>
      <c r="G281" s="349"/>
      <c r="H281" s="78" t="str">
        <f t="shared" si="315"/>
        <v/>
      </c>
      <c r="I281" s="349"/>
      <c r="J281" s="78" t="str">
        <f t="shared" si="316"/>
        <v/>
      </c>
      <c r="K281" s="349"/>
      <c r="L281" s="78" t="str">
        <f t="shared" si="317"/>
        <v/>
      </c>
      <c r="M281" s="349"/>
      <c r="N281" s="78" t="str">
        <f t="shared" si="334"/>
        <v/>
      </c>
      <c r="O281" s="349"/>
      <c r="P281" s="78" t="str">
        <f t="shared" si="318"/>
        <v/>
      </c>
      <c r="Q281" s="349"/>
      <c r="R281" s="78" t="str">
        <f t="shared" si="319"/>
        <v/>
      </c>
      <c r="S281" s="349"/>
      <c r="T281" s="78" t="str">
        <f t="shared" si="320"/>
        <v/>
      </c>
      <c r="U281" s="349"/>
      <c r="V281" s="78" t="str">
        <f t="shared" si="321"/>
        <v/>
      </c>
      <c r="W281" s="349"/>
      <c r="Z281" s="352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22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0</v>
      </c>
      <c r="BE281" s="213">
        <f t="shared" si="336"/>
        <v>0</v>
      </c>
      <c r="BF281" s="215">
        <f t="shared" si="337"/>
        <v>0</v>
      </c>
      <c r="BG281" s="215">
        <f t="shared" si="338"/>
        <v>0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 t="str">
        <f t="shared" si="328"/>
        <v/>
      </c>
      <c r="BN281" s="215" t="str">
        <f t="shared" si="329"/>
        <v/>
      </c>
      <c r="BO281" s="215" t="str">
        <f t="shared" si="330"/>
        <v/>
      </c>
      <c r="BP281" s="215" t="str">
        <f t="shared" si="331"/>
        <v/>
      </c>
      <c r="BQ281" s="216"/>
      <c r="BR281" s="214"/>
      <c r="BS281" s="215">
        <f t="shared" si="339"/>
        <v>0</v>
      </c>
      <c r="BT281" s="215">
        <f t="shared" si="340"/>
        <v>2.8099999999999999E-7</v>
      </c>
      <c r="BU281" s="215" t="str">
        <f t="shared" si="341"/>
        <v>BK München 4</v>
      </c>
      <c r="BV281" s="214">
        <f t="shared" si="342"/>
        <v>8</v>
      </c>
      <c r="BW281" s="215">
        <f t="shared" si="343"/>
        <v>0</v>
      </c>
      <c r="BX281" s="215">
        <f>IF(COUNTIF(BH281:BP281,"&gt;0")&lt;Spielorte!$A$23,0,BE281/Spielorte!$A$23)</f>
        <v>0</v>
      </c>
      <c r="BY281" s="215">
        <f t="shared" si="344"/>
        <v>2.8099999999999999E-7</v>
      </c>
      <c r="BZ281" s="214">
        <f t="shared" si="332"/>
        <v>8</v>
      </c>
    </row>
    <row r="282" spans="1:78" ht="17.2" customHeight="1" thickBot="1" x14ac:dyDescent="0.4">
      <c r="A282" s="369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50"/>
      <c r="F282" s="69" t="str">
        <f t="shared" si="314"/>
        <v/>
      </c>
      <c r="G282" s="350"/>
      <c r="H282" s="69" t="str">
        <f t="shared" si="315"/>
        <v/>
      </c>
      <c r="I282" s="350"/>
      <c r="J282" s="69" t="str">
        <f t="shared" si="316"/>
        <v/>
      </c>
      <c r="K282" s="350"/>
      <c r="L282" s="69" t="str">
        <f t="shared" si="317"/>
        <v/>
      </c>
      <c r="M282" s="350"/>
      <c r="N282" s="69" t="str">
        <f t="shared" si="334"/>
        <v/>
      </c>
      <c r="O282" s="350"/>
      <c r="P282" s="69" t="str">
        <f t="shared" si="318"/>
        <v/>
      </c>
      <c r="Q282" s="350"/>
      <c r="R282" s="69" t="str">
        <f t="shared" si="319"/>
        <v/>
      </c>
      <c r="S282" s="350"/>
      <c r="T282" s="69" t="str">
        <f t="shared" si="320"/>
        <v/>
      </c>
      <c r="U282" s="350"/>
      <c r="V282" s="69" t="str">
        <f t="shared" si="321"/>
        <v/>
      </c>
      <c r="W282" s="350"/>
      <c r="Z282" s="353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2.8200000000000001E-7</v>
      </c>
      <c r="BU282" s="215" t="str">
        <f t="shared" si="341"/>
        <v>BK München 4</v>
      </c>
      <c r="BV282" s="214">
        <f t="shared" si="342"/>
        <v>7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2.8200000000000001E-7</v>
      </c>
      <c r="BZ282" s="214">
        <f t="shared" si="332"/>
        <v>7</v>
      </c>
    </row>
    <row r="283" spans="1:78" ht="17.2" customHeight="1" x14ac:dyDescent="0.35">
      <c r="A283" s="367" t="s">
        <v>3</v>
      </c>
      <c r="B283" s="73" t="str">
        <f t="shared" si="333"/>
        <v/>
      </c>
      <c r="C283" s="74" t="str">
        <f t="shared" si="333"/>
        <v/>
      </c>
      <c r="D283" s="75" t="str">
        <f t="shared" si="333"/>
        <v/>
      </c>
      <c r="E283" s="348">
        <f>IF(AD283="","",AD283)</f>
        <v>0</v>
      </c>
      <c r="F283" s="75" t="str">
        <f t="shared" si="314"/>
        <v/>
      </c>
      <c r="G283" s="348">
        <f>IF(AF283="","",AF283)</f>
        <v>0</v>
      </c>
      <c r="H283" s="75" t="str">
        <f t="shared" si="315"/>
        <v/>
      </c>
      <c r="I283" s="348">
        <f>IF(AH283="","",AH283)</f>
        <v>0</v>
      </c>
      <c r="J283" s="75" t="str">
        <f t="shared" si="316"/>
        <v/>
      </c>
      <c r="K283" s="348">
        <f>IF(AJ283="","",AJ283)</f>
        <v>0</v>
      </c>
      <c r="L283" s="75" t="str">
        <f t="shared" si="317"/>
        <v/>
      </c>
      <c r="M283" s="348">
        <f>IF(AL283="","",AL283)</f>
        <v>0</v>
      </c>
      <c r="N283" s="75" t="str">
        <f t="shared" si="334"/>
        <v/>
      </c>
      <c r="O283" s="348">
        <f>IF(AN283="","",AN283)</f>
        <v>0</v>
      </c>
      <c r="P283" s="75" t="str">
        <f t="shared" si="318"/>
        <v/>
      </c>
      <c r="Q283" s="348">
        <f>IF(AP283="","",AP283)</f>
        <v>0</v>
      </c>
      <c r="R283" s="75" t="str">
        <f t="shared" si="319"/>
        <v/>
      </c>
      <c r="S283" s="348">
        <f>IF(AR283="","",AR283)</f>
        <v>0</v>
      </c>
      <c r="T283" s="75" t="str">
        <f t="shared" si="320"/>
        <v/>
      </c>
      <c r="U283" s="348">
        <f>IF(AT283="","",AT283)</f>
        <v>0</v>
      </c>
      <c r="V283" s="75" t="str">
        <f t="shared" si="321"/>
        <v/>
      </c>
      <c r="W283" s="348">
        <f>IF(AV283="","",AV283)</f>
        <v>0</v>
      </c>
      <c r="Z283" s="351" t="s">
        <v>3</v>
      </c>
      <c r="AA283" s="108" t="str">
        <f>IF(AB283=0,"",VLOOKUP(AB283,Starter!$A$1:$D$199,2,FALSE))</f>
        <v/>
      </c>
      <c r="AB283" s="99"/>
      <c r="AC283" s="188"/>
      <c r="AD283" s="109">
        <f>IF(SUM(AC283:AC285)+AC297=0,0,IF(SUM(AC283:AC285)=AC297,0.5,IF(SUM(AC283:AC285)&gt;AC297,1,0)))</f>
        <v>0</v>
      </c>
      <c r="AE283" s="188"/>
      <c r="AF283" s="109">
        <f>IF(SUM(AE283:AE285)+AE297=0,0,IF(SUM(AE283:AE285)=AE297,0.5,IF(SUM(AE283:AE285)&gt;AE297,1,0)))</f>
        <v>0</v>
      </c>
      <c r="AG283" s="188"/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0</v>
      </c>
      <c r="AK283" s="188"/>
      <c r="AL283" s="109">
        <f>IF(SUM(AK283:AK285)+AK297=0,0,IF(SUM(AK283:AK285)=AK297,0.5,IF(SUM(AK283:AK285)&gt;AK297,1,0)))</f>
        <v>0</v>
      </c>
      <c r="AM283" s="188"/>
      <c r="AN283" s="109">
        <f>IF(SUM(AM283:AM285)+AM297=0,0,IF(SUM(AM283:AM285)=AM297,0.5,IF(SUM(AM283:AM285)&gt;AM297,1,0)))</f>
        <v>0</v>
      </c>
      <c r="AO283" s="188"/>
      <c r="AP283" s="109">
        <f>IF(SUM(AO283:AO285)+AO297=0,0,IF(SUM(AO283:AO285)=AO297,0.5,IF(SUM(AO283:AO285)&gt;AO297,1,0)))</f>
        <v>0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0</v>
      </c>
      <c r="AU283" s="110">
        <f t="shared" si="322"/>
        <v>0</v>
      </c>
      <c r="AV283" s="111">
        <f>SUM(AD283+AF283+AH283+AJ283+AL283+AN283+AP283+AR283+AT283)</f>
        <v>0</v>
      </c>
      <c r="AW283" s="101"/>
      <c r="AX283" s="102"/>
      <c r="AZ283" s="63"/>
      <c r="BA283" s="212"/>
      <c r="BB283" s="213"/>
      <c r="BC283" s="214"/>
      <c r="BD283" s="217">
        <f t="shared" si="335"/>
        <v>0</v>
      </c>
      <c r="BE283" s="213">
        <f t="shared" si="336"/>
        <v>0</v>
      </c>
      <c r="BF283" s="215">
        <f t="shared" si="337"/>
        <v>0</v>
      </c>
      <c r="BG283" s="215">
        <f t="shared" si="338"/>
        <v>0</v>
      </c>
      <c r="BH283" s="215" t="str">
        <f t="shared" si="323"/>
        <v/>
      </c>
      <c r="BI283" s="215" t="str">
        <f t="shared" si="324"/>
        <v/>
      </c>
      <c r="BJ283" s="215" t="str">
        <f t="shared" si="325"/>
        <v/>
      </c>
      <c r="BK283" s="215" t="str">
        <f t="shared" si="326"/>
        <v/>
      </c>
      <c r="BL283" s="215" t="str">
        <f t="shared" si="327"/>
        <v/>
      </c>
      <c r="BM283" s="215" t="str">
        <f t="shared" si="328"/>
        <v/>
      </c>
      <c r="BN283" s="215" t="str">
        <f t="shared" si="329"/>
        <v/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0</v>
      </c>
      <c r="BT283" s="215">
        <f t="shared" si="340"/>
        <v>2.8299999999999998E-7</v>
      </c>
      <c r="BU283" s="215" t="str">
        <f t="shared" si="341"/>
        <v>BK München 4</v>
      </c>
      <c r="BV283" s="214">
        <f t="shared" si="342"/>
        <v>6</v>
      </c>
      <c r="BW283" s="215">
        <f t="shared" si="343"/>
        <v>0</v>
      </c>
      <c r="BX283" s="215">
        <f>IF(COUNTIF(BH283:BP283,"&gt;0")&lt;Spielorte!$A$23,0,BE283/Spielorte!$A$23)</f>
        <v>0</v>
      </c>
      <c r="BY283" s="215">
        <f t="shared" si="344"/>
        <v>2.8299999999999998E-7</v>
      </c>
      <c r="BZ283" s="214">
        <f t="shared" si="332"/>
        <v>6</v>
      </c>
    </row>
    <row r="284" spans="1:78" ht="17.2" customHeight="1" x14ac:dyDescent="0.35">
      <c r="A284" s="368"/>
      <c r="B284" s="76" t="str">
        <f t="shared" si="333"/>
        <v/>
      </c>
      <c r="C284" s="77" t="str">
        <f t="shared" si="333"/>
        <v/>
      </c>
      <c r="D284" s="78" t="str">
        <f t="shared" si="333"/>
        <v/>
      </c>
      <c r="E284" s="349"/>
      <c r="F284" s="78" t="str">
        <f t="shared" si="314"/>
        <v/>
      </c>
      <c r="G284" s="349"/>
      <c r="H284" s="78" t="str">
        <f t="shared" si="315"/>
        <v/>
      </c>
      <c r="I284" s="349"/>
      <c r="J284" s="78" t="str">
        <f t="shared" si="316"/>
        <v/>
      </c>
      <c r="K284" s="349"/>
      <c r="L284" s="78" t="str">
        <f t="shared" si="317"/>
        <v/>
      </c>
      <c r="M284" s="349"/>
      <c r="N284" s="78" t="str">
        <f t="shared" si="334"/>
        <v/>
      </c>
      <c r="O284" s="349"/>
      <c r="P284" s="78" t="str">
        <f t="shared" si="318"/>
        <v/>
      </c>
      <c r="Q284" s="349"/>
      <c r="R284" s="78" t="str">
        <f t="shared" si="319"/>
        <v/>
      </c>
      <c r="S284" s="349"/>
      <c r="T284" s="78" t="str">
        <f t="shared" si="320"/>
        <v/>
      </c>
      <c r="U284" s="349"/>
      <c r="V284" s="78" t="str">
        <f t="shared" si="321"/>
        <v/>
      </c>
      <c r="W284" s="349"/>
      <c r="Z284" s="352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22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0</v>
      </c>
      <c r="BE284" s="213">
        <f t="shared" si="336"/>
        <v>0</v>
      </c>
      <c r="BF284" s="215">
        <f t="shared" si="337"/>
        <v>0</v>
      </c>
      <c r="BG284" s="215">
        <f t="shared" si="338"/>
        <v>0</v>
      </c>
      <c r="BH284" s="215" t="str">
        <f t="shared" si="323"/>
        <v/>
      </c>
      <c r="BI284" s="215" t="str">
        <f t="shared" si="324"/>
        <v/>
      </c>
      <c r="BJ284" s="215" t="str">
        <f t="shared" si="325"/>
        <v/>
      </c>
      <c r="BK284" s="215" t="str">
        <f t="shared" si="326"/>
        <v/>
      </c>
      <c r="BL284" s="215" t="str">
        <f t="shared" si="327"/>
        <v/>
      </c>
      <c r="BM284" s="215" t="str">
        <f t="shared" si="328"/>
        <v/>
      </c>
      <c r="BN284" s="215" t="str">
        <f t="shared" si="329"/>
        <v/>
      </c>
      <c r="BO284" s="215" t="str">
        <f t="shared" si="330"/>
        <v/>
      </c>
      <c r="BP284" s="215" t="str">
        <f t="shared" si="331"/>
        <v/>
      </c>
      <c r="BQ284" s="216"/>
      <c r="BR284" s="214"/>
      <c r="BS284" s="215">
        <f t="shared" si="339"/>
        <v>0</v>
      </c>
      <c r="BT284" s="215">
        <f t="shared" si="340"/>
        <v>2.84E-7</v>
      </c>
      <c r="BU284" s="215" t="str">
        <f t="shared" si="341"/>
        <v>BK München 4</v>
      </c>
      <c r="BV284" s="214">
        <f t="shared" si="342"/>
        <v>5</v>
      </c>
      <c r="BW284" s="215">
        <f t="shared" si="343"/>
        <v>0</v>
      </c>
      <c r="BX284" s="215">
        <f>IF(COUNTIF(BH284:BP284,"&gt;0")&lt;Spielorte!$A$23,0,BE284/Spielorte!$A$23)</f>
        <v>0</v>
      </c>
      <c r="BY284" s="215">
        <f t="shared" si="344"/>
        <v>2.84E-7</v>
      </c>
      <c r="BZ284" s="214">
        <f t="shared" si="332"/>
        <v>5</v>
      </c>
    </row>
    <row r="285" spans="1:78" ht="17.2" customHeight="1" thickBot="1" x14ac:dyDescent="0.4">
      <c r="A285" s="369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50"/>
      <c r="F285" s="69" t="str">
        <f t="shared" si="314"/>
        <v/>
      </c>
      <c r="G285" s="350"/>
      <c r="H285" s="69" t="str">
        <f t="shared" si="315"/>
        <v/>
      </c>
      <c r="I285" s="350"/>
      <c r="J285" s="69" t="str">
        <f t="shared" si="316"/>
        <v/>
      </c>
      <c r="K285" s="350"/>
      <c r="L285" s="69" t="str">
        <f t="shared" si="317"/>
        <v/>
      </c>
      <c r="M285" s="350"/>
      <c r="N285" s="69" t="str">
        <f t="shared" si="334"/>
        <v/>
      </c>
      <c r="O285" s="350"/>
      <c r="P285" s="69" t="str">
        <f t="shared" si="318"/>
        <v/>
      </c>
      <c r="Q285" s="350"/>
      <c r="R285" s="69" t="str">
        <f t="shared" si="319"/>
        <v/>
      </c>
      <c r="S285" s="350"/>
      <c r="T285" s="69" t="str">
        <f t="shared" si="320"/>
        <v/>
      </c>
      <c r="U285" s="350"/>
      <c r="V285" s="69" t="str">
        <f t="shared" si="321"/>
        <v/>
      </c>
      <c r="W285" s="350"/>
      <c r="Z285" s="353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2.8500000000000002E-7</v>
      </c>
      <c r="BU285" s="215" t="str">
        <f t="shared" si="341"/>
        <v>BK München 4</v>
      </c>
      <c r="BV285" s="214">
        <f t="shared" si="342"/>
        <v>4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2.8500000000000002E-7</v>
      </c>
      <c r="BZ285" s="214">
        <f t="shared" si="332"/>
        <v>4</v>
      </c>
    </row>
    <row r="286" spans="1:78" ht="17.2" customHeight="1" x14ac:dyDescent="0.35">
      <c r="A286" s="367" t="s">
        <v>11</v>
      </c>
      <c r="B286" s="73" t="str">
        <f>IF(AA286=0,"",AA286)</f>
        <v/>
      </c>
      <c r="C286" s="74" t="str">
        <f t="shared" si="333"/>
        <v/>
      </c>
      <c r="D286" s="75" t="str">
        <f t="shared" si="333"/>
        <v/>
      </c>
      <c r="E286" s="348">
        <f>IF(AD286="","",AD286)</f>
        <v>0</v>
      </c>
      <c r="F286" s="75" t="str">
        <f t="shared" si="314"/>
        <v/>
      </c>
      <c r="G286" s="348">
        <f>IF(AF286="","",AF286)</f>
        <v>0</v>
      </c>
      <c r="H286" s="75" t="str">
        <f t="shared" si="315"/>
        <v/>
      </c>
      <c r="I286" s="348">
        <f>IF(AH286="","",AH286)</f>
        <v>0</v>
      </c>
      <c r="J286" s="75" t="str">
        <f t="shared" si="316"/>
        <v/>
      </c>
      <c r="K286" s="348">
        <f>IF(AJ286="","",AJ286)</f>
        <v>0</v>
      </c>
      <c r="L286" s="75" t="str">
        <f t="shared" si="317"/>
        <v/>
      </c>
      <c r="M286" s="348">
        <f>IF(AL286="","",AL286)</f>
        <v>0</v>
      </c>
      <c r="N286" s="75" t="str">
        <f t="shared" si="334"/>
        <v/>
      </c>
      <c r="O286" s="348">
        <f>IF(AN286="","",AN286)</f>
        <v>0</v>
      </c>
      <c r="P286" s="75" t="str">
        <f t="shared" si="318"/>
        <v/>
      </c>
      <c r="Q286" s="348">
        <f>IF(AP286="","",AP286)</f>
        <v>0</v>
      </c>
      <c r="R286" s="75" t="str">
        <f t="shared" si="319"/>
        <v/>
      </c>
      <c r="S286" s="348">
        <f>IF(AR286="","",AR286)</f>
        <v>0</v>
      </c>
      <c r="T286" s="75" t="str">
        <f t="shared" si="320"/>
        <v/>
      </c>
      <c r="U286" s="348">
        <f>IF(AT286="","",AT286)</f>
        <v>0</v>
      </c>
      <c r="V286" s="75" t="str">
        <f t="shared" si="321"/>
        <v/>
      </c>
      <c r="W286" s="348">
        <f>IF(AV286="","",AV286)</f>
        <v>0</v>
      </c>
      <c r="Z286" s="351" t="s">
        <v>11</v>
      </c>
      <c r="AA286" s="108" t="str">
        <f>IF(AB286=0,"",VLOOKUP(AB286,Starter!$A$1:$D$199,2,FALSE))</f>
        <v/>
      </c>
      <c r="AB286" s="99"/>
      <c r="AC286" s="188"/>
      <c r="AD286" s="109">
        <f>IF(SUM(AC286:AC288)+AC298=0,0,IF(SUM(AC286:AC288)=AC298,0.5,IF(SUM(AC286:AC288)&gt;AC298,1,0)))</f>
        <v>0</v>
      </c>
      <c r="AE286" s="188"/>
      <c r="AF286" s="109">
        <f>IF(SUM(AE286:AE288)+AE298=0,0,IF(SUM(AE286:AE288)=AE298,0.5,IF(SUM(AE286:AE288)&gt;AE298,1,0)))</f>
        <v>0</v>
      </c>
      <c r="AG286" s="188"/>
      <c r="AH286" s="109">
        <f>IF(SUM(AG286:AG288)+AG298=0,0,IF(SUM(AG286:AG288)=AG298,0.5,IF(SUM(AG286:AG288)&gt;AG298,1,0)))</f>
        <v>0</v>
      </c>
      <c r="AI286" s="188"/>
      <c r="AJ286" s="109">
        <f>IF(SUM(AI286:AI288)+AI298=0,0,IF(SUM(AI286:AI288)=AI298,0.5,IF(SUM(AI286:AI288)&gt;AI298,1,0)))</f>
        <v>0</v>
      </c>
      <c r="AK286" s="188"/>
      <c r="AL286" s="109">
        <f>IF(SUM(AK286:AK288)+AK298=0,0,IF(SUM(AK286:AK288)=AK298,0.5,IF(SUM(AK286:AK288)&gt;AK298,1,0)))</f>
        <v>0</v>
      </c>
      <c r="AM286" s="188"/>
      <c r="AN286" s="109">
        <f>IF(SUM(AM286:AM288)+AM298=0,0,IF(SUM(AM286:AM288)=AM298,0.5,IF(SUM(AM286:AM288)&gt;AM298,1,0)))</f>
        <v>0</v>
      </c>
      <c r="AO286" s="188"/>
      <c r="AP286" s="109">
        <f>IF(SUM(AO286:AO288)+AO298=0,0,IF(SUM(AO286:AO288)=AO298,0.5,IF(SUM(AO286:AO288)&gt;AO298,1,0)))</f>
        <v>0</v>
      </c>
      <c r="AQ286" s="188"/>
      <c r="AR286" s="109">
        <f>IF(SUM(AQ286:AQ288)+AQ298=0,0,IF(SUM(AQ286:AQ288)=AQ298,0.5,IF(SUM(AQ286:AQ288)&gt;AQ298,1,0)))</f>
        <v>0</v>
      </c>
      <c r="AS286" s="188"/>
      <c r="AT286" s="109">
        <f>IF(SUM(AS286:AS288)+AS298=0,0,IF(SUM(AS286:AS288)=AS298,0.5,IF(SUM(AS286:AS288)&gt;AS298,1,0)))</f>
        <v>0</v>
      </c>
      <c r="AU286" s="110">
        <f t="shared" si="322"/>
        <v>0</v>
      </c>
      <c r="AV286" s="111">
        <f>SUM(AD286+AF286+AH286+AJ286+AL286+AN286+AP286+AR286+AT286)</f>
        <v>0</v>
      </c>
      <c r="AW286" s="101"/>
      <c r="AX286" s="102"/>
      <c r="AZ286" s="63"/>
      <c r="BA286" s="212"/>
      <c r="BB286" s="213"/>
      <c r="BC286" s="214"/>
      <c r="BD286" s="217">
        <f t="shared" si="335"/>
        <v>0</v>
      </c>
      <c r="BE286" s="213">
        <f t="shared" si="336"/>
        <v>0</v>
      </c>
      <c r="BF286" s="215">
        <f t="shared" si="337"/>
        <v>0</v>
      </c>
      <c r="BG286" s="215">
        <f t="shared" si="338"/>
        <v>0</v>
      </c>
      <c r="BH286" s="215" t="str">
        <f t="shared" si="323"/>
        <v/>
      </c>
      <c r="BI286" s="215" t="str">
        <f t="shared" si="324"/>
        <v/>
      </c>
      <c r="BJ286" s="215" t="str">
        <f t="shared" si="325"/>
        <v/>
      </c>
      <c r="BK286" s="215" t="str">
        <f t="shared" si="326"/>
        <v/>
      </c>
      <c r="BL286" s="215" t="str">
        <f t="shared" si="327"/>
        <v/>
      </c>
      <c r="BM286" s="215" t="str">
        <f t="shared" si="328"/>
        <v/>
      </c>
      <c r="BN286" s="215" t="str">
        <f t="shared" si="329"/>
        <v/>
      </c>
      <c r="BO286" s="215" t="str">
        <f t="shared" si="330"/>
        <v/>
      </c>
      <c r="BP286" s="215" t="str">
        <f t="shared" si="331"/>
        <v/>
      </c>
      <c r="BQ286" s="216"/>
      <c r="BR286" s="214"/>
      <c r="BS286" s="215">
        <f t="shared" si="339"/>
        <v>0</v>
      </c>
      <c r="BT286" s="215">
        <f t="shared" si="340"/>
        <v>2.8599999999999999E-7</v>
      </c>
      <c r="BU286" s="215" t="str">
        <f t="shared" si="341"/>
        <v>BK München 4</v>
      </c>
      <c r="BV286" s="214">
        <f t="shared" si="342"/>
        <v>3</v>
      </c>
      <c r="BW286" s="215">
        <f t="shared" si="343"/>
        <v>0</v>
      </c>
      <c r="BX286" s="215">
        <f>IF(COUNTIF(BH286:BP286,"&gt;0")&lt;Spielorte!$A$23,0,BE286/Spielorte!$A$23)</f>
        <v>0</v>
      </c>
      <c r="BY286" s="215">
        <f t="shared" si="344"/>
        <v>2.8599999999999999E-7</v>
      </c>
      <c r="BZ286" s="214">
        <f t="shared" si="332"/>
        <v>3</v>
      </c>
    </row>
    <row r="287" spans="1:78" ht="17.2" customHeight="1" x14ac:dyDescent="0.35">
      <c r="A287" s="368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49"/>
      <c r="F287" s="78" t="str">
        <f t="shared" si="314"/>
        <v/>
      </c>
      <c r="G287" s="349"/>
      <c r="H287" s="78" t="str">
        <f t="shared" si="315"/>
        <v/>
      </c>
      <c r="I287" s="349"/>
      <c r="J287" s="78" t="str">
        <f t="shared" si="316"/>
        <v/>
      </c>
      <c r="K287" s="349"/>
      <c r="L287" s="78" t="str">
        <f t="shared" si="317"/>
        <v/>
      </c>
      <c r="M287" s="349"/>
      <c r="N287" s="78" t="str">
        <f t="shared" si="334"/>
        <v/>
      </c>
      <c r="O287" s="349"/>
      <c r="P287" s="78" t="str">
        <f t="shared" si="318"/>
        <v/>
      </c>
      <c r="Q287" s="349"/>
      <c r="R287" s="78" t="str">
        <f t="shared" si="319"/>
        <v/>
      </c>
      <c r="S287" s="349"/>
      <c r="T287" s="78" t="str">
        <f t="shared" si="320"/>
        <v/>
      </c>
      <c r="U287" s="349"/>
      <c r="V287" s="78" t="str">
        <f t="shared" si="321"/>
        <v/>
      </c>
      <c r="W287" s="349"/>
      <c r="Z287" s="352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2.8700000000000002E-7</v>
      </c>
      <c r="BU287" s="215" t="str">
        <f t="shared" si="341"/>
        <v>BK München 4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2.8700000000000002E-7</v>
      </c>
      <c r="BZ287" s="214">
        <f t="shared" si="332"/>
        <v>2</v>
      </c>
    </row>
    <row r="288" spans="1:78" ht="17.2" customHeight="1" thickBot="1" x14ac:dyDescent="0.4">
      <c r="A288" s="369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50"/>
      <c r="F288" s="69" t="str">
        <f t="shared" si="314"/>
        <v/>
      </c>
      <c r="G288" s="350"/>
      <c r="H288" s="69" t="str">
        <f t="shared" si="315"/>
        <v/>
      </c>
      <c r="I288" s="350"/>
      <c r="J288" s="69" t="str">
        <f t="shared" si="316"/>
        <v/>
      </c>
      <c r="K288" s="350"/>
      <c r="L288" s="69" t="str">
        <f t="shared" si="317"/>
        <v/>
      </c>
      <c r="M288" s="350"/>
      <c r="N288" s="69" t="str">
        <f t="shared" si="334"/>
        <v/>
      </c>
      <c r="O288" s="350"/>
      <c r="P288" s="69" t="str">
        <f t="shared" si="318"/>
        <v/>
      </c>
      <c r="Q288" s="350"/>
      <c r="R288" s="69" t="str">
        <f t="shared" si="319"/>
        <v/>
      </c>
      <c r="S288" s="350"/>
      <c r="T288" s="69" t="str">
        <f t="shared" si="320"/>
        <v/>
      </c>
      <c r="U288" s="350"/>
      <c r="V288" s="69" t="str">
        <f t="shared" si="321"/>
        <v/>
      </c>
      <c r="W288" s="350"/>
      <c r="Z288" s="353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2.8799999999999998E-7</v>
      </c>
      <c r="BU288" s="215" t="str">
        <f t="shared" si="341"/>
        <v>BK München 4</v>
      </c>
      <c r="BV288" s="214">
        <f t="shared" si="342"/>
        <v>1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2.8799999999999998E-7</v>
      </c>
      <c r="BZ288" s="214">
        <f t="shared" si="332"/>
        <v>1</v>
      </c>
    </row>
    <row r="289" spans="2:78" ht="27.75" customHeight="1" thickBot="1" x14ac:dyDescent="0.4">
      <c r="B289" s="81" t="str">
        <f>IF(AA289=0,"",AA289)</f>
        <v>Gesamt</v>
      </c>
      <c r="C289" s="82" t="str">
        <f t="shared" si="333"/>
        <v/>
      </c>
      <c r="D289" s="83" t="str">
        <f t="shared" si="333"/>
        <v/>
      </c>
      <c r="E289" s="84">
        <f>IF(AD289="","",AD289)</f>
        <v>0</v>
      </c>
      <c r="F289" s="83" t="str">
        <f t="shared" si="314"/>
        <v/>
      </c>
      <c r="G289" s="84">
        <f>IF(AF289="","",AF289)</f>
        <v>0</v>
      </c>
      <c r="H289" s="83" t="str">
        <f t="shared" si="315"/>
        <v/>
      </c>
      <c r="I289" s="84">
        <f>IF(AH289="","",AH289)</f>
        <v>0</v>
      </c>
      <c r="J289" s="83" t="str">
        <f t="shared" si="316"/>
        <v/>
      </c>
      <c r="K289" s="84">
        <f>IF(AJ289="","",AJ289)</f>
        <v>0</v>
      </c>
      <c r="L289" s="83" t="str">
        <f t="shared" si="317"/>
        <v/>
      </c>
      <c r="M289" s="84">
        <f>IF(AL289="","",AL289)</f>
        <v>0</v>
      </c>
      <c r="N289" s="83" t="str">
        <f t="shared" si="334"/>
        <v/>
      </c>
      <c r="O289" s="84">
        <f>IF(AN289="","",AN289)</f>
        <v>0</v>
      </c>
      <c r="P289" s="83" t="str">
        <f t="shared" si="318"/>
        <v/>
      </c>
      <c r="Q289" s="84">
        <f>IF(AP289="","",AP289)</f>
        <v>0</v>
      </c>
      <c r="R289" s="83" t="str">
        <f t="shared" si="319"/>
        <v/>
      </c>
      <c r="S289" s="84">
        <f>IF(AR289="","",AR289)</f>
        <v>0</v>
      </c>
      <c r="T289" s="83" t="str">
        <f t="shared" si="320"/>
        <v/>
      </c>
      <c r="U289" s="84">
        <f>IF(AT289="","",AT289)</f>
        <v>0</v>
      </c>
      <c r="V289" s="83" t="str">
        <f t="shared" si="321"/>
        <v/>
      </c>
      <c r="W289" s="84">
        <f>IF(AV289="","",AV289)</f>
        <v>0</v>
      </c>
      <c r="AA289" s="81" t="s">
        <v>1799</v>
      </c>
      <c r="AB289" s="120"/>
      <c r="AC289" s="211">
        <f>ABS(SUM(AC277:AC279))+ABS(SUM(AC280:AC282))+ABS(SUM(AC283:AC285))+ABS(SUM(AC286:AC288))</f>
        <v>0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0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0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0</v>
      </c>
      <c r="AJ289" s="121">
        <f>IF(AI289+AI299=0,0,IF(AI289=AI299,1,IF(AI289&gt;AI299,2,0)))</f>
        <v>0</v>
      </c>
      <c r="AK289" s="211">
        <f>ABS(SUM(AK277:AK279))+ABS(SUM(AK280:AK282))+ABS(SUM(AK283:AK285))+ABS(SUM(AK286:AK288))</f>
        <v>0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0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0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0</v>
      </c>
      <c r="AT289" s="121">
        <f>IF(AS289+AS299=0,0,IF(AS289=AS299,1,IF(AS289&gt;AS299,2,0)))</f>
        <v>0</v>
      </c>
      <c r="AU289" s="122">
        <f>SUM(AC289+AE289+AG289+AI289+AK289+AM289+AO289+AQ289+AS289)</f>
        <v>0</v>
      </c>
      <c r="AV289" s="123">
        <f>SUM(AD289+AF289+AH289+AJ289+AL289+AN289+AP289+AR289+AT289)</f>
        <v>0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4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0</v>
      </c>
      <c r="F290" s="86" t="str">
        <f t="shared" si="314"/>
        <v/>
      </c>
      <c r="G290" s="87">
        <f>IF(AF290="","",AF290)</f>
        <v>0</v>
      </c>
      <c r="H290" s="86" t="str">
        <f t="shared" si="315"/>
        <v/>
      </c>
      <c r="I290" s="87">
        <f>IF(AH290="","",AH290)</f>
        <v>0</v>
      </c>
      <c r="J290" s="86" t="str">
        <f t="shared" si="316"/>
        <v/>
      </c>
      <c r="K290" s="87">
        <f>IF(AJ290="","",AJ290)</f>
        <v>0</v>
      </c>
      <c r="L290" s="86" t="str">
        <f t="shared" si="317"/>
        <v/>
      </c>
      <c r="M290" s="87">
        <f>IF(AL290="","",AL290)</f>
        <v>0</v>
      </c>
      <c r="N290" s="86" t="str">
        <f t="shared" si="334"/>
        <v/>
      </c>
      <c r="O290" s="87">
        <f>IF(AN290="","",AN290)</f>
        <v>0</v>
      </c>
      <c r="P290" s="86" t="str">
        <f t="shared" si="318"/>
        <v/>
      </c>
      <c r="Q290" s="87">
        <f>IF(AP290="","",AP290)</f>
        <v>0</v>
      </c>
      <c r="R290" s="86" t="str">
        <f t="shared" si="319"/>
        <v/>
      </c>
      <c r="S290" s="87">
        <f>IF(AR290="","",AR290)</f>
        <v>0</v>
      </c>
      <c r="T290" s="86" t="str">
        <f t="shared" si="320"/>
        <v/>
      </c>
      <c r="U290" s="87">
        <f>IF(AT290="","",AT290)</f>
        <v>0</v>
      </c>
      <c r="V290" s="86" t="str">
        <f t="shared" si="321"/>
        <v/>
      </c>
      <c r="W290" s="87">
        <f>IF(AV290="","",AV290)</f>
        <v>0</v>
      </c>
      <c r="AA290" s="85" t="s">
        <v>1814</v>
      </c>
      <c r="AB290" s="86"/>
      <c r="AC290" s="86"/>
      <c r="AD290" s="124">
        <f>SUM(AD277:AD289)</f>
        <v>0</v>
      </c>
      <c r="AE290" s="86"/>
      <c r="AF290" s="124">
        <f>SUM(AF277:AF289)</f>
        <v>0</v>
      </c>
      <c r="AG290" s="86"/>
      <c r="AH290" s="124">
        <f>SUM(AH277:AH289)</f>
        <v>0</v>
      </c>
      <c r="AI290" s="86"/>
      <c r="AJ290" s="124">
        <f>SUM(AJ277:AJ289)</f>
        <v>0</v>
      </c>
      <c r="AK290" s="86"/>
      <c r="AL290" s="124">
        <f>SUM(AL277:AL289)</f>
        <v>0</v>
      </c>
      <c r="AM290" s="86"/>
      <c r="AN290" s="124">
        <f>SUM(AN277:AN289)</f>
        <v>0</v>
      </c>
      <c r="AO290" s="86"/>
      <c r="AP290" s="124">
        <f>SUM(AP277:AP289)</f>
        <v>0</v>
      </c>
      <c r="AQ290" s="86"/>
      <c r="AR290" s="124">
        <f>SUM(AR277:AR289)</f>
        <v>0</v>
      </c>
      <c r="AS290" s="86"/>
      <c r="AT290" s="124">
        <f>SUM(AT277:AT289)</f>
        <v>0</v>
      </c>
      <c r="AU290" s="86"/>
      <c r="AV290" s="125">
        <f>SUM(AV277:AV289)</f>
        <v>0</v>
      </c>
      <c r="AW290" s="101"/>
      <c r="AX290" s="102"/>
      <c r="BA290" s="212">
        <f>+AV290</f>
        <v>0</v>
      </c>
      <c r="BB290" s="213">
        <f>+AU289</f>
        <v>0</v>
      </c>
      <c r="BC290" s="214">
        <f>+AA272</f>
        <v>10</v>
      </c>
      <c r="BF290" s="215">
        <f>SUM(BF271:BF289)</f>
        <v>0</v>
      </c>
      <c r="BQ290" s="212">
        <f>+BB290/1000000+BA290</f>
        <v>0</v>
      </c>
      <c r="BR290" s="214">
        <f>RANK(BQ290,BQ:BQ)</f>
        <v>1</v>
      </c>
      <c r="BV290" s="214"/>
      <c r="BZ290" s="214"/>
    </row>
    <row r="291" spans="2:78" ht="11.25" customHeight="1" x14ac:dyDescent="0.3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3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46">
        <f t="shared" si="345"/>
        <v>9</v>
      </c>
      <c r="E292" s="346" t="str">
        <f t="shared" si="345"/>
        <v/>
      </c>
      <c r="F292" s="346">
        <f t="shared" si="345"/>
        <v>5</v>
      </c>
      <c r="G292" s="346" t="str">
        <f t="shared" si="345"/>
        <v/>
      </c>
      <c r="H292" s="346">
        <f t="shared" si="345"/>
        <v>1</v>
      </c>
      <c r="I292" s="346" t="str">
        <f t="shared" si="345"/>
        <v/>
      </c>
      <c r="J292" s="346">
        <f t="shared" si="345"/>
        <v>2</v>
      </c>
      <c r="K292" s="346" t="str">
        <f t="shared" si="345"/>
        <v/>
      </c>
      <c r="L292" s="346">
        <f t="shared" si="345"/>
        <v>7</v>
      </c>
      <c r="M292" s="346" t="str">
        <f t="shared" si="345"/>
        <v/>
      </c>
      <c r="N292" s="346">
        <f t="shared" si="345"/>
        <v>4</v>
      </c>
      <c r="O292" s="346" t="str">
        <f t="shared" si="345"/>
        <v/>
      </c>
      <c r="P292" s="346">
        <f t="shared" si="345"/>
        <v>3</v>
      </c>
      <c r="Q292" s="346" t="str">
        <f t="shared" si="345"/>
        <v/>
      </c>
      <c r="R292" s="346">
        <f t="shared" ref="L292:U294" si="346">IF(AQ292=0,"",AQ292)</f>
        <v>6</v>
      </c>
      <c r="S292" s="346" t="str">
        <f t="shared" si="346"/>
        <v/>
      </c>
      <c r="T292" s="346">
        <f t="shared" si="346"/>
        <v>8</v>
      </c>
      <c r="U292" s="346" t="str">
        <f t="shared" si="346"/>
        <v/>
      </c>
      <c r="V292" s="347"/>
      <c r="W292" s="347"/>
      <c r="AA292" s="88" t="s">
        <v>1797</v>
      </c>
      <c r="AB292" s="89" t="s">
        <v>1798</v>
      </c>
      <c r="AC292" s="370">
        <f>VLOOKUP($AA272,Schlüssel!$A$5:$DG$14,83)</f>
        <v>9</v>
      </c>
      <c r="AD292" s="371"/>
      <c r="AE292" s="370">
        <f>VLOOKUP($AA272,Schlüssel!$A$5:$EK$14,84)</f>
        <v>5</v>
      </c>
      <c r="AF292" s="371"/>
      <c r="AG292" s="370">
        <f>VLOOKUP($AA272,Schlüssel!$A$5:$EK$14,85)</f>
        <v>1</v>
      </c>
      <c r="AH292" s="371"/>
      <c r="AI292" s="370">
        <f>VLOOKUP($AA272,Schlüssel!$A$5:$EK$14,86)</f>
        <v>2</v>
      </c>
      <c r="AJ292" s="371"/>
      <c r="AK292" s="370">
        <f>VLOOKUP($AA272,Schlüssel!$A$5:$EK$14,87)</f>
        <v>7</v>
      </c>
      <c r="AL292" s="371"/>
      <c r="AM292" s="370">
        <f>VLOOKUP($AA272,Schlüssel!$A$5:$EK$14,88)</f>
        <v>4</v>
      </c>
      <c r="AN292" s="371"/>
      <c r="AO292" s="370">
        <f>VLOOKUP($AA272,Schlüssel!$A$5:$EK$14,89)</f>
        <v>3</v>
      </c>
      <c r="AP292" s="371"/>
      <c r="AQ292" s="370">
        <f>VLOOKUP($AA272,Schlüssel!$A$5:$EK$14,90)</f>
        <v>6</v>
      </c>
      <c r="AR292" s="371"/>
      <c r="AS292" s="370">
        <f>VLOOKUP($AA272,Schlüssel!$A$5:$EK$14,91)</f>
        <v>8</v>
      </c>
      <c r="AT292" s="371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35">
      <c r="B293" s="90" t="str">
        <f t="shared" ref="B293:K294" si="347">IF(AA293=0,"",AA293)</f>
        <v/>
      </c>
      <c r="C293" s="86" t="str">
        <f t="shared" si="347"/>
        <v/>
      </c>
      <c r="D293" s="343" t="str">
        <f t="shared" si="347"/>
        <v>RW Lichtenhof 69 Stein 2</v>
      </c>
      <c r="E293" s="344" t="str">
        <f t="shared" si="347"/>
        <v/>
      </c>
      <c r="F293" s="343" t="str">
        <f t="shared" si="347"/>
        <v xml:space="preserve">Weiß Blau Unterföhring </v>
      </c>
      <c r="G293" s="344" t="str">
        <f t="shared" si="347"/>
        <v/>
      </c>
      <c r="H293" s="343" t="str">
        <f t="shared" si="347"/>
        <v>Praetoria Regensburg</v>
      </c>
      <c r="I293" s="344" t="str">
        <f t="shared" si="347"/>
        <v/>
      </c>
      <c r="J293" s="343" t="str">
        <f t="shared" si="347"/>
        <v>BK München 2</v>
      </c>
      <c r="K293" s="344" t="str">
        <f t="shared" si="347"/>
        <v/>
      </c>
      <c r="L293" s="343" t="str">
        <f t="shared" si="346"/>
        <v>Frankenpower Nürnberg</v>
      </c>
      <c r="M293" s="344" t="str">
        <f t="shared" si="346"/>
        <v/>
      </c>
      <c r="N293" s="343" t="str">
        <f t="shared" si="346"/>
        <v>BK München 3</v>
      </c>
      <c r="O293" s="344" t="str">
        <f t="shared" si="346"/>
        <v/>
      </c>
      <c r="P293" s="343" t="str">
        <f t="shared" si="346"/>
        <v>Highroller Rosenheim</v>
      </c>
      <c r="Q293" s="344" t="str">
        <f t="shared" si="346"/>
        <v/>
      </c>
      <c r="R293" s="343" t="str">
        <f t="shared" si="346"/>
        <v>Phönix 03 Lauf</v>
      </c>
      <c r="S293" s="344" t="str">
        <f t="shared" si="346"/>
        <v/>
      </c>
      <c r="T293" s="343" t="str">
        <f t="shared" si="346"/>
        <v>EPA München 1</v>
      </c>
      <c r="U293" s="344" t="str">
        <f t="shared" si="346"/>
        <v/>
      </c>
      <c r="V293" s="345"/>
      <c r="W293" s="345"/>
      <c r="AA293" s="90"/>
      <c r="AB293" s="86"/>
      <c r="AC293" s="343" t="str">
        <f>VLOOKUP(AC292,Schlüssel!$A$5:$K$14,2)</f>
        <v>RW Lichtenhof 69 Stein 2</v>
      </c>
      <c r="AD293" s="344"/>
      <c r="AE293" s="343" t="str">
        <f>VLOOKUP(AE292,Schlüssel!$A$5:$K$14,2)</f>
        <v xml:space="preserve">Weiß Blau Unterföhring </v>
      </c>
      <c r="AF293" s="344"/>
      <c r="AG293" s="343" t="str">
        <f>VLOOKUP(AG292,Schlüssel!$A$5:$K$14,2)</f>
        <v>Praetoria Regensburg</v>
      </c>
      <c r="AH293" s="344"/>
      <c r="AI293" s="343" t="str">
        <f>VLOOKUP(AI292,Schlüssel!$A$5:$K$14,2)</f>
        <v>BK München 2</v>
      </c>
      <c r="AJ293" s="344"/>
      <c r="AK293" s="343" t="str">
        <f>VLOOKUP(AK292,Schlüssel!$A$5:$K$14,2)</f>
        <v>Frankenpower Nürnberg</v>
      </c>
      <c r="AL293" s="344"/>
      <c r="AM293" s="343" t="str">
        <f>VLOOKUP(AM292,Schlüssel!$A$5:$K$14,2)</f>
        <v>BK München 3</v>
      </c>
      <c r="AN293" s="344"/>
      <c r="AO293" s="343" t="str">
        <f>VLOOKUP(AO292,Schlüssel!$A$5:$K$14,2)</f>
        <v>Highroller Rosenheim</v>
      </c>
      <c r="AP293" s="344"/>
      <c r="AQ293" s="343" t="str">
        <f>VLOOKUP(AQ292,Schlüssel!$A$5:$K$14,2)</f>
        <v>Phönix 03 Lauf</v>
      </c>
      <c r="AR293" s="344"/>
      <c r="AS293" s="343" t="str">
        <f>VLOOKUP(AS292,Schlüssel!$A$5:$K$14,2)</f>
        <v>EPA München 1</v>
      </c>
      <c r="AT293" s="344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35">
      <c r="B294" s="90" t="str">
        <f t="shared" si="347"/>
        <v/>
      </c>
      <c r="C294" s="86" t="str">
        <f t="shared" si="347"/>
        <v/>
      </c>
      <c r="D294" s="341" t="str">
        <f t="shared" si="347"/>
        <v/>
      </c>
      <c r="E294" s="341" t="str">
        <f t="shared" si="347"/>
        <v/>
      </c>
      <c r="F294" s="341" t="str">
        <f t="shared" si="347"/>
        <v/>
      </c>
      <c r="G294" s="341" t="str">
        <f t="shared" si="347"/>
        <v/>
      </c>
      <c r="H294" s="341" t="str">
        <f t="shared" si="347"/>
        <v/>
      </c>
      <c r="I294" s="341" t="str">
        <f t="shared" si="347"/>
        <v/>
      </c>
      <c r="J294" s="341" t="str">
        <f t="shared" si="347"/>
        <v/>
      </c>
      <c r="K294" s="341" t="str">
        <f t="shared" si="347"/>
        <v/>
      </c>
      <c r="L294" s="341" t="str">
        <f t="shared" si="346"/>
        <v/>
      </c>
      <c r="M294" s="341" t="str">
        <f t="shared" si="346"/>
        <v/>
      </c>
      <c r="N294" s="341" t="str">
        <f t="shared" si="346"/>
        <v/>
      </c>
      <c r="O294" s="341" t="str">
        <f t="shared" si="346"/>
        <v/>
      </c>
      <c r="P294" s="341" t="str">
        <f t="shared" si="346"/>
        <v/>
      </c>
      <c r="Q294" s="341" t="str">
        <f t="shared" si="346"/>
        <v/>
      </c>
      <c r="R294" s="341" t="str">
        <f t="shared" si="346"/>
        <v/>
      </c>
      <c r="S294" s="341" t="str">
        <f t="shared" si="346"/>
        <v/>
      </c>
      <c r="T294" s="341" t="str">
        <f t="shared" si="346"/>
        <v/>
      </c>
      <c r="U294" s="342" t="str">
        <f t="shared" si="346"/>
        <v/>
      </c>
      <c r="V294" s="301"/>
      <c r="W294" s="301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6.05" customHeight="1" x14ac:dyDescent="0.35">
      <c r="B295" s="365" t="str">
        <f t="shared" ref="B295:C299" si="348">IF(AA295=0,"",AA295)</f>
        <v>Spieler 1</v>
      </c>
      <c r="C295" s="366" t="str">
        <f t="shared" si="348"/>
        <v/>
      </c>
      <c r="D295" s="339">
        <f>IF(AC295=301,"",AC295)</f>
        <v>0</v>
      </c>
      <c r="E295" s="339" t="str">
        <f>IF(AD295=0,"",AD295)</f>
        <v/>
      </c>
      <c r="F295" s="339">
        <f>IF(AE295=301,"",AE295)</f>
        <v>0</v>
      </c>
      <c r="G295" s="339" t="str">
        <f>IF(AF295=0,"",AF295)</f>
        <v/>
      </c>
      <c r="H295" s="339">
        <f>IF(AG295=301,"",AG295)</f>
        <v>0</v>
      </c>
      <c r="I295" s="339" t="str">
        <f>IF(AH295=0,"",AH295)</f>
        <v/>
      </c>
      <c r="J295" s="339">
        <f>IF(AI295=301,"",AI295)</f>
        <v>0</v>
      </c>
      <c r="K295" s="339" t="str">
        <f>IF(AJ295=0,"",AJ295)</f>
        <v/>
      </c>
      <c r="L295" s="339">
        <f>IF(AK295=301,"",AK295)</f>
        <v>0</v>
      </c>
      <c r="M295" s="339" t="str">
        <f>IF(AL295=0,"",AL295)</f>
        <v/>
      </c>
      <c r="N295" s="339">
        <f>IF(AM295=301,"",AM295)</f>
        <v>0</v>
      </c>
      <c r="O295" s="339" t="str">
        <f>IF(AN295=0,"",AN295)</f>
        <v/>
      </c>
      <c r="P295" s="339">
        <f>IF(AO295=301,"",AO295)</f>
        <v>0</v>
      </c>
      <c r="Q295" s="339" t="str">
        <f>IF(AP295=0,"",AP295)</f>
        <v/>
      </c>
      <c r="R295" s="339">
        <f>IF(AQ295=301,"",AQ295)</f>
        <v>0</v>
      </c>
      <c r="S295" s="339" t="str">
        <f>IF(AR295=0,"",AR295)</f>
        <v/>
      </c>
      <c r="T295" s="339">
        <f>IF(AS295=301,"",AS295)</f>
        <v>0</v>
      </c>
      <c r="U295" s="339" t="str">
        <f>IF(AT295=0,"",AT295)</f>
        <v/>
      </c>
      <c r="V295" s="340"/>
      <c r="W295" s="340"/>
      <c r="AA295" s="91" t="s">
        <v>0</v>
      </c>
      <c r="AB295" s="92"/>
      <c r="AC295" s="372">
        <f>ABS(INDEX(AC:AC,MATCH(AC292,$AA:$AA,0)+5)+INDEX(AC:AC,MATCH(AC292,$AA:$AA,0)+6)+INDEX(AC:AC,MATCH(AC292,$AA:$AA,0)+7))</f>
        <v>0</v>
      </c>
      <c r="AD295" s="373"/>
      <c r="AE295" s="372">
        <f>ABS(INDEX(AE:AE,MATCH(AE292,$AA:$AA,0)+5)+INDEX(AE:AE,MATCH(AE292,$AA:$AA,0)+6)+INDEX(AE:AE,MATCH(AE292,$AA:$AA,0)+7))</f>
        <v>0</v>
      </c>
      <c r="AF295" s="373"/>
      <c r="AG295" s="372">
        <f>ABS(INDEX(AG:AG,MATCH(AG292,$AA:$AA,0)+5)+INDEX(AG:AG,MATCH(AG292,$AA:$AA,0)+6)+INDEX(AG:AG,MATCH(AG292,$AA:$AA,0)+7))</f>
        <v>0</v>
      </c>
      <c r="AH295" s="373"/>
      <c r="AI295" s="372">
        <f>ABS(INDEX(AI:AI,MATCH(AI292,$AA:$AA,0)+5)+INDEX(AI:AI,MATCH(AI292,$AA:$AA,0)+6)+INDEX(AI:AI,MATCH(AI292,$AA:$AA,0)+7))</f>
        <v>0</v>
      </c>
      <c r="AJ295" s="373"/>
      <c r="AK295" s="372">
        <f>ABS(INDEX(AK:AK,MATCH(AK292,$AA:$AA,0)+5)+INDEX(AK:AK,MATCH(AK292,$AA:$AA,0)+6)+INDEX(AK:AK,MATCH(AK292,$AA:$AA,0)+7))</f>
        <v>0</v>
      </c>
      <c r="AL295" s="373"/>
      <c r="AM295" s="372">
        <f>ABS(INDEX(AM:AM,MATCH(AM292,$AA:$AA,0)+5)+INDEX(AM:AM,MATCH(AM292,$AA:$AA,0)+6)+INDEX(AM:AM,MATCH(AM292,$AA:$AA,0)+7))</f>
        <v>0</v>
      </c>
      <c r="AN295" s="373"/>
      <c r="AO295" s="372">
        <f>ABS(INDEX(AO:AO,MATCH(AO292,$AA:$AA,0)+5)+INDEX(AO:AO,MATCH(AO292,$AA:$AA,0)+6)+INDEX(AO:AO,MATCH(AO292,$AA:$AA,0)+7))</f>
        <v>0</v>
      </c>
      <c r="AP295" s="373"/>
      <c r="AQ295" s="372">
        <f>ABS(INDEX(AQ:AQ,MATCH(AQ292,$AA:$AA,0)+5)+INDEX(AQ:AQ,MATCH(AQ292,$AA:$AA,0)+6)+INDEX(AQ:AQ,MATCH(AQ292,$AA:$AA,0)+7))</f>
        <v>0</v>
      </c>
      <c r="AR295" s="373"/>
      <c r="AS295" s="372">
        <f>ABS(INDEX(AS:AS,MATCH(AS292,$AA:$AA,0)+5)+INDEX(AS:AS,MATCH(AS292,$AA:$AA,0)+6)+INDEX(AS:AS,MATCH(AS292,$AA:$AA,0)+7))</f>
        <v>0</v>
      </c>
      <c r="AT295" s="373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6.05" customHeight="1" x14ac:dyDescent="0.35">
      <c r="B296" s="365" t="str">
        <f t="shared" si="348"/>
        <v>Spieler 2</v>
      </c>
      <c r="C296" s="366" t="str">
        <f t="shared" si="348"/>
        <v/>
      </c>
      <c r="D296" s="339">
        <f>IF(AC296=301,"",AC296)</f>
        <v>0</v>
      </c>
      <c r="E296" s="339" t="str">
        <f>IF(AD296=0,"",AD296)</f>
        <v/>
      </c>
      <c r="F296" s="339">
        <f>IF(AE296=301,"",AE296)</f>
        <v>0</v>
      </c>
      <c r="G296" s="339" t="str">
        <f>IF(AF296=0,"",AF296)</f>
        <v/>
      </c>
      <c r="H296" s="339">
        <f>IF(AG296=301,"",AG296)</f>
        <v>0</v>
      </c>
      <c r="I296" s="339" t="str">
        <f>IF(AH296=0,"",AH296)</f>
        <v/>
      </c>
      <c r="J296" s="339">
        <f>IF(AI296=301,"",AI296)</f>
        <v>0</v>
      </c>
      <c r="K296" s="339" t="str">
        <f>IF(AJ296=0,"",AJ296)</f>
        <v/>
      </c>
      <c r="L296" s="339">
        <f>IF(AK296=301,"",AK296)</f>
        <v>0</v>
      </c>
      <c r="M296" s="339" t="str">
        <f>IF(AL296=0,"",AL296)</f>
        <v/>
      </c>
      <c r="N296" s="339">
        <f>IF(AM296=301,"",AM296)</f>
        <v>0</v>
      </c>
      <c r="O296" s="339" t="str">
        <f>IF(AN296=0,"",AN296)</f>
        <v/>
      </c>
      <c r="P296" s="339">
        <f>IF(AO296=301,"",AO296)</f>
        <v>0</v>
      </c>
      <c r="Q296" s="339" t="str">
        <f>IF(AP296=0,"",AP296)</f>
        <v/>
      </c>
      <c r="R296" s="339">
        <f>IF(AQ296=301,"",AQ296)</f>
        <v>0</v>
      </c>
      <c r="S296" s="339" t="str">
        <f>IF(AR296=0,"",AR296)</f>
        <v/>
      </c>
      <c r="T296" s="339">
        <f>IF(AS296=301,"",AS296)</f>
        <v>0</v>
      </c>
      <c r="U296" s="339" t="str">
        <f>IF(AT296=0,"",AT296)</f>
        <v/>
      </c>
      <c r="V296" s="340"/>
      <c r="W296" s="340"/>
      <c r="AA296" s="91" t="s">
        <v>2</v>
      </c>
      <c r="AB296" s="92"/>
      <c r="AC296" s="374">
        <f>ABS(INDEX(AC:AC,MATCH(AC292,$AA:$AA,0)+8)+INDEX(AC:AC,MATCH(AC292,$AA:$AA,0)+9)+INDEX(AC:AC,MATCH(AC292,$AA:$AA,0)+10))</f>
        <v>0</v>
      </c>
      <c r="AD296" s="375"/>
      <c r="AE296" s="374">
        <f>ABS(INDEX(AE:AE,MATCH(AE292,$AA:$AA,0)+8)+INDEX(AE:AE,MATCH(AE292,$AA:$AA,0)+9)+INDEX(AE:AE,MATCH(AE292,$AA:$AA,0)+10))</f>
        <v>0</v>
      </c>
      <c r="AF296" s="375"/>
      <c r="AG296" s="374">
        <f>ABS(INDEX(AG:AG,MATCH(AG292,$AA:$AA,0)+8)+INDEX(AG:AG,MATCH(AG292,$AA:$AA,0)+9)+INDEX(AG:AG,MATCH(AG292,$AA:$AA,0)+10))</f>
        <v>0</v>
      </c>
      <c r="AH296" s="375"/>
      <c r="AI296" s="374">
        <f>ABS(INDEX(AI:AI,MATCH(AI292,$AA:$AA,0)+8)+INDEX(AI:AI,MATCH(AI292,$AA:$AA,0)+9)+INDEX(AI:AI,MATCH(AI292,$AA:$AA,0)+10))</f>
        <v>0</v>
      </c>
      <c r="AJ296" s="375"/>
      <c r="AK296" s="374">
        <f>ABS(INDEX(AK:AK,MATCH(AK292,$AA:$AA,0)+8)+INDEX(AK:AK,MATCH(AK292,$AA:$AA,0)+9)+INDEX(AK:AK,MATCH(AK292,$AA:$AA,0)+10))</f>
        <v>0</v>
      </c>
      <c r="AL296" s="375"/>
      <c r="AM296" s="374">
        <f>ABS(INDEX(AM:AM,MATCH(AM292,$AA:$AA,0)+8)+INDEX(AM:AM,MATCH(AM292,$AA:$AA,0)+9)+INDEX(AM:AM,MATCH(AM292,$AA:$AA,0)+10))</f>
        <v>0</v>
      </c>
      <c r="AN296" s="375"/>
      <c r="AO296" s="374">
        <f>ABS(INDEX(AO:AO,MATCH(AO292,$AA:$AA,0)+8)+INDEX(AO:AO,MATCH(AO292,$AA:$AA,0)+9)+INDEX(AO:AO,MATCH(AO292,$AA:$AA,0)+10))</f>
        <v>0</v>
      </c>
      <c r="AP296" s="375"/>
      <c r="AQ296" s="374">
        <f>ABS(INDEX(AQ:AQ,MATCH(AQ292,$AA:$AA,0)+8)+INDEX(AQ:AQ,MATCH(AQ292,$AA:$AA,0)+9)+INDEX(AQ:AQ,MATCH(AQ292,$AA:$AA,0)+10))</f>
        <v>0</v>
      </c>
      <c r="AR296" s="375"/>
      <c r="AS296" s="374">
        <f>ABS(INDEX(AS:AS,MATCH(AS292,$AA:$AA,0)+8)+INDEX(AS:AS,MATCH(AS292,$AA:$AA,0)+9)+INDEX(AS:AS,MATCH(AS292,$AA:$AA,0)+10))</f>
        <v>0</v>
      </c>
      <c r="AT296" s="37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6.05" customHeight="1" x14ac:dyDescent="0.35">
      <c r="B297" s="365" t="str">
        <f t="shared" si="348"/>
        <v>Spieler 3</v>
      </c>
      <c r="C297" s="366" t="str">
        <f t="shared" si="348"/>
        <v/>
      </c>
      <c r="D297" s="339">
        <f>IF(AC297=301,"",AC297)</f>
        <v>0</v>
      </c>
      <c r="E297" s="339" t="str">
        <f>IF(AD297=0,"",AD297)</f>
        <v/>
      </c>
      <c r="F297" s="339">
        <f>IF(AE297=301,"",AE297)</f>
        <v>0</v>
      </c>
      <c r="G297" s="339" t="str">
        <f>IF(AF297=0,"",AF297)</f>
        <v/>
      </c>
      <c r="H297" s="339">
        <f>IF(AG297=301,"",AG297)</f>
        <v>0</v>
      </c>
      <c r="I297" s="339" t="str">
        <f>IF(AH297=0,"",AH297)</f>
        <v/>
      </c>
      <c r="J297" s="339">
        <f>IF(AI297=301,"",AI297)</f>
        <v>0</v>
      </c>
      <c r="K297" s="339" t="str">
        <f>IF(AJ297=0,"",AJ297)</f>
        <v/>
      </c>
      <c r="L297" s="339">
        <f>IF(AK297=301,"",AK297)</f>
        <v>0</v>
      </c>
      <c r="M297" s="339" t="str">
        <f>IF(AL297=0,"",AL297)</f>
        <v/>
      </c>
      <c r="N297" s="339">
        <f>IF(AM297=301,"",AM297)</f>
        <v>0</v>
      </c>
      <c r="O297" s="339" t="str">
        <f>IF(AN297=0,"",AN297)</f>
        <v/>
      </c>
      <c r="P297" s="339">
        <f>IF(AO297=301,"",AO297)</f>
        <v>0</v>
      </c>
      <c r="Q297" s="339" t="str">
        <f>IF(AP297=0,"",AP297)</f>
        <v/>
      </c>
      <c r="R297" s="339">
        <f>IF(AQ297=301,"",AQ297)</f>
        <v>0</v>
      </c>
      <c r="S297" s="339" t="str">
        <f>IF(AR297=0,"",AR297)</f>
        <v/>
      </c>
      <c r="T297" s="339">
        <f>IF(AS297=301,"",AS297)</f>
        <v>0</v>
      </c>
      <c r="U297" s="339" t="str">
        <f>IF(AT297=0,"",AT297)</f>
        <v/>
      </c>
      <c r="V297" s="340"/>
      <c r="W297" s="340"/>
      <c r="AA297" s="91" t="s">
        <v>3</v>
      </c>
      <c r="AB297" s="92"/>
      <c r="AC297" s="374">
        <f>ABS(INDEX(AC:AC,MATCH(AC292,$AA:$AA,0)+11)+INDEX(AC:AC,MATCH(AC292,$AA:$AA,0)+12)+INDEX(AC:AC,MATCH(AC292,$AA:$AA,0)+13))</f>
        <v>0</v>
      </c>
      <c r="AD297" s="375"/>
      <c r="AE297" s="374">
        <f>ABS(INDEX(AE:AE,MATCH(AE292,$AA:$AA,0)+11)+INDEX(AE:AE,MATCH(AE292,$AA:$AA,0)+12)+INDEX(AE:AE,MATCH(AE292,$AA:$AA,0)+13))</f>
        <v>0</v>
      </c>
      <c r="AF297" s="375"/>
      <c r="AG297" s="374">
        <f>ABS(INDEX(AG:AG,MATCH(AG292,$AA:$AA,0)+11)+INDEX(AG:AG,MATCH(AG292,$AA:$AA,0)+12)+INDEX(AG:AG,MATCH(AG292,$AA:$AA,0)+13))</f>
        <v>0</v>
      </c>
      <c r="AH297" s="375"/>
      <c r="AI297" s="374">
        <f>ABS(INDEX(AI:AI,MATCH(AI292,$AA:$AA,0)+11)+INDEX(AI:AI,MATCH(AI292,$AA:$AA,0)+12)+INDEX(AI:AI,MATCH(AI292,$AA:$AA,0)+13))</f>
        <v>0</v>
      </c>
      <c r="AJ297" s="375"/>
      <c r="AK297" s="374">
        <f>ABS(INDEX(AK:AK,MATCH(AK292,$AA:$AA,0)+11)+INDEX(AK:AK,MATCH(AK292,$AA:$AA,0)+12)+INDEX(AK:AK,MATCH(AK292,$AA:$AA,0)+13))</f>
        <v>0</v>
      </c>
      <c r="AL297" s="375"/>
      <c r="AM297" s="374">
        <f>ABS(INDEX(AM:AM,MATCH(AM292,$AA:$AA,0)+11)+INDEX(AM:AM,MATCH(AM292,$AA:$AA,0)+12)+INDEX(AM:AM,MATCH(AM292,$AA:$AA,0)+13))</f>
        <v>0</v>
      </c>
      <c r="AN297" s="375"/>
      <c r="AO297" s="374">
        <f>ABS(INDEX(AO:AO,MATCH(AO292,$AA:$AA,0)+11)+INDEX(AO:AO,MATCH(AO292,$AA:$AA,0)+12)+INDEX(AO:AO,MATCH(AO292,$AA:$AA,0)+13))</f>
        <v>0</v>
      </c>
      <c r="AP297" s="375"/>
      <c r="AQ297" s="374">
        <f>ABS(INDEX(AQ:AQ,MATCH(AQ292,$AA:$AA,0)+11)+INDEX(AQ:AQ,MATCH(AQ292,$AA:$AA,0)+12)+INDEX(AQ:AQ,MATCH(AQ292,$AA:$AA,0)+13))</f>
        <v>0</v>
      </c>
      <c r="AR297" s="375"/>
      <c r="AS297" s="374">
        <f>ABS(INDEX(AS:AS,MATCH(AS292,$AA:$AA,0)+11)+INDEX(AS:AS,MATCH(AS292,$AA:$AA,0)+12)+INDEX(AS:AS,MATCH(AS292,$AA:$AA,0)+13))</f>
        <v>0</v>
      </c>
      <c r="AT297" s="37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6.05" customHeight="1" x14ac:dyDescent="0.35">
      <c r="B298" s="365" t="str">
        <f t="shared" si="348"/>
        <v>Spieler 4</v>
      </c>
      <c r="C298" s="366" t="str">
        <f t="shared" si="348"/>
        <v/>
      </c>
      <c r="D298" s="339">
        <f>IF(AC298=301,"",AC298)</f>
        <v>0</v>
      </c>
      <c r="E298" s="339" t="str">
        <f>IF(AD298=0,"",AD298)</f>
        <v/>
      </c>
      <c r="F298" s="339">
        <f>IF(AE298=301,"",AE298)</f>
        <v>0</v>
      </c>
      <c r="G298" s="339" t="str">
        <f>IF(AF298=0,"",AF298)</f>
        <v/>
      </c>
      <c r="H298" s="339">
        <f>IF(AG298=301,"",AG298)</f>
        <v>0</v>
      </c>
      <c r="I298" s="339" t="str">
        <f>IF(AH298=0,"",AH298)</f>
        <v/>
      </c>
      <c r="J298" s="339">
        <f>IF(AI298=301,"",AI298)</f>
        <v>0</v>
      </c>
      <c r="K298" s="339" t="str">
        <f>IF(AJ298=0,"",AJ298)</f>
        <v/>
      </c>
      <c r="L298" s="339">
        <f>IF(AK298=301,"",AK298)</f>
        <v>0</v>
      </c>
      <c r="M298" s="339" t="str">
        <f>IF(AL298=0,"",AL298)</f>
        <v/>
      </c>
      <c r="N298" s="339">
        <f>IF(AM298=301,"",AM298)</f>
        <v>0</v>
      </c>
      <c r="O298" s="339" t="str">
        <f>IF(AN298=0,"",AN298)</f>
        <v/>
      </c>
      <c r="P298" s="339">
        <f>IF(AO298=301,"",AO298)</f>
        <v>0</v>
      </c>
      <c r="Q298" s="339" t="str">
        <f>IF(AP298=0,"",AP298)</f>
        <v/>
      </c>
      <c r="R298" s="339">
        <f>IF(AQ298=301,"",AQ298)</f>
        <v>0</v>
      </c>
      <c r="S298" s="339" t="str">
        <f>IF(AR298=0,"",AR298)</f>
        <v/>
      </c>
      <c r="T298" s="339">
        <f>IF(AS298=301,"",AS298)</f>
        <v>0</v>
      </c>
      <c r="U298" s="339" t="str">
        <f>IF(AT298=0,"",AT298)</f>
        <v/>
      </c>
      <c r="V298" s="340"/>
      <c r="W298" s="340"/>
      <c r="AA298" s="91" t="s">
        <v>11</v>
      </c>
      <c r="AB298" s="92"/>
      <c r="AC298" s="374">
        <f>ABS(INDEX(AC:AC,MATCH(AC292,$AA:$AA,0)+14)+INDEX(AC:AC,MATCH(AC292,$AA:$AA,0)+15)+INDEX(AC:AC,MATCH(AC292,$AA:$AA,0)+16))</f>
        <v>0</v>
      </c>
      <c r="AD298" s="375"/>
      <c r="AE298" s="374">
        <f>ABS(INDEX(AE:AE,MATCH(AE292,$AA:$AA,0)+14)+INDEX(AE:AE,MATCH(AE292,$AA:$AA,0)+15)+INDEX(AE:AE,MATCH(AE292,$AA:$AA,0)+16))</f>
        <v>0</v>
      </c>
      <c r="AF298" s="375"/>
      <c r="AG298" s="374">
        <f>ABS(INDEX(AG:AG,MATCH(AG292,$AA:$AA,0)+14)+INDEX(AG:AG,MATCH(AG292,$AA:$AA,0)+15)+INDEX(AG:AG,MATCH(AG292,$AA:$AA,0)+16))</f>
        <v>0</v>
      </c>
      <c r="AH298" s="375"/>
      <c r="AI298" s="374">
        <f>ABS(INDEX(AI:AI,MATCH(AI292,$AA:$AA,0)+14)+INDEX(AI:AI,MATCH(AI292,$AA:$AA,0)+15)+INDEX(AI:AI,MATCH(AI292,$AA:$AA,0)+16))</f>
        <v>0</v>
      </c>
      <c r="AJ298" s="375"/>
      <c r="AK298" s="374">
        <f>ABS(INDEX(AK:AK,MATCH(AK292,$AA:$AA,0)+14)+INDEX(AK:AK,MATCH(AK292,$AA:$AA,0)+15)+INDEX(AK:AK,MATCH(AK292,$AA:$AA,0)+16))</f>
        <v>0</v>
      </c>
      <c r="AL298" s="375"/>
      <c r="AM298" s="374">
        <f>ABS(INDEX(AM:AM,MATCH(AM292,$AA:$AA,0)+14)+INDEX(AM:AM,MATCH(AM292,$AA:$AA,0)+15)+INDEX(AM:AM,MATCH(AM292,$AA:$AA,0)+16))</f>
        <v>0</v>
      </c>
      <c r="AN298" s="375"/>
      <c r="AO298" s="374">
        <f>ABS(INDEX(AO:AO,MATCH(AO292,$AA:$AA,0)+14)+INDEX(AO:AO,MATCH(AO292,$AA:$AA,0)+15)+INDEX(AO:AO,MATCH(AO292,$AA:$AA,0)+16))</f>
        <v>0</v>
      </c>
      <c r="AP298" s="375"/>
      <c r="AQ298" s="374">
        <f>ABS(INDEX(AQ:AQ,MATCH(AQ292,$AA:$AA,0)+14)+INDEX(AQ:AQ,MATCH(AQ292,$AA:$AA,0)+15)+INDEX(AQ:AQ,MATCH(AQ292,$AA:$AA,0)+16))</f>
        <v>0</v>
      </c>
      <c r="AR298" s="375"/>
      <c r="AS298" s="374">
        <f>ABS(INDEX(AS:AS,MATCH(AS292,$AA:$AA,0)+14)+INDEX(AS:AS,MATCH(AS292,$AA:$AA,0)+15)+INDEX(AS:AS,MATCH(AS292,$AA:$AA,0)+16))</f>
        <v>0</v>
      </c>
      <c r="AT298" s="37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6.05" customHeight="1" x14ac:dyDescent="0.35">
      <c r="B299" s="354" t="str">
        <f t="shared" si="348"/>
        <v>Gesamt</v>
      </c>
      <c r="C299" s="355" t="str">
        <f t="shared" si="348"/>
        <v/>
      </c>
      <c r="D299" s="338">
        <f>IF(AC299=1505,"",AC299)</f>
        <v>0</v>
      </c>
      <c r="E299" s="338" t="str">
        <f>IF(AD299=0,"",AD299)</f>
        <v/>
      </c>
      <c r="F299" s="338">
        <f>IF(AE299=1505,"",AE299)</f>
        <v>0</v>
      </c>
      <c r="G299" s="338" t="str">
        <f>IF(AF299=0,"",AF299)</f>
        <v/>
      </c>
      <c r="H299" s="338">
        <f>IF(AG299=1505,"",AG299)</f>
        <v>0</v>
      </c>
      <c r="I299" s="338" t="str">
        <f>IF(AH299=0,"",AH299)</f>
        <v/>
      </c>
      <c r="J299" s="338">
        <f>IF(AI299=1505,"",AI299)</f>
        <v>0</v>
      </c>
      <c r="K299" s="338" t="str">
        <f>IF(AJ299=0,"",AJ299)</f>
        <v/>
      </c>
      <c r="L299" s="338">
        <f>IF(AK299=1505,"",AK299)</f>
        <v>0</v>
      </c>
      <c r="M299" s="338" t="str">
        <f>IF(AL299=0,"",AL299)</f>
        <v/>
      </c>
      <c r="N299" s="338">
        <f>IF(AM299=1505,"",AM299)</f>
        <v>0</v>
      </c>
      <c r="O299" s="338" t="str">
        <f>IF(AN299=0,"",AN299)</f>
        <v/>
      </c>
      <c r="P299" s="338">
        <f>IF(AO299=1505,"",AO299)</f>
        <v>0</v>
      </c>
      <c r="Q299" s="338" t="str">
        <f>IF(AP299=0,"",AP299)</f>
        <v/>
      </c>
      <c r="R299" s="338">
        <f>IF(AQ299=1505,"",AQ299)</f>
        <v>0</v>
      </c>
      <c r="S299" s="338" t="str">
        <f>IF(AR299=0,"",AR299)</f>
        <v/>
      </c>
      <c r="T299" s="338">
        <f>IF(AS299=1505,"",AS299)</f>
        <v>0</v>
      </c>
      <c r="U299" s="338" t="str">
        <f>IF(AT299=0,"",AT299)</f>
        <v/>
      </c>
      <c r="V299" s="290"/>
      <c r="W299" s="290"/>
      <c r="AA299" s="93" t="s">
        <v>1799</v>
      </c>
      <c r="AB299" s="94"/>
      <c r="AC299" s="354">
        <f>SUM(AC295:AC298)</f>
        <v>0</v>
      </c>
      <c r="AD299" s="355"/>
      <c r="AE299" s="354">
        <f>SUM(AE295:AE298)</f>
        <v>0</v>
      </c>
      <c r="AF299" s="355"/>
      <c r="AG299" s="354">
        <f>SUM(AG295:AG298)</f>
        <v>0</v>
      </c>
      <c r="AH299" s="355"/>
      <c r="AI299" s="354">
        <f>SUM(AI295:AI298)</f>
        <v>0</v>
      </c>
      <c r="AJ299" s="355"/>
      <c r="AK299" s="354">
        <f>SUM(AK295:AK298)</f>
        <v>0</v>
      </c>
      <c r="AL299" s="355"/>
      <c r="AM299" s="354">
        <f>SUM(AM295:AM298)</f>
        <v>0</v>
      </c>
      <c r="AN299" s="355"/>
      <c r="AO299" s="354">
        <f>SUM(AO295:AO298)</f>
        <v>0</v>
      </c>
      <c r="AP299" s="355"/>
      <c r="AQ299" s="354">
        <f>SUM(AQ295:AQ298)</f>
        <v>0</v>
      </c>
      <c r="AR299" s="355"/>
      <c r="AS299" s="354">
        <f>SUM(AS295:AS298)</f>
        <v>0</v>
      </c>
      <c r="AT299" s="35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3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10:O12"/>
    <mergeCell ref="Q10:Q12"/>
    <mergeCell ref="S10:S12"/>
    <mergeCell ref="U10:U12"/>
    <mergeCell ref="W10:W12"/>
    <mergeCell ref="Z10:Z12"/>
    <mergeCell ref="A10:A12"/>
    <mergeCell ref="E10:E12"/>
    <mergeCell ref="G10:G12"/>
    <mergeCell ref="I10:I12"/>
    <mergeCell ref="K10:K12"/>
    <mergeCell ref="M10:M12"/>
    <mergeCell ref="O7:O9"/>
    <mergeCell ref="Q7:Q9"/>
    <mergeCell ref="S7:S9"/>
    <mergeCell ref="U7:U9"/>
    <mergeCell ref="W7:W9"/>
    <mergeCell ref="Z7:Z9"/>
    <mergeCell ref="O16:O18"/>
    <mergeCell ref="Q16:Q18"/>
    <mergeCell ref="S16:S18"/>
    <mergeCell ref="U16:U18"/>
    <mergeCell ref="W16:W18"/>
    <mergeCell ref="Z16:Z18"/>
    <mergeCell ref="A16:A18"/>
    <mergeCell ref="E16:E18"/>
    <mergeCell ref="G16:G18"/>
    <mergeCell ref="I16:I18"/>
    <mergeCell ref="K16:K18"/>
    <mergeCell ref="M16:M18"/>
    <mergeCell ref="O13:O15"/>
    <mergeCell ref="Q13:Q15"/>
    <mergeCell ref="S13:S15"/>
    <mergeCell ref="U13:U15"/>
    <mergeCell ref="W13:W15"/>
    <mergeCell ref="Z13:Z15"/>
    <mergeCell ref="A13:A15"/>
    <mergeCell ref="E13:E15"/>
    <mergeCell ref="G13:G15"/>
    <mergeCell ref="I13:I15"/>
    <mergeCell ref="K13:K15"/>
    <mergeCell ref="M13:M15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L26:M26"/>
    <mergeCell ref="N26:O26"/>
    <mergeCell ref="P26:Q26"/>
    <mergeCell ref="R26:S26"/>
    <mergeCell ref="T26:U26"/>
    <mergeCell ref="V26:W26"/>
    <mergeCell ref="N25:O25"/>
    <mergeCell ref="P25:Q25"/>
    <mergeCell ref="R25:S25"/>
    <mergeCell ref="T25:U25"/>
    <mergeCell ref="V25:W25"/>
    <mergeCell ref="B26:C26"/>
    <mergeCell ref="D26:E26"/>
    <mergeCell ref="F26:G26"/>
    <mergeCell ref="H26:I26"/>
    <mergeCell ref="J26:K26"/>
    <mergeCell ref="P24:Q24"/>
    <mergeCell ref="R24:S24"/>
    <mergeCell ref="T24:U24"/>
    <mergeCell ref="V24:W24"/>
    <mergeCell ref="B25:C25"/>
    <mergeCell ref="D25:E25"/>
    <mergeCell ref="F25:G25"/>
    <mergeCell ref="H25:I25"/>
    <mergeCell ref="J25:K25"/>
    <mergeCell ref="L25:M25"/>
    <mergeCell ref="B29:C29"/>
    <mergeCell ref="D29:E29"/>
    <mergeCell ref="F29:G29"/>
    <mergeCell ref="H29:I29"/>
    <mergeCell ref="J29:K29"/>
    <mergeCell ref="L29:M29"/>
    <mergeCell ref="L28:M28"/>
    <mergeCell ref="N28:O28"/>
    <mergeCell ref="P28:Q28"/>
    <mergeCell ref="R28:S28"/>
    <mergeCell ref="T28:U28"/>
    <mergeCell ref="V28:W28"/>
    <mergeCell ref="N27:O27"/>
    <mergeCell ref="P27:Q27"/>
    <mergeCell ref="R27:S27"/>
    <mergeCell ref="T27:U27"/>
    <mergeCell ref="V27:W27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L27:M27"/>
    <mergeCell ref="X31:Z31"/>
    <mergeCell ref="F32:O32"/>
    <mergeCell ref="D35:E35"/>
    <mergeCell ref="F35:G35"/>
    <mergeCell ref="H35:I35"/>
    <mergeCell ref="J35:K35"/>
    <mergeCell ref="L35:M35"/>
    <mergeCell ref="N35:O35"/>
    <mergeCell ref="P35:Q35"/>
    <mergeCell ref="R35:S35"/>
    <mergeCell ref="N29:O29"/>
    <mergeCell ref="P29:Q29"/>
    <mergeCell ref="R29:S29"/>
    <mergeCell ref="T29:U29"/>
    <mergeCell ref="V29:W29"/>
    <mergeCell ref="F31:Q31"/>
    <mergeCell ref="U31:W31"/>
    <mergeCell ref="O40:O42"/>
    <mergeCell ref="Q40:Q42"/>
    <mergeCell ref="S40:S42"/>
    <mergeCell ref="U40:U42"/>
    <mergeCell ref="W40:W42"/>
    <mergeCell ref="Z40:Z42"/>
    <mergeCell ref="S37:S39"/>
    <mergeCell ref="U37:U39"/>
    <mergeCell ref="W37:W39"/>
    <mergeCell ref="Z37:Z39"/>
    <mergeCell ref="A40:A42"/>
    <mergeCell ref="E40:E42"/>
    <mergeCell ref="G40:G42"/>
    <mergeCell ref="I40:I42"/>
    <mergeCell ref="K40:K42"/>
    <mergeCell ref="M40:M42"/>
    <mergeCell ref="T35:U35"/>
    <mergeCell ref="V35:W35"/>
    <mergeCell ref="A37:A39"/>
    <mergeCell ref="E37:E39"/>
    <mergeCell ref="G37:G39"/>
    <mergeCell ref="I37:I39"/>
    <mergeCell ref="K37:K39"/>
    <mergeCell ref="M37:M39"/>
    <mergeCell ref="O37:O39"/>
    <mergeCell ref="Q37:Q39"/>
    <mergeCell ref="O46:O48"/>
    <mergeCell ref="Q46:Q48"/>
    <mergeCell ref="S46:S48"/>
    <mergeCell ref="U46:U48"/>
    <mergeCell ref="W46:W48"/>
    <mergeCell ref="Z46:Z48"/>
    <mergeCell ref="A46:A48"/>
    <mergeCell ref="E46:E48"/>
    <mergeCell ref="G46:G48"/>
    <mergeCell ref="I46:I48"/>
    <mergeCell ref="K46:K48"/>
    <mergeCell ref="M46:M48"/>
    <mergeCell ref="O43:O45"/>
    <mergeCell ref="Q43:Q45"/>
    <mergeCell ref="S43:S45"/>
    <mergeCell ref="U43:U45"/>
    <mergeCell ref="W43:W45"/>
    <mergeCell ref="Z43:Z45"/>
    <mergeCell ref="A43:A45"/>
    <mergeCell ref="E43:E45"/>
    <mergeCell ref="G43:G45"/>
    <mergeCell ref="I43:I45"/>
    <mergeCell ref="K43:K45"/>
    <mergeCell ref="M43:M4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L56:M56"/>
    <mergeCell ref="N56:O56"/>
    <mergeCell ref="P56:Q56"/>
    <mergeCell ref="R56:S56"/>
    <mergeCell ref="T56:U56"/>
    <mergeCell ref="V56:W56"/>
    <mergeCell ref="N55:O55"/>
    <mergeCell ref="P55:Q55"/>
    <mergeCell ref="R55:S55"/>
    <mergeCell ref="T55:U55"/>
    <mergeCell ref="V55:W55"/>
    <mergeCell ref="B56:C56"/>
    <mergeCell ref="D56:E56"/>
    <mergeCell ref="F56:G56"/>
    <mergeCell ref="H56:I56"/>
    <mergeCell ref="J56:K56"/>
    <mergeCell ref="P54:Q54"/>
    <mergeCell ref="R54:S54"/>
    <mergeCell ref="T54:U54"/>
    <mergeCell ref="V54:W54"/>
    <mergeCell ref="B55:C55"/>
    <mergeCell ref="D55:E55"/>
    <mergeCell ref="F55:G55"/>
    <mergeCell ref="H55:I55"/>
    <mergeCell ref="J55:K55"/>
    <mergeCell ref="L55:M55"/>
    <mergeCell ref="B59:C59"/>
    <mergeCell ref="D59:E59"/>
    <mergeCell ref="F59:G59"/>
    <mergeCell ref="H59:I59"/>
    <mergeCell ref="J59:K59"/>
    <mergeCell ref="L59:M59"/>
    <mergeCell ref="L58:M58"/>
    <mergeCell ref="N58:O58"/>
    <mergeCell ref="P58:Q58"/>
    <mergeCell ref="R58:S58"/>
    <mergeCell ref="T58:U58"/>
    <mergeCell ref="V58:W58"/>
    <mergeCell ref="N57:O57"/>
    <mergeCell ref="P57:Q57"/>
    <mergeCell ref="R57:S57"/>
    <mergeCell ref="T57:U57"/>
    <mergeCell ref="V57:W57"/>
    <mergeCell ref="B58:C58"/>
    <mergeCell ref="D58:E58"/>
    <mergeCell ref="F58:G58"/>
    <mergeCell ref="H58:I58"/>
    <mergeCell ref="J58:K58"/>
    <mergeCell ref="B57:C57"/>
    <mergeCell ref="D57:E57"/>
    <mergeCell ref="F57:G57"/>
    <mergeCell ref="H57:I57"/>
    <mergeCell ref="J57:K57"/>
    <mergeCell ref="L57:M57"/>
    <mergeCell ref="X61:Z61"/>
    <mergeCell ref="F62:O62"/>
    <mergeCell ref="D65:E65"/>
    <mergeCell ref="F65:G65"/>
    <mergeCell ref="H65:I65"/>
    <mergeCell ref="J65:K65"/>
    <mergeCell ref="L65:M65"/>
    <mergeCell ref="N65:O65"/>
    <mergeCell ref="P65:Q65"/>
    <mergeCell ref="R65:S65"/>
    <mergeCell ref="N59:O59"/>
    <mergeCell ref="P59:Q59"/>
    <mergeCell ref="R59:S59"/>
    <mergeCell ref="T59:U59"/>
    <mergeCell ref="V59:W59"/>
    <mergeCell ref="F61:Q61"/>
    <mergeCell ref="U61:W61"/>
    <mergeCell ref="O70:O72"/>
    <mergeCell ref="Q70:Q72"/>
    <mergeCell ref="S70:S72"/>
    <mergeCell ref="U70:U72"/>
    <mergeCell ref="W70:W72"/>
    <mergeCell ref="Z70:Z72"/>
    <mergeCell ref="S67:S69"/>
    <mergeCell ref="U67:U69"/>
    <mergeCell ref="W67:W69"/>
    <mergeCell ref="Z67:Z69"/>
    <mergeCell ref="A70:A72"/>
    <mergeCell ref="E70:E72"/>
    <mergeCell ref="G70:G72"/>
    <mergeCell ref="I70:I72"/>
    <mergeCell ref="K70:K72"/>
    <mergeCell ref="M70:M72"/>
    <mergeCell ref="T65:U65"/>
    <mergeCell ref="V65:W65"/>
    <mergeCell ref="A67:A69"/>
    <mergeCell ref="E67:E69"/>
    <mergeCell ref="G67:G69"/>
    <mergeCell ref="I67:I69"/>
    <mergeCell ref="K67:K69"/>
    <mergeCell ref="M67:M69"/>
    <mergeCell ref="O67:O69"/>
    <mergeCell ref="Q67:Q69"/>
    <mergeCell ref="O76:O78"/>
    <mergeCell ref="Q76:Q78"/>
    <mergeCell ref="S76:S78"/>
    <mergeCell ref="U76:U78"/>
    <mergeCell ref="W76:W78"/>
    <mergeCell ref="Z76:Z78"/>
    <mergeCell ref="A76:A78"/>
    <mergeCell ref="E76:E78"/>
    <mergeCell ref="G76:G78"/>
    <mergeCell ref="I76:I78"/>
    <mergeCell ref="K76:K78"/>
    <mergeCell ref="M76:M78"/>
    <mergeCell ref="O73:O75"/>
    <mergeCell ref="Q73:Q75"/>
    <mergeCell ref="S73:S75"/>
    <mergeCell ref="U73:U75"/>
    <mergeCell ref="W73:W75"/>
    <mergeCell ref="Z73:Z75"/>
    <mergeCell ref="A73:A75"/>
    <mergeCell ref="E73:E75"/>
    <mergeCell ref="G73:G75"/>
    <mergeCell ref="I73:I75"/>
    <mergeCell ref="K73:K75"/>
    <mergeCell ref="M73:M7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L86:M86"/>
    <mergeCell ref="N86:O86"/>
    <mergeCell ref="P86:Q86"/>
    <mergeCell ref="R86:S86"/>
    <mergeCell ref="T86:U86"/>
    <mergeCell ref="V86:W86"/>
    <mergeCell ref="N85:O85"/>
    <mergeCell ref="P85:Q85"/>
    <mergeCell ref="R85:S85"/>
    <mergeCell ref="T85:U85"/>
    <mergeCell ref="V85:W85"/>
    <mergeCell ref="B86:C86"/>
    <mergeCell ref="D86:E86"/>
    <mergeCell ref="F86:G86"/>
    <mergeCell ref="H86:I86"/>
    <mergeCell ref="J86:K86"/>
    <mergeCell ref="P84:Q84"/>
    <mergeCell ref="R84:S84"/>
    <mergeCell ref="T84:U84"/>
    <mergeCell ref="V84:W84"/>
    <mergeCell ref="B85:C85"/>
    <mergeCell ref="D85:E85"/>
    <mergeCell ref="F85:G85"/>
    <mergeCell ref="H85:I85"/>
    <mergeCell ref="J85:K85"/>
    <mergeCell ref="L85:M85"/>
    <mergeCell ref="B89:C89"/>
    <mergeCell ref="D89:E89"/>
    <mergeCell ref="F89:G89"/>
    <mergeCell ref="H89:I89"/>
    <mergeCell ref="J89:K89"/>
    <mergeCell ref="L89:M89"/>
    <mergeCell ref="L88:M88"/>
    <mergeCell ref="N88:O88"/>
    <mergeCell ref="P88:Q88"/>
    <mergeCell ref="R88:S88"/>
    <mergeCell ref="T88:U88"/>
    <mergeCell ref="V88:W88"/>
    <mergeCell ref="N87:O87"/>
    <mergeCell ref="P87:Q87"/>
    <mergeCell ref="R87:S87"/>
    <mergeCell ref="T87:U87"/>
    <mergeCell ref="V87:W87"/>
    <mergeCell ref="B88:C88"/>
    <mergeCell ref="D88:E88"/>
    <mergeCell ref="F88:G88"/>
    <mergeCell ref="H88:I88"/>
    <mergeCell ref="J88:K88"/>
    <mergeCell ref="B87:C87"/>
    <mergeCell ref="D87:E87"/>
    <mergeCell ref="F87:G87"/>
    <mergeCell ref="H87:I87"/>
    <mergeCell ref="J87:K87"/>
    <mergeCell ref="L87:M87"/>
    <mergeCell ref="X91:Z91"/>
    <mergeCell ref="F92:O92"/>
    <mergeCell ref="D95:E95"/>
    <mergeCell ref="F95:G95"/>
    <mergeCell ref="H95:I95"/>
    <mergeCell ref="J95:K95"/>
    <mergeCell ref="L95:M95"/>
    <mergeCell ref="N95:O95"/>
    <mergeCell ref="P95:Q95"/>
    <mergeCell ref="R95:S95"/>
    <mergeCell ref="N89:O89"/>
    <mergeCell ref="P89:Q89"/>
    <mergeCell ref="R89:S89"/>
    <mergeCell ref="T89:U89"/>
    <mergeCell ref="V89:W89"/>
    <mergeCell ref="F91:Q91"/>
    <mergeCell ref="U91:W91"/>
    <mergeCell ref="O100:O102"/>
    <mergeCell ref="Q100:Q102"/>
    <mergeCell ref="S100:S102"/>
    <mergeCell ref="U100:U102"/>
    <mergeCell ref="W100:W102"/>
    <mergeCell ref="Z100:Z102"/>
    <mergeCell ref="S97:S99"/>
    <mergeCell ref="U97:U99"/>
    <mergeCell ref="W97:W99"/>
    <mergeCell ref="Z97:Z99"/>
    <mergeCell ref="A100:A102"/>
    <mergeCell ref="E100:E102"/>
    <mergeCell ref="G100:G102"/>
    <mergeCell ref="I100:I102"/>
    <mergeCell ref="K100:K102"/>
    <mergeCell ref="M100:M102"/>
    <mergeCell ref="T95:U95"/>
    <mergeCell ref="V95:W95"/>
    <mergeCell ref="A97:A99"/>
    <mergeCell ref="E97:E99"/>
    <mergeCell ref="G97:G99"/>
    <mergeCell ref="I97:I99"/>
    <mergeCell ref="K97:K99"/>
    <mergeCell ref="M97:M99"/>
    <mergeCell ref="O97:O99"/>
    <mergeCell ref="Q97:Q99"/>
    <mergeCell ref="O106:O108"/>
    <mergeCell ref="Q106:Q108"/>
    <mergeCell ref="S106:S108"/>
    <mergeCell ref="U106:U108"/>
    <mergeCell ref="W106:W108"/>
    <mergeCell ref="Z106:Z108"/>
    <mergeCell ref="A106:A108"/>
    <mergeCell ref="E106:E108"/>
    <mergeCell ref="G106:G108"/>
    <mergeCell ref="I106:I108"/>
    <mergeCell ref="K106:K108"/>
    <mergeCell ref="M106:M108"/>
    <mergeCell ref="O103:O105"/>
    <mergeCell ref="Q103:Q105"/>
    <mergeCell ref="S103:S105"/>
    <mergeCell ref="U103:U105"/>
    <mergeCell ref="W103:W105"/>
    <mergeCell ref="Z103:Z105"/>
    <mergeCell ref="A103:A105"/>
    <mergeCell ref="E103:E105"/>
    <mergeCell ref="G103:G105"/>
    <mergeCell ref="I103:I105"/>
    <mergeCell ref="K103:K105"/>
    <mergeCell ref="M103:M10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L116:M116"/>
    <mergeCell ref="N116:O116"/>
    <mergeCell ref="P116:Q116"/>
    <mergeCell ref="R116:S116"/>
    <mergeCell ref="T116:U116"/>
    <mergeCell ref="V116:W116"/>
    <mergeCell ref="N115:O115"/>
    <mergeCell ref="P115:Q115"/>
    <mergeCell ref="R115:S115"/>
    <mergeCell ref="T115:U115"/>
    <mergeCell ref="V115:W115"/>
    <mergeCell ref="B116:C116"/>
    <mergeCell ref="D116:E116"/>
    <mergeCell ref="F116:G116"/>
    <mergeCell ref="H116:I116"/>
    <mergeCell ref="J116:K116"/>
    <mergeCell ref="P114:Q114"/>
    <mergeCell ref="R114:S114"/>
    <mergeCell ref="T114:U114"/>
    <mergeCell ref="V114:W114"/>
    <mergeCell ref="B115:C115"/>
    <mergeCell ref="D115:E115"/>
    <mergeCell ref="F115:G115"/>
    <mergeCell ref="H115:I115"/>
    <mergeCell ref="J115:K115"/>
    <mergeCell ref="L115:M115"/>
    <mergeCell ref="B119:C119"/>
    <mergeCell ref="D119:E119"/>
    <mergeCell ref="F119:G119"/>
    <mergeCell ref="H119:I119"/>
    <mergeCell ref="J119:K119"/>
    <mergeCell ref="L119:M119"/>
    <mergeCell ref="L118:M118"/>
    <mergeCell ref="N118:O118"/>
    <mergeCell ref="P118:Q118"/>
    <mergeCell ref="R118:S118"/>
    <mergeCell ref="T118:U118"/>
    <mergeCell ref="V118:W118"/>
    <mergeCell ref="N117:O117"/>
    <mergeCell ref="P117:Q117"/>
    <mergeCell ref="R117:S117"/>
    <mergeCell ref="T117:U117"/>
    <mergeCell ref="V117:W117"/>
    <mergeCell ref="B118:C118"/>
    <mergeCell ref="D118:E118"/>
    <mergeCell ref="F118:G118"/>
    <mergeCell ref="H118:I118"/>
    <mergeCell ref="J118:K118"/>
    <mergeCell ref="B117:C117"/>
    <mergeCell ref="D117:E117"/>
    <mergeCell ref="F117:G117"/>
    <mergeCell ref="H117:I117"/>
    <mergeCell ref="J117:K117"/>
    <mergeCell ref="L117:M117"/>
    <mergeCell ref="X121:Z121"/>
    <mergeCell ref="F122:O122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N119:O119"/>
    <mergeCell ref="P119:Q119"/>
    <mergeCell ref="R119:S119"/>
    <mergeCell ref="T119:U119"/>
    <mergeCell ref="V119:W119"/>
    <mergeCell ref="F121:Q121"/>
    <mergeCell ref="U121:W121"/>
    <mergeCell ref="O130:O132"/>
    <mergeCell ref="Q130:Q132"/>
    <mergeCell ref="S130:S132"/>
    <mergeCell ref="U130:U132"/>
    <mergeCell ref="W130:W132"/>
    <mergeCell ref="Z130:Z132"/>
    <mergeCell ref="S127:S129"/>
    <mergeCell ref="U127:U129"/>
    <mergeCell ref="W127:W129"/>
    <mergeCell ref="Z127:Z129"/>
    <mergeCell ref="A130:A132"/>
    <mergeCell ref="E130:E132"/>
    <mergeCell ref="G130:G132"/>
    <mergeCell ref="I130:I132"/>
    <mergeCell ref="K130:K132"/>
    <mergeCell ref="M130:M132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O127:O129"/>
    <mergeCell ref="Q127:Q129"/>
    <mergeCell ref="O136:O138"/>
    <mergeCell ref="Q136:Q138"/>
    <mergeCell ref="S136:S138"/>
    <mergeCell ref="U136:U138"/>
    <mergeCell ref="W136:W138"/>
    <mergeCell ref="Z136:Z138"/>
    <mergeCell ref="A136:A138"/>
    <mergeCell ref="E136:E138"/>
    <mergeCell ref="G136:G138"/>
    <mergeCell ref="I136:I138"/>
    <mergeCell ref="K136:K138"/>
    <mergeCell ref="M136:M138"/>
    <mergeCell ref="O133:O135"/>
    <mergeCell ref="Q133:Q135"/>
    <mergeCell ref="S133:S135"/>
    <mergeCell ref="U133:U135"/>
    <mergeCell ref="W133:W135"/>
    <mergeCell ref="Z133:Z135"/>
    <mergeCell ref="A133:A135"/>
    <mergeCell ref="E133:E135"/>
    <mergeCell ref="G133:G135"/>
    <mergeCell ref="I133:I135"/>
    <mergeCell ref="K133:K135"/>
    <mergeCell ref="M133:M13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L146:M146"/>
    <mergeCell ref="N146:O146"/>
    <mergeCell ref="P146:Q146"/>
    <mergeCell ref="R146:S146"/>
    <mergeCell ref="T146:U146"/>
    <mergeCell ref="V146:W146"/>
    <mergeCell ref="N145:O145"/>
    <mergeCell ref="P145:Q145"/>
    <mergeCell ref="R145:S145"/>
    <mergeCell ref="T145:U145"/>
    <mergeCell ref="V145:W145"/>
    <mergeCell ref="B146:C146"/>
    <mergeCell ref="D146:E146"/>
    <mergeCell ref="F146:G146"/>
    <mergeCell ref="H146:I146"/>
    <mergeCell ref="J146:K146"/>
    <mergeCell ref="P144:Q144"/>
    <mergeCell ref="R144:S144"/>
    <mergeCell ref="T144:U144"/>
    <mergeCell ref="V144:W144"/>
    <mergeCell ref="B145:C145"/>
    <mergeCell ref="D145:E145"/>
    <mergeCell ref="F145:G145"/>
    <mergeCell ref="H145:I145"/>
    <mergeCell ref="J145:K145"/>
    <mergeCell ref="L145:M145"/>
    <mergeCell ref="B149:C149"/>
    <mergeCell ref="D149:E149"/>
    <mergeCell ref="F149:G149"/>
    <mergeCell ref="H149:I149"/>
    <mergeCell ref="J149:K149"/>
    <mergeCell ref="L149:M149"/>
    <mergeCell ref="L148:M148"/>
    <mergeCell ref="N148:O148"/>
    <mergeCell ref="P148:Q148"/>
    <mergeCell ref="R148:S148"/>
    <mergeCell ref="T148:U148"/>
    <mergeCell ref="V148:W148"/>
    <mergeCell ref="N147:O147"/>
    <mergeCell ref="P147:Q147"/>
    <mergeCell ref="R147:S147"/>
    <mergeCell ref="T147:U147"/>
    <mergeCell ref="V147:W147"/>
    <mergeCell ref="B148:C148"/>
    <mergeCell ref="D148:E148"/>
    <mergeCell ref="F148:G148"/>
    <mergeCell ref="H148:I148"/>
    <mergeCell ref="J148:K148"/>
    <mergeCell ref="B147:C147"/>
    <mergeCell ref="D147:E147"/>
    <mergeCell ref="F147:G147"/>
    <mergeCell ref="H147:I147"/>
    <mergeCell ref="J147:K147"/>
    <mergeCell ref="L147:M147"/>
    <mergeCell ref="X151:Z151"/>
    <mergeCell ref="F152:O152"/>
    <mergeCell ref="D155:E155"/>
    <mergeCell ref="F155:G155"/>
    <mergeCell ref="H155:I155"/>
    <mergeCell ref="J155:K155"/>
    <mergeCell ref="L155:M155"/>
    <mergeCell ref="N155:O155"/>
    <mergeCell ref="P155:Q155"/>
    <mergeCell ref="R155:S155"/>
    <mergeCell ref="N149:O149"/>
    <mergeCell ref="P149:Q149"/>
    <mergeCell ref="R149:S149"/>
    <mergeCell ref="T149:U149"/>
    <mergeCell ref="V149:W149"/>
    <mergeCell ref="F151:Q151"/>
    <mergeCell ref="U151:W151"/>
    <mergeCell ref="O160:O162"/>
    <mergeCell ref="Q160:Q162"/>
    <mergeCell ref="S160:S162"/>
    <mergeCell ref="U160:U162"/>
    <mergeCell ref="W160:W162"/>
    <mergeCell ref="Z160:Z162"/>
    <mergeCell ref="S157:S159"/>
    <mergeCell ref="U157:U159"/>
    <mergeCell ref="W157:W159"/>
    <mergeCell ref="Z157:Z159"/>
    <mergeCell ref="A160:A162"/>
    <mergeCell ref="E160:E162"/>
    <mergeCell ref="G160:G162"/>
    <mergeCell ref="I160:I162"/>
    <mergeCell ref="K160:K162"/>
    <mergeCell ref="M160:M162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O157:O159"/>
    <mergeCell ref="Q157:Q159"/>
    <mergeCell ref="O166:O168"/>
    <mergeCell ref="Q166:Q168"/>
    <mergeCell ref="S166:S168"/>
    <mergeCell ref="U166:U168"/>
    <mergeCell ref="W166:W168"/>
    <mergeCell ref="Z166:Z168"/>
    <mergeCell ref="A166:A168"/>
    <mergeCell ref="E166:E168"/>
    <mergeCell ref="G166:G168"/>
    <mergeCell ref="I166:I168"/>
    <mergeCell ref="K166:K168"/>
    <mergeCell ref="M166:M168"/>
    <mergeCell ref="O163:O165"/>
    <mergeCell ref="Q163:Q165"/>
    <mergeCell ref="S163:S165"/>
    <mergeCell ref="U163:U165"/>
    <mergeCell ref="W163:W165"/>
    <mergeCell ref="Z163:Z165"/>
    <mergeCell ref="A163:A165"/>
    <mergeCell ref="E163:E165"/>
    <mergeCell ref="G163:G165"/>
    <mergeCell ref="I163:I165"/>
    <mergeCell ref="K163:K165"/>
    <mergeCell ref="M163:M16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L176:M176"/>
    <mergeCell ref="N176:O176"/>
    <mergeCell ref="P176:Q176"/>
    <mergeCell ref="R176:S176"/>
    <mergeCell ref="T176:U176"/>
    <mergeCell ref="V176:W176"/>
    <mergeCell ref="N175:O175"/>
    <mergeCell ref="P175:Q175"/>
    <mergeCell ref="R175:S175"/>
    <mergeCell ref="T175:U175"/>
    <mergeCell ref="V175:W175"/>
    <mergeCell ref="B176:C176"/>
    <mergeCell ref="D176:E176"/>
    <mergeCell ref="F176:G176"/>
    <mergeCell ref="H176:I176"/>
    <mergeCell ref="J176:K176"/>
    <mergeCell ref="P174:Q174"/>
    <mergeCell ref="R174:S174"/>
    <mergeCell ref="T174:U174"/>
    <mergeCell ref="V174:W174"/>
    <mergeCell ref="B175:C175"/>
    <mergeCell ref="D175:E175"/>
    <mergeCell ref="F175:G175"/>
    <mergeCell ref="H175:I175"/>
    <mergeCell ref="J175:K175"/>
    <mergeCell ref="L175:M175"/>
    <mergeCell ref="B179:C179"/>
    <mergeCell ref="D179:E179"/>
    <mergeCell ref="F179:G179"/>
    <mergeCell ref="H179:I179"/>
    <mergeCell ref="J179:K179"/>
    <mergeCell ref="L179:M179"/>
    <mergeCell ref="L178:M178"/>
    <mergeCell ref="N178:O178"/>
    <mergeCell ref="P178:Q178"/>
    <mergeCell ref="R178:S178"/>
    <mergeCell ref="T178:U178"/>
    <mergeCell ref="V178:W178"/>
    <mergeCell ref="N177:O177"/>
    <mergeCell ref="P177:Q177"/>
    <mergeCell ref="R177:S177"/>
    <mergeCell ref="T177:U177"/>
    <mergeCell ref="V177:W177"/>
    <mergeCell ref="B178:C178"/>
    <mergeCell ref="D178:E178"/>
    <mergeCell ref="F178:G178"/>
    <mergeCell ref="H178:I178"/>
    <mergeCell ref="J178:K178"/>
    <mergeCell ref="B177:C177"/>
    <mergeCell ref="D177:E177"/>
    <mergeCell ref="F177:G177"/>
    <mergeCell ref="H177:I177"/>
    <mergeCell ref="J177:K177"/>
    <mergeCell ref="L177:M177"/>
    <mergeCell ref="X181:Z181"/>
    <mergeCell ref="F182:O182"/>
    <mergeCell ref="D185:E185"/>
    <mergeCell ref="F185:G185"/>
    <mergeCell ref="H185:I185"/>
    <mergeCell ref="J185:K185"/>
    <mergeCell ref="L185:M185"/>
    <mergeCell ref="N185:O185"/>
    <mergeCell ref="P185:Q185"/>
    <mergeCell ref="R185:S185"/>
    <mergeCell ref="N179:O179"/>
    <mergeCell ref="P179:Q179"/>
    <mergeCell ref="R179:S179"/>
    <mergeCell ref="T179:U179"/>
    <mergeCell ref="V179:W179"/>
    <mergeCell ref="F181:Q181"/>
    <mergeCell ref="U181:W181"/>
    <mergeCell ref="O190:O192"/>
    <mergeCell ref="Q190:Q192"/>
    <mergeCell ref="S190:S192"/>
    <mergeCell ref="U190:U192"/>
    <mergeCell ref="W190:W192"/>
    <mergeCell ref="Z190:Z192"/>
    <mergeCell ref="S187:S189"/>
    <mergeCell ref="U187:U189"/>
    <mergeCell ref="W187:W189"/>
    <mergeCell ref="Z187:Z189"/>
    <mergeCell ref="A190:A192"/>
    <mergeCell ref="E190:E192"/>
    <mergeCell ref="G190:G192"/>
    <mergeCell ref="I190:I192"/>
    <mergeCell ref="K190:K192"/>
    <mergeCell ref="M190:M192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O187:O189"/>
    <mergeCell ref="Q187:Q189"/>
    <mergeCell ref="O196:O198"/>
    <mergeCell ref="Q196:Q198"/>
    <mergeCell ref="S196:S198"/>
    <mergeCell ref="U196:U198"/>
    <mergeCell ref="W196:W198"/>
    <mergeCell ref="Z196:Z198"/>
    <mergeCell ref="A196:A198"/>
    <mergeCell ref="E196:E198"/>
    <mergeCell ref="G196:G198"/>
    <mergeCell ref="I196:I198"/>
    <mergeCell ref="K196:K198"/>
    <mergeCell ref="M196:M198"/>
    <mergeCell ref="O193:O195"/>
    <mergeCell ref="Q193:Q195"/>
    <mergeCell ref="S193:S195"/>
    <mergeCell ref="U193:U195"/>
    <mergeCell ref="W193:W195"/>
    <mergeCell ref="Z193:Z195"/>
    <mergeCell ref="A193:A195"/>
    <mergeCell ref="E193:E195"/>
    <mergeCell ref="G193:G195"/>
    <mergeCell ref="I193:I195"/>
    <mergeCell ref="K193:K195"/>
    <mergeCell ref="M193:M19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L206:M206"/>
    <mergeCell ref="N206:O206"/>
    <mergeCell ref="P206:Q206"/>
    <mergeCell ref="R206:S206"/>
    <mergeCell ref="T206:U206"/>
    <mergeCell ref="V206:W206"/>
    <mergeCell ref="N205:O205"/>
    <mergeCell ref="P205:Q205"/>
    <mergeCell ref="R205:S205"/>
    <mergeCell ref="T205:U205"/>
    <mergeCell ref="V205:W205"/>
    <mergeCell ref="B206:C206"/>
    <mergeCell ref="D206:E206"/>
    <mergeCell ref="F206:G206"/>
    <mergeCell ref="H206:I206"/>
    <mergeCell ref="J206:K206"/>
    <mergeCell ref="P204:Q204"/>
    <mergeCell ref="R204:S204"/>
    <mergeCell ref="T204:U204"/>
    <mergeCell ref="V204:W204"/>
    <mergeCell ref="B205:C205"/>
    <mergeCell ref="D205:E205"/>
    <mergeCell ref="F205:G205"/>
    <mergeCell ref="H205:I205"/>
    <mergeCell ref="J205:K205"/>
    <mergeCell ref="L205:M205"/>
    <mergeCell ref="B209:C209"/>
    <mergeCell ref="D209:E209"/>
    <mergeCell ref="F209:G209"/>
    <mergeCell ref="H209:I209"/>
    <mergeCell ref="J209:K209"/>
    <mergeCell ref="L209:M209"/>
    <mergeCell ref="L208:M208"/>
    <mergeCell ref="N208:O208"/>
    <mergeCell ref="P208:Q208"/>
    <mergeCell ref="R208:S208"/>
    <mergeCell ref="T208:U208"/>
    <mergeCell ref="V208:W208"/>
    <mergeCell ref="N207:O207"/>
    <mergeCell ref="P207:Q207"/>
    <mergeCell ref="R207:S207"/>
    <mergeCell ref="T207:U207"/>
    <mergeCell ref="V207:W207"/>
    <mergeCell ref="B208:C208"/>
    <mergeCell ref="D208:E208"/>
    <mergeCell ref="F208:G208"/>
    <mergeCell ref="H208:I208"/>
    <mergeCell ref="J208:K208"/>
    <mergeCell ref="B207:C207"/>
    <mergeCell ref="D207:E207"/>
    <mergeCell ref="F207:G207"/>
    <mergeCell ref="H207:I207"/>
    <mergeCell ref="J207:K207"/>
    <mergeCell ref="L207:M207"/>
    <mergeCell ref="X211:Z211"/>
    <mergeCell ref="F212:O212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N209:O209"/>
    <mergeCell ref="P209:Q209"/>
    <mergeCell ref="R209:S209"/>
    <mergeCell ref="T209:U209"/>
    <mergeCell ref="V209:W209"/>
    <mergeCell ref="F211:Q211"/>
    <mergeCell ref="U211:W211"/>
    <mergeCell ref="O220:O222"/>
    <mergeCell ref="Q220:Q222"/>
    <mergeCell ref="S220:S222"/>
    <mergeCell ref="U220:U222"/>
    <mergeCell ref="W220:W222"/>
    <mergeCell ref="Z220:Z222"/>
    <mergeCell ref="S217:S219"/>
    <mergeCell ref="U217:U219"/>
    <mergeCell ref="W217:W219"/>
    <mergeCell ref="Z217:Z219"/>
    <mergeCell ref="A220:A222"/>
    <mergeCell ref="E220:E222"/>
    <mergeCell ref="G220:G222"/>
    <mergeCell ref="I220:I222"/>
    <mergeCell ref="K220:K222"/>
    <mergeCell ref="M220:M222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O217:O219"/>
    <mergeCell ref="Q217:Q219"/>
    <mergeCell ref="O226:O228"/>
    <mergeCell ref="Q226:Q228"/>
    <mergeCell ref="S226:S228"/>
    <mergeCell ref="U226:U228"/>
    <mergeCell ref="W226:W228"/>
    <mergeCell ref="Z226:Z228"/>
    <mergeCell ref="A226:A228"/>
    <mergeCell ref="E226:E228"/>
    <mergeCell ref="G226:G228"/>
    <mergeCell ref="I226:I228"/>
    <mergeCell ref="K226:K228"/>
    <mergeCell ref="M226:M228"/>
    <mergeCell ref="O223:O225"/>
    <mergeCell ref="Q223:Q225"/>
    <mergeCell ref="S223:S225"/>
    <mergeCell ref="U223:U225"/>
    <mergeCell ref="W223:W225"/>
    <mergeCell ref="Z223:Z225"/>
    <mergeCell ref="A223:A225"/>
    <mergeCell ref="E223:E225"/>
    <mergeCell ref="G223:G225"/>
    <mergeCell ref="I223:I225"/>
    <mergeCell ref="K223:K225"/>
    <mergeCell ref="M223:M225"/>
    <mergeCell ref="P233:Q233"/>
    <mergeCell ref="R233:S233"/>
    <mergeCell ref="T233:U233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L236:M236"/>
    <mergeCell ref="N236:O236"/>
    <mergeCell ref="P236:Q236"/>
    <mergeCell ref="R236:S236"/>
    <mergeCell ref="T236:U236"/>
    <mergeCell ref="V236:W236"/>
    <mergeCell ref="N235:O235"/>
    <mergeCell ref="P235:Q235"/>
    <mergeCell ref="R235:S235"/>
    <mergeCell ref="T235:U235"/>
    <mergeCell ref="V235:W235"/>
    <mergeCell ref="B236:C236"/>
    <mergeCell ref="D236:E236"/>
    <mergeCell ref="F236:G236"/>
    <mergeCell ref="H236:I236"/>
    <mergeCell ref="J236:K236"/>
    <mergeCell ref="P234:Q234"/>
    <mergeCell ref="R234:S234"/>
    <mergeCell ref="T234:U234"/>
    <mergeCell ref="V234:W234"/>
    <mergeCell ref="B235:C235"/>
    <mergeCell ref="D235:E235"/>
    <mergeCell ref="F235:G235"/>
    <mergeCell ref="H235:I235"/>
    <mergeCell ref="J235:K235"/>
    <mergeCell ref="L235:M235"/>
    <mergeCell ref="B239:C239"/>
    <mergeCell ref="D239:E239"/>
    <mergeCell ref="F239:G239"/>
    <mergeCell ref="H239:I239"/>
    <mergeCell ref="J239:K239"/>
    <mergeCell ref="L239:M239"/>
    <mergeCell ref="L238:M238"/>
    <mergeCell ref="N238:O238"/>
    <mergeCell ref="P238:Q238"/>
    <mergeCell ref="R238:S238"/>
    <mergeCell ref="T238:U238"/>
    <mergeCell ref="V238:W238"/>
    <mergeCell ref="N237:O237"/>
    <mergeCell ref="P237:Q237"/>
    <mergeCell ref="R237:S237"/>
    <mergeCell ref="T237:U237"/>
    <mergeCell ref="V237:W237"/>
    <mergeCell ref="B238:C238"/>
    <mergeCell ref="D238:E238"/>
    <mergeCell ref="F238:G238"/>
    <mergeCell ref="H238:I238"/>
    <mergeCell ref="J238:K238"/>
    <mergeCell ref="B237:C237"/>
    <mergeCell ref="D237:E237"/>
    <mergeCell ref="F237:G237"/>
    <mergeCell ref="H237:I237"/>
    <mergeCell ref="J237:K237"/>
    <mergeCell ref="L237:M237"/>
    <mergeCell ref="X241:Z241"/>
    <mergeCell ref="F242:O242"/>
    <mergeCell ref="D245:E245"/>
    <mergeCell ref="F245:G245"/>
    <mergeCell ref="H245:I245"/>
    <mergeCell ref="J245:K245"/>
    <mergeCell ref="L245:M245"/>
    <mergeCell ref="N245:O245"/>
    <mergeCell ref="P245:Q245"/>
    <mergeCell ref="R245:S245"/>
    <mergeCell ref="N239:O239"/>
    <mergeCell ref="P239:Q239"/>
    <mergeCell ref="R239:S239"/>
    <mergeCell ref="T239:U239"/>
    <mergeCell ref="V239:W239"/>
    <mergeCell ref="F241:Q241"/>
    <mergeCell ref="U241:W241"/>
    <mergeCell ref="O250:O252"/>
    <mergeCell ref="Q250:Q252"/>
    <mergeCell ref="S250:S252"/>
    <mergeCell ref="U250:U252"/>
    <mergeCell ref="W250:W252"/>
    <mergeCell ref="Z250:Z252"/>
    <mergeCell ref="S247:S249"/>
    <mergeCell ref="U247:U249"/>
    <mergeCell ref="W247:W249"/>
    <mergeCell ref="Z247:Z249"/>
    <mergeCell ref="A250:A252"/>
    <mergeCell ref="E250:E252"/>
    <mergeCell ref="G250:G252"/>
    <mergeCell ref="I250:I252"/>
    <mergeCell ref="K250:K252"/>
    <mergeCell ref="M250:M252"/>
    <mergeCell ref="T245:U245"/>
    <mergeCell ref="V245:W245"/>
    <mergeCell ref="A247:A249"/>
    <mergeCell ref="E247:E249"/>
    <mergeCell ref="G247:G249"/>
    <mergeCell ref="I247:I249"/>
    <mergeCell ref="K247:K249"/>
    <mergeCell ref="M247:M249"/>
    <mergeCell ref="O247:O249"/>
    <mergeCell ref="Q247:Q249"/>
    <mergeCell ref="O256:O258"/>
    <mergeCell ref="Q256:Q258"/>
    <mergeCell ref="S256:S258"/>
    <mergeCell ref="U256:U258"/>
    <mergeCell ref="W256:W258"/>
    <mergeCell ref="Z256:Z258"/>
    <mergeCell ref="A256:A258"/>
    <mergeCell ref="E256:E258"/>
    <mergeCell ref="G256:G258"/>
    <mergeCell ref="I256:I258"/>
    <mergeCell ref="K256:K258"/>
    <mergeCell ref="M256:M258"/>
    <mergeCell ref="O253:O255"/>
    <mergeCell ref="Q253:Q255"/>
    <mergeCell ref="S253:S255"/>
    <mergeCell ref="U253:U255"/>
    <mergeCell ref="W253:W255"/>
    <mergeCell ref="Z253:Z255"/>
    <mergeCell ref="A253:A255"/>
    <mergeCell ref="E253:E255"/>
    <mergeCell ref="G253:G255"/>
    <mergeCell ref="I253:I255"/>
    <mergeCell ref="K253:K255"/>
    <mergeCell ref="M253:M255"/>
    <mergeCell ref="P263:Q263"/>
    <mergeCell ref="R263:S263"/>
    <mergeCell ref="T263:U263"/>
    <mergeCell ref="V263:W263"/>
    <mergeCell ref="D264:E264"/>
    <mergeCell ref="F264:G264"/>
    <mergeCell ref="H264:I264"/>
    <mergeCell ref="J264:K264"/>
    <mergeCell ref="L264:M264"/>
    <mergeCell ref="N264:O264"/>
    <mergeCell ref="P262:Q262"/>
    <mergeCell ref="R262:S262"/>
    <mergeCell ref="T262:U262"/>
    <mergeCell ref="V262:W262"/>
    <mergeCell ref="D263:E263"/>
    <mergeCell ref="F263:G263"/>
    <mergeCell ref="H263:I263"/>
    <mergeCell ref="J263:K263"/>
    <mergeCell ref="L263:M263"/>
    <mergeCell ref="N263:O263"/>
    <mergeCell ref="D262:E262"/>
    <mergeCell ref="F262:G262"/>
    <mergeCell ref="H262:I262"/>
    <mergeCell ref="J262:K262"/>
    <mergeCell ref="L262:M262"/>
    <mergeCell ref="N262:O262"/>
    <mergeCell ref="L266:M266"/>
    <mergeCell ref="N266:O266"/>
    <mergeCell ref="P266:Q266"/>
    <mergeCell ref="R266:S266"/>
    <mergeCell ref="T266:U266"/>
    <mergeCell ref="V266:W266"/>
    <mergeCell ref="N265:O265"/>
    <mergeCell ref="P265:Q265"/>
    <mergeCell ref="R265:S265"/>
    <mergeCell ref="T265:U265"/>
    <mergeCell ref="V265:W265"/>
    <mergeCell ref="B266:C266"/>
    <mergeCell ref="D266:E266"/>
    <mergeCell ref="F266:G266"/>
    <mergeCell ref="H266:I266"/>
    <mergeCell ref="J266:K266"/>
    <mergeCell ref="P264:Q264"/>
    <mergeCell ref="R264:S264"/>
    <mergeCell ref="T264:U264"/>
    <mergeCell ref="V264:W264"/>
    <mergeCell ref="B265:C265"/>
    <mergeCell ref="D265:E265"/>
    <mergeCell ref="F265:G265"/>
    <mergeCell ref="H265:I265"/>
    <mergeCell ref="J265:K265"/>
    <mergeCell ref="L265:M265"/>
    <mergeCell ref="B269:C269"/>
    <mergeCell ref="D269:E269"/>
    <mergeCell ref="F269:G269"/>
    <mergeCell ref="H269:I269"/>
    <mergeCell ref="J269:K269"/>
    <mergeCell ref="L269:M269"/>
    <mergeCell ref="L268:M268"/>
    <mergeCell ref="N268:O268"/>
    <mergeCell ref="P268:Q268"/>
    <mergeCell ref="R268:S268"/>
    <mergeCell ref="T268:U268"/>
    <mergeCell ref="V268:W268"/>
    <mergeCell ref="N267:O267"/>
    <mergeCell ref="P267:Q267"/>
    <mergeCell ref="R267:S267"/>
    <mergeCell ref="T267:U267"/>
    <mergeCell ref="V267:W267"/>
    <mergeCell ref="B268:C268"/>
    <mergeCell ref="D268:E268"/>
    <mergeCell ref="F268:G268"/>
    <mergeCell ref="H268:I268"/>
    <mergeCell ref="J268:K268"/>
    <mergeCell ref="B267:C267"/>
    <mergeCell ref="D267:E267"/>
    <mergeCell ref="F267:G267"/>
    <mergeCell ref="H267:I267"/>
    <mergeCell ref="J267:K267"/>
    <mergeCell ref="L267:M267"/>
    <mergeCell ref="F272:O272"/>
    <mergeCell ref="X271:Z271"/>
    <mergeCell ref="D275:E275"/>
    <mergeCell ref="F275:G275"/>
    <mergeCell ref="H275:I275"/>
    <mergeCell ref="J275:K275"/>
    <mergeCell ref="L275:M275"/>
    <mergeCell ref="N275:O275"/>
    <mergeCell ref="P275:Q275"/>
    <mergeCell ref="R275:S275"/>
    <mergeCell ref="N269:O269"/>
    <mergeCell ref="P269:Q269"/>
    <mergeCell ref="R269:S269"/>
    <mergeCell ref="T269:U269"/>
    <mergeCell ref="V269:W269"/>
    <mergeCell ref="F271:Q271"/>
    <mergeCell ref="U271:W271"/>
    <mergeCell ref="O280:O282"/>
    <mergeCell ref="Q280:Q282"/>
    <mergeCell ref="S280:S282"/>
    <mergeCell ref="U280:U282"/>
    <mergeCell ref="W280:W282"/>
    <mergeCell ref="Z280:Z282"/>
    <mergeCell ref="S277:S279"/>
    <mergeCell ref="U277:U279"/>
    <mergeCell ref="W277:W279"/>
    <mergeCell ref="Z277:Z279"/>
    <mergeCell ref="A280:A282"/>
    <mergeCell ref="E280:E282"/>
    <mergeCell ref="G280:G282"/>
    <mergeCell ref="I280:I282"/>
    <mergeCell ref="K280:K282"/>
    <mergeCell ref="M280:M282"/>
    <mergeCell ref="T275:U275"/>
    <mergeCell ref="V275:W275"/>
    <mergeCell ref="A277:A279"/>
    <mergeCell ref="E277:E279"/>
    <mergeCell ref="G277:G279"/>
    <mergeCell ref="I277:I279"/>
    <mergeCell ref="K277:K279"/>
    <mergeCell ref="M277:M279"/>
    <mergeCell ref="O277:O279"/>
    <mergeCell ref="Q277:Q279"/>
    <mergeCell ref="O286:O288"/>
    <mergeCell ref="Q286:Q288"/>
    <mergeCell ref="S286:S288"/>
    <mergeCell ref="U286:U288"/>
    <mergeCell ref="W286:W288"/>
    <mergeCell ref="Z286:Z288"/>
    <mergeCell ref="A286:A288"/>
    <mergeCell ref="E286:E288"/>
    <mergeCell ref="G286:G288"/>
    <mergeCell ref="I286:I288"/>
    <mergeCell ref="K286:K288"/>
    <mergeCell ref="M286:M288"/>
    <mergeCell ref="O283:O285"/>
    <mergeCell ref="Q283:Q285"/>
    <mergeCell ref="S283:S285"/>
    <mergeCell ref="U283:U285"/>
    <mergeCell ref="W283:W285"/>
    <mergeCell ref="Z283:Z285"/>
    <mergeCell ref="A283:A285"/>
    <mergeCell ref="E283:E285"/>
    <mergeCell ref="G283:G285"/>
    <mergeCell ref="I283:I285"/>
    <mergeCell ref="K283:K285"/>
    <mergeCell ref="M283:M285"/>
    <mergeCell ref="P293:Q293"/>
    <mergeCell ref="R293:S293"/>
    <mergeCell ref="T293:U293"/>
    <mergeCell ref="V293:W293"/>
    <mergeCell ref="D294:E294"/>
    <mergeCell ref="F294:G294"/>
    <mergeCell ref="H294:I294"/>
    <mergeCell ref="J294:K294"/>
    <mergeCell ref="L294:M294"/>
    <mergeCell ref="N294:O294"/>
    <mergeCell ref="P292:Q292"/>
    <mergeCell ref="R292:S292"/>
    <mergeCell ref="T292:U292"/>
    <mergeCell ref="V292:W292"/>
    <mergeCell ref="D293:E293"/>
    <mergeCell ref="F293:G293"/>
    <mergeCell ref="H293:I293"/>
    <mergeCell ref="J293:K293"/>
    <mergeCell ref="L293:M293"/>
    <mergeCell ref="N293:O293"/>
    <mergeCell ref="D292:E292"/>
    <mergeCell ref="F292:G292"/>
    <mergeCell ref="H292:I292"/>
    <mergeCell ref="J292:K292"/>
    <mergeCell ref="L292:M292"/>
    <mergeCell ref="N292:O292"/>
    <mergeCell ref="N295:O295"/>
    <mergeCell ref="P295:Q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P294:Q294"/>
    <mergeCell ref="R294:S294"/>
    <mergeCell ref="T294:U294"/>
    <mergeCell ref="V294:W294"/>
    <mergeCell ref="B295:C295"/>
    <mergeCell ref="D295:E295"/>
    <mergeCell ref="F295:G295"/>
    <mergeCell ref="H295:I295"/>
    <mergeCell ref="J295:K295"/>
    <mergeCell ref="L295:M295"/>
    <mergeCell ref="N297:O297"/>
    <mergeCell ref="P297:Q297"/>
    <mergeCell ref="R297:S297"/>
    <mergeCell ref="T297:U297"/>
    <mergeCell ref="V297:W297"/>
    <mergeCell ref="B298:C298"/>
    <mergeCell ref="D298:E298"/>
    <mergeCell ref="F298:G298"/>
    <mergeCell ref="H298:I298"/>
    <mergeCell ref="J298:K298"/>
    <mergeCell ref="B297:C297"/>
    <mergeCell ref="D297:E297"/>
    <mergeCell ref="F297:G297"/>
    <mergeCell ref="H297:I297"/>
    <mergeCell ref="J297:K297"/>
    <mergeCell ref="L297:M297"/>
    <mergeCell ref="L296:M296"/>
    <mergeCell ref="N296:O296"/>
    <mergeCell ref="P296:Q296"/>
    <mergeCell ref="R296:S296"/>
    <mergeCell ref="T296:U296"/>
    <mergeCell ref="V296:W296"/>
    <mergeCell ref="V299:W299"/>
    <mergeCell ref="B299:C299"/>
    <mergeCell ref="D299:E299"/>
    <mergeCell ref="F299:G299"/>
    <mergeCell ref="H299:I299"/>
    <mergeCell ref="J299:K299"/>
    <mergeCell ref="L299:M299"/>
    <mergeCell ref="L298:M298"/>
    <mergeCell ref="N298:O298"/>
    <mergeCell ref="P298:Q298"/>
    <mergeCell ref="R298:S298"/>
    <mergeCell ref="T298:U298"/>
    <mergeCell ref="N299:O299"/>
    <mergeCell ref="P299:Q299"/>
    <mergeCell ref="R299:S299"/>
    <mergeCell ref="T299:U299"/>
    <mergeCell ref="V298:W298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20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27">
    <tabColor rgb="FFFFFF00"/>
    <pageSetUpPr fitToPage="1"/>
  </sheetPr>
  <dimension ref="A1:AE26"/>
  <sheetViews>
    <sheetView workbookViewId="0">
      <selection activeCell="F22" sqref="F22:G22"/>
    </sheetView>
  </sheetViews>
  <sheetFormatPr baseColWidth="10" defaultColWidth="11.33203125" defaultRowHeight="12.75" x14ac:dyDescent="0.35"/>
  <cols>
    <col min="1" max="1" width="4.06640625" customWidth="1"/>
    <col min="2" max="2" width="18.33203125" customWidth="1"/>
    <col min="3" max="3" width="6.265625" customWidth="1"/>
    <col min="4" max="4" width="4.73046875" customWidth="1"/>
    <col min="5" max="5" width="6.265625" customWidth="1"/>
    <col min="6" max="6" width="4.73046875" customWidth="1"/>
    <col min="7" max="7" width="6.265625" customWidth="1"/>
    <col min="8" max="8" width="4.73046875" customWidth="1"/>
    <col min="9" max="9" width="6.265625" customWidth="1"/>
    <col min="10" max="10" width="4.73046875" customWidth="1"/>
    <col min="11" max="11" width="6.265625" customWidth="1"/>
    <col min="12" max="12" width="4.73046875" customWidth="1"/>
    <col min="13" max="13" width="6.265625" customWidth="1"/>
    <col min="14" max="14" width="4.73046875" customWidth="1"/>
    <col min="15" max="15" width="6.265625" customWidth="1"/>
    <col min="16" max="16" width="4.73046875" customWidth="1"/>
    <col min="17" max="17" width="6.265625" customWidth="1"/>
    <col min="18" max="18" width="4.73046875" customWidth="1"/>
    <col min="19" max="19" width="6.265625" customWidth="1"/>
    <col min="20" max="20" width="4.73046875" customWidth="1"/>
    <col min="21" max="21" width="9.33203125" customWidth="1"/>
    <col min="22" max="22" width="7.796875" customWidth="1"/>
    <col min="24" max="24" width="4.33203125" customWidth="1"/>
    <col min="27" max="27" width="14.796875" style="215" hidden="1" customWidth="1"/>
    <col min="28" max="28" width="6.33203125" style="215" hidden="1" customWidth="1"/>
    <col min="29" max="29" width="5" style="215" hidden="1" customWidth="1"/>
    <col min="30" max="30" width="5.06640625" style="215" hidden="1" customWidth="1"/>
    <col min="31" max="31" width="6" style="215" hidden="1" customWidth="1"/>
    <col min="32" max="52" width="11.33203125" customWidth="1"/>
  </cols>
  <sheetData>
    <row r="1" spans="1:31" ht="28.5" customHeight="1" x14ac:dyDescent="0.35">
      <c r="A1" s="382" t="str">
        <f>Schlüssel!$C$1</f>
        <v>Bayernliga Frauen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5"/>
      <c r="Y1" s="5"/>
      <c r="AA1" s="215" t="s">
        <v>2080</v>
      </c>
    </row>
    <row r="2" spans="1:31" ht="28.5" customHeight="1" x14ac:dyDescent="0.35">
      <c r="A2" s="383" t="str">
        <f>"Saison "&amp;Spielorte!C18&amp;"     -     Spieltag "&amp;Erfassung5!AS2&amp;"     -     "&amp;Erfassung5!AT1</f>
        <v>Saison 2024/2025     -     Spieltag 5     -     15.03./16.03.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5"/>
      <c r="Y2" s="5"/>
    </row>
    <row r="3" spans="1:31" ht="28.5" customHeight="1" x14ac:dyDescent="0.35">
      <c r="A3" s="383" t="str">
        <f>+Erfassung5!AE2</f>
        <v>Brunnthal Max Munich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5"/>
      <c r="Y3" s="5"/>
    </row>
    <row r="4" spans="1:31" ht="28.5" customHeight="1" thickBot="1" x14ac:dyDescent="0.6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35">
      <c r="A5" s="386" t="s">
        <v>1816</v>
      </c>
      <c r="B5" s="388" t="s">
        <v>1817</v>
      </c>
      <c r="C5" s="376" t="s">
        <v>1800</v>
      </c>
      <c r="D5" s="377"/>
      <c r="E5" s="376" t="s">
        <v>1801</v>
      </c>
      <c r="F5" s="377"/>
      <c r="G5" s="376" t="s">
        <v>1802</v>
      </c>
      <c r="H5" s="377"/>
      <c r="I5" s="376" t="s">
        <v>1803</v>
      </c>
      <c r="J5" s="377"/>
      <c r="K5" s="376" t="s">
        <v>1804</v>
      </c>
      <c r="L5" s="377"/>
      <c r="M5" s="376" t="s">
        <v>1805</v>
      </c>
      <c r="N5" s="377"/>
      <c r="O5" s="376" t="s">
        <v>1806</v>
      </c>
      <c r="P5" s="377"/>
      <c r="Q5" s="376" t="s">
        <v>1807</v>
      </c>
      <c r="R5" s="377"/>
      <c r="S5" s="378" t="s">
        <v>1808</v>
      </c>
      <c r="T5" s="377"/>
      <c r="U5" s="376" t="s">
        <v>1799</v>
      </c>
      <c r="V5" s="377"/>
      <c r="W5" s="384" t="s">
        <v>1818</v>
      </c>
    </row>
    <row r="6" spans="1:31" ht="13.15" thickBot="1" x14ac:dyDescent="0.4">
      <c r="A6" s="387"/>
      <c r="B6" s="389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5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4">
      <c r="A7" s="223">
        <v>1</v>
      </c>
      <c r="B7" s="128" t="str">
        <f>INDEX(Erfassung5!$AA:$AA,MATCH($A7,Erfassung5!$BR:$BR,0)-17)</f>
        <v>Praetoria Regensburg</v>
      </c>
      <c r="C7" s="129">
        <f>INDEX(Erfassung5!AC:AC,MATCH($A7,Erfassung5!$BR:$BR,0)-1)</f>
        <v>0</v>
      </c>
      <c r="D7" s="130">
        <f>INDEX(Erfassung5!AD:AD,MATCH($A7,Erfassung5!$BR:$BR,0))</f>
        <v>0</v>
      </c>
      <c r="E7" s="129">
        <f>INDEX(Erfassung5!AE:AE,MATCH($A7,Erfassung5!$BR:$BR,0)-1)</f>
        <v>0</v>
      </c>
      <c r="F7" s="130">
        <f>INDEX(Erfassung5!AF:AF,MATCH($A7,Erfassung5!$BR:$BR,0))</f>
        <v>0</v>
      </c>
      <c r="G7" s="129">
        <f>INDEX(Erfassung5!AG:AG,MATCH($A7,Erfassung5!$BR:$BR,0)-1)</f>
        <v>0</v>
      </c>
      <c r="H7" s="130">
        <f>INDEX(Erfassung5!AH:AH,MATCH($A7,Erfassung5!$BR:$BR,0))</f>
        <v>0</v>
      </c>
      <c r="I7" s="129">
        <f>INDEX(Erfassung5!AI:AI,MATCH($A7,Erfassung5!$BR:$BR,0)-1)</f>
        <v>0</v>
      </c>
      <c r="J7" s="130">
        <f>INDEX(Erfassung5!AJ:AJ,MATCH($A7,Erfassung5!$BR:$BR,0))</f>
        <v>0</v>
      </c>
      <c r="K7" s="129">
        <f>INDEX(Erfassung5!AK:AK,MATCH($A7,Erfassung5!$BR:$BR,0)-1)</f>
        <v>0</v>
      </c>
      <c r="L7" s="130">
        <f>INDEX(Erfassung5!AL:AL,MATCH($A7,Erfassung5!$BR:$BR,0))</f>
        <v>0</v>
      </c>
      <c r="M7" s="129">
        <f>INDEX(Erfassung5!AM:AM,MATCH($A7,Erfassung5!$BR:$BR,0)-1)</f>
        <v>0</v>
      </c>
      <c r="N7" s="130">
        <f>INDEX(Erfassung5!AN:AN,MATCH($A7,Erfassung5!$BR:$BR,0))</f>
        <v>0</v>
      </c>
      <c r="O7" s="129">
        <f>INDEX(Erfassung5!AO:AO,MATCH($A7,Erfassung5!$BR:$BR,0)-1)</f>
        <v>0</v>
      </c>
      <c r="P7" s="130">
        <f>INDEX(Erfassung5!AP:AP,MATCH($A7,Erfassung5!$BR:$BR,0))</f>
        <v>0</v>
      </c>
      <c r="Q7" s="129">
        <f>INDEX(Erfassung5!AQ:AQ,MATCH($A7,Erfassung5!$BR:$BR,0)-1)</f>
        <v>0</v>
      </c>
      <c r="R7" s="130">
        <f>INDEX(Erfassung5!AR:AR,MATCH($A7,Erfassung5!$BR:$BR,0))</f>
        <v>0</v>
      </c>
      <c r="S7" s="129">
        <f>INDEX(Erfassung5!AS:AS,MATCH($A7,Erfassung5!$BR:$BR,0)-1)</f>
        <v>0</v>
      </c>
      <c r="T7" s="130">
        <f>INDEX(Erfassung5!AT:AT,MATCH($A7,Erfassung5!$BR:$BR,0))</f>
        <v>0</v>
      </c>
      <c r="U7" s="131">
        <f t="shared" ref="U7:V16" si="0">SUM(C7+E7+G7+I7+K7+M7+O7+Q7+S7)</f>
        <v>0</v>
      </c>
      <c r="V7" s="132">
        <f t="shared" si="0"/>
        <v>0</v>
      </c>
      <c r="W7" s="224">
        <f>IFERROR(U7/INDEX(Erfassung5!BF:BF,MATCH(A7,Erfassung5!BR:BR,0)),0)</f>
        <v>0</v>
      </c>
      <c r="X7" s="25"/>
      <c r="AA7" s="225">
        <f>INDEX(TabGes4!K:K,MATCH($B7,TabGes4!$B:$B,0))+U7</f>
        <v>25695</v>
      </c>
      <c r="AB7" s="225">
        <f>INDEX(TabGes4!L:L,MATCH($B7,TabGes4!$B:$B,0))+V7</f>
        <v>139.5</v>
      </c>
      <c r="AC7" s="215">
        <f>+AB7+AA7/1000000000</f>
        <v>139.50002569500001</v>
      </c>
      <c r="AD7" s="215" t="e">
        <f>RANK(AC7,AC:AC)</f>
        <v>#N/A</v>
      </c>
      <c r="AE7" s="215">
        <f>INDEX(Tabelle4!AE:AE,MATCH(B7,Tabelle4!B:B,0))+SUMIF(Erfassung5!BU:BU,B7,Erfassung5!BF:BF)</f>
        <v>144</v>
      </c>
    </row>
    <row r="8" spans="1:31" ht="42" customHeight="1" thickBot="1" x14ac:dyDescent="0.4">
      <c r="A8" s="223">
        <v>2</v>
      </c>
      <c r="B8" s="128" t="e">
        <f>INDEX(Erfassung5!$AA:$AA,MATCH($A8,Erfassung5!$BR:$BR,0)-17)</f>
        <v>#N/A</v>
      </c>
      <c r="C8" s="129" t="e">
        <f>INDEX(Erfassung5!AC:AC,MATCH($A8,Erfassung5!$BR:$BR,0)-1)</f>
        <v>#N/A</v>
      </c>
      <c r="D8" s="130" t="e">
        <f>INDEX(Erfassung5!AD:AD,MATCH($A8,Erfassung5!$BR:$BR,0))</f>
        <v>#N/A</v>
      </c>
      <c r="E8" s="129" t="e">
        <f>INDEX(Erfassung5!AE:AE,MATCH($A8,Erfassung5!$BR:$BR,0)-1)</f>
        <v>#N/A</v>
      </c>
      <c r="F8" s="130" t="e">
        <f>INDEX(Erfassung5!AF:AF,MATCH($A8,Erfassung5!$BR:$BR,0))</f>
        <v>#N/A</v>
      </c>
      <c r="G8" s="129" t="e">
        <f>INDEX(Erfassung5!AG:AG,MATCH($A8,Erfassung5!$BR:$BR,0)-1)</f>
        <v>#N/A</v>
      </c>
      <c r="H8" s="130" t="e">
        <f>INDEX(Erfassung5!AH:AH,MATCH($A8,Erfassung5!$BR:$BR,0))</f>
        <v>#N/A</v>
      </c>
      <c r="I8" s="129" t="e">
        <f>INDEX(Erfassung5!AI:AI,MATCH($A8,Erfassung5!$BR:$BR,0)-1)</f>
        <v>#N/A</v>
      </c>
      <c r="J8" s="130" t="e">
        <f>INDEX(Erfassung5!AJ:AJ,MATCH($A8,Erfassung5!$BR:$BR,0))</f>
        <v>#N/A</v>
      </c>
      <c r="K8" s="129" t="e">
        <f>INDEX(Erfassung5!AK:AK,MATCH($A8,Erfassung5!$BR:$BR,0)-1)</f>
        <v>#N/A</v>
      </c>
      <c r="L8" s="130" t="e">
        <f>INDEX(Erfassung5!AL:AL,MATCH($A8,Erfassung5!$BR:$BR,0))</f>
        <v>#N/A</v>
      </c>
      <c r="M8" s="129" t="e">
        <f>INDEX(Erfassung5!AM:AM,MATCH($A8,Erfassung5!$BR:$BR,0)-1)</f>
        <v>#N/A</v>
      </c>
      <c r="N8" s="130" t="e">
        <f>INDEX(Erfassung5!AN:AN,MATCH($A8,Erfassung5!$BR:$BR,0))</f>
        <v>#N/A</v>
      </c>
      <c r="O8" s="129" t="e">
        <f>INDEX(Erfassung5!AO:AO,MATCH($A8,Erfassung5!$BR:$BR,0)-1)</f>
        <v>#N/A</v>
      </c>
      <c r="P8" s="130" t="e">
        <f>INDEX(Erfassung5!AP:AP,MATCH($A8,Erfassung5!$BR:$BR,0))</f>
        <v>#N/A</v>
      </c>
      <c r="Q8" s="129" t="e">
        <f>INDEX(Erfassung5!AQ:AQ,MATCH($A8,Erfassung5!$BR:$BR,0)-1)</f>
        <v>#N/A</v>
      </c>
      <c r="R8" s="130" t="e">
        <f>INDEX(Erfassung5!AR:AR,MATCH($A8,Erfassung5!$BR:$BR,0))</f>
        <v>#N/A</v>
      </c>
      <c r="S8" s="129" t="e">
        <f>INDEX(Erfassung5!AS:AS,MATCH($A8,Erfassung5!$BR:$BR,0)-1)</f>
        <v>#N/A</v>
      </c>
      <c r="T8" s="130" t="e">
        <f>INDEX(Erfassung5!AT:AT,MATCH($A8,Erfassung5!$BR:$BR,0))</f>
        <v>#N/A</v>
      </c>
      <c r="U8" s="131" t="e">
        <f t="shared" si="0"/>
        <v>#N/A</v>
      </c>
      <c r="V8" s="132" t="e">
        <f t="shared" si="0"/>
        <v>#N/A</v>
      </c>
      <c r="W8" s="224">
        <f>IFERROR(U8/INDEX(Erfassung5!BF:BF,MATCH(A8,Erfassung5!BR:BR,0)),0)</f>
        <v>0</v>
      </c>
      <c r="X8" s="25"/>
      <c r="AA8" s="225" t="e">
        <f>INDEX(TabGes4!K:K,MATCH($B8,TabGes4!$B:$B,0))+U8</f>
        <v>#N/A</v>
      </c>
      <c r="AB8" s="225" t="e">
        <f>INDEX(TabGes4!L:L,MATCH($B8,TabGes4!$B:$B,0))+V8</f>
        <v>#N/A</v>
      </c>
      <c r="AC8" s="215" t="e">
        <f t="shared" ref="AC8:AC16" si="1">+AB8+AA8/1000000000</f>
        <v>#N/A</v>
      </c>
      <c r="AD8" s="215" t="e">
        <f t="shared" ref="AD8:AD16" si="2">RANK(AC8,AC:AC)</f>
        <v>#N/A</v>
      </c>
      <c r="AE8" s="215" t="e">
        <f>INDEX(Tabelle4!AE:AE,MATCH(B8,Tabelle4!B:B,0))+SUMIF(Erfassung5!BU:BU,B8,Erfassung5!BF:BF)</f>
        <v>#N/A</v>
      </c>
    </row>
    <row r="9" spans="1:31" ht="42" customHeight="1" thickBot="1" x14ac:dyDescent="0.4">
      <c r="A9" s="223">
        <v>3</v>
      </c>
      <c r="B9" s="128" t="e">
        <f>INDEX(Erfassung5!$AA:$AA,MATCH($A9,Erfassung5!$BR:$BR,0)-17)</f>
        <v>#N/A</v>
      </c>
      <c r="C9" s="129" t="e">
        <f>INDEX(Erfassung5!AC:AC,MATCH($A9,Erfassung5!$BR:$BR,0)-1)</f>
        <v>#N/A</v>
      </c>
      <c r="D9" s="130" t="e">
        <f>INDEX(Erfassung5!AD:AD,MATCH($A9,Erfassung5!$BR:$BR,0))</f>
        <v>#N/A</v>
      </c>
      <c r="E9" s="129" t="e">
        <f>INDEX(Erfassung5!AE:AE,MATCH($A9,Erfassung5!$BR:$BR,0)-1)</f>
        <v>#N/A</v>
      </c>
      <c r="F9" s="130" t="e">
        <f>INDEX(Erfassung5!AF:AF,MATCH($A9,Erfassung5!$BR:$BR,0))</f>
        <v>#N/A</v>
      </c>
      <c r="G9" s="129" t="e">
        <f>INDEX(Erfassung5!AG:AG,MATCH($A9,Erfassung5!$BR:$BR,0)-1)</f>
        <v>#N/A</v>
      </c>
      <c r="H9" s="130" t="e">
        <f>INDEX(Erfassung5!AH:AH,MATCH($A9,Erfassung5!$BR:$BR,0))</f>
        <v>#N/A</v>
      </c>
      <c r="I9" s="129" t="e">
        <f>INDEX(Erfassung5!AI:AI,MATCH($A9,Erfassung5!$BR:$BR,0)-1)</f>
        <v>#N/A</v>
      </c>
      <c r="J9" s="130" t="e">
        <f>INDEX(Erfassung5!AJ:AJ,MATCH($A9,Erfassung5!$BR:$BR,0))</f>
        <v>#N/A</v>
      </c>
      <c r="K9" s="129" t="e">
        <f>INDEX(Erfassung5!AK:AK,MATCH($A9,Erfassung5!$BR:$BR,0)-1)</f>
        <v>#N/A</v>
      </c>
      <c r="L9" s="130" t="e">
        <f>INDEX(Erfassung5!AL:AL,MATCH($A9,Erfassung5!$BR:$BR,0))</f>
        <v>#N/A</v>
      </c>
      <c r="M9" s="129" t="e">
        <f>INDEX(Erfassung5!AM:AM,MATCH($A9,Erfassung5!$BR:$BR,0)-1)</f>
        <v>#N/A</v>
      </c>
      <c r="N9" s="130" t="e">
        <f>INDEX(Erfassung5!AN:AN,MATCH($A9,Erfassung5!$BR:$BR,0))</f>
        <v>#N/A</v>
      </c>
      <c r="O9" s="129" t="e">
        <f>INDEX(Erfassung5!AO:AO,MATCH($A9,Erfassung5!$BR:$BR,0)-1)</f>
        <v>#N/A</v>
      </c>
      <c r="P9" s="130" t="e">
        <f>INDEX(Erfassung5!AP:AP,MATCH($A9,Erfassung5!$BR:$BR,0))</f>
        <v>#N/A</v>
      </c>
      <c r="Q9" s="129" t="e">
        <f>INDEX(Erfassung5!AQ:AQ,MATCH($A9,Erfassung5!$BR:$BR,0)-1)</f>
        <v>#N/A</v>
      </c>
      <c r="R9" s="130" t="e">
        <f>INDEX(Erfassung5!AR:AR,MATCH($A9,Erfassung5!$BR:$BR,0))</f>
        <v>#N/A</v>
      </c>
      <c r="S9" s="129" t="e">
        <f>INDEX(Erfassung5!AS:AS,MATCH($A9,Erfassung5!$BR:$BR,0)-1)</f>
        <v>#N/A</v>
      </c>
      <c r="T9" s="130" t="e">
        <f>INDEX(Erfassung5!AT:AT,MATCH($A9,Erfassung5!$BR:$BR,0))</f>
        <v>#N/A</v>
      </c>
      <c r="U9" s="131" t="e">
        <f t="shared" si="0"/>
        <v>#N/A</v>
      </c>
      <c r="V9" s="132" t="e">
        <f t="shared" si="0"/>
        <v>#N/A</v>
      </c>
      <c r="W9" s="224">
        <f>IFERROR(U9/INDEX(Erfassung5!BF:BF,MATCH(A9,Erfassung5!BR:BR,0)),0)</f>
        <v>0</v>
      </c>
      <c r="X9" s="25"/>
      <c r="AA9" s="225" t="e">
        <f>INDEX(TabGes4!K:K,MATCH($B9,TabGes4!$B:$B,0))+U9</f>
        <v>#N/A</v>
      </c>
      <c r="AB9" s="225" t="e">
        <f>INDEX(TabGes4!L:L,MATCH($B9,TabGes4!$B:$B,0))+V9</f>
        <v>#N/A</v>
      </c>
      <c r="AC9" s="215" t="e">
        <f t="shared" si="1"/>
        <v>#N/A</v>
      </c>
      <c r="AD9" s="215" t="e">
        <f t="shared" si="2"/>
        <v>#N/A</v>
      </c>
      <c r="AE9" s="215" t="e">
        <f>INDEX(Tabelle4!AE:AE,MATCH(B9,Tabelle4!B:B,0))+SUMIF(Erfassung5!BU:BU,B9,Erfassung5!BF:BF)</f>
        <v>#N/A</v>
      </c>
    </row>
    <row r="10" spans="1:31" ht="42" customHeight="1" thickBot="1" x14ac:dyDescent="0.4">
      <c r="A10" s="223">
        <v>4</v>
      </c>
      <c r="B10" s="128" t="e">
        <f>INDEX(Erfassung5!$AA:$AA,MATCH($A10,Erfassung5!$BR:$BR,0)-17)</f>
        <v>#N/A</v>
      </c>
      <c r="C10" s="129" t="e">
        <f>INDEX(Erfassung5!AC:AC,MATCH($A10,Erfassung5!$BR:$BR,0)-1)</f>
        <v>#N/A</v>
      </c>
      <c r="D10" s="130" t="e">
        <f>INDEX(Erfassung5!AD:AD,MATCH($A10,Erfassung5!$BR:$BR,0))</f>
        <v>#N/A</v>
      </c>
      <c r="E10" s="129" t="e">
        <f>INDEX(Erfassung5!AE:AE,MATCH($A10,Erfassung5!$BR:$BR,0)-1)</f>
        <v>#N/A</v>
      </c>
      <c r="F10" s="130" t="e">
        <f>INDEX(Erfassung5!AF:AF,MATCH($A10,Erfassung5!$BR:$BR,0))</f>
        <v>#N/A</v>
      </c>
      <c r="G10" s="129" t="e">
        <f>INDEX(Erfassung5!AG:AG,MATCH($A10,Erfassung5!$BR:$BR,0)-1)</f>
        <v>#N/A</v>
      </c>
      <c r="H10" s="130" t="e">
        <f>INDEX(Erfassung5!AH:AH,MATCH($A10,Erfassung5!$BR:$BR,0))</f>
        <v>#N/A</v>
      </c>
      <c r="I10" s="129" t="e">
        <f>INDEX(Erfassung5!AI:AI,MATCH($A10,Erfassung5!$BR:$BR,0)-1)</f>
        <v>#N/A</v>
      </c>
      <c r="J10" s="130" t="e">
        <f>INDEX(Erfassung5!AJ:AJ,MATCH($A10,Erfassung5!$BR:$BR,0))</f>
        <v>#N/A</v>
      </c>
      <c r="K10" s="129" t="e">
        <f>INDEX(Erfassung5!AK:AK,MATCH($A10,Erfassung5!$BR:$BR,0)-1)</f>
        <v>#N/A</v>
      </c>
      <c r="L10" s="130" t="e">
        <f>INDEX(Erfassung5!AL:AL,MATCH($A10,Erfassung5!$BR:$BR,0))</f>
        <v>#N/A</v>
      </c>
      <c r="M10" s="129" t="e">
        <f>INDEX(Erfassung5!AM:AM,MATCH($A10,Erfassung5!$BR:$BR,0)-1)</f>
        <v>#N/A</v>
      </c>
      <c r="N10" s="130" t="e">
        <f>INDEX(Erfassung5!AN:AN,MATCH($A10,Erfassung5!$BR:$BR,0))</f>
        <v>#N/A</v>
      </c>
      <c r="O10" s="129" t="e">
        <f>INDEX(Erfassung5!AO:AO,MATCH($A10,Erfassung5!$BR:$BR,0)-1)</f>
        <v>#N/A</v>
      </c>
      <c r="P10" s="130" t="e">
        <f>INDEX(Erfassung5!AP:AP,MATCH($A10,Erfassung5!$BR:$BR,0))</f>
        <v>#N/A</v>
      </c>
      <c r="Q10" s="129" t="e">
        <f>INDEX(Erfassung5!AQ:AQ,MATCH($A10,Erfassung5!$BR:$BR,0)-1)</f>
        <v>#N/A</v>
      </c>
      <c r="R10" s="130" t="e">
        <f>INDEX(Erfassung5!AR:AR,MATCH($A10,Erfassung5!$BR:$BR,0))</f>
        <v>#N/A</v>
      </c>
      <c r="S10" s="129" t="e">
        <f>INDEX(Erfassung5!AS:AS,MATCH($A10,Erfassung5!$BR:$BR,0)-1)</f>
        <v>#N/A</v>
      </c>
      <c r="T10" s="130" t="e">
        <f>INDEX(Erfassung5!AT:AT,MATCH($A10,Erfassung5!$BR:$BR,0))</f>
        <v>#N/A</v>
      </c>
      <c r="U10" s="131" t="e">
        <f t="shared" si="0"/>
        <v>#N/A</v>
      </c>
      <c r="V10" s="132" t="e">
        <f t="shared" si="0"/>
        <v>#N/A</v>
      </c>
      <c r="W10" s="224">
        <f>IFERROR(U10/INDEX(Erfassung5!BF:BF,MATCH(A10,Erfassung5!BR:BR,0)),0)</f>
        <v>0</v>
      </c>
      <c r="X10" s="25"/>
      <c r="AA10" s="225" t="e">
        <f>INDEX(TabGes4!K:K,MATCH($B10,TabGes4!$B:$B,0))+U10</f>
        <v>#N/A</v>
      </c>
      <c r="AB10" s="225" t="e">
        <f>INDEX(TabGes4!L:L,MATCH($B10,TabGes4!$B:$B,0))+V10</f>
        <v>#N/A</v>
      </c>
      <c r="AC10" s="215" t="e">
        <f t="shared" si="1"/>
        <v>#N/A</v>
      </c>
      <c r="AD10" s="215" t="e">
        <f t="shared" si="2"/>
        <v>#N/A</v>
      </c>
      <c r="AE10" s="215" t="e">
        <f>INDEX(Tabelle4!AE:AE,MATCH(B10,Tabelle4!B:B,0))+SUMIF(Erfassung5!BU:BU,B10,Erfassung5!BF:BF)</f>
        <v>#N/A</v>
      </c>
    </row>
    <row r="11" spans="1:31" ht="42" customHeight="1" thickBot="1" x14ac:dyDescent="0.4">
      <c r="A11" s="223">
        <v>5</v>
      </c>
      <c r="B11" s="128" t="e">
        <f>INDEX(Erfassung5!$AA:$AA,MATCH($A11,Erfassung5!$BR:$BR,0)-17)</f>
        <v>#N/A</v>
      </c>
      <c r="C11" s="129" t="e">
        <f>INDEX(Erfassung5!AC:AC,MATCH($A11,Erfassung5!$BR:$BR,0)-1)</f>
        <v>#N/A</v>
      </c>
      <c r="D11" s="130" t="e">
        <f>INDEX(Erfassung5!AD:AD,MATCH($A11,Erfassung5!$BR:$BR,0))</f>
        <v>#N/A</v>
      </c>
      <c r="E11" s="129" t="e">
        <f>INDEX(Erfassung5!AE:AE,MATCH($A11,Erfassung5!$BR:$BR,0)-1)</f>
        <v>#N/A</v>
      </c>
      <c r="F11" s="130" t="e">
        <f>INDEX(Erfassung5!AF:AF,MATCH($A11,Erfassung5!$BR:$BR,0))</f>
        <v>#N/A</v>
      </c>
      <c r="G11" s="129" t="e">
        <f>INDEX(Erfassung5!AG:AG,MATCH($A11,Erfassung5!$BR:$BR,0)-1)</f>
        <v>#N/A</v>
      </c>
      <c r="H11" s="130" t="e">
        <f>INDEX(Erfassung5!AH:AH,MATCH($A11,Erfassung5!$BR:$BR,0))</f>
        <v>#N/A</v>
      </c>
      <c r="I11" s="129" t="e">
        <f>INDEX(Erfassung5!AI:AI,MATCH($A11,Erfassung5!$BR:$BR,0)-1)</f>
        <v>#N/A</v>
      </c>
      <c r="J11" s="130" t="e">
        <f>INDEX(Erfassung5!AJ:AJ,MATCH($A11,Erfassung5!$BR:$BR,0))</f>
        <v>#N/A</v>
      </c>
      <c r="K11" s="129" t="e">
        <f>INDEX(Erfassung5!AK:AK,MATCH($A11,Erfassung5!$BR:$BR,0)-1)</f>
        <v>#N/A</v>
      </c>
      <c r="L11" s="130" t="e">
        <f>INDEX(Erfassung5!AL:AL,MATCH($A11,Erfassung5!$BR:$BR,0))</f>
        <v>#N/A</v>
      </c>
      <c r="M11" s="129" t="e">
        <f>INDEX(Erfassung5!AM:AM,MATCH($A11,Erfassung5!$BR:$BR,0)-1)</f>
        <v>#N/A</v>
      </c>
      <c r="N11" s="130" t="e">
        <f>INDEX(Erfassung5!AN:AN,MATCH($A11,Erfassung5!$BR:$BR,0))</f>
        <v>#N/A</v>
      </c>
      <c r="O11" s="129" t="e">
        <f>INDEX(Erfassung5!AO:AO,MATCH($A11,Erfassung5!$BR:$BR,0)-1)</f>
        <v>#N/A</v>
      </c>
      <c r="P11" s="130" t="e">
        <f>INDEX(Erfassung5!AP:AP,MATCH($A11,Erfassung5!$BR:$BR,0))</f>
        <v>#N/A</v>
      </c>
      <c r="Q11" s="129" t="e">
        <f>INDEX(Erfassung5!AQ:AQ,MATCH($A11,Erfassung5!$BR:$BR,0)-1)</f>
        <v>#N/A</v>
      </c>
      <c r="R11" s="130" t="e">
        <f>INDEX(Erfassung5!AR:AR,MATCH($A11,Erfassung5!$BR:$BR,0))</f>
        <v>#N/A</v>
      </c>
      <c r="S11" s="129" t="e">
        <f>INDEX(Erfassung5!AS:AS,MATCH($A11,Erfassung5!$BR:$BR,0)-1)</f>
        <v>#N/A</v>
      </c>
      <c r="T11" s="130" t="e">
        <f>INDEX(Erfassung5!AT:AT,MATCH($A11,Erfassung5!$BR:$BR,0))</f>
        <v>#N/A</v>
      </c>
      <c r="U11" s="131" t="e">
        <f t="shared" si="0"/>
        <v>#N/A</v>
      </c>
      <c r="V11" s="132" t="e">
        <f t="shared" si="0"/>
        <v>#N/A</v>
      </c>
      <c r="W11" s="224">
        <f>IFERROR(U11/INDEX(Erfassung5!BF:BF,MATCH(A11,Erfassung5!BR:BR,0)),0)</f>
        <v>0</v>
      </c>
      <c r="X11" s="25"/>
      <c r="AA11" s="225" t="e">
        <f>INDEX(TabGes4!K:K,MATCH($B11,TabGes4!$B:$B,0))+U11</f>
        <v>#N/A</v>
      </c>
      <c r="AB11" s="225" t="e">
        <f>INDEX(TabGes4!L:L,MATCH($B11,TabGes4!$B:$B,0))+V11</f>
        <v>#N/A</v>
      </c>
      <c r="AC11" s="215" t="e">
        <f t="shared" si="1"/>
        <v>#N/A</v>
      </c>
      <c r="AD11" s="215" t="e">
        <f t="shared" si="2"/>
        <v>#N/A</v>
      </c>
      <c r="AE11" s="215" t="e">
        <f>INDEX(Tabelle4!AE:AE,MATCH(B11,Tabelle4!B:B,0))+SUMIF(Erfassung5!BU:BU,B11,Erfassung5!BF:BF)</f>
        <v>#N/A</v>
      </c>
    </row>
    <row r="12" spans="1:31" ht="42" customHeight="1" thickBot="1" x14ac:dyDescent="0.4">
      <c r="A12" s="223">
        <v>6</v>
      </c>
      <c r="B12" s="128" t="e">
        <f>INDEX(Erfassung5!$AA:$AA,MATCH($A12,Erfassung5!$BR:$BR,0)-17)</f>
        <v>#N/A</v>
      </c>
      <c r="C12" s="129" t="e">
        <f>INDEX(Erfassung5!AC:AC,MATCH($A12,Erfassung5!$BR:$BR,0)-1)</f>
        <v>#N/A</v>
      </c>
      <c r="D12" s="130" t="e">
        <f>INDEX(Erfassung5!AD:AD,MATCH($A12,Erfassung5!$BR:$BR,0))</f>
        <v>#N/A</v>
      </c>
      <c r="E12" s="129" t="e">
        <f>INDEX(Erfassung5!AE:AE,MATCH($A12,Erfassung5!$BR:$BR,0)-1)</f>
        <v>#N/A</v>
      </c>
      <c r="F12" s="130" t="e">
        <f>INDEX(Erfassung5!AF:AF,MATCH($A12,Erfassung5!$BR:$BR,0))</f>
        <v>#N/A</v>
      </c>
      <c r="G12" s="129" t="e">
        <f>INDEX(Erfassung5!AG:AG,MATCH($A12,Erfassung5!$BR:$BR,0)-1)</f>
        <v>#N/A</v>
      </c>
      <c r="H12" s="130" t="e">
        <f>INDEX(Erfassung5!AH:AH,MATCH($A12,Erfassung5!$BR:$BR,0))</f>
        <v>#N/A</v>
      </c>
      <c r="I12" s="129" t="e">
        <f>INDEX(Erfassung5!AI:AI,MATCH($A12,Erfassung5!$BR:$BR,0)-1)</f>
        <v>#N/A</v>
      </c>
      <c r="J12" s="130" t="e">
        <f>INDEX(Erfassung5!AJ:AJ,MATCH($A12,Erfassung5!$BR:$BR,0))</f>
        <v>#N/A</v>
      </c>
      <c r="K12" s="129" t="e">
        <f>INDEX(Erfassung5!AK:AK,MATCH($A12,Erfassung5!$BR:$BR,0)-1)</f>
        <v>#N/A</v>
      </c>
      <c r="L12" s="130" t="e">
        <f>INDEX(Erfassung5!AL:AL,MATCH($A12,Erfassung5!$BR:$BR,0))</f>
        <v>#N/A</v>
      </c>
      <c r="M12" s="129" t="e">
        <f>INDEX(Erfassung5!AM:AM,MATCH($A12,Erfassung5!$BR:$BR,0)-1)</f>
        <v>#N/A</v>
      </c>
      <c r="N12" s="130" t="e">
        <f>INDEX(Erfassung5!AN:AN,MATCH($A12,Erfassung5!$BR:$BR,0))</f>
        <v>#N/A</v>
      </c>
      <c r="O12" s="129" t="e">
        <f>INDEX(Erfassung5!AO:AO,MATCH($A12,Erfassung5!$BR:$BR,0)-1)</f>
        <v>#N/A</v>
      </c>
      <c r="P12" s="130" t="e">
        <f>INDEX(Erfassung5!AP:AP,MATCH($A12,Erfassung5!$BR:$BR,0))</f>
        <v>#N/A</v>
      </c>
      <c r="Q12" s="129" t="e">
        <f>INDEX(Erfassung5!AQ:AQ,MATCH($A12,Erfassung5!$BR:$BR,0)-1)</f>
        <v>#N/A</v>
      </c>
      <c r="R12" s="130" t="e">
        <f>INDEX(Erfassung5!AR:AR,MATCH($A12,Erfassung5!$BR:$BR,0))</f>
        <v>#N/A</v>
      </c>
      <c r="S12" s="129" t="e">
        <f>INDEX(Erfassung5!AS:AS,MATCH($A12,Erfassung5!$BR:$BR,0)-1)</f>
        <v>#N/A</v>
      </c>
      <c r="T12" s="130" t="e">
        <f>INDEX(Erfassung5!AT:AT,MATCH($A12,Erfassung5!$BR:$BR,0))</f>
        <v>#N/A</v>
      </c>
      <c r="U12" s="131" t="e">
        <f t="shared" si="0"/>
        <v>#N/A</v>
      </c>
      <c r="V12" s="132" t="e">
        <f t="shared" si="0"/>
        <v>#N/A</v>
      </c>
      <c r="W12" s="224">
        <f>IFERROR(U12/INDEX(Erfassung5!BF:BF,MATCH(A12,Erfassung5!BR:BR,0)),0)</f>
        <v>0</v>
      </c>
      <c r="X12" s="25"/>
      <c r="AA12" s="225" t="e">
        <f>INDEX(TabGes4!K:K,MATCH($B12,TabGes4!$B:$B,0))+U12</f>
        <v>#N/A</v>
      </c>
      <c r="AB12" s="225" t="e">
        <f>INDEX(TabGes4!L:L,MATCH($B12,TabGes4!$B:$B,0))+V12</f>
        <v>#N/A</v>
      </c>
      <c r="AC12" s="215" t="e">
        <f t="shared" si="1"/>
        <v>#N/A</v>
      </c>
      <c r="AD12" s="215" t="e">
        <f t="shared" si="2"/>
        <v>#N/A</v>
      </c>
      <c r="AE12" s="215" t="e">
        <f>INDEX(Tabelle4!AE:AE,MATCH(B12,Tabelle4!B:B,0))+SUMIF(Erfassung5!BU:BU,B12,Erfassung5!BF:BF)</f>
        <v>#N/A</v>
      </c>
    </row>
    <row r="13" spans="1:31" ht="42" customHeight="1" thickBot="1" x14ac:dyDescent="0.4">
      <c r="A13" s="223">
        <v>7</v>
      </c>
      <c r="B13" s="128" t="e">
        <f>INDEX(Erfassung5!$AA:$AA,MATCH($A13,Erfassung5!$BR:$BR,0)-17)</f>
        <v>#N/A</v>
      </c>
      <c r="C13" s="129" t="e">
        <f>INDEX(Erfassung5!AC:AC,MATCH($A13,Erfassung5!$BR:$BR,0)-1)</f>
        <v>#N/A</v>
      </c>
      <c r="D13" s="130" t="e">
        <f>INDEX(Erfassung5!AD:AD,MATCH($A13,Erfassung5!$BR:$BR,0))</f>
        <v>#N/A</v>
      </c>
      <c r="E13" s="129" t="e">
        <f>INDEX(Erfassung5!AE:AE,MATCH($A13,Erfassung5!$BR:$BR,0)-1)</f>
        <v>#N/A</v>
      </c>
      <c r="F13" s="130" t="e">
        <f>INDEX(Erfassung5!AF:AF,MATCH($A13,Erfassung5!$BR:$BR,0))</f>
        <v>#N/A</v>
      </c>
      <c r="G13" s="129" t="e">
        <f>INDEX(Erfassung5!AG:AG,MATCH($A13,Erfassung5!$BR:$BR,0)-1)</f>
        <v>#N/A</v>
      </c>
      <c r="H13" s="130" t="e">
        <f>INDEX(Erfassung5!AH:AH,MATCH($A13,Erfassung5!$BR:$BR,0))</f>
        <v>#N/A</v>
      </c>
      <c r="I13" s="129" t="e">
        <f>INDEX(Erfassung5!AI:AI,MATCH($A13,Erfassung5!$BR:$BR,0)-1)</f>
        <v>#N/A</v>
      </c>
      <c r="J13" s="130" t="e">
        <f>INDEX(Erfassung5!AJ:AJ,MATCH($A13,Erfassung5!$BR:$BR,0))</f>
        <v>#N/A</v>
      </c>
      <c r="K13" s="129" t="e">
        <f>INDEX(Erfassung5!AK:AK,MATCH($A13,Erfassung5!$BR:$BR,0)-1)</f>
        <v>#N/A</v>
      </c>
      <c r="L13" s="130" t="e">
        <f>INDEX(Erfassung5!AL:AL,MATCH($A13,Erfassung5!$BR:$BR,0))</f>
        <v>#N/A</v>
      </c>
      <c r="M13" s="129" t="e">
        <f>INDEX(Erfassung5!AM:AM,MATCH($A13,Erfassung5!$BR:$BR,0)-1)</f>
        <v>#N/A</v>
      </c>
      <c r="N13" s="130" t="e">
        <f>INDEX(Erfassung5!AN:AN,MATCH($A13,Erfassung5!$BR:$BR,0))</f>
        <v>#N/A</v>
      </c>
      <c r="O13" s="129" t="e">
        <f>INDEX(Erfassung5!AO:AO,MATCH($A13,Erfassung5!$BR:$BR,0)-1)</f>
        <v>#N/A</v>
      </c>
      <c r="P13" s="130" t="e">
        <f>INDEX(Erfassung5!AP:AP,MATCH($A13,Erfassung5!$BR:$BR,0))</f>
        <v>#N/A</v>
      </c>
      <c r="Q13" s="129" t="e">
        <f>INDEX(Erfassung5!AQ:AQ,MATCH($A13,Erfassung5!$BR:$BR,0)-1)</f>
        <v>#N/A</v>
      </c>
      <c r="R13" s="130" t="e">
        <f>INDEX(Erfassung5!AR:AR,MATCH($A13,Erfassung5!$BR:$BR,0))</f>
        <v>#N/A</v>
      </c>
      <c r="S13" s="129" t="e">
        <f>INDEX(Erfassung5!AS:AS,MATCH($A13,Erfassung5!$BR:$BR,0)-1)</f>
        <v>#N/A</v>
      </c>
      <c r="T13" s="130" t="e">
        <f>INDEX(Erfassung5!AT:AT,MATCH($A13,Erfassung5!$BR:$BR,0))</f>
        <v>#N/A</v>
      </c>
      <c r="U13" s="131" t="e">
        <f t="shared" si="0"/>
        <v>#N/A</v>
      </c>
      <c r="V13" s="132" t="e">
        <f t="shared" si="0"/>
        <v>#N/A</v>
      </c>
      <c r="W13" s="224">
        <f>IFERROR(U13/INDEX(Erfassung5!BF:BF,MATCH(A13,Erfassung5!BR:BR,0)),0)</f>
        <v>0</v>
      </c>
      <c r="X13" s="25"/>
      <c r="AA13" s="225" t="e">
        <f>INDEX(TabGes4!K:K,MATCH($B13,TabGes4!$B:$B,0))+U13</f>
        <v>#N/A</v>
      </c>
      <c r="AB13" s="225" t="e">
        <f>INDEX(TabGes4!L:L,MATCH($B13,TabGes4!$B:$B,0))+V13</f>
        <v>#N/A</v>
      </c>
      <c r="AC13" s="215" t="e">
        <f t="shared" si="1"/>
        <v>#N/A</v>
      </c>
      <c r="AD13" s="215" t="e">
        <f t="shared" si="2"/>
        <v>#N/A</v>
      </c>
      <c r="AE13" s="215" t="e">
        <f>INDEX(Tabelle4!AE:AE,MATCH(B13,Tabelle4!B:B,0))+SUMIF(Erfassung5!BU:BU,B13,Erfassung5!BF:BF)</f>
        <v>#N/A</v>
      </c>
    </row>
    <row r="14" spans="1:31" ht="42" customHeight="1" thickBot="1" x14ac:dyDescent="0.4">
      <c r="A14" s="223">
        <v>8</v>
      </c>
      <c r="B14" s="128" t="e">
        <f>INDEX(Erfassung5!$AA:$AA,MATCH($A14,Erfassung5!$BR:$BR,0)-17)</f>
        <v>#N/A</v>
      </c>
      <c r="C14" s="129" t="e">
        <f>INDEX(Erfassung5!AC:AC,MATCH($A14,Erfassung5!$BR:$BR,0)-1)</f>
        <v>#N/A</v>
      </c>
      <c r="D14" s="130" t="e">
        <f>INDEX(Erfassung5!AD:AD,MATCH($A14,Erfassung5!$BR:$BR,0))</f>
        <v>#N/A</v>
      </c>
      <c r="E14" s="129" t="e">
        <f>INDEX(Erfassung5!AE:AE,MATCH($A14,Erfassung5!$BR:$BR,0)-1)</f>
        <v>#N/A</v>
      </c>
      <c r="F14" s="130" t="e">
        <f>INDEX(Erfassung5!AF:AF,MATCH($A14,Erfassung5!$BR:$BR,0))</f>
        <v>#N/A</v>
      </c>
      <c r="G14" s="129" t="e">
        <f>INDEX(Erfassung5!AG:AG,MATCH($A14,Erfassung5!$BR:$BR,0)-1)</f>
        <v>#N/A</v>
      </c>
      <c r="H14" s="130" t="e">
        <f>INDEX(Erfassung5!AH:AH,MATCH($A14,Erfassung5!$BR:$BR,0))</f>
        <v>#N/A</v>
      </c>
      <c r="I14" s="129" t="e">
        <f>INDEX(Erfassung5!AI:AI,MATCH($A14,Erfassung5!$BR:$BR,0)-1)</f>
        <v>#N/A</v>
      </c>
      <c r="J14" s="130" t="e">
        <f>INDEX(Erfassung5!AJ:AJ,MATCH($A14,Erfassung5!$BR:$BR,0))</f>
        <v>#N/A</v>
      </c>
      <c r="K14" s="129" t="e">
        <f>INDEX(Erfassung5!AK:AK,MATCH($A14,Erfassung5!$BR:$BR,0)-1)</f>
        <v>#N/A</v>
      </c>
      <c r="L14" s="130" t="e">
        <f>INDEX(Erfassung5!AL:AL,MATCH($A14,Erfassung5!$BR:$BR,0))</f>
        <v>#N/A</v>
      </c>
      <c r="M14" s="129" t="e">
        <f>INDEX(Erfassung5!AM:AM,MATCH($A14,Erfassung5!$BR:$BR,0)-1)</f>
        <v>#N/A</v>
      </c>
      <c r="N14" s="130" t="e">
        <f>INDEX(Erfassung5!AN:AN,MATCH($A14,Erfassung5!$BR:$BR,0))</f>
        <v>#N/A</v>
      </c>
      <c r="O14" s="129" t="e">
        <f>INDEX(Erfassung5!AO:AO,MATCH($A14,Erfassung5!$BR:$BR,0)-1)</f>
        <v>#N/A</v>
      </c>
      <c r="P14" s="130" t="e">
        <f>INDEX(Erfassung5!AP:AP,MATCH($A14,Erfassung5!$BR:$BR,0))</f>
        <v>#N/A</v>
      </c>
      <c r="Q14" s="129" t="e">
        <f>INDEX(Erfassung5!AQ:AQ,MATCH($A14,Erfassung5!$BR:$BR,0)-1)</f>
        <v>#N/A</v>
      </c>
      <c r="R14" s="130" t="e">
        <f>INDEX(Erfassung5!AR:AR,MATCH($A14,Erfassung5!$BR:$BR,0))</f>
        <v>#N/A</v>
      </c>
      <c r="S14" s="129" t="e">
        <f>INDEX(Erfassung5!AS:AS,MATCH($A14,Erfassung5!$BR:$BR,0)-1)</f>
        <v>#N/A</v>
      </c>
      <c r="T14" s="130" t="e">
        <f>INDEX(Erfassung5!AT:AT,MATCH($A14,Erfassung5!$BR:$BR,0))</f>
        <v>#N/A</v>
      </c>
      <c r="U14" s="131" t="e">
        <f t="shared" si="0"/>
        <v>#N/A</v>
      </c>
      <c r="V14" s="132" t="e">
        <f t="shared" si="0"/>
        <v>#N/A</v>
      </c>
      <c r="W14" s="224">
        <f>IFERROR(U14/INDEX(Erfassung5!BF:BF,MATCH(A14,Erfassung5!BR:BR,0)),0)</f>
        <v>0</v>
      </c>
      <c r="X14" s="25"/>
      <c r="AA14" s="225" t="e">
        <f>INDEX(TabGes4!K:K,MATCH($B14,TabGes4!$B:$B,0))+U14</f>
        <v>#N/A</v>
      </c>
      <c r="AB14" s="225" t="e">
        <f>INDEX(TabGes4!L:L,MATCH($B14,TabGes4!$B:$B,0))+V14</f>
        <v>#N/A</v>
      </c>
      <c r="AC14" s="215" t="e">
        <f t="shared" si="1"/>
        <v>#N/A</v>
      </c>
      <c r="AD14" s="215" t="e">
        <f t="shared" si="2"/>
        <v>#N/A</v>
      </c>
      <c r="AE14" s="215" t="e">
        <f>INDEX(Tabelle4!AE:AE,MATCH(B14,Tabelle4!B:B,0))+SUMIF(Erfassung5!BU:BU,B14,Erfassung5!BF:BF)</f>
        <v>#N/A</v>
      </c>
    </row>
    <row r="15" spans="1:31" ht="42" customHeight="1" thickBot="1" x14ac:dyDescent="0.4">
      <c r="A15" s="223">
        <v>9</v>
      </c>
      <c r="B15" s="128" t="e">
        <f>INDEX(Erfassung5!$AA:$AA,MATCH($A15,Erfassung5!$BR:$BR,0)-17)</f>
        <v>#N/A</v>
      </c>
      <c r="C15" s="129" t="e">
        <f>INDEX(Erfassung5!AC:AC,MATCH($A15,Erfassung5!$BR:$BR,0)-1)</f>
        <v>#N/A</v>
      </c>
      <c r="D15" s="130" t="e">
        <f>INDEX(Erfassung5!AD:AD,MATCH($A15,Erfassung5!$BR:$BR,0))</f>
        <v>#N/A</v>
      </c>
      <c r="E15" s="129" t="e">
        <f>INDEX(Erfassung5!AE:AE,MATCH($A15,Erfassung5!$BR:$BR,0)-1)</f>
        <v>#N/A</v>
      </c>
      <c r="F15" s="130" t="e">
        <f>INDEX(Erfassung5!AF:AF,MATCH($A15,Erfassung5!$BR:$BR,0))</f>
        <v>#N/A</v>
      </c>
      <c r="G15" s="129" t="e">
        <f>INDEX(Erfassung5!AG:AG,MATCH($A15,Erfassung5!$BR:$BR,0)-1)</f>
        <v>#N/A</v>
      </c>
      <c r="H15" s="130" t="e">
        <f>INDEX(Erfassung5!AH:AH,MATCH($A15,Erfassung5!$BR:$BR,0))</f>
        <v>#N/A</v>
      </c>
      <c r="I15" s="129" t="e">
        <f>INDEX(Erfassung5!AI:AI,MATCH($A15,Erfassung5!$BR:$BR,0)-1)</f>
        <v>#N/A</v>
      </c>
      <c r="J15" s="130" t="e">
        <f>INDEX(Erfassung5!AJ:AJ,MATCH($A15,Erfassung5!$BR:$BR,0))</f>
        <v>#N/A</v>
      </c>
      <c r="K15" s="129" t="e">
        <f>INDEX(Erfassung5!AK:AK,MATCH($A15,Erfassung5!$BR:$BR,0)-1)</f>
        <v>#N/A</v>
      </c>
      <c r="L15" s="130" t="e">
        <f>INDEX(Erfassung5!AL:AL,MATCH($A15,Erfassung5!$BR:$BR,0))</f>
        <v>#N/A</v>
      </c>
      <c r="M15" s="129" t="e">
        <f>INDEX(Erfassung5!AM:AM,MATCH($A15,Erfassung5!$BR:$BR,0)-1)</f>
        <v>#N/A</v>
      </c>
      <c r="N15" s="130" t="e">
        <f>INDEX(Erfassung5!AN:AN,MATCH($A15,Erfassung5!$BR:$BR,0))</f>
        <v>#N/A</v>
      </c>
      <c r="O15" s="129" t="e">
        <f>INDEX(Erfassung5!AO:AO,MATCH($A15,Erfassung5!$BR:$BR,0)-1)</f>
        <v>#N/A</v>
      </c>
      <c r="P15" s="130" t="e">
        <f>INDEX(Erfassung5!AP:AP,MATCH($A15,Erfassung5!$BR:$BR,0))</f>
        <v>#N/A</v>
      </c>
      <c r="Q15" s="129" t="e">
        <f>INDEX(Erfassung5!AQ:AQ,MATCH($A15,Erfassung5!$BR:$BR,0)-1)</f>
        <v>#N/A</v>
      </c>
      <c r="R15" s="130" t="e">
        <f>INDEX(Erfassung5!AR:AR,MATCH($A15,Erfassung5!$BR:$BR,0))</f>
        <v>#N/A</v>
      </c>
      <c r="S15" s="129" t="e">
        <f>INDEX(Erfassung5!AS:AS,MATCH($A15,Erfassung5!$BR:$BR,0)-1)</f>
        <v>#N/A</v>
      </c>
      <c r="T15" s="130" t="e">
        <f>INDEX(Erfassung5!AT:AT,MATCH($A15,Erfassung5!$BR:$BR,0))</f>
        <v>#N/A</v>
      </c>
      <c r="U15" s="131" t="e">
        <f t="shared" si="0"/>
        <v>#N/A</v>
      </c>
      <c r="V15" s="132" t="e">
        <f t="shared" si="0"/>
        <v>#N/A</v>
      </c>
      <c r="W15" s="224">
        <f>IFERROR(U15/INDEX(Erfassung5!BF:BF,MATCH(A15,Erfassung5!BR:BR,0)),0)</f>
        <v>0</v>
      </c>
      <c r="X15" s="25"/>
      <c r="AA15" s="225" t="e">
        <f>INDEX(TabGes4!K:K,MATCH($B15,TabGes4!$B:$B,0))+U15</f>
        <v>#N/A</v>
      </c>
      <c r="AB15" s="225" t="e">
        <f>INDEX(TabGes4!L:L,MATCH($B15,TabGes4!$B:$B,0))+V15</f>
        <v>#N/A</v>
      </c>
      <c r="AC15" s="215" t="e">
        <f t="shared" si="1"/>
        <v>#N/A</v>
      </c>
      <c r="AD15" s="215" t="e">
        <f t="shared" si="2"/>
        <v>#N/A</v>
      </c>
      <c r="AE15" s="215" t="e">
        <f>INDEX(Tabelle4!AE:AE,MATCH(B15,Tabelle4!B:B,0))+SUMIF(Erfassung5!BU:BU,B15,Erfassung5!BF:BF)</f>
        <v>#N/A</v>
      </c>
    </row>
    <row r="16" spans="1:31" ht="42" customHeight="1" thickBot="1" x14ac:dyDescent="0.4">
      <c r="A16" s="223">
        <v>10</v>
      </c>
      <c r="B16" s="128" t="e">
        <f>INDEX(Erfassung5!$AA:$AA,MATCH($A16,Erfassung5!$BR:$BR,0)-17)</f>
        <v>#N/A</v>
      </c>
      <c r="C16" s="129" t="e">
        <f>INDEX(Erfassung5!AC:AC,MATCH($A16,Erfassung5!$BR:$BR,0)-1)</f>
        <v>#N/A</v>
      </c>
      <c r="D16" s="130" t="e">
        <f>INDEX(Erfassung5!AD:AD,MATCH($A16,Erfassung5!$BR:$BR,0))</f>
        <v>#N/A</v>
      </c>
      <c r="E16" s="129" t="e">
        <f>INDEX(Erfassung5!AE:AE,MATCH($A16,Erfassung5!$BR:$BR,0)-1)</f>
        <v>#N/A</v>
      </c>
      <c r="F16" s="130" t="e">
        <f>INDEX(Erfassung5!AF:AF,MATCH($A16,Erfassung5!$BR:$BR,0))</f>
        <v>#N/A</v>
      </c>
      <c r="G16" s="129" t="e">
        <f>INDEX(Erfassung5!AG:AG,MATCH($A16,Erfassung5!$BR:$BR,0)-1)</f>
        <v>#N/A</v>
      </c>
      <c r="H16" s="130" t="e">
        <f>INDEX(Erfassung5!AH:AH,MATCH($A16,Erfassung5!$BR:$BR,0))</f>
        <v>#N/A</v>
      </c>
      <c r="I16" s="129" t="e">
        <f>INDEX(Erfassung5!AI:AI,MATCH($A16,Erfassung5!$BR:$BR,0)-1)</f>
        <v>#N/A</v>
      </c>
      <c r="J16" s="130" t="e">
        <f>INDEX(Erfassung5!AJ:AJ,MATCH($A16,Erfassung5!$BR:$BR,0))</f>
        <v>#N/A</v>
      </c>
      <c r="K16" s="129" t="e">
        <f>INDEX(Erfassung5!AK:AK,MATCH($A16,Erfassung5!$BR:$BR,0)-1)</f>
        <v>#N/A</v>
      </c>
      <c r="L16" s="130" t="e">
        <f>INDEX(Erfassung5!AL:AL,MATCH($A16,Erfassung5!$BR:$BR,0))</f>
        <v>#N/A</v>
      </c>
      <c r="M16" s="129" t="e">
        <f>INDEX(Erfassung5!AM:AM,MATCH($A16,Erfassung5!$BR:$BR,0)-1)</f>
        <v>#N/A</v>
      </c>
      <c r="N16" s="130" t="e">
        <f>INDEX(Erfassung5!AN:AN,MATCH($A16,Erfassung5!$BR:$BR,0))</f>
        <v>#N/A</v>
      </c>
      <c r="O16" s="129" t="e">
        <f>INDEX(Erfassung5!AO:AO,MATCH($A16,Erfassung5!$BR:$BR,0)-1)</f>
        <v>#N/A</v>
      </c>
      <c r="P16" s="130" t="e">
        <f>INDEX(Erfassung5!AP:AP,MATCH($A16,Erfassung5!$BR:$BR,0))</f>
        <v>#N/A</v>
      </c>
      <c r="Q16" s="129" t="e">
        <f>INDEX(Erfassung5!AQ:AQ,MATCH($A16,Erfassung5!$BR:$BR,0)-1)</f>
        <v>#N/A</v>
      </c>
      <c r="R16" s="130" t="e">
        <f>INDEX(Erfassung5!AR:AR,MATCH($A16,Erfassung5!$BR:$BR,0))</f>
        <v>#N/A</v>
      </c>
      <c r="S16" s="129" t="e">
        <f>INDEX(Erfassung5!AS:AS,MATCH($A16,Erfassung5!$BR:$BR,0)-1)</f>
        <v>#N/A</v>
      </c>
      <c r="T16" s="130" t="e">
        <f>INDEX(Erfassung5!AT:AT,MATCH($A16,Erfassung5!$BR:$BR,0))</f>
        <v>#N/A</v>
      </c>
      <c r="U16" s="131" t="e">
        <f t="shared" si="0"/>
        <v>#N/A</v>
      </c>
      <c r="V16" s="132" t="e">
        <f t="shared" si="0"/>
        <v>#N/A</v>
      </c>
      <c r="W16" s="224">
        <f>IFERROR(U16/INDEX(Erfassung5!BF:BF,MATCH(A16,Erfassung5!BR:BR,0)),0)</f>
        <v>0</v>
      </c>
      <c r="X16" s="25"/>
      <c r="AA16" s="225" t="e">
        <f>INDEX(TabGes4!K:K,MATCH($B16,TabGes4!$B:$B,0))+U16</f>
        <v>#N/A</v>
      </c>
      <c r="AB16" s="225" t="e">
        <f>INDEX(TabGes4!L:L,MATCH($B16,TabGes4!$B:$B,0))+V16</f>
        <v>#N/A</v>
      </c>
      <c r="AC16" s="215" t="e">
        <f t="shared" si="1"/>
        <v>#N/A</v>
      </c>
      <c r="AD16" s="215" t="e">
        <f t="shared" si="2"/>
        <v>#N/A</v>
      </c>
      <c r="AE16" s="215" t="e">
        <f>INDEX(Tabelle4!AE:AE,MATCH(B16,Tabelle4!B:B,0))+SUMIF(Erfassung5!BU:BU,B16,Erfassung5!BF:BF)</f>
        <v>#N/A</v>
      </c>
    </row>
    <row r="19" spans="2:23" ht="15" x14ac:dyDescent="0.4">
      <c r="B19" s="379" t="s">
        <v>1827</v>
      </c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80"/>
      <c r="V19" s="380"/>
      <c r="W19" s="380"/>
    </row>
    <row r="20" spans="2:23" x14ac:dyDescent="0.35">
      <c r="C20" s="380"/>
      <c r="D20" s="380"/>
      <c r="E20" s="380"/>
      <c r="F20" s="380"/>
      <c r="G20" s="380"/>
      <c r="H20" s="380"/>
    </row>
    <row r="21" spans="2:23" ht="13.15" x14ac:dyDescent="0.4">
      <c r="B21" s="166" t="s">
        <v>1826</v>
      </c>
      <c r="C21" t="str">
        <f>IFERROR(INDEX(Erfassung5!AA:AA,MATCH(1,Erfassung5!BV:BV,0)),"")</f>
        <v/>
      </c>
      <c r="H21" t="str">
        <f>INDEX(Erfassung5!BU:BU,MATCH(C21,Erfassung5!AA:AA,0))</f>
        <v>Praetoria Regensburg</v>
      </c>
      <c r="N21" s="133">
        <f>IFERROR(ROUND(INDEX(Erfassung5!BT:BT,MATCH(1,Erfassung5!BV:BV,0)),0),"")</f>
        <v>0</v>
      </c>
    </row>
    <row r="22" spans="2:23" ht="13.15" x14ac:dyDescent="0.4">
      <c r="B22" s="166"/>
      <c r="C22" t="str">
        <f>IF(N22="","",IFERROR(INDEX(Erfassung5!AA:AA,MATCH(2,Erfassung5!BV:BV,0)),""))</f>
        <v/>
      </c>
      <c r="H22" t="str">
        <f>IF(C22="","",INDEX(Erfassung5!BU:BU,MATCH(C22,Erfassung5!AA:AA,0)))</f>
        <v/>
      </c>
      <c r="N22" s="134" t="str">
        <f>IF(IFERROR(ROUND(INDEX(Erfassung5!BT:BT,MATCH(2,Erfassung5!BV:BV,0)),0),0)=0,"",IFERROR(ROUND(INDEX(Erfassung5!BT:BT,MATCH(2,Erfassung5!BV:BV,0)),0),0))</f>
        <v/>
      </c>
    </row>
    <row r="23" spans="2:23" ht="13.15" x14ac:dyDescent="0.4">
      <c r="B23" s="166"/>
      <c r="C23" t="str">
        <f>IF(N23="","",IFERROR(INDEX(Erfassung5!AA:AA,MATCH(3,Erfassung5!BV:BV,0)),""))</f>
        <v/>
      </c>
      <c r="H23" t="str">
        <f>IF(C23="","",INDEX(Erfassung5!BU:BU,MATCH(C23,Erfassung5!AA:AA,0)))</f>
        <v/>
      </c>
      <c r="N23" s="134" t="str">
        <f>IF(IFERROR(ROUND(INDEX(Erfassung5!BT:BT,MATCH(3,Erfassung5!BV:BV,0)),0),0)=0,"",IFERROR(ROUND(INDEX(Erfassung5!BT:BT,MATCH(3,Erfassung5!BV:BV,0)),0),""))</f>
        <v/>
      </c>
    </row>
    <row r="24" spans="2:23" ht="13.15" x14ac:dyDescent="0.4">
      <c r="B24" s="166" t="s">
        <v>1828</v>
      </c>
      <c r="C24" t="str">
        <f>IFERROR(INDEX(Erfassung5!AA:AA,MATCH(1,Erfassung5!BZ:BZ,0)),"")</f>
        <v/>
      </c>
      <c r="H24" t="str">
        <f>INDEX(Erfassung5!BU:BU,MATCH(C24,Erfassung5!AA:AA,0))</f>
        <v>Praetoria Regensburg</v>
      </c>
      <c r="N24" s="381" t="str">
        <f>IFERROR(ROUND(INDEX(Erfassung5!BW:BW,MATCH(1,Erfassung5!BZ:BZ,0)),0),"")&amp;"  /  "&amp;ROUND(IFERROR(ROUND(INDEX(Erfassung5!BW:BW,MATCH(1,Erfassung5!BZ:BZ,0)),0),"")/9,2)</f>
        <v>0  /  0</v>
      </c>
      <c r="O24" s="381"/>
      <c r="P24" s="381"/>
    </row>
    <row r="25" spans="2:23" x14ac:dyDescent="0.35">
      <c r="C25" t="str">
        <f>IF(N25="","",IFERROR(INDEX(Erfassung5!AA:AA,MATCH(2,Erfassung5!BZ:BZ,0)),""))</f>
        <v/>
      </c>
      <c r="E25" s="2"/>
      <c r="H25" t="str">
        <f>IF(C25="","",INDEX(Erfassung5!BU:BU,MATCH(C25,Erfassung5!AA:AA,0)))</f>
        <v/>
      </c>
      <c r="N25" s="134" t="str">
        <f>IF(IFERROR(ROUND(INDEX(Erfassung5!BW:BW,MATCH(2,Erfassung5!BZ:BZ,0)),0),0)=0,"",IFERROR(ROUND(INDEX(Erfassung5!BW:BW,MATCH(2,Erfassung5!BZ:BZ,0)),0),0))</f>
        <v/>
      </c>
    </row>
    <row r="26" spans="2:23" x14ac:dyDescent="0.35">
      <c r="C26" t="str">
        <f>IF(N26="","",IFERROR(INDEX(Erfassung5!AA:AA,MATCH(3,Erfassung5!BZ:BZ,0)),""))</f>
        <v/>
      </c>
      <c r="E26" s="2"/>
      <c r="H26" t="str">
        <f>IF(C26="","",INDEX(Erfassung5!BU:BU,MATCH(C26,Erfassung5!AA:AA,0)))</f>
        <v/>
      </c>
      <c r="N26" s="134" t="str">
        <f>IF(IFERROR(ROUND(INDEX(Erfassung5!BW:BW,MATCH(3,Erfassung5!BZ:BZ,0)),0),0)=0,"",IFERROR(ROUND(INDEX(Erfassung5!BW:BW,MATCH(3,Erfassung5!BZ:BZ,0)),0),0))</f>
        <v/>
      </c>
    </row>
  </sheetData>
  <sheetProtection password="D19C" sheet="1" formatCells="0" formatColumns="0" formatRows="0"/>
  <mergeCells count="20"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  <mergeCell ref="C20:H20"/>
    <mergeCell ref="N24:P24"/>
    <mergeCell ref="B19:T19"/>
    <mergeCell ref="U19:W19"/>
    <mergeCell ref="M5:N5"/>
    <mergeCell ref="O5:P5"/>
  </mergeCells>
  <conditionalFormatting sqref="C7:T16">
    <cfRule type="top10" dxfId="4" priority="1" stopIfTrue="1" rank="1"/>
  </conditionalFormatting>
  <conditionalFormatting sqref="U7:U16">
    <cfRule type="top10" dxfId="3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28">
    <tabColor theme="8" tint="-0.249977111117893"/>
    <pageSetUpPr fitToPage="1"/>
  </sheetPr>
  <dimension ref="A1:AE16"/>
  <sheetViews>
    <sheetView workbookViewId="0">
      <selection activeCell="F22" sqref="F22:G22"/>
    </sheetView>
  </sheetViews>
  <sheetFormatPr baseColWidth="10" defaultRowHeight="12.75" x14ac:dyDescent="0.35"/>
  <cols>
    <col min="1" max="1" width="4.06640625" customWidth="1"/>
    <col min="2" max="2" width="18.33203125" customWidth="1"/>
    <col min="3" max="12" width="8.73046875" customWidth="1"/>
    <col min="13" max="13" width="13.33203125" customWidth="1"/>
    <col min="14" max="14" width="9.33203125" customWidth="1"/>
    <col min="16" max="16" width="6.33203125" customWidth="1"/>
  </cols>
  <sheetData>
    <row r="1" spans="1:31" ht="28.5" customHeight="1" x14ac:dyDescent="0.35">
      <c r="A1" s="382" t="str">
        <f>Schlüssel!$C$1</f>
        <v>Bayernliga Frauen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35">
      <c r="A2" s="383" t="str">
        <f>"Saison "&amp;Spielorte!C18&amp;"     -     Spieltag "&amp;Erfassung5!AS2&amp;"     -     "&amp;Erfassung5!AT1</f>
        <v>Saison 2024/2025     -     Spieltag 5     -     15.03./16.03.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35">
      <c r="A3" s="383" t="s">
        <v>2082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4">
      <c r="B4" s="32"/>
      <c r="C4" s="28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0"/>
      <c r="O4" s="33"/>
    </row>
    <row r="5" spans="1:31" x14ac:dyDescent="0.35">
      <c r="A5" s="386" t="s">
        <v>1816</v>
      </c>
      <c r="B5" s="388" t="s">
        <v>1817</v>
      </c>
      <c r="C5" s="376" t="s">
        <v>1820</v>
      </c>
      <c r="D5" s="377"/>
      <c r="E5" s="376" t="s">
        <v>1821</v>
      </c>
      <c r="F5" s="377"/>
      <c r="G5" s="376" t="s">
        <v>1822</v>
      </c>
      <c r="H5" s="377"/>
      <c r="I5" s="378" t="s">
        <v>1823</v>
      </c>
      <c r="J5" s="377"/>
      <c r="K5" s="378" t="s">
        <v>1824</v>
      </c>
      <c r="L5" s="377"/>
      <c r="M5" s="376" t="s">
        <v>1799</v>
      </c>
      <c r="N5" s="377"/>
      <c r="O5" s="384" t="s">
        <v>1818</v>
      </c>
    </row>
    <row r="6" spans="1:31" ht="13.15" thickBot="1" x14ac:dyDescent="0.4">
      <c r="A6" s="387"/>
      <c r="B6" s="389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23" t="s">
        <v>1811</v>
      </c>
      <c r="N6" s="24" t="s">
        <v>1812</v>
      </c>
      <c r="O6" s="385"/>
    </row>
    <row r="7" spans="1:31" ht="42" customHeight="1" thickBot="1" x14ac:dyDescent="0.4">
      <c r="A7" s="34">
        <v>1</v>
      </c>
      <c r="B7" s="128" t="e">
        <f>INDEX(Tabelle5!B:B,MATCH(A7,Tabelle5!AD:AD,0))</f>
        <v>#N/A</v>
      </c>
      <c r="C7" s="35" t="e">
        <f>INDEX(Tabelle1!U:U,MATCH(B7,Tabelle1!B:B,0))</f>
        <v>#N/A</v>
      </c>
      <c r="D7" s="36" t="e">
        <f>INDEX(Tabelle1!V:V,MATCH(B7,Tabelle1!B:B,0))</f>
        <v>#N/A</v>
      </c>
      <c r="E7" s="35" t="e">
        <f>INDEX(Tabelle2!U:U,MATCH(B7,Tabelle2!B:B,0))</f>
        <v>#N/A</v>
      </c>
      <c r="F7" s="36" t="e">
        <f>INDEX(Tabelle2!V:V,MATCH(B7,Tabelle2!B:B,0))</f>
        <v>#N/A</v>
      </c>
      <c r="G7" s="35" t="e">
        <f>INDEX(Tabelle3!U:U,MATCH(B7,Tabelle3!B:B,0))</f>
        <v>#N/A</v>
      </c>
      <c r="H7" s="38" t="e">
        <f>INDEX(Tabelle3!V:V,MATCH(B7,Tabelle3!B:B,0))</f>
        <v>#N/A</v>
      </c>
      <c r="I7" s="35" t="e">
        <f>INDEX(Tabelle4!U:U,MATCH(B7,Tabelle4!B:B,0))</f>
        <v>#N/A</v>
      </c>
      <c r="J7" s="38" t="e">
        <f>INDEX(Tabelle4!V:V,MATCH(B7,Tabelle4!B:B,0))</f>
        <v>#N/A</v>
      </c>
      <c r="K7" s="35" t="e">
        <f>INDEX(Tabelle5!U:U,MATCH(B7,Tabelle5!B:B,0))</f>
        <v>#N/A</v>
      </c>
      <c r="L7" s="38" t="e">
        <f>INDEX(Tabelle5!V:V,MATCH(B7,Tabelle5!B:B,0))</f>
        <v>#N/A</v>
      </c>
      <c r="M7" s="39" t="e">
        <f t="shared" ref="M7:M16" si="0">SUM(C7+E7+G7+I7+K7)</f>
        <v>#N/A</v>
      </c>
      <c r="N7" s="42" t="e">
        <f t="shared" ref="N7:N16" si="1">SUM(D7+F7+H7+J7+L7)</f>
        <v>#N/A</v>
      </c>
      <c r="O7" s="37" t="e">
        <f>M7/INDEX(Tabelle5!$AE:$AE,MATCH($B7,Tabelle5!$B:$B,0))</f>
        <v>#N/A</v>
      </c>
      <c r="P7" s="25"/>
    </row>
    <row r="8" spans="1:31" ht="42" customHeight="1" thickBot="1" x14ac:dyDescent="0.4">
      <c r="A8" s="34">
        <v>2</v>
      </c>
      <c r="B8" s="128" t="e">
        <f>INDEX(Tabelle5!B:B,MATCH(A8,Tabelle5!AD:AD,0))</f>
        <v>#N/A</v>
      </c>
      <c r="C8" s="35" t="e">
        <f>INDEX(Tabelle1!U:U,MATCH(B8,Tabelle1!B:B,0))</f>
        <v>#N/A</v>
      </c>
      <c r="D8" s="36" t="e">
        <f>INDEX(Tabelle1!V:V,MATCH(B8,Tabelle1!B:B,0))</f>
        <v>#N/A</v>
      </c>
      <c r="E8" s="35" t="e">
        <f>INDEX(Tabelle2!U:U,MATCH(B8,Tabelle2!B:B,0))</f>
        <v>#N/A</v>
      </c>
      <c r="F8" s="36" t="e">
        <f>INDEX(Tabelle2!V:V,MATCH(B8,Tabelle2!B:B,0))</f>
        <v>#N/A</v>
      </c>
      <c r="G8" s="35" t="e">
        <f>INDEX(Tabelle3!U:U,MATCH(B8,Tabelle3!B:B,0))</f>
        <v>#N/A</v>
      </c>
      <c r="H8" s="38" t="e">
        <f>INDEX(Tabelle3!V:V,MATCH(B8,Tabelle3!B:B,0))</f>
        <v>#N/A</v>
      </c>
      <c r="I8" s="35" t="e">
        <f>INDEX(Tabelle4!U:U,MATCH(B8,Tabelle4!B:B,0))</f>
        <v>#N/A</v>
      </c>
      <c r="J8" s="38" t="e">
        <f>INDEX(Tabelle4!V:V,MATCH(B8,Tabelle4!B:B,0))</f>
        <v>#N/A</v>
      </c>
      <c r="K8" s="35" t="e">
        <f>INDEX(Tabelle5!U:U,MATCH(B8,Tabelle5!B:B,0))</f>
        <v>#N/A</v>
      </c>
      <c r="L8" s="38" t="e">
        <f>INDEX(Tabelle5!V:V,MATCH(B8,Tabelle5!B:B,0))</f>
        <v>#N/A</v>
      </c>
      <c r="M8" s="39" t="e">
        <f t="shared" si="0"/>
        <v>#N/A</v>
      </c>
      <c r="N8" s="42" t="e">
        <f t="shared" si="1"/>
        <v>#N/A</v>
      </c>
      <c r="O8" s="37" t="e">
        <f>M8/INDEX(Tabelle5!$AE:$AE,MATCH($B8,Tabelle5!$B:$B,0))</f>
        <v>#N/A</v>
      </c>
      <c r="P8" s="25"/>
    </row>
    <row r="9" spans="1:31" ht="42" customHeight="1" thickBot="1" x14ac:dyDescent="0.4">
      <c r="A9" s="34">
        <v>3</v>
      </c>
      <c r="B9" s="128" t="e">
        <f>INDEX(Tabelle5!B:B,MATCH(A9,Tabelle5!AD:AD,0))</f>
        <v>#N/A</v>
      </c>
      <c r="C9" s="35" t="e">
        <f>INDEX(Tabelle1!U:U,MATCH(B9,Tabelle1!B:B,0))</f>
        <v>#N/A</v>
      </c>
      <c r="D9" s="36" t="e">
        <f>INDEX(Tabelle1!V:V,MATCH(B9,Tabelle1!B:B,0))</f>
        <v>#N/A</v>
      </c>
      <c r="E9" s="35" t="e">
        <f>INDEX(Tabelle2!U:U,MATCH(B9,Tabelle2!B:B,0))</f>
        <v>#N/A</v>
      </c>
      <c r="F9" s="36" t="e">
        <f>INDEX(Tabelle2!V:V,MATCH(B9,Tabelle2!B:B,0))</f>
        <v>#N/A</v>
      </c>
      <c r="G9" s="35" t="e">
        <f>INDEX(Tabelle3!U:U,MATCH(B9,Tabelle3!B:B,0))</f>
        <v>#N/A</v>
      </c>
      <c r="H9" s="38" t="e">
        <f>INDEX(Tabelle3!V:V,MATCH(B9,Tabelle3!B:B,0))</f>
        <v>#N/A</v>
      </c>
      <c r="I9" s="35" t="e">
        <f>INDEX(Tabelle4!U:U,MATCH(B9,Tabelle4!B:B,0))</f>
        <v>#N/A</v>
      </c>
      <c r="J9" s="38" t="e">
        <f>INDEX(Tabelle4!V:V,MATCH(B9,Tabelle4!B:B,0))</f>
        <v>#N/A</v>
      </c>
      <c r="K9" s="35" t="e">
        <f>INDEX(Tabelle5!U:U,MATCH(B9,Tabelle5!B:B,0))</f>
        <v>#N/A</v>
      </c>
      <c r="L9" s="38" t="e">
        <f>INDEX(Tabelle5!V:V,MATCH(B9,Tabelle5!B:B,0))</f>
        <v>#N/A</v>
      </c>
      <c r="M9" s="39" t="e">
        <f t="shared" si="0"/>
        <v>#N/A</v>
      </c>
      <c r="N9" s="42" t="e">
        <f t="shared" si="1"/>
        <v>#N/A</v>
      </c>
      <c r="O9" s="37" t="e">
        <f>M9/INDEX(Tabelle5!$AE:$AE,MATCH($B9,Tabelle5!$B:$B,0))</f>
        <v>#N/A</v>
      </c>
      <c r="P9" s="25"/>
    </row>
    <row r="10" spans="1:31" ht="42" customHeight="1" thickBot="1" x14ac:dyDescent="0.4">
      <c r="A10" s="34">
        <v>4</v>
      </c>
      <c r="B10" s="128" t="e">
        <f>INDEX(Tabelle5!B:B,MATCH(A10,Tabelle5!AD:AD,0))</f>
        <v>#N/A</v>
      </c>
      <c r="C10" s="35" t="e">
        <f>INDEX(Tabelle1!U:U,MATCH(B10,Tabelle1!B:B,0))</f>
        <v>#N/A</v>
      </c>
      <c r="D10" s="36" t="e">
        <f>INDEX(Tabelle1!V:V,MATCH(B10,Tabelle1!B:B,0))</f>
        <v>#N/A</v>
      </c>
      <c r="E10" s="35" t="e">
        <f>INDEX(Tabelle2!U:U,MATCH(B10,Tabelle2!B:B,0))</f>
        <v>#N/A</v>
      </c>
      <c r="F10" s="36" t="e">
        <f>INDEX(Tabelle2!V:V,MATCH(B10,Tabelle2!B:B,0))</f>
        <v>#N/A</v>
      </c>
      <c r="G10" s="35" t="e">
        <f>INDEX(Tabelle3!U:U,MATCH(B10,Tabelle3!B:B,0))</f>
        <v>#N/A</v>
      </c>
      <c r="H10" s="38" t="e">
        <f>INDEX(Tabelle3!V:V,MATCH(B10,Tabelle3!B:B,0))</f>
        <v>#N/A</v>
      </c>
      <c r="I10" s="35" t="e">
        <f>INDEX(Tabelle4!U:U,MATCH(B10,Tabelle4!B:B,0))</f>
        <v>#N/A</v>
      </c>
      <c r="J10" s="38" t="e">
        <f>INDEX(Tabelle4!V:V,MATCH(B10,Tabelle4!B:B,0))</f>
        <v>#N/A</v>
      </c>
      <c r="K10" s="35" t="e">
        <f>INDEX(Tabelle5!U:U,MATCH(B10,Tabelle5!B:B,0))</f>
        <v>#N/A</v>
      </c>
      <c r="L10" s="38" t="e">
        <f>INDEX(Tabelle5!V:V,MATCH(B10,Tabelle5!B:B,0))</f>
        <v>#N/A</v>
      </c>
      <c r="M10" s="39" t="e">
        <f t="shared" si="0"/>
        <v>#N/A</v>
      </c>
      <c r="N10" s="42" t="e">
        <f t="shared" si="1"/>
        <v>#N/A</v>
      </c>
      <c r="O10" s="37" t="e">
        <f>M10/INDEX(Tabelle5!$AE:$AE,MATCH($B10,Tabelle5!$B:$B,0))</f>
        <v>#N/A</v>
      </c>
      <c r="P10" s="25"/>
    </row>
    <row r="11" spans="1:31" ht="42" customHeight="1" thickBot="1" x14ac:dyDescent="0.4">
      <c r="A11" s="34">
        <v>5</v>
      </c>
      <c r="B11" s="128" t="e">
        <f>INDEX(Tabelle5!B:B,MATCH(A11,Tabelle5!AD:AD,0))</f>
        <v>#N/A</v>
      </c>
      <c r="C11" s="35" t="e">
        <f>INDEX(Tabelle1!U:U,MATCH(B11,Tabelle1!B:B,0))</f>
        <v>#N/A</v>
      </c>
      <c r="D11" s="36" t="e">
        <f>INDEX(Tabelle1!V:V,MATCH(B11,Tabelle1!B:B,0))</f>
        <v>#N/A</v>
      </c>
      <c r="E11" s="35" t="e">
        <f>INDEX(Tabelle2!U:U,MATCH(B11,Tabelle2!B:B,0))</f>
        <v>#N/A</v>
      </c>
      <c r="F11" s="36" t="e">
        <f>INDEX(Tabelle2!V:V,MATCH(B11,Tabelle2!B:B,0))</f>
        <v>#N/A</v>
      </c>
      <c r="G11" s="35" t="e">
        <f>INDEX(Tabelle3!U:U,MATCH(B11,Tabelle3!B:B,0))</f>
        <v>#N/A</v>
      </c>
      <c r="H11" s="38" t="e">
        <f>INDEX(Tabelle3!V:V,MATCH(B11,Tabelle3!B:B,0))</f>
        <v>#N/A</v>
      </c>
      <c r="I11" s="35" t="e">
        <f>INDEX(Tabelle4!U:U,MATCH(B11,Tabelle4!B:B,0))</f>
        <v>#N/A</v>
      </c>
      <c r="J11" s="38" t="e">
        <f>INDEX(Tabelle4!V:V,MATCH(B11,Tabelle4!B:B,0))</f>
        <v>#N/A</v>
      </c>
      <c r="K11" s="35" t="e">
        <f>INDEX(Tabelle5!U:U,MATCH(B11,Tabelle5!B:B,0))</f>
        <v>#N/A</v>
      </c>
      <c r="L11" s="38" t="e">
        <f>INDEX(Tabelle5!V:V,MATCH(B11,Tabelle5!B:B,0))</f>
        <v>#N/A</v>
      </c>
      <c r="M11" s="39" t="e">
        <f t="shared" si="0"/>
        <v>#N/A</v>
      </c>
      <c r="N11" s="42" t="e">
        <f t="shared" si="1"/>
        <v>#N/A</v>
      </c>
      <c r="O11" s="37" t="e">
        <f>M11/INDEX(Tabelle5!$AE:$AE,MATCH($B11,Tabelle5!$B:$B,0))</f>
        <v>#N/A</v>
      </c>
      <c r="P11" s="25"/>
    </row>
    <row r="12" spans="1:31" ht="42" customHeight="1" thickBot="1" x14ac:dyDescent="0.4">
      <c r="A12" s="34">
        <v>6</v>
      </c>
      <c r="B12" s="128" t="e">
        <f>INDEX(Tabelle5!B:B,MATCH(A12,Tabelle5!AD:AD,0))</f>
        <v>#N/A</v>
      </c>
      <c r="C12" s="35" t="e">
        <f>INDEX(Tabelle1!U:U,MATCH(B12,Tabelle1!B:B,0))</f>
        <v>#N/A</v>
      </c>
      <c r="D12" s="36" t="e">
        <f>INDEX(Tabelle1!V:V,MATCH(B12,Tabelle1!B:B,0))</f>
        <v>#N/A</v>
      </c>
      <c r="E12" s="35" t="e">
        <f>INDEX(Tabelle2!U:U,MATCH(B12,Tabelle2!B:B,0))</f>
        <v>#N/A</v>
      </c>
      <c r="F12" s="36" t="e">
        <f>INDEX(Tabelle2!V:V,MATCH(B12,Tabelle2!B:B,0))</f>
        <v>#N/A</v>
      </c>
      <c r="G12" s="35" t="e">
        <f>INDEX(Tabelle3!U:U,MATCH(B12,Tabelle3!B:B,0))</f>
        <v>#N/A</v>
      </c>
      <c r="H12" s="38" t="e">
        <f>INDEX(Tabelle3!V:V,MATCH(B12,Tabelle3!B:B,0))</f>
        <v>#N/A</v>
      </c>
      <c r="I12" s="35" t="e">
        <f>INDEX(Tabelle4!U:U,MATCH(B12,Tabelle4!B:B,0))</f>
        <v>#N/A</v>
      </c>
      <c r="J12" s="38" t="e">
        <f>INDEX(Tabelle4!V:V,MATCH(B12,Tabelle4!B:B,0))</f>
        <v>#N/A</v>
      </c>
      <c r="K12" s="35" t="e">
        <f>INDEX(Tabelle5!U:U,MATCH(B12,Tabelle5!B:B,0))</f>
        <v>#N/A</v>
      </c>
      <c r="L12" s="38" t="e">
        <f>INDEX(Tabelle5!V:V,MATCH(B12,Tabelle5!B:B,0))</f>
        <v>#N/A</v>
      </c>
      <c r="M12" s="39" t="e">
        <f t="shared" si="0"/>
        <v>#N/A</v>
      </c>
      <c r="N12" s="42" t="e">
        <f t="shared" si="1"/>
        <v>#N/A</v>
      </c>
      <c r="O12" s="37" t="e">
        <f>M12/INDEX(Tabelle5!$AE:$AE,MATCH($B12,Tabelle5!$B:$B,0))</f>
        <v>#N/A</v>
      </c>
      <c r="P12" s="25"/>
    </row>
    <row r="13" spans="1:31" ht="42" customHeight="1" thickBot="1" x14ac:dyDescent="0.4">
      <c r="A13" s="34">
        <v>7</v>
      </c>
      <c r="B13" s="128" t="e">
        <f>INDEX(Tabelle5!B:B,MATCH(A13,Tabelle5!AD:AD,0))</f>
        <v>#N/A</v>
      </c>
      <c r="C13" s="35" t="e">
        <f>INDEX(Tabelle1!U:U,MATCH(B13,Tabelle1!B:B,0))</f>
        <v>#N/A</v>
      </c>
      <c r="D13" s="36" t="e">
        <f>INDEX(Tabelle1!V:V,MATCH(B13,Tabelle1!B:B,0))</f>
        <v>#N/A</v>
      </c>
      <c r="E13" s="35" t="e">
        <f>INDEX(Tabelle2!U:U,MATCH(B13,Tabelle2!B:B,0))</f>
        <v>#N/A</v>
      </c>
      <c r="F13" s="36" t="e">
        <f>INDEX(Tabelle2!V:V,MATCH(B13,Tabelle2!B:B,0))</f>
        <v>#N/A</v>
      </c>
      <c r="G13" s="35" t="e">
        <f>INDEX(Tabelle3!U:U,MATCH(B13,Tabelle3!B:B,0))</f>
        <v>#N/A</v>
      </c>
      <c r="H13" s="38" t="e">
        <f>INDEX(Tabelle3!V:V,MATCH(B13,Tabelle3!B:B,0))</f>
        <v>#N/A</v>
      </c>
      <c r="I13" s="35" t="e">
        <f>INDEX(Tabelle4!U:U,MATCH(B13,Tabelle4!B:B,0))</f>
        <v>#N/A</v>
      </c>
      <c r="J13" s="38" t="e">
        <f>INDEX(Tabelle4!V:V,MATCH(B13,Tabelle4!B:B,0))</f>
        <v>#N/A</v>
      </c>
      <c r="K13" s="35" t="e">
        <f>INDEX(Tabelle5!U:U,MATCH(B13,Tabelle5!B:B,0))</f>
        <v>#N/A</v>
      </c>
      <c r="L13" s="38" t="e">
        <f>INDEX(Tabelle5!V:V,MATCH(B13,Tabelle5!B:B,0))</f>
        <v>#N/A</v>
      </c>
      <c r="M13" s="39" t="e">
        <f t="shared" si="0"/>
        <v>#N/A</v>
      </c>
      <c r="N13" s="42" t="e">
        <f t="shared" si="1"/>
        <v>#N/A</v>
      </c>
      <c r="O13" s="37" t="e">
        <f>M13/INDEX(Tabelle5!$AE:$AE,MATCH($B13,Tabelle5!$B:$B,0))</f>
        <v>#N/A</v>
      </c>
      <c r="P13" s="25"/>
    </row>
    <row r="14" spans="1:31" ht="42" customHeight="1" thickBot="1" x14ac:dyDescent="0.4">
      <c r="A14" s="34">
        <v>8</v>
      </c>
      <c r="B14" s="128" t="e">
        <f>INDEX(Tabelle5!B:B,MATCH(A14,Tabelle5!AD:AD,0))</f>
        <v>#N/A</v>
      </c>
      <c r="C14" s="35" t="e">
        <f>INDEX(Tabelle1!U:U,MATCH(B14,Tabelle1!B:B,0))</f>
        <v>#N/A</v>
      </c>
      <c r="D14" s="36" t="e">
        <f>INDEX(Tabelle1!V:V,MATCH(B14,Tabelle1!B:B,0))</f>
        <v>#N/A</v>
      </c>
      <c r="E14" s="35" t="e">
        <f>INDEX(Tabelle2!U:U,MATCH(B14,Tabelle2!B:B,0))</f>
        <v>#N/A</v>
      </c>
      <c r="F14" s="36" t="e">
        <f>INDEX(Tabelle2!V:V,MATCH(B14,Tabelle2!B:B,0))</f>
        <v>#N/A</v>
      </c>
      <c r="G14" s="35" t="e">
        <f>INDEX(Tabelle3!U:U,MATCH(B14,Tabelle3!B:B,0))</f>
        <v>#N/A</v>
      </c>
      <c r="H14" s="38" t="e">
        <f>INDEX(Tabelle3!V:V,MATCH(B14,Tabelle3!B:B,0))</f>
        <v>#N/A</v>
      </c>
      <c r="I14" s="35" t="e">
        <f>INDEX(Tabelle4!U:U,MATCH(B14,Tabelle4!B:B,0))</f>
        <v>#N/A</v>
      </c>
      <c r="J14" s="38" t="e">
        <f>INDEX(Tabelle4!V:V,MATCH(B14,Tabelle4!B:B,0))</f>
        <v>#N/A</v>
      </c>
      <c r="K14" s="35" t="e">
        <f>INDEX(Tabelle5!U:U,MATCH(B14,Tabelle5!B:B,0))</f>
        <v>#N/A</v>
      </c>
      <c r="L14" s="38" t="e">
        <f>INDEX(Tabelle5!V:V,MATCH(B14,Tabelle5!B:B,0))</f>
        <v>#N/A</v>
      </c>
      <c r="M14" s="39" t="e">
        <f t="shared" si="0"/>
        <v>#N/A</v>
      </c>
      <c r="N14" s="42" t="e">
        <f t="shared" si="1"/>
        <v>#N/A</v>
      </c>
      <c r="O14" s="37" t="e">
        <f>M14/INDEX(Tabelle5!$AE:$AE,MATCH($B14,Tabelle5!$B:$B,0))</f>
        <v>#N/A</v>
      </c>
      <c r="P14" s="25"/>
    </row>
    <row r="15" spans="1:31" ht="42" customHeight="1" thickBot="1" x14ac:dyDescent="0.4">
      <c r="A15" s="34">
        <v>9</v>
      </c>
      <c r="B15" s="128" t="e">
        <f>INDEX(Tabelle5!B:B,MATCH(A15,Tabelle5!AD:AD,0))</f>
        <v>#N/A</v>
      </c>
      <c r="C15" s="35" t="e">
        <f>INDEX(Tabelle1!U:U,MATCH(B15,Tabelle1!B:B,0))</f>
        <v>#N/A</v>
      </c>
      <c r="D15" s="36" t="e">
        <f>INDEX(Tabelle1!V:V,MATCH(B15,Tabelle1!B:B,0))</f>
        <v>#N/A</v>
      </c>
      <c r="E15" s="35" t="e">
        <f>INDEX(Tabelle2!U:U,MATCH(B15,Tabelle2!B:B,0))</f>
        <v>#N/A</v>
      </c>
      <c r="F15" s="36" t="e">
        <f>INDEX(Tabelle2!V:V,MATCH(B15,Tabelle2!B:B,0))</f>
        <v>#N/A</v>
      </c>
      <c r="G15" s="35" t="e">
        <f>INDEX(Tabelle3!U:U,MATCH(B15,Tabelle3!B:B,0))</f>
        <v>#N/A</v>
      </c>
      <c r="H15" s="38" t="e">
        <f>INDEX(Tabelle3!V:V,MATCH(B15,Tabelle3!B:B,0))</f>
        <v>#N/A</v>
      </c>
      <c r="I15" s="35" t="e">
        <f>INDEX(Tabelle4!U:U,MATCH(B15,Tabelle4!B:B,0))</f>
        <v>#N/A</v>
      </c>
      <c r="J15" s="38" t="e">
        <f>INDEX(Tabelle4!V:V,MATCH(B15,Tabelle4!B:B,0))</f>
        <v>#N/A</v>
      </c>
      <c r="K15" s="35" t="e">
        <f>INDEX(Tabelle5!U:U,MATCH(B15,Tabelle5!B:B,0))</f>
        <v>#N/A</v>
      </c>
      <c r="L15" s="38" t="e">
        <f>INDEX(Tabelle5!V:V,MATCH(B15,Tabelle5!B:B,0))</f>
        <v>#N/A</v>
      </c>
      <c r="M15" s="39" t="e">
        <f t="shared" si="0"/>
        <v>#N/A</v>
      </c>
      <c r="N15" s="42" t="e">
        <f t="shared" si="1"/>
        <v>#N/A</v>
      </c>
      <c r="O15" s="37" t="e">
        <f>M15/INDEX(Tabelle5!$AE:$AE,MATCH($B15,Tabelle5!$B:$B,0))</f>
        <v>#N/A</v>
      </c>
      <c r="P15" s="25"/>
    </row>
    <row r="16" spans="1:31" ht="42" customHeight="1" thickBot="1" x14ac:dyDescent="0.4">
      <c r="A16" s="34">
        <v>10</v>
      </c>
      <c r="B16" s="128" t="e">
        <f>INDEX(Tabelle5!B:B,MATCH(A16,Tabelle5!AD:AD,0))</f>
        <v>#N/A</v>
      </c>
      <c r="C16" s="35" t="e">
        <f>INDEX(Tabelle1!U:U,MATCH(B16,Tabelle1!B:B,0))</f>
        <v>#N/A</v>
      </c>
      <c r="D16" s="36" t="e">
        <f>INDEX(Tabelle1!V:V,MATCH(B16,Tabelle1!B:B,0))</f>
        <v>#N/A</v>
      </c>
      <c r="E16" s="35" t="e">
        <f>INDEX(Tabelle2!U:U,MATCH(B16,Tabelle2!B:B,0))</f>
        <v>#N/A</v>
      </c>
      <c r="F16" s="36" t="e">
        <f>INDEX(Tabelle2!V:V,MATCH(B16,Tabelle2!B:B,0))</f>
        <v>#N/A</v>
      </c>
      <c r="G16" s="35" t="e">
        <f>INDEX(Tabelle3!U:U,MATCH(B16,Tabelle3!B:B,0))</f>
        <v>#N/A</v>
      </c>
      <c r="H16" s="38" t="e">
        <f>INDEX(Tabelle3!V:V,MATCH(B16,Tabelle3!B:B,0))</f>
        <v>#N/A</v>
      </c>
      <c r="I16" s="35" t="e">
        <f>INDEX(Tabelle4!U:U,MATCH(B16,Tabelle4!B:B,0))</f>
        <v>#N/A</v>
      </c>
      <c r="J16" s="38" t="e">
        <f>INDEX(Tabelle4!V:V,MATCH(B16,Tabelle4!B:B,0))</f>
        <v>#N/A</v>
      </c>
      <c r="K16" s="35" t="e">
        <f>INDEX(Tabelle5!U:U,MATCH(B16,Tabelle5!B:B,0))</f>
        <v>#N/A</v>
      </c>
      <c r="L16" s="38" t="e">
        <f>INDEX(Tabelle5!V:V,MATCH(B16,Tabelle5!B:B,0))</f>
        <v>#N/A</v>
      </c>
      <c r="M16" s="39" t="e">
        <f t="shared" si="0"/>
        <v>#N/A</v>
      </c>
      <c r="N16" s="42" t="e">
        <f t="shared" si="1"/>
        <v>#N/A</v>
      </c>
      <c r="O16" s="37" t="e">
        <f>M16/INDEX(Tabelle5!$AE:$AE,MATCH($B16,Tabelle5!$B:$B,0))</f>
        <v>#N/A</v>
      </c>
      <c r="P16" s="25"/>
    </row>
  </sheetData>
  <sheetProtection password="D19C" sheet="1" formatCells="0" formatColumns="0" formatRows="0"/>
  <mergeCells count="13">
    <mergeCell ref="G5:H5"/>
    <mergeCell ref="I5:J5"/>
    <mergeCell ref="M5:N5"/>
    <mergeCell ref="A1:O1"/>
    <mergeCell ref="A2:O2"/>
    <mergeCell ref="A3:O3"/>
    <mergeCell ref="O5:O6"/>
    <mergeCell ref="K5:L5"/>
    <mergeCell ref="D4:M4"/>
    <mergeCell ref="A5:A6"/>
    <mergeCell ref="B5:B6"/>
    <mergeCell ref="C5:D5"/>
    <mergeCell ref="E5:F5"/>
  </mergeCells>
  <printOptions horizontalCentered="1"/>
  <pageMargins left="0.47244094488188981" right="0.47244094488188981" top="0.27559055118110237" bottom="0.19685039370078741" header="0.19685039370078741" footer="0.19685039370078741"/>
  <pageSetup paperSize="9" scale="97" orientation="landscape" r:id="rId1"/>
  <headerFooter alignWithMargins="0"/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29">
    <tabColor rgb="FF7030A0"/>
  </sheetPr>
  <dimension ref="A1:Q104"/>
  <sheetViews>
    <sheetView view="pageBreakPreview" zoomScaleNormal="100" zoomScaleSheetLayoutView="100" workbookViewId="0">
      <selection activeCell="F22" sqref="F22:G22"/>
    </sheetView>
  </sheetViews>
  <sheetFormatPr baseColWidth="10" defaultColWidth="11.33203125" defaultRowHeight="12.75" x14ac:dyDescent="0.35"/>
  <cols>
    <col min="1" max="1" width="5.265625" customWidth="1"/>
    <col min="2" max="2" width="8.265625" customWidth="1"/>
    <col min="3" max="4" width="27.73046875" customWidth="1"/>
    <col min="5" max="5" width="7.73046875" style="102" customWidth="1"/>
    <col min="6" max="6" width="7.73046875" customWidth="1"/>
    <col min="7" max="7" width="7.73046875" style="137" customWidth="1"/>
    <col min="12" max="12" width="11.33203125" style="227" hidden="1" customWidth="1"/>
    <col min="13" max="17" width="11.33203125" hidden="1" customWidth="1"/>
    <col min="18" max="18" width="11.33203125" customWidth="1"/>
  </cols>
  <sheetData>
    <row r="1" spans="1:16" ht="28.5" customHeight="1" x14ac:dyDescent="0.7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6">
      <c r="A2" s="138" t="s">
        <v>1791</v>
      </c>
      <c r="C2" s="50">
        <v>5</v>
      </c>
      <c r="D2" s="50" t="s">
        <v>1829</v>
      </c>
      <c r="E2" s="139"/>
      <c r="F2" s="54"/>
      <c r="L2" s="227">
        <f>INDEX(Starter!A:A,ROW()-1)</f>
        <v>25751</v>
      </c>
      <c r="M2">
        <f>SUMIF(Erfassung5!BD:BD,L2,Erfassung5!BW:BW)</f>
        <v>0</v>
      </c>
      <c r="N2">
        <f>SUMIF(Erfassung5!BD:BD,L2,Erfassung5!BG:BG)</f>
        <v>0</v>
      </c>
      <c r="O2">
        <f t="shared" ref="O2:O65" si="0">IF(N2=0,0,M2/N2-ROW()/1000000000)</f>
        <v>0</v>
      </c>
      <c r="P2">
        <f t="shared" ref="P2:P65" si="1">RANK(O2,O:O)</f>
        <v>1</v>
      </c>
    </row>
    <row r="3" spans="1:16" x14ac:dyDescent="0.35">
      <c r="L3" s="227">
        <f>INDEX(Starter!A:A,ROW()-1)</f>
        <v>38258</v>
      </c>
      <c r="M3">
        <f>SUMIF(Erfassung5!BD:BD,L3,Erfassung5!BW:BW)</f>
        <v>0</v>
      </c>
      <c r="N3">
        <f>SUMIF(Erfassung5!BD:BD,L3,Erfassung5!BG:BG)</f>
        <v>0</v>
      </c>
      <c r="O3">
        <f t="shared" si="0"/>
        <v>0</v>
      </c>
      <c r="P3">
        <f t="shared" si="1"/>
        <v>1</v>
      </c>
    </row>
    <row r="4" spans="1:16" x14ac:dyDescent="0.3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SUMIF(Erfassung5!BD:BD,L4,Erfassung5!BW:BW)</f>
        <v>0</v>
      </c>
      <c r="N4">
        <f>SUMIF(Erfassung5!BD:BD,L4,Erfassung5!BG:BG)</f>
        <v>0</v>
      </c>
      <c r="O4">
        <f t="shared" si="0"/>
        <v>0</v>
      </c>
      <c r="P4">
        <f t="shared" si="1"/>
        <v>1</v>
      </c>
    </row>
    <row r="5" spans="1:16" x14ac:dyDescent="0.35">
      <c r="A5">
        <v>1</v>
      </c>
      <c r="B5">
        <f t="shared" ref="B5:B36" si="2">IFERROR(INDEX(L:L,MATCH(A5,P:P,0)),"")</f>
        <v>25751</v>
      </c>
      <c r="C5" t="str">
        <f>IFERROR(INDEX(Starter!B:B,MATCH(B5,Starter!A:A,0)),"")</f>
        <v>Schlundt, Sabrina</v>
      </c>
      <c r="D5" t="str">
        <f>IFERROR(INDEX(Starter!C:C,MATCH(B5,Starter!A:A,0)),"")</f>
        <v>BC Praetoria</v>
      </c>
      <c r="E5" s="102">
        <f t="shared" ref="E5:E36" si="3">IFERROR(INDEX(M:M,MATCH(A5,P:P,0)),"")</f>
        <v>0</v>
      </c>
      <c r="F5">
        <f t="shared" ref="F5:F36" si="4">IFERROR(INDEX(N:N,MATCH(A5,P:P,0)),"")</f>
        <v>0</v>
      </c>
      <c r="G5" s="137">
        <f t="shared" ref="G5:G36" si="5">IFERROR(INDEX(O:O,MATCH(A5,P:P,0)),"")</f>
        <v>0</v>
      </c>
      <c r="L5" s="227">
        <f>INDEX(Starter!A:A,ROW()-1)</f>
        <v>7903</v>
      </c>
      <c r="M5">
        <f>SUMIF(Erfassung5!BD:BD,L5,Erfassung5!BW:BW)</f>
        <v>0</v>
      </c>
      <c r="N5">
        <f>SUMIF(Erfassung5!BD:BD,L5,Erfassung5!BG:BG)</f>
        <v>0</v>
      </c>
      <c r="O5">
        <f t="shared" si="0"/>
        <v>0</v>
      </c>
      <c r="P5">
        <f t="shared" si="1"/>
        <v>1</v>
      </c>
    </row>
    <row r="6" spans="1:16" x14ac:dyDescent="0.35">
      <c r="A6" t="str">
        <f t="shared" ref="A6:A37" si="6">IFERROR(IF(A5+1&gt;MAX(P:P)-1,"",A5+1),"")</f>
        <v/>
      </c>
      <c r="B6" t="str">
        <f t="shared" si="2"/>
        <v/>
      </c>
      <c r="C6" t="str">
        <f>IFERROR(INDEX(Starter!B:B,MATCH(B6,Starter!A:A,0)),"")</f>
        <v/>
      </c>
      <c r="D6" t="str">
        <f>IFERROR(INDEX(Starter!C:C,MATCH(B6,Starter!A:A,0)),"")</f>
        <v/>
      </c>
      <c r="E6" s="102" t="str">
        <f t="shared" si="3"/>
        <v/>
      </c>
      <c r="F6" t="str">
        <f t="shared" si="4"/>
        <v/>
      </c>
      <c r="G6" s="137" t="str">
        <f t="shared" si="5"/>
        <v/>
      </c>
      <c r="L6" s="227">
        <f>INDEX(Starter!A:A,ROW()-1)</f>
        <v>16170</v>
      </c>
      <c r="M6">
        <f>SUMIF(Erfassung5!BD:BD,L6,Erfassung5!BW:BW)</f>
        <v>0</v>
      </c>
      <c r="N6">
        <f>SUMIF(Erfassung5!BD:BD,L6,Erfassung5!BG:BG)</f>
        <v>0</v>
      </c>
      <c r="O6">
        <f t="shared" si="0"/>
        <v>0</v>
      </c>
      <c r="P6">
        <f t="shared" si="1"/>
        <v>1</v>
      </c>
    </row>
    <row r="7" spans="1:16" x14ac:dyDescent="0.35">
      <c r="A7" t="str">
        <f t="shared" si="6"/>
        <v/>
      </c>
      <c r="B7" t="str">
        <f t="shared" si="2"/>
        <v/>
      </c>
      <c r="C7" t="str">
        <f>IFERROR(INDEX(Starter!B:B,MATCH(B7,Starter!A:A,0)),"")</f>
        <v/>
      </c>
      <c r="D7" t="str">
        <f>IFERROR(INDEX(Starter!C:C,MATCH(B7,Starter!A:A,0)),"")</f>
        <v/>
      </c>
      <c r="E7" s="102" t="str">
        <f t="shared" si="3"/>
        <v/>
      </c>
      <c r="F7" t="str">
        <f t="shared" si="4"/>
        <v/>
      </c>
      <c r="G7" s="137" t="str">
        <f t="shared" si="5"/>
        <v/>
      </c>
      <c r="L7" s="227">
        <f>INDEX(Starter!A:A,ROW()-1)</f>
        <v>7889</v>
      </c>
      <c r="M7">
        <f>SUMIF(Erfassung5!BD:BD,L7,Erfassung5!BW:BW)</f>
        <v>0</v>
      </c>
      <c r="N7">
        <f>SUMIF(Erfassung5!BD:BD,L7,Erfassung5!BG:BG)</f>
        <v>0</v>
      </c>
      <c r="O7">
        <f t="shared" si="0"/>
        <v>0</v>
      </c>
      <c r="P7">
        <f t="shared" si="1"/>
        <v>1</v>
      </c>
    </row>
    <row r="8" spans="1:16" x14ac:dyDescent="0.35">
      <c r="A8" t="str">
        <f t="shared" si="6"/>
        <v/>
      </c>
      <c r="B8" t="str">
        <f t="shared" si="2"/>
        <v/>
      </c>
      <c r="C8" t="str">
        <f>IFERROR(INDEX(Starter!B:B,MATCH(B8,Starter!A:A,0)),"")</f>
        <v/>
      </c>
      <c r="D8" t="str">
        <f>IFERROR(INDEX(Starter!C:C,MATCH(B8,Starter!A:A,0)),"")</f>
        <v/>
      </c>
      <c r="E8" s="102" t="str">
        <f t="shared" si="3"/>
        <v/>
      </c>
      <c r="F8" t="str">
        <f t="shared" si="4"/>
        <v/>
      </c>
      <c r="G8" s="137" t="str">
        <f t="shared" si="5"/>
        <v/>
      </c>
      <c r="L8" s="227">
        <f>INDEX(Starter!A:A,ROW()-1)</f>
        <v>38222</v>
      </c>
      <c r="M8">
        <f>SUMIF(Erfassung5!BD:BD,L8,Erfassung5!BW:BW)</f>
        <v>0</v>
      </c>
      <c r="N8">
        <f>SUMIF(Erfassung5!BD:BD,L8,Erfassung5!BG:BG)</f>
        <v>0</v>
      </c>
      <c r="O8">
        <f t="shared" si="0"/>
        <v>0</v>
      </c>
      <c r="P8">
        <f t="shared" si="1"/>
        <v>1</v>
      </c>
    </row>
    <row r="9" spans="1:16" x14ac:dyDescent="0.35">
      <c r="A9" t="str">
        <f t="shared" si="6"/>
        <v/>
      </c>
      <c r="B9" t="str">
        <f t="shared" si="2"/>
        <v/>
      </c>
      <c r="C9" t="str">
        <f>IFERROR(INDEX(Starter!B:B,MATCH(B9,Starter!A:A,0)),"")</f>
        <v/>
      </c>
      <c r="D9" t="str">
        <f>IFERROR(INDEX(Starter!C:C,MATCH(B9,Starter!A:A,0)),"")</f>
        <v/>
      </c>
      <c r="E9" s="102" t="str">
        <f t="shared" si="3"/>
        <v/>
      </c>
      <c r="F9" t="str">
        <f t="shared" si="4"/>
        <v/>
      </c>
      <c r="G9" s="137" t="str">
        <f t="shared" si="5"/>
        <v/>
      </c>
      <c r="L9" s="227">
        <f>INDEX(Starter!A:A,ROW()-1)</f>
        <v>38438</v>
      </c>
      <c r="M9">
        <f>SUMIF(Erfassung5!BD:BD,L9,Erfassung5!BW:BW)</f>
        <v>0</v>
      </c>
      <c r="N9">
        <f>SUMIF(Erfassung5!BD:BD,L9,Erfassung5!BG:BG)</f>
        <v>0</v>
      </c>
      <c r="O9">
        <f t="shared" si="0"/>
        <v>0</v>
      </c>
      <c r="P9">
        <f t="shared" si="1"/>
        <v>1</v>
      </c>
    </row>
    <row r="10" spans="1:16" x14ac:dyDescent="0.35">
      <c r="A10" t="str">
        <f t="shared" si="6"/>
        <v/>
      </c>
      <c r="B10" t="str">
        <f t="shared" si="2"/>
        <v/>
      </c>
      <c r="C10" t="str">
        <f>IFERROR(INDEX(Starter!B:B,MATCH(B10,Starter!A:A,0)),"")</f>
        <v/>
      </c>
      <c r="D10" t="str">
        <f>IFERROR(INDEX(Starter!C:C,MATCH(B10,Starter!A:A,0)),"")</f>
        <v/>
      </c>
      <c r="E10" s="102" t="str">
        <f t="shared" si="3"/>
        <v/>
      </c>
      <c r="F10" t="str">
        <f t="shared" si="4"/>
        <v/>
      </c>
      <c r="G10" s="137" t="str">
        <f t="shared" si="5"/>
        <v/>
      </c>
      <c r="L10" s="227">
        <f>INDEX(Starter!A:A,ROW()-1)</f>
        <v>38553</v>
      </c>
      <c r="M10">
        <f>SUMIF(Erfassung5!BD:BD,L10,Erfassung5!BW:BW)</f>
        <v>0</v>
      </c>
      <c r="N10">
        <f>SUMIF(Erfassung5!BD:BD,L10,Erfassung5!BG:BG)</f>
        <v>0</v>
      </c>
      <c r="O10">
        <f t="shared" si="0"/>
        <v>0</v>
      </c>
      <c r="P10">
        <f t="shared" si="1"/>
        <v>1</v>
      </c>
    </row>
    <row r="11" spans="1:16" x14ac:dyDescent="0.35">
      <c r="A11" t="str">
        <f t="shared" si="6"/>
        <v/>
      </c>
      <c r="B11" t="str">
        <f t="shared" si="2"/>
        <v/>
      </c>
      <c r="C11" t="str">
        <f>IFERROR(INDEX(Starter!B:B,MATCH(B11,Starter!A:A,0)),"")</f>
        <v/>
      </c>
      <c r="D11" t="str">
        <f>IFERROR(INDEX(Starter!C:C,MATCH(B11,Starter!A:A,0)),"")</f>
        <v/>
      </c>
      <c r="E11" s="102" t="str">
        <f t="shared" si="3"/>
        <v/>
      </c>
      <c r="F11" t="str">
        <f t="shared" si="4"/>
        <v/>
      </c>
      <c r="G11" s="137" t="str">
        <f t="shared" si="5"/>
        <v/>
      </c>
      <c r="L11" s="227">
        <f>INDEX(Starter!A:A,ROW()-1)</f>
        <v>38350</v>
      </c>
      <c r="M11">
        <f>SUMIF(Erfassung5!BD:BD,L11,Erfassung5!BW:BW)</f>
        <v>0</v>
      </c>
      <c r="N11">
        <f>SUMIF(Erfassung5!BD:BD,L11,Erfassung5!BG:BG)</f>
        <v>0</v>
      </c>
      <c r="O11">
        <f t="shared" si="0"/>
        <v>0</v>
      </c>
      <c r="P11">
        <f t="shared" si="1"/>
        <v>1</v>
      </c>
    </row>
    <row r="12" spans="1:16" x14ac:dyDescent="0.35">
      <c r="A12" t="str">
        <f t="shared" si="6"/>
        <v/>
      </c>
      <c r="B12" t="str">
        <f t="shared" si="2"/>
        <v/>
      </c>
      <c r="C12" t="str">
        <f>IFERROR(INDEX(Starter!B:B,MATCH(B12,Starter!A:A,0)),"")</f>
        <v/>
      </c>
      <c r="D12" t="str">
        <f>IFERROR(INDEX(Starter!C:C,MATCH(B12,Starter!A:A,0)),"")</f>
        <v/>
      </c>
      <c r="E12" s="102" t="str">
        <f t="shared" si="3"/>
        <v/>
      </c>
      <c r="F12" t="str">
        <f t="shared" si="4"/>
        <v/>
      </c>
      <c r="G12" s="137" t="str">
        <f t="shared" si="5"/>
        <v/>
      </c>
      <c r="L12" s="227">
        <f>INDEX(Starter!A:A,ROW()-1)</f>
        <v>16594</v>
      </c>
      <c r="M12">
        <f>SUMIF(Erfassung5!BD:BD,L12,Erfassung5!BW:BW)</f>
        <v>0</v>
      </c>
      <c r="N12">
        <f>SUMIF(Erfassung5!BD:BD,L12,Erfassung5!BG:BG)</f>
        <v>0</v>
      </c>
      <c r="O12">
        <f t="shared" si="0"/>
        <v>0</v>
      </c>
      <c r="P12">
        <f t="shared" si="1"/>
        <v>1</v>
      </c>
    </row>
    <row r="13" spans="1:16" x14ac:dyDescent="0.35">
      <c r="A13" t="str">
        <f t="shared" si="6"/>
        <v/>
      </c>
      <c r="B13" t="str">
        <f t="shared" si="2"/>
        <v/>
      </c>
      <c r="C13" t="str">
        <f>IFERROR(INDEX(Starter!B:B,MATCH(B13,Starter!A:A,0)),"")</f>
        <v/>
      </c>
      <c r="D13" t="str">
        <f>IFERROR(INDEX(Starter!C:C,MATCH(B13,Starter!A:A,0)),"")</f>
        <v/>
      </c>
      <c r="E13" s="102" t="str">
        <f t="shared" si="3"/>
        <v/>
      </c>
      <c r="F13" t="str">
        <f t="shared" si="4"/>
        <v/>
      </c>
      <c r="G13" s="137" t="str">
        <f t="shared" si="5"/>
        <v/>
      </c>
      <c r="L13" s="227">
        <f>INDEX(Starter!A:A,ROW()-1)</f>
        <v>16595</v>
      </c>
      <c r="M13">
        <f>SUMIF(Erfassung5!BD:BD,L13,Erfassung5!BW:BW)</f>
        <v>0</v>
      </c>
      <c r="N13">
        <f>SUMIF(Erfassung5!BD:BD,L13,Erfassung5!BG:BG)</f>
        <v>0</v>
      </c>
      <c r="O13">
        <f t="shared" si="0"/>
        <v>0</v>
      </c>
      <c r="P13">
        <f t="shared" si="1"/>
        <v>1</v>
      </c>
    </row>
    <row r="14" spans="1:16" x14ac:dyDescent="0.35">
      <c r="A14" t="str">
        <f t="shared" si="6"/>
        <v/>
      </c>
      <c r="B14" t="str">
        <f t="shared" si="2"/>
        <v/>
      </c>
      <c r="C14" t="str">
        <f>IFERROR(INDEX(Starter!B:B,MATCH(B14,Starter!A:A,0)),"")</f>
        <v/>
      </c>
      <c r="D14" t="str">
        <f>IFERROR(INDEX(Starter!C:C,MATCH(B14,Starter!A:A,0)),"")</f>
        <v/>
      </c>
      <c r="E14" s="102" t="str">
        <f t="shared" si="3"/>
        <v/>
      </c>
      <c r="F14" t="str">
        <f t="shared" si="4"/>
        <v/>
      </c>
      <c r="G14" s="137" t="str">
        <f t="shared" si="5"/>
        <v/>
      </c>
      <c r="L14" s="227">
        <f>INDEX(Starter!A:A,ROW()-1)</f>
        <v>7061</v>
      </c>
      <c r="M14">
        <f>SUMIF(Erfassung5!BD:BD,L14,Erfassung5!BW:BW)</f>
        <v>0</v>
      </c>
      <c r="N14">
        <f>SUMIF(Erfassung5!BD:BD,L14,Erfassung5!BG:BG)</f>
        <v>0</v>
      </c>
      <c r="O14">
        <f t="shared" si="0"/>
        <v>0</v>
      </c>
      <c r="P14">
        <f t="shared" si="1"/>
        <v>1</v>
      </c>
    </row>
    <row r="15" spans="1:16" x14ac:dyDescent="0.35">
      <c r="A15" t="str">
        <f t="shared" si="6"/>
        <v/>
      </c>
      <c r="B15" t="str">
        <f t="shared" si="2"/>
        <v/>
      </c>
      <c r="C15" t="str">
        <f>IFERROR(INDEX(Starter!B:B,MATCH(B15,Starter!A:A,0)),"")</f>
        <v/>
      </c>
      <c r="D15" t="str">
        <f>IFERROR(INDEX(Starter!C:C,MATCH(B15,Starter!A:A,0)),"")</f>
        <v/>
      </c>
      <c r="E15" s="102" t="str">
        <f t="shared" si="3"/>
        <v/>
      </c>
      <c r="F15" t="str">
        <f t="shared" si="4"/>
        <v/>
      </c>
      <c r="G15" s="137" t="str">
        <f t="shared" si="5"/>
        <v/>
      </c>
      <c r="L15" s="227">
        <f>INDEX(Starter!A:A,ROW()-1)</f>
        <v>25550</v>
      </c>
      <c r="M15">
        <f>SUMIF(Erfassung5!BD:BD,L15,Erfassung5!BW:BW)</f>
        <v>0</v>
      </c>
      <c r="N15">
        <f>SUMIF(Erfassung5!BD:BD,L15,Erfassung5!BG:BG)</f>
        <v>0</v>
      </c>
      <c r="O15">
        <f t="shared" si="0"/>
        <v>0</v>
      </c>
      <c r="P15">
        <f t="shared" si="1"/>
        <v>1</v>
      </c>
    </row>
    <row r="16" spans="1:16" x14ac:dyDescent="0.35">
      <c r="A16" t="str">
        <f t="shared" si="6"/>
        <v/>
      </c>
      <c r="B16" t="str">
        <f t="shared" si="2"/>
        <v/>
      </c>
      <c r="C16" t="str">
        <f>IFERROR(INDEX(Starter!B:B,MATCH(B16,Starter!A:A,0)),"")</f>
        <v/>
      </c>
      <c r="D16" t="str">
        <f>IFERROR(INDEX(Starter!C:C,MATCH(B16,Starter!A:A,0)),"")</f>
        <v/>
      </c>
      <c r="E16" s="102" t="str">
        <f t="shared" si="3"/>
        <v/>
      </c>
      <c r="F16" t="str">
        <f t="shared" si="4"/>
        <v/>
      </c>
      <c r="G16" s="137" t="str">
        <f t="shared" si="5"/>
        <v/>
      </c>
      <c r="L16" s="227">
        <f>INDEX(Starter!A:A,ROW()-1)</f>
        <v>7578</v>
      </c>
      <c r="M16">
        <f>SUMIF(Erfassung5!BD:BD,L16,Erfassung5!BW:BW)</f>
        <v>0</v>
      </c>
      <c r="N16">
        <f>SUMIF(Erfassung5!BD:BD,L16,Erfassung5!BG:BG)</f>
        <v>0</v>
      </c>
      <c r="O16">
        <f t="shared" si="0"/>
        <v>0</v>
      </c>
      <c r="P16">
        <f t="shared" si="1"/>
        <v>1</v>
      </c>
    </row>
    <row r="17" spans="1:16" x14ac:dyDescent="0.35">
      <c r="A17" t="str">
        <f t="shared" si="6"/>
        <v/>
      </c>
      <c r="B17" t="str">
        <f t="shared" si="2"/>
        <v/>
      </c>
      <c r="C17" t="str">
        <f>IFERROR(INDEX(Starter!B:B,MATCH(B17,Starter!A:A,0)),"")</f>
        <v/>
      </c>
      <c r="D17" t="str">
        <f>IFERROR(INDEX(Starter!C:C,MATCH(B17,Starter!A:A,0)),"")</f>
        <v/>
      </c>
      <c r="E17" s="102" t="str">
        <f t="shared" si="3"/>
        <v/>
      </c>
      <c r="F17" t="str">
        <f t="shared" si="4"/>
        <v/>
      </c>
      <c r="G17" s="137" t="str">
        <f t="shared" si="5"/>
        <v/>
      </c>
      <c r="L17" s="227">
        <f>INDEX(Starter!A:A,ROW()-1)</f>
        <v>7575</v>
      </c>
      <c r="M17">
        <f>SUMIF(Erfassung5!BD:BD,L17,Erfassung5!BW:BW)</f>
        <v>0</v>
      </c>
      <c r="N17">
        <f>SUMIF(Erfassung5!BD:BD,L17,Erfassung5!BG:BG)</f>
        <v>0</v>
      </c>
      <c r="O17">
        <f t="shared" si="0"/>
        <v>0</v>
      </c>
      <c r="P17">
        <f t="shared" si="1"/>
        <v>1</v>
      </c>
    </row>
    <row r="18" spans="1:16" x14ac:dyDescent="0.35">
      <c r="A18" t="str">
        <f t="shared" si="6"/>
        <v/>
      </c>
      <c r="B18" t="str">
        <f t="shared" si="2"/>
        <v/>
      </c>
      <c r="C18" t="str">
        <f>IFERROR(INDEX(Starter!B:B,MATCH(B18,Starter!A:A,0)),"")</f>
        <v/>
      </c>
      <c r="D18" t="str">
        <f>IFERROR(INDEX(Starter!C:C,MATCH(B18,Starter!A:A,0)),"")</f>
        <v/>
      </c>
      <c r="E18" s="102" t="str">
        <f t="shared" si="3"/>
        <v/>
      </c>
      <c r="F18" t="str">
        <f t="shared" si="4"/>
        <v/>
      </c>
      <c r="G18" s="137" t="str">
        <f t="shared" si="5"/>
        <v/>
      </c>
      <c r="L18" s="227">
        <f>INDEX(Starter!A:A,ROW()-1)</f>
        <v>7574</v>
      </c>
      <c r="M18">
        <f>SUMIF(Erfassung5!BD:BD,L18,Erfassung5!BW:BW)</f>
        <v>0</v>
      </c>
      <c r="N18">
        <f>SUMIF(Erfassung5!BD:BD,L18,Erfassung5!BG:BG)</f>
        <v>0</v>
      </c>
      <c r="O18">
        <f t="shared" si="0"/>
        <v>0</v>
      </c>
      <c r="P18">
        <f t="shared" si="1"/>
        <v>1</v>
      </c>
    </row>
    <row r="19" spans="1:16" x14ac:dyDescent="0.35">
      <c r="A19" t="str">
        <f t="shared" si="6"/>
        <v/>
      </c>
      <c r="B19" t="str">
        <f t="shared" si="2"/>
        <v/>
      </c>
      <c r="C19" t="str">
        <f>IFERROR(INDEX(Starter!B:B,MATCH(B19,Starter!A:A,0)),"")</f>
        <v/>
      </c>
      <c r="D19" t="str">
        <f>IFERROR(INDEX(Starter!C:C,MATCH(B19,Starter!A:A,0)),"")</f>
        <v/>
      </c>
      <c r="E19" s="102" t="str">
        <f t="shared" si="3"/>
        <v/>
      </c>
      <c r="F19" t="str">
        <f t="shared" si="4"/>
        <v/>
      </c>
      <c r="G19" s="137" t="str">
        <f t="shared" si="5"/>
        <v/>
      </c>
      <c r="L19" s="227">
        <f>INDEX(Starter!A:A,ROW()-1)</f>
        <v>7576</v>
      </c>
      <c r="M19">
        <f>SUMIF(Erfassung5!BD:BD,L19,Erfassung5!BW:BW)</f>
        <v>0</v>
      </c>
      <c r="N19">
        <f>SUMIF(Erfassung5!BD:BD,L19,Erfassung5!BG:BG)</f>
        <v>0</v>
      </c>
      <c r="O19">
        <f t="shared" si="0"/>
        <v>0</v>
      </c>
      <c r="P19">
        <f t="shared" si="1"/>
        <v>1</v>
      </c>
    </row>
    <row r="20" spans="1:16" x14ac:dyDescent="0.35">
      <c r="A20" t="str">
        <f t="shared" si="6"/>
        <v/>
      </c>
      <c r="B20" t="str">
        <f t="shared" si="2"/>
        <v/>
      </c>
      <c r="C20" t="str">
        <f>IFERROR(INDEX(Starter!B:B,MATCH(B20,Starter!A:A,0)),"")</f>
        <v/>
      </c>
      <c r="D20" t="str">
        <f>IFERROR(INDEX(Starter!C:C,MATCH(B20,Starter!A:A,0)),"")</f>
        <v/>
      </c>
      <c r="E20" s="102" t="str">
        <f t="shared" si="3"/>
        <v/>
      </c>
      <c r="F20" t="str">
        <f t="shared" si="4"/>
        <v/>
      </c>
      <c r="G20" s="137" t="str">
        <f t="shared" si="5"/>
        <v/>
      </c>
      <c r="L20" s="227">
        <f>INDEX(Starter!A:A,ROW()-1)</f>
        <v>12850</v>
      </c>
      <c r="M20">
        <f>SUMIF(Erfassung5!BD:BD,L20,Erfassung5!BW:BW)</f>
        <v>0</v>
      </c>
      <c r="N20">
        <f>SUMIF(Erfassung5!BD:BD,L20,Erfassung5!BG:BG)</f>
        <v>0</v>
      </c>
      <c r="O20">
        <f t="shared" si="0"/>
        <v>0</v>
      </c>
      <c r="P20">
        <f t="shared" si="1"/>
        <v>1</v>
      </c>
    </row>
    <row r="21" spans="1:16" x14ac:dyDescent="0.35">
      <c r="A21" t="str">
        <f t="shared" si="6"/>
        <v/>
      </c>
      <c r="B21" t="str">
        <f t="shared" si="2"/>
        <v/>
      </c>
      <c r="C21" t="str">
        <f>IFERROR(INDEX(Starter!B:B,MATCH(B21,Starter!A:A,0)),"")</f>
        <v/>
      </c>
      <c r="D21" t="str">
        <f>IFERROR(INDEX(Starter!C:C,MATCH(B21,Starter!A:A,0)),"")</f>
        <v/>
      </c>
      <c r="E21" s="102" t="str">
        <f t="shared" si="3"/>
        <v/>
      </c>
      <c r="F21" t="str">
        <f t="shared" si="4"/>
        <v/>
      </c>
      <c r="G21" s="137" t="str">
        <f t="shared" si="5"/>
        <v/>
      </c>
      <c r="L21" s="227">
        <f>INDEX(Starter!A:A,ROW()-1)</f>
        <v>16879</v>
      </c>
      <c r="M21">
        <f>SUMIF(Erfassung5!BD:BD,L21,Erfassung5!BW:BW)</f>
        <v>0</v>
      </c>
      <c r="N21">
        <f>SUMIF(Erfassung5!BD:BD,L21,Erfassung5!BG:BG)</f>
        <v>0</v>
      </c>
      <c r="O21">
        <f t="shared" si="0"/>
        <v>0</v>
      </c>
      <c r="P21">
        <f t="shared" si="1"/>
        <v>1</v>
      </c>
    </row>
    <row r="22" spans="1:16" x14ac:dyDescent="0.35">
      <c r="A22" t="str">
        <f t="shared" si="6"/>
        <v/>
      </c>
      <c r="B22" t="str">
        <f t="shared" si="2"/>
        <v/>
      </c>
      <c r="C22" t="str">
        <f>IFERROR(INDEX(Starter!B:B,MATCH(B22,Starter!A:A,0)),"")</f>
        <v/>
      </c>
      <c r="D22" t="str">
        <f>IFERROR(INDEX(Starter!C:C,MATCH(B22,Starter!A:A,0)),"")</f>
        <v/>
      </c>
      <c r="E22" s="102" t="str">
        <f t="shared" si="3"/>
        <v/>
      </c>
      <c r="F22" t="str">
        <f t="shared" si="4"/>
        <v/>
      </c>
      <c r="G22" s="137" t="str">
        <f t="shared" si="5"/>
        <v/>
      </c>
      <c r="L22" s="227">
        <f>INDEX(Starter!A:A,ROW()-1)</f>
        <v>7991</v>
      </c>
      <c r="M22">
        <f>SUMIF(Erfassung5!BD:BD,L22,Erfassung5!BW:BW)</f>
        <v>0</v>
      </c>
      <c r="N22">
        <f>SUMIF(Erfassung5!BD:BD,L22,Erfassung5!BG:BG)</f>
        <v>0</v>
      </c>
      <c r="O22">
        <f t="shared" si="0"/>
        <v>0</v>
      </c>
      <c r="P22">
        <f t="shared" si="1"/>
        <v>1</v>
      </c>
    </row>
    <row r="23" spans="1:16" x14ac:dyDescent="0.35">
      <c r="A23" t="str">
        <f t="shared" si="6"/>
        <v/>
      </c>
      <c r="B23" t="str">
        <f t="shared" si="2"/>
        <v/>
      </c>
      <c r="C23" t="str">
        <f>IFERROR(INDEX(Starter!B:B,MATCH(B23,Starter!A:A,0)),"")</f>
        <v/>
      </c>
      <c r="D23" t="str">
        <f>IFERROR(INDEX(Starter!C:C,MATCH(B23,Starter!A:A,0)),"")</f>
        <v/>
      </c>
      <c r="E23" s="102" t="str">
        <f t="shared" si="3"/>
        <v/>
      </c>
      <c r="F23" t="str">
        <f t="shared" si="4"/>
        <v/>
      </c>
      <c r="G23" s="137" t="str">
        <f t="shared" si="5"/>
        <v/>
      </c>
      <c r="L23" s="227">
        <f>INDEX(Starter!A:A,ROW()-1)</f>
        <v>7024</v>
      </c>
      <c r="M23">
        <f>SUMIF(Erfassung5!BD:BD,L23,Erfassung5!BW:BW)</f>
        <v>0</v>
      </c>
      <c r="N23">
        <f>SUMIF(Erfassung5!BD:BD,L23,Erfassung5!BG:BG)</f>
        <v>0</v>
      </c>
      <c r="O23">
        <f t="shared" si="0"/>
        <v>0</v>
      </c>
      <c r="P23">
        <f t="shared" si="1"/>
        <v>1</v>
      </c>
    </row>
    <row r="24" spans="1:16" x14ac:dyDescent="0.35">
      <c r="A24" t="str">
        <f t="shared" si="6"/>
        <v/>
      </c>
      <c r="B24" t="str">
        <f t="shared" si="2"/>
        <v/>
      </c>
      <c r="C24" t="str">
        <f>IFERROR(INDEX(Starter!B:B,MATCH(B24,Starter!A:A,0)),"")</f>
        <v/>
      </c>
      <c r="D24" t="str">
        <f>IFERROR(INDEX(Starter!C:C,MATCH(B24,Starter!A:A,0)),"")</f>
        <v/>
      </c>
      <c r="E24" s="102" t="str">
        <f t="shared" si="3"/>
        <v/>
      </c>
      <c r="F24" t="str">
        <f t="shared" si="4"/>
        <v/>
      </c>
      <c r="G24" s="137" t="str">
        <f t="shared" si="5"/>
        <v/>
      </c>
      <c r="L24" s="227">
        <f>INDEX(Starter!A:A,ROW()-1)</f>
        <v>25298</v>
      </c>
      <c r="M24">
        <f>SUMIF(Erfassung5!BD:BD,L24,Erfassung5!BW:BW)</f>
        <v>0</v>
      </c>
      <c r="N24">
        <f>SUMIF(Erfassung5!BD:BD,L24,Erfassung5!BG:BG)</f>
        <v>0</v>
      </c>
      <c r="O24">
        <f t="shared" si="0"/>
        <v>0</v>
      </c>
      <c r="P24">
        <f t="shared" si="1"/>
        <v>1</v>
      </c>
    </row>
    <row r="25" spans="1:16" x14ac:dyDescent="0.35">
      <c r="A25" t="str">
        <f t="shared" si="6"/>
        <v/>
      </c>
      <c r="B25" t="str">
        <f t="shared" si="2"/>
        <v/>
      </c>
      <c r="C25" t="str">
        <f>IFERROR(INDEX(Starter!B:B,MATCH(B25,Starter!A:A,0)),"")</f>
        <v/>
      </c>
      <c r="D25" t="str">
        <f>IFERROR(INDEX(Starter!C:C,MATCH(B25,Starter!A:A,0)),"")</f>
        <v/>
      </c>
      <c r="E25" s="102" t="str">
        <f t="shared" si="3"/>
        <v/>
      </c>
      <c r="F25" t="str">
        <f t="shared" si="4"/>
        <v/>
      </c>
      <c r="G25" s="137" t="str">
        <f t="shared" si="5"/>
        <v/>
      </c>
      <c r="L25" s="227">
        <f>INDEX(Starter!A:A,ROW()-1)</f>
        <v>38757</v>
      </c>
      <c r="M25">
        <f>SUMIF(Erfassung5!BD:BD,L25,Erfassung5!BW:BW)</f>
        <v>0</v>
      </c>
      <c r="N25">
        <f>SUMIF(Erfassung5!BD:BD,L25,Erfassung5!BG:BG)</f>
        <v>0</v>
      </c>
      <c r="O25">
        <f t="shared" si="0"/>
        <v>0</v>
      </c>
      <c r="P25">
        <f t="shared" si="1"/>
        <v>1</v>
      </c>
    </row>
    <row r="26" spans="1:16" x14ac:dyDescent="0.35">
      <c r="A26" t="str">
        <f t="shared" si="6"/>
        <v/>
      </c>
      <c r="B26" t="str">
        <f t="shared" si="2"/>
        <v/>
      </c>
      <c r="C26" t="str">
        <f>IFERROR(INDEX(Starter!B:B,MATCH(B26,Starter!A:A,0)),"")</f>
        <v/>
      </c>
      <c r="D26" t="str">
        <f>IFERROR(INDEX(Starter!C:C,MATCH(B26,Starter!A:A,0)),"")</f>
        <v/>
      </c>
      <c r="E26" s="102" t="str">
        <f t="shared" si="3"/>
        <v/>
      </c>
      <c r="F26" t="str">
        <f t="shared" si="4"/>
        <v/>
      </c>
      <c r="G26" s="137" t="str">
        <f t="shared" si="5"/>
        <v/>
      </c>
      <c r="L26" s="227">
        <f>INDEX(Starter!A:A,ROW()-1)</f>
        <v>25630</v>
      </c>
      <c r="M26">
        <f>SUMIF(Erfassung5!BD:BD,L26,Erfassung5!BW:BW)</f>
        <v>0</v>
      </c>
      <c r="N26">
        <f>SUMIF(Erfassung5!BD:BD,L26,Erfassung5!BG:BG)</f>
        <v>0</v>
      </c>
      <c r="O26">
        <f t="shared" si="0"/>
        <v>0</v>
      </c>
      <c r="P26">
        <f t="shared" si="1"/>
        <v>1</v>
      </c>
    </row>
    <row r="27" spans="1:16" x14ac:dyDescent="0.35">
      <c r="A27" t="str">
        <f t="shared" si="6"/>
        <v/>
      </c>
      <c r="B27" t="str">
        <f t="shared" si="2"/>
        <v/>
      </c>
      <c r="C27" t="str">
        <f>IFERROR(INDEX(Starter!B:B,MATCH(B27,Starter!A:A,0)),"")</f>
        <v/>
      </c>
      <c r="D27" t="str">
        <f>IFERROR(INDEX(Starter!C:C,MATCH(B27,Starter!A:A,0)),"")</f>
        <v/>
      </c>
      <c r="E27" s="102" t="str">
        <f t="shared" si="3"/>
        <v/>
      </c>
      <c r="F27" t="str">
        <f t="shared" si="4"/>
        <v/>
      </c>
      <c r="G27" s="137" t="str">
        <f t="shared" si="5"/>
        <v/>
      </c>
      <c r="L27" s="227">
        <f>INDEX(Starter!A:A,ROW()-1)</f>
        <v>38758</v>
      </c>
      <c r="M27">
        <f>SUMIF(Erfassung5!BD:BD,L27,Erfassung5!BW:BW)</f>
        <v>0</v>
      </c>
      <c r="N27">
        <f>SUMIF(Erfassung5!BD:BD,L27,Erfassung5!BG:BG)</f>
        <v>0</v>
      </c>
      <c r="O27">
        <f t="shared" si="0"/>
        <v>0</v>
      </c>
      <c r="P27">
        <f t="shared" si="1"/>
        <v>1</v>
      </c>
    </row>
    <row r="28" spans="1:16" x14ac:dyDescent="0.35">
      <c r="A28" t="str">
        <f t="shared" si="6"/>
        <v/>
      </c>
      <c r="B28" t="str">
        <f t="shared" si="2"/>
        <v/>
      </c>
      <c r="C28" t="str">
        <f>IFERROR(INDEX(Starter!B:B,MATCH(B28,Starter!A:A,0)),"")</f>
        <v/>
      </c>
      <c r="D28" t="str">
        <f>IFERROR(INDEX(Starter!C:C,MATCH(B28,Starter!A:A,0)),"")</f>
        <v/>
      </c>
      <c r="E28" s="102" t="str">
        <f t="shared" si="3"/>
        <v/>
      </c>
      <c r="F28" t="str">
        <f t="shared" si="4"/>
        <v/>
      </c>
      <c r="G28" s="137" t="str">
        <f t="shared" si="5"/>
        <v/>
      </c>
      <c r="L28" s="227">
        <f>INDEX(Starter!A:A,ROW()-1)</f>
        <v>7754</v>
      </c>
      <c r="M28">
        <f>SUMIF(Erfassung5!BD:BD,L28,Erfassung5!BW:BW)</f>
        <v>0</v>
      </c>
      <c r="N28">
        <f>SUMIF(Erfassung5!BD:BD,L28,Erfassung5!BG:BG)</f>
        <v>0</v>
      </c>
      <c r="O28">
        <f t="shared" si="0"/>
        <v>0</v>
      </c>
      <c r="P28">
        <f t="shared" si="1"/>
        <v>1</v>
      </c>
    </row>
    <row r="29" spans="1:16" x14ac:dyDescent="0.35">
      <c r="A29" t="str">
        <f t="shared" si="6"/>
        <v/>
      </c>
      <c r="B29" t="str">
        <f t="shared" si="2"/>
        <v/>
      </c>
      <c r="C29" t="str">
        <f>IFERROR(INDEX(Starter!B:B,MATCH(B29,Starter!A:A,0)),"")</f>
        <v/>
      </c>
      <c r="D29" t="str">
        <f>IFERROR(INDEX(Starter!C:C,MATCH(B29,Starter!A:A,0)),"")</f>
        <v/>
      </c>
      <c r="E29" s="102" t="str">
        <f t="shared" si="3"/>
        <v/>
      </c>
      <c r="F29" t="str">
        <f t="shared" si="4"/>
        <v/>
      </c>
      <c r="G29" s="137" t="str">
        <f t="shared" si="5"/>
        <v/>
      </c>
      <c r="L29" s="227">
        <f>INDEX(Starter!A:A,ROW()-1)</f>
        <v>7753</v>
      </c>
      <c r="M29">
        <f>SUMIF(Erfassung5!BD:BD,L29,Erfassung5!BW:BW)</f>
        <v>0</v>
      </c>
      <c r="N29">
        <f>SUMIF(Erfassung5!BD:BD,L29,Erfassung5!BG:BG)</f>
        <v>0</v>
      </c>
      <c r="O29">
        <f t="shared" si="0"/>
        <v>0</v>
      </c>
      <c r="P29">
        <f t="shared" si="1"/>
        <v>1</v>
      </c>
    </row>
    <row r="30" spans="1:16" x14ac:dyDescent="0.35">
      <c r="A30" t="str">
        <f t="shared" si="6"/>
        <v/>
      </c>
      <c r="B30" t="str">
        <f t="shared" si="2"/>
        <v/>
      </c>
      <c r="C30" t="str">
        <f>IFERROR(INDEX(Starter!B:B,MATCH(B30,Starter!A:A,0)),"")</f>
        <v/>
      </c>
      <c r="D30" t="str">
        <f>IFERROR(INDEX(Starter!C:C,MATCH(B30,Starter!A:A,0)),"")</f>
        <v/>
      </c>
      <c r="E30" s="102" t="str">
        <f t="shared" si="3"/>
        <v/>
      </c>
      <c r="F30" t="str">
        <f t="shared" si="4"/>
        <v/>
      </c>
      <c r="G30" s="137" t="str">
        <f t="shared" si="5"/>
        <v/>
      </c>
      <c r="L30" s="227">
        <f>INDEX(Starter!A:A,ROW()-1)</f>
        <v>7758</v>
      </c>
      <c r="M30">
        <f>SUMIF(Erfassung5!BD:BD,L30,Erfassung5!BW:BW)</f>
        <v>0</v>
      </c>
      <c r="N30">
        <f>SUMIF(Erfassung5!BD:BD,L30,Erfassung5!BG:BG)</f>
        <v>0</v>
      </c>
      <c r="O30">
        <f t="shared" si="0"/>
        <v>0</v>
      </c>
      <c r="P30">
        <f t="shared" si="1"/>
        <v>1</v>
      </c>
    </row>
    <row r="31" spans="1:16" x14ac:dyDescent="0.35">
      <c r="A31" t="str">
        <f t="shared" si="6"/>
        <v/>
      </c>
      <c r="B31" t="str">
        <f t="shared" si="2"/>
        <v/>
      </c>
      <c r="C31" t="str">
        <f>IFERROR(INDEX(Starter!B:B,MATCH(B31,Starter!A:A,0)),"")</f>
        <v/>
      </c>
      <c r="D31" t="str">
        <f>IFERROR(INDEX(Starter!C:C,MATCH(B31,Starter!A:A,0)),"")</f>
        <v/>
      </c>
      <c r="E31" s="102" t="str">
        <f t="shared" si="3"/>
        <v/>
      </c>
      <c r="F31" t="str">
        <f t="shared" si="4"/>
        <v/>
      </c>
      <c r="G31" s="137" t="str">
        <f t="shared" si="5"/>
        <v/>
      </c>
      <c r="L31" s="227">
        <f>INDEX(Starter!A:A,ROW()-1)</f>
        <v>7757</v>
      </c>
      <c r="M31">
        <f>SUMIF(Erfassung5!BD:BD,L31,Erfassung5!BW:BW)</f>
        <v>0</v>
      </c>
      <c r="N31">
        <f>SUMIF(Erfassung5!BD:BD,L31,Erfassung5!BG:BG)</f>
        <v>0</v>
      </c>
      <c r="O31">
        <f t="shared" si="0"/>
        <v>0</v>
      </c>
      <c r="P31">
        <f t="shared" si="1"/>
        <v>1</v>
      </c>
    </row>
    <row r="32" spans="1:16" x14ac:dyDescent="0.35">
      <c r="A32" t="str">
        <f t="shared" si="6"/>
        <v/>
      </c>
      <c r="B32" t="str">
        <f t="shared" si="2"/>
        <v/>
      </c>
      <c r="C32" t="str">
        <f>IFERROR(INDEX(Starter!B:B,MATCH(B32,Starter!A:A,0)),"")</f>
        <v/>
      </c>
      <c r="D32" t="str">
        <f>IFERROR(INDEX(Starter!C:C,MATCH(B32,Starter!A:A,0)),"")</f>
        <v/>
      </c>
      <c r="E32" s="102" t="str">
        <f t="shared" si="3"/>
        <v/>
      </c>
      <c r="F32" t="str">
        <f t="shared" si="4"/>
        <v/>
      </c>
      <c r="G32" s="137" t="str">
        <f t="shared" si="5"/>
        <v/>
      </c>
      <c r="L32" s="227">
        <f>INDEX(Starter!A:A,ROW()-1)</f>
        <v>38560</v>
      </c>
      <c r="M32">
        <f>SUMIF(Erfassung5!BD:BD,L32,Erfassung5!BW:BW)</f>
        <v>0</v>
      </c>
      <c r="N32">
        <f>SUMIF(Erfassung5!BD:BD,L32,Erfassung5!BG:BG)</f>
        <v>0</v>
      </c>
      <c r="O32">
        <f t="shared" si="0"/>
        <v>0</v>
      </c>
      <c r="P32">
        <f t="shared" si="1"/>
        <v>1</v>
      </c>
    </row>
    <row r="33" spans="1:16" x14ac:dyDescent="0.35">
      <c r="A33" t="str">
        <f t="shared" si="6"/>
        <v/>
      </c>
      <c r="B33" t="str">
        <f t="shared" si="2"/>
        <v/>
      </c>
      <c r="C33" t="str">
        <f>IFERROR(INDEX(Starter!B:B,MATCH(B33,Starter!A:A,0)),"")</f>
        <v/>
      </c>
      <c r="D33" t="str">
        <f>IFERROR(INDEX(Starter!C:C,MATCH(B33,Starter!A:A,0)),"")</f>
        <v/>
      </c>
      <c r="E33" s="102" t="str">
        <f t="shared" si="3"/>
        <v/>
      </c>
      <c r="F33" t="str">
        <f t="shared" si="4"/>
        <v/>
      </c>
      <c r="G33" s="137" t="str">
        <f t="shared" si="5"/>
        <v/>
      </c>
      <c r="L33" s="227">
        <f>INDEX(Starter!A:A,ROW()-1)</f>
        <v>7755</v>
      </c>
      <c r="M33">
        <f>SUMIF(Erfassung5!BD:BD,L33,Erfassung5!BW:BW)</f>
        <v>0</v>
      </c>
      <c r="N33">
        <f>SUMIF(Erfassung5!BD:BD,L33,Erfassung5!BG:BG)</f>
        <v>0</v>
      </c>
      <c r="O33">
        <f t="shared" si="0"/>
        <v>0</v>
      </c>
      <c r="P33">
        <f t="shared" si="1"/>
        <v>1</v>
      </c>
    </row>
    <row r="34" spans="1:16" x14ac:dyDescent="0.35">
      <c r="A34" t="str">
        <f t="shared" si="6"/>
        <v/>
      </c>
      <c r="B34" t="str">
        <f t="shared" si="2"/>
        <v/>
      </c>
      <c r="C34" t="str">
        <f>IFERROR(INDEX(Starter!B:B,MATCH(B34,Starter!A:A,0)),"")</f>
        <v/>
      </c>
      <c r="D34" t="str">
        <f>IFERROR(INDEX(Starter!C:C,MATCH(B34,Starter!A:A,0)),"")</f>
        <v/>
      </c>
      <c r="E34" s="102" t="str">
        <f t="shared" si="3"/>
        <v/>
      </c>
      <c r="F34" t="str">
        <f t="shared" si="4"/>
        <v/>
      </c>
      <c r="G34" s="137" t="str">
        <f t="shared" si="5"/>
        <v/>
      </c>
      <c r="L34" s="227">
        <f>INDEX(Starter!A:A,ROW()-1)</f>
        <v>7676</v>
      </c>
      <c r="M34">
        <f>SUMIF(Erfassung5!BD:BD,L34,Erfassung5!BW:BW)</f>
        <v>0</v>
      </c>
      <c r="N34">
        <f>SUMIF(Erfassung5!BD:BD,L34,Erfassung5!BG:BG)</f>
        <v>0</v>
      </c>
      <c r="O34">
        <f t="shared" si="0"/>
        <v>0</v>
      </c>
      <c r="P34">
        <f t="shared" si="1"/>
        <v>1</v>
      </c>
    </row>
    <row r="35" spans="1:16" x14ac:dyDescent="0.35">
      <c r="A35" t="str">
        <f t="shared" si="6"/>
        <v/>
      </c>
      <c r="B35" t="str">
        <f t="shared" si="2"/>
        <v/>
      </c>
      <c r="C35" t="str">
        <f>IFERROR(INDEX(Starter!B:B,MATCH(B35,Starter!A:A,0)),"")</f>
        <v/>
      </c>
      <c r="D35" t="str">
        <f>IFERROR(INDEX(Starter!C:C,MATCH(B35,Starter!A:A,0)),"")</f>
        <v/>
      </c>
      <c r="E35" s="102" t="str">
        <f t="shared" si="3"/>
        <v/>
      </c>
      <c r="F35" t="str">
        <f t="shared" si="4"/>
        <v/>
      </c>
      <c r="G35" s="137" t="str">
        <f t="shared" si="5"/>
        <v/>
      </c>
      <c r="L35" s="227">
        <f>INDEX(Starter!A:A,ROW()-1)</f>
        <v>16804</v>
      </c>
      <c r="M35">
        <f>SUMIF(Erfassung5!BD:BD,L35,Erfassung5!BW:BW)</f>
        <v>0</v>
      </c>
      <c r="N35">
        <f>SUMIF(Erfassung5!BD:BD,L35,Erfassung5!BG:BG)</f>
        <v>0</v>
      </c>
      <c r="O35">
        <f t="shared" si="0"/>
        <v>0</v>
      </c>
      <c r="P35">
        <f t="shared" si="1"/>
        <v>1</v>
      </c>
    </row>
    <row r="36" spans="1:16" x14ac:dyDescent="0.35">
      <c r="A36" t="str">
        <f t="shared" si="6"/>
        <v/>
      </c>
      <c r="B36" t="str">
        <f t="shared" si="2"/>
        <v/>
      </c>
      <c r="C36" t="str">
        <f>IFERROR(INDEX(Starter!B:B,MATCH(B36,Starter!A:A,0)),"")</f>
        <v/>
      </c>
      <c r="D36" t="str">
        <f>IFERROR(INDEX(Starter!C:C,MATCH(B36,Starter!A:A,0)),"")</f>
        <v/>
      </c>
      <c r="E36" s="102" t="str">
        <f t="shared" si="3"/>
        <v/>
      </c>
      <c r="F36" t="str">
        <f t="shared" si="4"/>
        <v/>
      </c>
      <c r="G36" s="137" t="str">
        <f t="shared" si="5"/>
        <v/>
      </c>
      <c r="L36" s="227">
        <f>INDEX(Starter!A:A,ROW()-1)</f>
        <v>7978</v>
      </c>
      <c r="M36">
        <f>SUMIF(Erfassung5!BD:BD,L36,Erfassung5!BW:BW)</f>
        <v>0</v>
      </c>
      <c r="N36">
        <f>SUMIF(Erfassung5!BD:BD,L36,Erfassung5!BG:BG)</f>
        <v>0</v>
      </c>
      <c r="O36">
        <f t="shared" si="0"/>
        <v>0</v>
      </c>
      <c r="P36">
        <f t="shared" si="1"/>
        <v>1</v>
      </c>
    </row>
    <row r="37" spans="1:16" x14ac:dyDescent="0.35">
      <c r="A37" t="str">
        <f t="shared" si="6"/>
        <v/>
      </c>
      <c r="B37" t="str">
        <f t="shared" ref="B37:B68" si="7">IFERROR(INDEX(L:L,MATCH(A37,P:P,0)),"")</f>
        <v/>
      </c>
      <c r="C37" t="str">
        <f>IFERROR(INDEX(Starter!B:B,MATCH(B37,Starter!A:A,0)),"")</f>
        <v/>
      </c>
      <c r="D37" t="str">
        <f>IFERROR(INDEX(Starter!C:C,MATCH(B37,Starter!A:A,0)),"")</f>
        <v/>
      </c>
      <c r="E37" s="102" t="str">
        <f t="shared" ref="E37:E68" si="8">IFERROR(INDEX(M:M,MATCH(A37,P:P,0)),"")</f>
        <v/>
      </c>
      <c r="F37" t="str">
        <f t="shared" ref="F37:F68" si="9">IFERROR(INDEX(N:N,MATCH(A37,P:P,0)),"")</f>
        <v/>
      </c>
      <c r="G37" s="137" t="str">
        <f t="shared" ref="G37:G68" si="10">IFERROR(INDEX(O:O,MATCH(A37,P:P,0)),"")</f>
        <v/>
      </c>
      <c r="L37" s="227">
        <f>INDEX(Starter!A:A,ROW()-1)</f>
        <v>16029</v>
      </c>
      <c r="M37">
        <f>SUMIF(Erfassung5!BD:BD,L37,Erfassung5!BW:BW)</f>
        <v>0</v>
      </c>
      <c r="N37">
        <f>SUMIF(Erfassung5!BD:BD,L37,Erfassung5!BG:BG)</f>
        <v>0</v>
      </c>
      <c r="O37">
        <f t="shared" si="0"/>
        <v>0</v>
      </c>
      <c r="P37">
        <f t="shared" si="1"/>
        <v>1</v>
      </c>
    </row>
    <row r="38" spans="1:16" x14ac:dyDescent="0.35">
      <c r="A38" t="str">
        <f t="shared" ref="A38:A69" si="11">IFERROR(IF(A37+1&gt;MAX(P:P)-1,"",A37+1),"")</f>
        <v/>
      </c>
      <c r="B38" t="str">
        <f t="shared" si="7"/>
        <v/>
      </c>
      <c r="C38" t="str">
        <f>IFERROR(INDEX(Starter!B:B,MATCH(B38,Starter!A:A,0)),"")</f>
        <v/>
      </c>
      <c r="D38" t="str">
        <f>IFERROR(INDEX(Starter!C:C,MATCH(B38,Starter!A:A,0)),"")</f>
        <v/>
      </c>
      <c r="E38" s="102" t="str">
        <f t="shared" si="8"/>
        <v/>
      </c>
      <c r="F38" t="str">
        <f t="shared" si="9"/>
        <v/>
      </c>
      <c r="G38" s="137" t="str">
        <f t="shared" si="10"/>
        <v/>
      </c>
      <c r="L38" s="227">
        <f>INDEX(Starter!A:A,ROW()-1)</f>
        <v>7082</v>
      </c>
      <c r="M38">
        <f>SUMIF(Erfassung5!BD:BD,L38,Erfassung5!BW:BW)</f>
        <v>0</v>
      </c>
      <c r="N38">
        <f>SUMIF(Erfassung5!BD:BD,L38,Erfassung5!BG:BG)</f>
        <v>0</v>
      </c>
      <c r="O38">
        <f t="shared" si="0"/>
        <v>0</v>
      </c>
      <c r="P38">
        <f t="shared" si="1"/>
        <v>1</v>
      </c>
    </row>
    <row r="39" spans="1:16" x14ac:dyDescent="0.35">
      <c r="A39" t="str">
        <f t="shared" si="11"/>
        <v/>
      </c>
      <c r="B39" t="str">
        <f t="shared" si="7"/>
        <v/>
      </c>
      <c r="C39" t="str">
        <f>IFERROR(INDEX(Starter!B:B,MATCH(B39,Starter!A:A,0)),"")</f>
        <v/>
      </c>
      <c r="D39" t="str">
        <f>IFERROR(INDEX(Starter!C:C,MATCH(B39,Starter!A:A,0)),"")</f>
        <v/>
      </c>
      <c r="E39" s="102" t="str">
        <f t="shared" si="8"/>
        <v/>
      </c>
      <c r="F39" t="str">
        <f t="shared" si="9"/>
        <v/>
      </c>
      <c r="G39" s="137" t="str">
        <f t="shared" si="10"/>
        <v/>
      </c>
      <c r="L39" s="227">
        <f>INDEX(Starter!A:A,ROW()-1)</f>
        <v>16700</v>
      </c>
      <c r="M39">
        <f>SUMIF(Erfassung5!BD:BD,L39,Erfassung5!BW:BW)</f>
        <v>0</v>
      </c>
      <c r="N39">
        <f>SUMIF(Erfassung5!BD:BD,L39,Erfassung5!BG:BG)</f>
        <v>0</v>
      </c>
      <c r="O39">
        <f t="shared" si="0"/>
        <v>0</v>
      </c>
      <c r="P39">
        <f t="shared" si="1"/>
        <v>1</v>
      </c>
    </row>
    <row r="40" spans="1:16" x14ac:dyDescent="0.35">
      <c r="A40" t="str">
        <f t="shared" si="11"/>
        <v/>
      </c>
      <c r="B40" t="str">
        <f t="shared" si="7"/>
        <v/>
      </c>
      <c r="C40" t="str">
        <f>IFERROR(INDEX(Starter!B:B,MATCH(B40,Starter!A:A,0)),"")</f>
        <v/>
      </c>
      <c r="D40" t="str">
        <f>IFERROR(INDEX(Starter!C:C,MATCH(B40,Starter!A:A,0)),"")</f>
        <v/>
      </c>
      <c r="E40" s="102" t="str">
        <f t="shared" si="8"/>
        <v/>
      </c>
      <c r="F40" t="str">
        <f t="shared" si="9"/>
        <v/>
      </c>
      <c r="G40" s="137" t="str">
        <f t="shared" si="10"/>
        <v/>
      </c>
      <c r="L40" s="227">
        <f>INDEX(Starter!A:A,ROW()-1)</f>
        <v>38737</v>
      </c>
      <c r="M40">
        <f>SUMIF(Erfassung5!BD:BD,L40,Erfassung5!BW:BW)</f>
        <v>0</v>
      </c>
      <c r="N40">
        <f>SUMIF(Erfassung5!BD:BD,L40,Erfassung5!BG:BG)</f>
        <v>0</v>
      </c>
      <c r="O40">
        <f t="shared" si="0"/>
        <v>0</v>
      </c>
      <c r="P40">
        <f t="shared" si="1"/>
        <v>1</v>
      </c>
    </row>
    <row r="41" spans="1:16" x14ac:dyDescent="0.35">
      <c r="A41" t="str">
        <f t="shared" si="11"/>
        <v/>
      </c>
      <c r="B41" t="str">
        <f t="shared" si="7"/>
        <v/>
      </c>
      <c r="C41" t="str">
        <f>IFERROR(INDEX(Starter!B:B,MATCH(B41,Starter!A:A,0)),"")</f>
        <v/>
      </c>
      <c r="D41" t="str">
        <f>IFERROR(INDEX(Starter!C:C,MATCH(B41,Starter!A:A,0)),"")</f>
        <v/>
      </c>
      <c r="E41" s="102" t="str">
        <f t="shared" si="8"/>
        <v/>
      </c>
      <c r="F41" t="str">
        <f t="shared" si="9"/>
        <v/>
      </c>
      <c r="G41" s="137" t="str">
        <f t="shared" si="10"/>
        <v/>
      </c>
      <c r="L41" s="227">
        <f>INDEX(Starter!A:A,ROW()-1)</f>
        <v>7752</v>
      </c>
      <c r="M41">
        <f>SUMIF(Erfassung5!BD:BD,L41,Erfassung5!BW:BW)</f>
        <v>0</v>
      </c>
      <c r="N41">
        <f>SUMIF(Erfassung5!BD:BD,L41,Erfassung5!BG:BG)</f>
        <v>0</v>
      </c>
      <c r="O41">
        <f t="shared" si="0"/>
        <v>0</v>
      </c>
      <c r="P41">
        <f t="shared" si="1"/>
        <v>1</v>
      </c>
    </row>
    <row r="42" spans="1:16" x14ac:dyDescent="0.35">
      <c r="A42" t="str">
        <f t="shared" si="11"/>
        <v/>
      </c>
      <c r="B42" t="str">
        <f t="shared" si="7"/>
        <v/>
      </c>
      <c r="C42" t="str">
        <f>IFERROR(INDEX(Starter!B:B,MATCH(B42,Starter!A:A,0)),"")</f>
        <v/>
      </c>
      <c r="D42" t="str">
        <f>IFERROR(INDEX(Starter!C:C,MATCH(B42,Starter!A:A,0)),"")</f>
        <v/>
      </c>
      <c r="E42" s="102" t="str">
        <f t="shared" si="8"/>
        <v/>
      </c>
      <c r="F42" t="str">
        <f t="shared" si="9"/>
        <v/>
      </c>
      <c r="G42" s="137" t="str">
        <f t="shared" si="10"/>
        <v/>
      </c>
      <c r="L42" s="227">
        <f>INDEX(Starter!A:A,ROW()-1)</f>
        <v>25397</v>
      </c>
      <c r="M42">
        <f>SUMIF(Erfassung5!BD:BD,L42,Erfassung5!BW:BW)</f>
        <v>0</v>
      </c>
      <c r="N42">
        <f>SUMIF(Erfassung5!BD:BD,L42,Erfassung5!BG:BG)</f>
        <v>0</v>
      </c>
      <c r="O42">
        <f t="shared" si="0"/>
        <v>0</v>
      </c>
      <c r="P42">
        <f t="shared" si="1"/>
        <v>1</v>
      </c>
    </row>
    <row r="43" spans="1:16" x14ac:dyDescent="0.35">
      <c r="A43" t="str">
        <f t="shared" si="11"/>
        <v/>
      </c>
      <c r="B43" t="str">
        <f t="shared" si="7"/>
        <v/>
      </c>
      <c r="C43" t="str">
        <f>IFERROR(INDEX(Starter!B:B,MATCH(B43,Starter!A:A,0)),"")</f>
        <v/>
      </c>
      <c r="D43" t="str">
        <f>IFERROR(INDEX(Starter!C:C,MATCH(B43,Starter!A:A,0)),"")</f>
        <v/>
      </c>
      <c r="E43" s="102" t="str">
        <f t="shared" si="8"/>
        <v/>
      </c>
      <c r="F43" t="str">
        <f t="shared" si="9"/>
        <v/>
      </c>
      <c r="G43" s="137" t="str">
        <f t="shared" si="10"/>
        <v/>
      </c>
      <c r="L43" s="227">
        <f>INDEX(Starter!A:A,ROW()-1)</f>
        <v>38061</v>
      </c>
      <c r="M43">
        <f>SUMIF(Erfassung5!BD:BD,L43,Erfassung5!BW:BW)</f>
        <v>0</v>
      </c>
      <c r="N43">
        <f>SUMIF(Erfassung5!BD:BD,L43,Erfassung5!BG:BG)</f>
        <v>0</v>
      </c>
      <c r="O43">
        <f t="shared" si="0"/>
        <v>0</v>
      </c>
      <c r="P43">
        <f t="shared" si="1"/>
        <v>1</v>
      </c>
    </row>
    <row r="44" spans="1:16" x14ac:dyDescent="0.35">
      <c r="A44" t="str">
        <f t="shared" si="11"/>
        <v/>
      </c>
      <c r="B44" t="str">
        <f t="shared" si="7"/>
        <v/>
      </c>
      <c r="C44" t="str">
        <f>IFERROR(INDEX(Starter!B:B,MATCH(B44,Starter!A:A,0)),"")</f>
        <v/>
      </c>
      <c r="D44" t="str">
        <f>IFERROR(INDEX(Starter!C:C,MATCH(B44,Starter!A:A,0)),"")</f>
        <v/>
      </c>
      <c r="E44" s="102" t="str">
        <f t="shared" si="8"/>
        <v/>
      </c>
      <c r="F44" t="str">
        <f t="shared" si="9"/>
        <v/>
      </c>
      <c r="G44" s="137" t="str">
        <f t="shared" si="10"/>
        <v/>
      </c>
      <c r="L44" s="227">
        <f>INDEX(Starter!A:A,ROW()-1)</f>
        <v>7431</v>
      </c>
      <c r="M44">
        <f>SUMIF(Erfassung5!BD:BD,L44,Erfassung5!BW:BW)</f>
        <v>0</v>
      </c>
      <c r="N44">
        <f>SUMIF(Erfassung5!BD:BD,L44,Erfassung5!BG:BG)</f>
        <v>0</v>
      </c>
      <c r="O44">
        <f t="shared" si="0"/>
        <v>0</v>
      </c>
      <c r="P44">
        <f t="shared" si="1"/>
        <v>1</v>
      </c>
    </row>
    <row r="45" spans="1:16" x14ac:dyDescent="0.35">
      <c r="A45" t="str">
        <f t="shared" si="11"/>
        <v/>
      </c>
      <c r="B45" t="str">
        <f t="shared" si="7"/>
        <v/>
      </c>
      <c r="C45" t="str">
        <f>IFERROR(INDEX(Starter!B:B,MATCH(B45,Starter!A:A,0)),"")</f>
        <v/>
      </c>
      <c r="D45" t="str">
        <f>IFERROR(INDEX(Starter!C:C,MATCH(B45,Starter!A:A,0)),"")</f>
        <v/>
      </c>
      <c r="E45" s="102" t="str">
        <f t="shared" si="8"/>
        <v/>
      </c>
      <c r="F45" t="str">
        <f t="shared" si="9"/>
        <v/>
      </c>
      <c r="G45" s="137" t="str">
        <f t="shared" si="10"/>
        <v/>
      </c>
      <c r="L45" s="227">
        <f>INDEX(Starter!A:A,ROW()-1)</f>
        <v>7087</v>
      </c>
      <c r="M45">
        <f>SUMIF(Erfassung5!BD:BD,L45,Erfassung5!BW:BW)</f>
        <v>0</v>
      </c>
      <c r="N45">
        <f>SUMIF(Erfassung5!BD:BD,L45,Erfassung5!BG:BG)</f>
        <v>0</v>
      </c>
      <c r="O45">
        <f t="shared" si="0"/>
        <v>0</v>
      </c>
      <c r="P45">
        <f t="shared" si="1"/>
        <v>1</v>
      </c>
    </row>
    <row r="46" spans="1:16" x14ac:dyDescent="0.35">
      <c r="A46" t="str">
        <f t="shared" si="11"/>
        <v/>
      </c>
      <c r="B46" t="str">
        <f t="shared" si="7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102" t="str">
        <f t="shared" si="8"/>
        <v/>
      </c>
      <c r="F46" t="str">
        <f t="shared" si="9"/>
        <v/>
      </c>
      <c r="G46" s="137" t="str">
        <f t="shared" si="10"/>
        <v/>
      </c>
      <c r="L46" s="227">
        <f>INDEX(Starter!A:A,ROW()-1)</f>
        <v>16414</v>
      </c>
      <c r="M46">
        <f>SUMIF(Erfassung5!BD:BD,L46,Erfassung5!BW:BW)</f>
        <v>0</v>
      </c>
      <c r="N46">
        <f>SUMIF(Erfassung5!BD:BD,L46,Erfassung5!BG:BG)</f>
        <v>0</v>
      </c>
      <c r="O46">
        <f t="shared" si="0"/>
        <v>0</v>
      </c>
      <c r="P46">
        <f t="shared" si="1"/>
        <v>1</v>
      </c>
    </row>
    <row r="47" spans="1:16" x14ac:dyDescent="0.35">
      <c r="A47" t="str">
        <f t="shared" si="11"/>
        <v/>
      </c>
      <c r="B47" t="str">
        <f t="shared" si="7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8"/>
        <v/>
      </c>
      <c r="F47" t="str">
        <f t="shared" si="9"/>
        <v/>
      </c>
      <c r="G47" s="137" t="str">
        <f t="shared" si="10"/>
        <v/>
      </c>
      <c r="L47" s="227">
        <f>INDEX(Starter!A:A,ROW()-1)</f>
        <v>16713</v>
      </c>
      <c r="M47">
        <f>SUMIF(Erfassung5!BD:BD,L47,Erfassung5!BW:BW)</f>
        <v>0</v>
      </c>
      <c r="N47">
        <f>SUMIF(Erfassung5!BD:BD,L47,Erfassung5!BG:BG)</f>
        <v>0</v>
      </c>
      <c r="O47">
        <f t="shared" si="0"/>
        <v>0</v>
      </c>
      <c r="P47">
        <f t="shared" si="1"/>
        <v>1</v>
      </c>
    </row>
    <row r="48" spans="1:16" x14ac:dyDescent="0.35">
      <c r="A48" t="str">
        <f t="shared" si="11"/>
        <v/>
      </c>
      <c r="B48" t="str">
        <f t="shared" si="7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8"/>
        <v/>
      </c>
      <c r="F48" t="str">
        <f t="shared" si="9"/>
        <v/>
      </c>
      <c r="G48" s="137" t="str">
        <f t="shared" si="10"/>
        <v/>
      </c>
      <c r="L48" s="227">
        <f>INDEX(Starter!A:A,ROW()-1)</f>
        <v>7541</v>
      </c>
      <c r="M48">
        <f>SUMIF(Erfassung5!BD:BD,L48,Erfassung5!BW:BW)</f>
        <v>0</v>
      </c>
      <c r="N48">
        <f>SUMIF(Erfassung5!BD:BD,L48,Erfassung5!BG:BG)</f>
        <v>0</v>
      </c>
      <c r="O48">
        <f t="shared" si="0"/>
        <v>0</v>
      </c>
      <c r="P48">
        <f t="shared" si="1"/>
        <v>1</v>
      </c>
    </row>
    <row r="49" spans="1:16" x14ac:dyDescent="0.35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7546</v>
      </c>
      <c r="M49">
        <f>SUMIF(Erfassung5!BD:BD,L49,Erfassung5!BW:BW)</f>
        <v>0</v>
      </c>
      <c r="N49">
        <f>SUMIF(Erfassung5!BD:BD,L49,Erfassung5!BG:BG)</f>
        <v>0</v>
      </c>
      <c r="O49">
        <f t="shared" si="0"/>
        <v>0</v>
      </c>
      <c r="P49">
        <f t="shared" si="1"/>
        <v>1</v>
      </c>
    </row>
    <row r="50" spans="1:16" x14ac:dyDescent="0.3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16953</v>
      </c>
      <c r="M50">
        <f>SUMIF(Erfassung5!BD:BD,L50,Erfassung5!BW:BW)</f>
        <v>0</v>
      </c>
      <c r="N50">
        <f>SUMIF(Erfassung5!BD:BD,L50,Erfassung5!BG:BG)</f>
        <v>0</v>
      </c>
      <c r="O50">
        <f t="shared" si="0"/>
        <v>0</v>
      </c>
      <c r="P50">
        <f t="shared" si="1"/>
        <v>1</v>
      </c>
    </row>
    <row r="51" spans="1:16" x14ac:dyDescent="0.3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21185</v>
      </c>
      <c r="M51">
        <f>SUMIF(Erfassung5!BD:BD,L51,Erfassung5!BW:BW)</f>
        <v>0</v>
      </c>
      <c r="N51">
        <f>SUMIF(Erfassung5!BD:BD,L51,Erfassung5!BG:BG)</f>
        <v>0</v>
      </c>
      <c r="O51">
        <f t="shared" si="0"/>
        <v>0</v>
      </c>
      <c r="P51">
        <f t="shared" si="1"/>
        <v>1</v>
      </c>
    </row>
    <row r="52" spans="1:16" x14ac:dyDescent="0.3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7551</v>
      </c>
      <c r="M52">
        <f>SUMIF(Erfassung5!BD:BD,L52,Erfassung5!BW:BW)</f>
        <v>0</v>
      </c>
      <c r="N52">
        <f>SUMIF(Erfassung5!BD:BD,L52,Erfassung5!BG:BG)</f>
        <v>0</v>
      </c>
      <c r="O52">
        <f t="shared" si="0"/>
        <v>0</v>
      </c>
      <c r="P52">
        <f t="shared" si="1"/>
        <v>1</v>
      </c>
    </row>
    <row r="53" spans="1:16" x14ac:dyDescent="0.3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16900</v>
      </c>
      <c r="M53">
        <f>SUMIF(Erfassung5!BD:BD,L53,Erfassung5!BW:BW)</f>
        <v>0</v>
      </c>
      <c r="N53">
        <f>SUMIF(Erfassung5!BD:BD,L53,Erfassung5!BG:BG)</f>
        <v>0</v>
      </c>
      <c r="O53">
        <f t="shared" si="0"/>
        <v>0</v>
      </c>
      <c r="P53">
        <f t="shared" si="1"/>
        <v>1</v>
      </c>
    </row>
    <row r="54" spans="1:16" x14ac:dyDescent="0.3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7787</v>
      </c>
      <c r="M54">
        <f>SUMIF(Erfassung5!BD:BD,L54,Erfassung5!BW:BW)</f>
        <v>0</v>
      </c>
      <c r="N54">
        <f>SUMIF(Erfassung5!BD:BD,L54,Erfassung5!BG:BG)</f>
        <v>0</v>
      </c>
      <c r="O54">
        <f t="shared" si="0"/>
        <v>0</v>
      </c>
      <c r="P54">
        <f t="shared" si="1"/>
        <v>1</v>
      </c>
    </row>
    <row r="55" spans="1:16" x14ac:dyDescent="0.3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7786</v>
      </c>
      <c r="M55">
        <f>SUMIF(Erfassung5!BD:BD,L55,Erfassung5!BW:BW)</f>
        <v>0</v>
      </c>
      <c r="N55">
        <f>SUMIF(Erfassung5!BD:BD,L55,Erfassung5!BG:BG)</f>
        <v>0</v>
      </c>
      <c r="O55">
        <f t="shared" si="0"/>
        <v>0</v>
      </c>
      <c r="P55">
        <f t="shared" si="1"/>
        <v>1</v>
      </c>
    </row>
    <row r="56" spans="1:16" x14ac:dyDescent="0.3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7801</v>
      </c>
      <c r="M56">
        <f>SUMIF(Erfassung5!BD:BD,L56,Erfassung5!BW:BW)</f>
        <v>0</v>
      </c>
      <c r="N56">
        <f>SUMIF(Erfassung5!BD:BD,L56,Erfassung5!BG:BG)</f>
        <v>0</v>
      </c>
      <c r="O56">
        <f t="shared" si="0"/>
        <v>0</v>
      </c>
      <c r="P56">
        <f t="shared" si="1"/>
        <v>1</v>
      </c>
    </row>
    <row r="57" spans="1:16" x14ac:dyDescent="0.3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25551</v>
      </c>
      <c r="M57">
        <f>SUMIF(Erfassung5!BD:BD,L57,Erfassung5!BW:BW)</f>
        <v>0</v>
      </c>
      <c r="N57">
        <f>SUMIF(Erfassung5!BD:BD,L57,Erfassung5!BG:BG)</f>
        <v>0</v>
      </c>
      <c r="O57">
        <f t="shared" si="0"/>
        <v>0</v>
      </c>
      <c r="P57">
        <f t="shared" si="1"/>
        <v>1</v>
      </c>
    </row>
    <row r="58" spans="1:16" x14ac:dyDescent="0.3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25982</v>
      </c>
      <c r="M58">
        <f>SUMIF(Erfassung5!BD:BD,L58,Erfassung5!BW:BW)</f>
        <v>0</v>
      </c>
      <c r="N58">
        <f>SUMIF(Erfassung5!BD:BD,L58,Erfassung5!BG:BG)</f>
        <v>0</v>
      </c>
      <c r="O58">
        <f t="shared" si="0"/>
        <v>0</v>
      </c>
      <c r="P58">
        <f t="shared" si="1"/>
        <v>1</v>
      </c>
    </row>
    <row r="59" spans="1:16" x14ac:dyDescent="0.3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38513</v>
      </c>
      <c r="M59">
        <f>SUMIF(Erfassung5!BD:BD,L59,Erfassung5!BW:BW)</f>
        <v>0</v>
      </c>
      <c r="N59">
        <f>SUMIF(Erfassung5!BD:BD,L59,Erfassung5!BG:BG)</f>
        <v>0</v>
      </c>
      <c r="O59">
        <f t="shared" si="0"/>
        <v>0</v>
      </c>
      <c r="P59">
        <f t="shared" si="1"/>
        <v>1</v>
      </c>
    </row>
    <row r="60" spans="1:16" x14ac:dyDescent="0.3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7972</v>
      </c>
      <c r="M60">
        <f>SUMIF(Erfassung5!BD:BD,L60,Erfassung5!BW:BW)</f>
        <v>0</v>
      </c>
      <c r="N60">
        <f>SUMIF(Erfassung5!BD:BD,L60,Erfassung5!BG:BG)</f>
        <v>0</v>
      </c>
      <c r="O60">
        <f t="shared" si="0"/>
        <v>0</v>
      </c>
      <c r="P60">
        <f t="shared" si="1"/>
        <v>1</v>
      </c>
    </row>
    <row r="61" spans="1:16" x14ac:dyDescent="0.3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7976</v>
      </c>
      <c r="M61">
        <f>SUMIF(Erfassung5!BD:BD,L61,Erfassung5!BW:BW)</f>
        <v>0</v>
      </c>
      <c r="N61">
        <f>SUMIF(Erfassung5!BD:BD,L61,Erfassung5!BG:BG)</f>
        <v>0</v>
      </c>
      <c r="O61">
        <f t="shared" si="0"/>
        <v>0</v>
      </c>
      <c r="P61">
        <f t="shared" si="1"/>
        <v>1</v>
      </c>
    </row>
    <row r="62" spans="1:16" x14ac:dyDescent="0.3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7977</v>
      </c>
      <c r="M62">
        <f>SUMIF(Erfassung5!BD:BD,L62,Erfassung5!BW:BW)</f>
        <v>0</v>
      </c>
      <c r="N62">
        <f>SUMIF(Erfassung5!BD:BD,L62,Erfassung5!BG:BG)</f>
        <v>0</v>
      </c>
      <c r="O62">
        <f t="shared" si="0"/>
        <v>0</v>
      </c>
      <c r="P62">
        <f t="shared" si="1"/>
        <v>1</v>
      </c>
    </row>
    <row r="63" spans="1:16" x14ac:dyDescent="0.3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7975</v>
      </c>
      <c r="M63">
        <f>SUMIF(Erfassung5!BD:BD,L63,Erfassung5!BW:BW)</f>
        <v>0</v>
      </c>
      <c r="N63">
        <f>SUMIF(Erfassung5!BD:BD,L63,Erfassung5!BG:BG)</f>
        <v>0</v>
      </c>
      <c r="O63">
        <f t="shared" si="0"/>
        <v>0</v>
      </c>
      <c r="P63">
        <f t="shared" si="1"/>
        <v>1</v>
      </c>
    </row>
    <row r="64" spans="1:16" x14ac:dyDescent="0.3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16475</v>
      </c>
      <c r="M64">
        <f>SUMIF(Erfassung5!BD:BD,L64,Erfassung5!BW:BW)</f>
        <v>0</v>
      </c>
      <c r="N64">
        <f>SUMIF(Erfassung5!BD:BD,L64,Erfassung5!BG:BG)</f>
        <v>0</v>
      </c>
      <c r="O64">
        <f t="shared" si="0"/>
        <v>0</v>
      </c>
      <c r="P64">
        <f t="shared" si="1"/>
        <v>1</v>
      </c>
    </row>
    <row r="65" spans="1:16" x14ac:dyDescent="0.3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38458</v>
      </c>
      <c r="M65">
        <f>SUMIF(Erfassung5!BD:BD,L65,Erfassung5!BW:BW)</f>
        <v>0</v>
      </c>
      <c r="N65">
        <f>SUMIF(Erfassung5!BD:BD,L65,Erfassung5!BG:BG)</f>
        <v>0</v>
      </c>
      <c r="O65">
        <f t="shared" si="0"/>
        <v>0</v>
      </c>
      <c r="P65">
        <f t="shared" si="1"/>
        <v>1</v>
      </c>
    </row>
    <row r="66" spans="1:16" x14ac:dyDescent="0.3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25808</v>
      </c>
      <c r="M66">
        <f>SUMIF(Erfassung5!BD:BD,L66,Erfassung5!BW:BW)</f>
        <v>0</v>
      </c>
      <c r="N66">
        <f>SUMIF(Erfassung5!BD:BD,L66,Erfassung5!BG:BG)</f>
        <v>0</v>
      </c>
      <c r="O66">
        <f t="shared" ref="O66:O104" si="12">IF(N66=0,0,M66/N66-ROW()/1000000000)</f>
        <v>0</v>
      </c>
      <c r="P66">
        <f t="shared" ref="P66:P104" si="13">RANK(O66,O:O)</f>
        <v>1</v>
      </c>
    </row>
    <row r="67" spans="1:16" x14ac:dyDescent="0.3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38210</v>
      </c>
      <c r="M67">
        <f>SUMIF(Erfassung5!BD:BD,L67,Erfassung5!BW:BW)</f>
        <v>0</v>
      </c>
      <c r="N67">
        <f>SUMIF(Erfassung5!BD:BD,L67,Erfassung5!BG:BG)</f>
        <v>0</v>
      </c>
      <c r="O67">
        <f t="shared" si="12"/>
        <v>0</v>
      </c>
      <c r="P67">
        <f t="shared" si="13"/>
        <v>1</v>
      </c>
    </row>
    <row r="68" spans="1:16" x14ac:dyDescent="0.3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7549</v>
      </c>
      <c r="M68">
        <f>SUMIF(Erfassung5!BD:BD,L68,Erfassung5!BW:BW)</f>
        <v>0</v>
      </c>
      <c r="N68">
        <f>SUMIF(Erfassung5!BD:BD,L68,Erfassung5!BG:BG)</f>
        <v>0</v>
      </c>
      <c r="O68">
        <f t="shared" si="12"/>
        <v>0</v>
      </c>
      <c r="P68">
        <f t="shared" si="13"/>
        <v>1</v>
      </c>
    </row>
    <row r="69" spans="1:16" x14ac:dyDescent="0.3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25192</v>
      </c>
      <c r="M69">
        <f>SUMIF(Erfassung5!BD:BD,L69,Erfassung5!BW:BW)</f>
        <v>0</v>
      </c>
      <c r="N69">
        <f>SUMIF(Erfassung5!BD:BD,L69,Erfassung5!BG:BG)</f>
        <v>0</v>
      </c>
      <c r="O69">
        <f t="shared" si="12"/>
        <v>0</v>
      </c>
      <c r="P69">
        <f t="shared" si="13"/>
        <v>1</v>
      </c>
    </row>
    <row r="70" spans="1:16" x14ac:dyDescent="0.3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25714</v>
      </c>
      <c r="M70">
        <f>SUMIF(Erfassung5!BD:BD,L70,Erfassung5!BW:BW)</f>
        <v>0</v>
      </c>
      <c r="N70">
        <f>SUMIF(Erfassung5!BD:BD,L70,Erfassung5!BG:BG)</f>
        <v>0</v>
      </c>
      <c r="O70">
        <f t="shared" si="12"/>
        <v>0</v>
      </c>
      <c r="P70">
        <f t="shared" si="13"/>
        <v>1</v>
      </c>
    </row>
    <row r="71" spans="1:16" x14ac:dyDescent="0.3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7534</v>
      </c>
      <c r="M71">
        <f>SUMIF(Erfassung5!BD:BD,L71,Erfassung5!BW:BW)</f>
        <v>0</v>
      </c>
      <c r="N71">
        <f>SUMIF(Erfassung5!BD:BD,L71,Erfassung5!BG:BG)</f>
        <v>0</v>
      </c>
      <c r="O71">
        <f t="shared" si="12"/>
        <v>0</v>
      </c>
      <c r="P71">
        <f t="shared" si="13"/>
        <v>1</v>
      </c>
    </row>
    <row r="72" spans="1:16" x14ac:dyDescent="0.3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38289</v>
      </c>
      <c r="M72">
        <f>SUMIF(Erfassung5!BD:BD,L72,Erfassung5!BW:BW)</f>
        <v>0</v>
      </c>
      <c r="N72">
        <f>SUMIF(Erfassung5!BD:BD,L72,Erfassung5!BG:BG)</f>
        <v>0</v>
      </c>
      <c r="O72">
        <f t="shared" si="12"/>
        <v>0</v>
      </c>
      <c r="P72">
        <f t="shared" si="13"/>
        <v>1</v>
      </c>
    </row>
    <row r="73" spans="1:16" x14ac:dyDescent="0.3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25347</v>
      </c>
      <c r="M73">
        <f>SUMIF(Erfassung5!BD:BD,L73,Erfassung5!BW:BW)</f>
        <v>0</v>
      </c>
      <c r="N73">
        <f>SUMIF(Erfassung5!BD:BD,L73,Erfassung5!BG:BG)</f>
        <v>0</v>
      </c>
      <c r="O73">
        <f t="shared" si="12"/>
        <v>0</v>
      </c>
      <c r="P73">
        <f t="shared" si="13"/>
        <v>1</v>
      </c>
    </row>
    <row r="74" spans="1:16" x14ac:dyDescent="0.3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38607</v>
      </c>
      <c r="M74">
        <f>SUMIF(Erfassung5!BD:BD,L74,Erfassung5!BW:BW)</f>
        <v>0</v>
      </c>
      <c r="N74">
        <f>SUMIF(Erfassung5!BD:BD,L74,Erfassung5!BG:BG)</f>
        <v>0</v>
      </c>
      <c r="O74">
        <f t="shared" si="12"/>
        <v>0</v>
      </c>
      <c r="P74">
        <f t="shared" si="13"/>
        <v>1</v>
      </c>
    </row>
    <row r="75" spans="1:16" x14ac:dyDescent="0.3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SUMIF(Erfassung5!BD:BD,L75,Erfassung5!BW:BW)</f>
        <v>0</v>
      </c>
      <c r="N75">
        <f>SUMIF(Erfassung5!BD:BD,L75,Erfassung5!BG:BG)</f>
        <v>0</v>
      </c>
      <c r="O75">
        <f t="shared" si="12"/>
        <v>0</v>
      </c>
      <c r="P75">
        <f t="shared" si="13"/>
        <v>1</v>
      </c>
    </row>
    <row r="76" spans="1:16" x14ac:dyDescent="0.3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SUMIF(Erfassung5!BD:BD,L76,Erfassung5!BW:BW)</f>
        <v>0</v>
      </c>
      <c r="N76">
        <f>SUMIF(Erfassung5!BD:BD,L76,Erfassung5!BG:BG)</f>
        <v>0</v>
      </c>
      <c r="O76">
        <f t="shared" si="12"/>
        <v>0</v>
      </c>
      <c r="P76">
        <f t="shared" si="13"/>
        <v>1</v>
      </c>
    </row>
    <row r="77" spans="1:16" x14ac:dyDescent="0.3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SUMIF(Erfassung5!BD:BD,L77,Erfassung5!BW:BW)</f>
        <v>0</v>
      </c>
      <c r="N77">
        <f>SUMIF(Erfassung5!BD:BD,L77,Erfassung5!BG:BG)</f>
        <v>0</v>
      </c>
      <c r="O77">
        <f t="shared" si="12"/>
        <v>0</v>
      </c>
      <c r="P77">
        <f t="shared" si="13"/>
        <v>1</v>
      </c>
    </row>
    <row r="78" spans="1:16" x14ac:dyDescent="0.3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SUMIF(Erfassung5!BD:BD,L78,Erfassung5!BW:BW)</f>
        <v>0</v>
      </c>
      <c r="N78">
        <f>SUMIF(Erfassung5!BD:BD,L78,Erfassung5!BG:BG)</f>
        <v>0</v>
      </c>
      <c r="O78">
        <f t="shared" si="12"/>
        <v>0</v>
      </c>
      <c r="P78">
        <f t="shared" si="13"/>
        <v>1</v>
      </c>
    </row>
    <row r="79" spans="1:16" x14ac:dyDescent="0.3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SUMIF(Erfassung5!BD:BD,L79,Erfassung5!BW:BW)</f>
        <v>0</v>
      </c>
      <c r="N79">
        <f>SUMIF(Erfassung5!BD:BD,L79,Erfassung5!BG:BG)</f>
        <v>0</v>
      </c>
      <c r="O79">
        <f t="shared" si="12"/>
        <v>0</v>
      </c>
      <c r="P79">
        <f t="shared" si="13"/>
        <v>1</v>
      </c>
    </row>
    <row r="80" spans="1:16" x14ac:dyDescent="0.3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SUMIF(Erfassung5!BD:BD,L80,Erfassung5!BW:BW)</f>
        <v>0</v>
      </c>
      <c r="N80">
        <f>SUMIF(Erfassung5!BD:BD,L80,Erfassung5!BG:BG)</f>
        <v>0</v>
      </c>
      <c r="O80">
        <f t="shared" si="12"/>
        <v>0</v>
      </c>
      <c r="P80">
        <f t="shared" si="13"/>
        <v>1</v>
      </c>
    </row>
    <row r="81" spans="1:16" x14ac:dyDescent="0.3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SUMIF(Erfassung5!BD:BD,L81,Erfassung5!BW:BW)</f>
        <v>0</v>
      </c>
      <c r="N81">
        <f>SUMIF(Erfassung5!BD:BD,L81,Erfassung5!BG:BG)</f>
        <v>0</v>
      </c>
      <c r="O81">
        <f t="shared" si="12"/>
        <v>0</v>
      </c>
      <c r="P81">
        <f t="shared" si="13"/>
        <v>1</v>
      </c>
    </row>
    <row r="82" spans="1:16" x14ac:dyDescent="0.3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SUMIF(Erfassung5!BD:BD,L82,Erfassung5!BW:BW)</f>
        <v>0</v>
      </c>
      <c r="N82">
        <f>SUMIF(Erfassung5!BD:BD,L82,Erfassung5!BG:BG)</f>
        <v>0</v>
      </c>
      <c r="O82">
        <f t="shared" si="12"/>
        <v>0</v>
      </c>
      <c r="P82">
        <f t="shared" si="13"/>
        <v>1</v>
      </c>
    </row>
    <row r="83" spans="1:16" x14ac:dyDescent="0.3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SUMIF(Erfassung5!BD:BD,L83,Erfassung5!BW:BW)</f>
        <v>0</v>
      </c>
      <c r="N83">
        <f>SUMIF(Erfassung5!BD:BD,L83,Erfassung5!BG:BG)</f>
        <v>0</v>
      </c>
      <c r="O83">
        <f t="shared" si="12"/>
        <v>0</v>
      </c>
      <c r="P83">
        <f t="shared" si="13"/>
        <v>1</v>
      </c>
    </row>
    <row r="84" spans="1:16" x14ac:dyDescent="0.3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SUMIF(Erfassung5!BD:BD,L84,Erfassung5!BW:BW)</f>
        <v>0</v>
      </c>
      <c r="N84">
        <f>SUMIF(Erfassung5!BD:BD,L84,Erfassung5!BG:BG)</f>
        <v>0</v>
      </c>
      <c r="O84">
        <f t="shared" si="12"/>
        <v>0</v>
      </c>
      <c r="P84">
        <f t="shared" si="13"/>
        <v>1</v>
      </c>
    </row>
    <row r="85" spans="1:16" x14ac:dyDescent="0.3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SUMIF(Erfassung5!BD:BD,L85,Erfassung5!BW:BW)</f>
        <v>0</v>
      </c>
      <c r="N85">
        <f>SUMIF(Erfassung5!BD:BD,L85,Erfassung5!BG:BG)</f>
        <v>0</v>
      </c>
      <c r="O85">
        <f t="shared" si="12"/>
        <v>0</v>
      </c>
      <c r="P85">
        <f t="shared" si="13"/>
        <v>1</v>
      </c>
    </row>
    <row r="86" spans="1:16" x14ac:dyDescent="0.3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SUMIF(Erfassung5!BD:BD,L86,Erfassung5!BW:BW)</f>
        <v>0</v>
      </c>
      <c r="N86">
        <f>SUMIF(Erfassung5!BD:BD,L86,Erfassung5!BG:BG)</f>
        <v>0</v>
      </c>
      <c r="O86">
        <f t="shared" si="12"/>
        <v>0</v>
      </c>
      <c r="P86">
        <f t="shared" si="13"/>
        <v>1</v>
      </c>
    </row>
    <row r="87" spans="1:16" x14ac:dyDescent="0.3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SUMIF(Erfassung5!BD:BD,L87,Erfassung5!BW:BW)</f>
        <v>0</v>
      </c>
      <c r="N87">
        <f>SUMIF(Erfassung5!BD:BD,L87,Erfassung5!BG:BG)</f>
        <v>0</v>
      </c>
      <c r="O87">
        <f t="shared" si="12"/>
        <v>0</v>
      </c>
      <c r="P87">
        <f t="shared" si="13"/>
        <v>1</v>
      </c>
    </row>
    <row r="88" spans="1:16" x14ac:dyDescent="0.3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SUMIF(Erfassung5!BD:BD,L88,Erfassung5!BW:BW)</f>
        <v>0</v>
      </c>
      <c r="N88">
        <f>SUMIF(Erfassung5!BD:BD,L88,Erfassung5!BG:BG)</f>
        <v>0</v>
      </c>
      <c r="O88">
        <f t="shared" si="12"/>
        <v>0</v>
      </c>
      <c r="P88">
        <f t="shared" si="13"/>
        <v>1</v>
      </c>
    </row>
    <row r="89" spans="1:16" x14ac:dyDescent="0.3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SUMIF(Erfassung5!BD:BD,L89,Erfassung5!BW:BW)</f>
        <v>0</v>
      </c>
      <c r="N89">
        <f>SUMIF(Erfassung5!BD:BD,L89,Erfassung5!BG:BG)</f>
        <v>0</v>
      </c>
      <c r="O89">
        <f t="shared" si="12"/>
        <v>0</v>
      </c>
      <c r="P89">
        <f t="shared" si="13"/>
        <v>1</v>
      </c>
    </row>
    <row r="90" spans="1:16" x14ac:dyDescent="0.3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SUMIF(Erfassung5!BD:BD,L90,Erfassung5!BW:BW)</f>
        <v>0</v>
      </c>
      <c r="N90">
        <f>SUMIF(Erfassung5!BD:BD,L90,Erfassung5!BG:BG)</f>
        <v>0</v>
      </c>
      <c r="O90">
        <f t="shared" si="12"/>
        <v>0</v>
      </c>
      <c r="P90">
        <f t="shared" si="13"/>
        <v>1</v>
      </c>
    </row>
    <row r="91" spans="1:16" x14ac:dyDescent="0.3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SUMIF(Erfassung5!BD:BD,L91,Erfassung5!BW:BW)</f>
        <v>0</v>
      </c>
      <c r="N91">
        <f>SUMIF(Erfassung5!BD:BD,L91,Erfassung5!BG:BG)</f>
        <v>0</v>
      </c>
      <c r="O91">
        <f t="shared" si="12"/>
        <v>0</v>
      </c>
      <c r="P91">
        <f t="shared" si="13"/>
        <v>1</v>
      </c>
    </row>
    <row r="92" spans="1:16" x14ac:dyDescent="0.3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SUMIF(Erfassung5!BD:BD,L92,Erfassung5!BW:BW)</f>
        <v>0</v>
      </c>
      <c r="N92">
        <f>SUMIF(Erfassung5!BD:BD,L92,Erfassung5!BG:BG)</f>
        <v>0</v>
      </c>
      <c r="O92">
        <f t="shared" si="12"/>
        <v>0</v>
      </c>
      <c r="P92">
        <f t="shared" si="13"/>
        <v>1</v>
      </c>
    </row>
    <row r="93" spans="1:16" x14ac:dyDescent="0.3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SUMIF(Erfassung5!BD:BD,L93,Erfassung5!BW:BW)</f>
        <v>0</v>
      </c>
      <c r="N93">
        <f>SUMIF(Erfassung5!BD:BD,L93,Erfassung5!BG:BG)</f>
        <v>0</v>
      </c>
      <c r="O93">
        <f t="shared" si="12"/>
        <v>0</v>
      </c>
      <c r="P93">
        <f t="shared" si="13"/>
        <v>1</v>
      </c>
    </row>
    <row r="94" spans="1:16" x14ac:dyDescent="0.3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SUMIF(Erfassung5!BD:BD,L94,Erfassung5!BW:BW)</f>
        <v>0</v>
      </c>
      <c r="N94">
        <f>SUMIF(Erfassung5!BD:BD,L94,Erfassung5!BG:BG)</f>
        <v>0</v>
      </c>
      <c r="O94">
        <f t="shared" si="12"/>
        <v>0</v>
      </c>
      <c r="P94">
        <f t="shared" si="13"/>
        <v>1</v>
      </c>
    </row>
    <row r="95" spans="1:16" x14ac:dyDescent="0.3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SUMIF(Erfassung5!BD:BD,L95,Erfassung5!BW:BW)</f>
        <v>0</v>
      </c>
      <c r="N95">
        <f>SUMIF(Erfassung5!BD:BD,L95,Erfassung5!BG:BG)</f>
        <v>0</v>
      </c>
      <c r="O95">
        <f t="shared" si="12"/>
        <v>0</v>
      </c>
      <c r="P95">
        <f t="shared" si="13"/>
        <v>1</v>
      </c>
    </row>
    <row r="96" spans="1:16" x14ac:dyDescent="0.3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SUMIF(Erfassung5!BD:BD,L96,Erfassung5!BW:BW)</f>
        <v>0</v>
      </c>
      <c r="N96">
        <f>SUMIF(Erfassung5!BD:BD,L96,Erfassung5!BG:BG)</f>
        <v>0</v>
      </c>
      <c r="O96">
        <f t="shared" si="12"/>
        <v>0</v>
      </c>
      <c r="P96">
        <f t="shared" si="13"/>
        <v>1</v>
      </c>
    </row>
    <row r="97" spans="1:16" x14ac:dyDescent="0.3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SUMIF(Erfassung5!BD:BD,L97,Erfassung5!BW:BW)</f>
        <v>0</v>
      </c>
      <c r="N97">
        <f>SUMIF(Erfassung5!BD:BD,L97,Erfassung5!BG:BG)</f>
        <v>0</v>
      </c>
      <c r="O97">
        <f t="shared" si="12"/>
        <v>0</v>
      </c>
      <c r="P97">
        <f t="shared" si="13"/>
        <v>1</v>
      </c>
    </row>
    <row r="98" spans="1:16" x14ac:dyDescent="0.3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SUMIF(Erfassung5!BD:BD,L98,Erfassung5!BW:BW)</f>
        <v>0</v>
      </c>
      <c r="N98">
        <f>SUMIF(Erfassung5!BD:BD,L98,Erfassung5!BG:BG)</f>
        <v>0</v>
      </c>
      <c r="O98">
        <f t="shared" si="12"/>
        <v>0</v>
      </c>
      <c r="P98">
        <f t="shared" si="13"/>
        <v>1</v>
      </c>
    </row>
    <row r="99" spans="1:16" x14ac:dyDescent="0.3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SUMIF(Erfassung5!BD:BD,L99,Erfassung5!BW:BW)</f>
        <v>0</v>
      </c>
      <c r="N99">
        <f>SUMIF(Erfassung5!BD:BD,L99,Erfassung5!BG:BG)</f>
        <v>0</v>
      </c>
      <c r="O99">
        <f t="shared" si="12"/>
        <v>0</v>
      </c>
      <c r="P99">
        <f t="shared" si="13"/>
        <v>1</v>
      </c>
    </row>
    <row r="100" spans="1:16" x14ac:dyDescent="0.3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SUMIF(Erfassung5!BD:BD,L100,Erfassung5!BW:BW)</f>
        <v>0</v>
      </c>
      <c r="N100">
        <f>SUMIF(Erfassung5!BD:BD,L100,Erfassung5!BG:BG)</f>
        <v>0</v>
      </c>
      <c r="O100">
        <f t="shared" si="12"/>
        <v>0</v>
      </c>
      <c r="P100">
        <f t="shared" si="13"/>
        <v>1</v>
      </c>
    </row>
    <row r="101" spans="1:16" x14ac:dyDescent="0.3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SUMIF(Erfassung5!BD:BD,L101,Erfassung5!BW:BW)</f>
        <v>0</v>
      </c>
      <c r="N101">
        <f>SUMIF(Erfassung5!BD:BD,L101,Erfassung5!BG:BG)</f>
        <v>0</v>
      </c>
      <c r="O101">
        <f t="shared" si="12"/>
        <v>0</v>
      </c>
      <c r="P101">
        <f t="shared" si="13"/>
        <v>1</v>
      </c>
    </row>
    <row r="102" spans="1:16" x14ac:dyDescent="0.3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SUMIF(Erfassung5!BD:BD,L102,Erfassung5!BW:BW)</f>
        <v>0</v>
      </c>
      <c r="N102">
        <f>SUMIF(Erfassung5!BD:BD,L102,Erfassung5!BG:BG)</f>
        <v>0</v>
      </c>
      <c r="O102">
        <f t="shared" si="12"/>
        <v>0</v>
      </c>
      <c r="P102">
        <f t="shared" si="13"/>
        <v>1</v>
      </c>
    </row>
    <row r="103" spans="1:16" x14ac:dyDescent="0.3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SUMIF(Erfassung5!BD:BD,L103,Erfassung5!BW:BW)</f>
        <v>0</v>
      </c>
      <c r="N103">
        <f>SUMIF(Erfassung5!BD:BD,L103,Erfassung5!BG:BG)</f>
        <v>0</v>
      </c>
      <c r="O103">
        <f t="shared" si="12"/>
        <v>0</v>
      </c>
      <c r="P103">
        <f t="shared" si="13"/>
        <v>1</v>
      </c>
    </row>
    <row r="104" spans="1:16" x14ac:dyDescent="0.3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SUMIF(Erfassung5!BD:BD,L104,Erfassung5!BW:BW)</f>
        <v>0</v>
      </c>
      <c r="N104">
        <f>SUMIF(Erfassung5!BD:BD,L104,Erfassung5!BG:BG)</f>
        <v>0</v>
      </c>
      <c r="O104">
        <f t="shared" si="12"/>
        <v>0</v>
      </c>
      <c r="P104">
        <f t="shared" si="13"/>
        <v>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belle30">
    <tabColor rgb="FF7030A0"/>
  </sheetPr>
  <dimension ref="A1:P104"/>
  <sheetViews>
    <sheetView view="pageBreakPreview" zoomScaleNormal="100" zoomScaleSheetLayoutView="100" workbookViewId="0">
      <selection activeCell="F22" sqref="F22:G22"/>
    </sheetView>
  </sheetViews>
  <sheetFormatPr baseColWidth="10" defaultColWidth="11.33203125" defaultRowHeight="12.75" x14ac:dyDescent="0.35"/>
  <cols>
    <col min="1" max="1" width="5.265625" customWidth="1"/>
    <col min="2" max="2" width="8.265625" customWidth="1"/>
    <col min="3" max="4" width="27.73046875" customWidth="1"/>
    <col min="5" max="5" width="7.73046875" style="102" customWidth="1"/>
    <col min="6" max="6" width="7.73046875" customWidth="1"/>
    <col min="7" max="7" width="7.73046875" style="137" customWidth="1"/>
    <col min="12" max="12" width="11.33203125" style="227" hidden="1" customWidth="1"/>
    <col min="13" max="16" width="11.33203125" hidden="1" customWidth="1"/>
  </cols>
  <sheetData>
    <row r="1" spans="1:16" ht="28.5" customHeight="1" x14ac:dyDescent="0.7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6">
      <c r="A2" s="138" t="s">
        <v>1791</v>
      </c>
      <c r="C2" s="50">
        <v>5</v>
      </c>
      <c r="D2" s="50" t="s">
        <v>1835</v>
      </c>
      <c r="E2" s="139"/>
      <c r="F2" s="54"/>
      <c r="L2" s="227">
        <f>INDEX(Starter!A:A,ROW()-1)</f>
        <v>25751</v>
      </c>
      <c r="M2">
        <f>INDEX(SchnittGes4!M:M,MATCH(L2,SchnittGes4!L:L,0))+INDEX(Schnitt5!M:M,MATCH(L2,Schnitt5!L:L,0))</f>
        <v>6257</v>
      </c>
      <c r="N2">
        <f>INDEX(SchnittGes4!N:N,MATCH(L2,SchnittGes4!L:L,0))+INDEX(Schnitt5!N:N,MATCH(L2,Schnitt5!L:L,0))</f>
        <v>34</v>
      </c>
      <c r="O2">
        <f t="shared" ref="O2:O11" si="0">IF(N2=0,0,M2/N2-ROW()/1000000000)</f>
        <v>184.02941176270588</v>
      </c>
      <c r="P2">
        <f t="shared" ref="P2:P33" si="1">RANK(O2,O:O)</f>
        <v>7</v>
      </c>
    </row>
    <row r="3" spans="1:16" x14ac:dyDescent="0.35">
      <c r="L3" s="227">
        <f>INDEX(Starter!A:A,ROW()-1)</f>
        <v>38258</v>
      </c>
      <c r="M3">
        <f>INDEX(SchnittGes4!M:M,MATCH(L3,SchnittGes4!L:L,0))+INDEX(Schnitt5!M:M,MATCH(L3,Schnitt5!L:L,0))</f>
        <v>3963</v>
      </c>
      <c r="N3">
        <f>INDEX(SchnittGes4!N:N,MATCH(L3,SchnittGes4!L:L,0))+INDEX(Schnitt5!N:N,MATCH(L3,Schnitt5!L:L,0))</f>
        <v>23</v>
      </c>
      <c r="O3">
        <f t="shared" si="0"/>
        <v>172.30434782308697</v>
      </c>
      <c r="P3">
        <f t="shared" si="1"/>
        <v>29</v>
      </c>
    </row>
    <row r="4" spans="1:16" x14ac:dyDescent="0.3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INDEX(SchnittGes4!M:M,MATCH(L4,SchnittGes4!L:L,0))+INDEX(Schnitt5!M:M,MATCH(L4,Schnitt5!L:L,0))</f>
        <v>4934</v>
      </c>
      <c r="N4">
        <f>INDEX(SchnittGes4!N:N,MATCH(L4,SchnittGes4!L:L,0))+INDEX(Schnitt5!N:N,MATCH(L4,Schnitt5!L:L,0))</f>
        <v>27</v>
      </c>
      <c r="O4">
        <f t="shared" si="0"/>
        <v>182.74074073674075</v>
      </c>
      <c r="P4">
        <f t="shared" si="1"/>
        <v>10</v>
      </c>
    </row>
    <row r="5" spans="1:16" x14ac:dyDescent="0.35">
      <c r="A5">
        <v>1</v>
      </c>
      <c r="B5">
        <f t="shared" ref="B5:B36" si="2">IFERROR(INDEX(L:L,MATCH(A5,P:P,0)),"")</f>
        <v>25714</v>
      </c>
      <c r="C5" t="str">
        <f>IFERROR(INDEX(Starter!B:B,MATCH(B5,Starter!A:A,0)),"")</f>
        <v>Schulz, Carolin</v>
      </c>
      <c r="D5" t="str">
        <f>IFERROR(INDEX(Starter!C:C,MATCH(B5,Starter!A:A,0)),"")</f>
        <v>BC E.P.A. München</v>
      </c>
      <c r="E5" s="102">
        <f t="shared" ref="E5:E36" si="3">IFERROR(INDEX(M:M,MATCH(A5,P:P,0)),"")</f>
        <v>5908</v>
      </c>
      <c r="F5">
        <f t="shared" ref="F5:F36" si="4">IFERROR(INDEX(N:N,MATCH(A5,P:P,0)),"")</f>
        <v>31</v>
      </c>
      <c r="G5" s="137">
        <f t="shared" ref="G5:G36" si="5">IFERROR(INDEX(O:O,MATCH(A5,P:P,0)),"")</f>
        <v>190.58064509129034</v>
      </c>
      <c r="L5" s="227">
        <f>INDEX(Starter!A:A,ROW()-1)</f>
        <v>7903</v>
      </c>
      <c r="M5">
        <f>INDEX(SchnittGes4!M:M,MATCH(L5,SchnittGes4!L:L,0))+INDEX(Schnitt5!M:M,MATCH(L5,Schnitt5!L:L,0))</f>
        <v>2338</v>
      </c>
      <c r="N5">
        <f>INDEX(SchnittGes4!N:N,MATCH(L5,SchnittGes4!L:L,0))+INDEX(Schnitt5!N:N,MATCH(L5,Schnitt5!L:L,0))</f>
        <v>14</v>
      </c>
      <c r="O5">
        <f t="shared" si="0"/>
        <v>166.999999995</v>
      </c>
      <c r="P5">
        <f t="shared" si="1"/>
        <v>38</v>
      </c>
    </row>
    <row r="6" spans="1:16" x14ac:dyDescent="0.35">
      <c r="A6">
        <f t="shared" ref="A6:A37" si="6">IFERROR(IF(A5+1&gt;MAX(P:P)-1,"",A5+1),"")</f>
        <v>2</v>
      </c>
      <c r="B6">
        <f t="shared" si="2"/>
        <v>7801</v>
      </c>
      <c r="C6" t="str">
        <f>IFERROR(INDEX(Starter!B:B,MATCH(B6,Starter!A:A,0)),"")</f>
        <v>Schuster, Katharina</v>
      </c>
      <c r="D6" t="str">
        <f>IFERROR(INDEX(Starter!C:C,MATCH(B6,Starter!A:A,0)),"")</f>
        <v>BC Phönix 03 Lauf</v>
      </c>
      <c r="E6" s="102">
        <f t="shared" si="3"/>
        <v>6839</v>
      </c>
      <c r="F6">
        <f t="shared" si="4"/>
        <v>36</v>
      </c>
      <c r="G6" s="137">
        <f t="shared" si="5"/>
        <v>189.97222216622222</v>
      </c>
      <c r="L6" s="227">
        <f>INDEX(Starter!A:A,ROW()-1)</f>
        <v>16170</v>
      </c>
      <c r="M6">
        <f>INDEX(SchnittGes4!M:M,MATCH(L6,SchnittGes4!L:L,0))+INDEX(Schnitt5!M:M,MATCH(L6,Schnitt5!L:L,0))</f>
        <v>2673</v>
      </c>
      <c r="N6">
        <f>INDEX(SchnittGes4!N:N,MATCH(L6,SchnittGes4!L:L,0))+INDEX(Schnitt5!N:N,MATCH(L6,Schnitt5!L:L,0))</f>
        <v>15</v>
      </c>
      <c r="O6">
        <f t="shared" si="0"/>
        <v>178.199999994</v>
      </c>
      <c r="P6">
        <f t="shared" si="1"/>
        <v>19</v>
      </c>
    </row>
    <row r="7" spans="1:16" x14ac:dyDescent="0.35">
      <c r="A7">
        <f t="shared" si="6"/>
        <v>3</v>
      </c>
      <c r="B7">
        <f t="shared" si="2"/>
        <v>16594</v>
      </c>
      <c r="C7" t="str">
        <f>IFERROR(INDEX(Starter!B:B,MATCH(B7,Starter!A:A,0)),"")</f>
        <v>Schott, Monika</v>
      </c>
      <c r="D7" t="str">
        <f>IFERROR(INDEX(Starter!C:C,MATCH(B7,Starter!A:A,0)),"")</f>
        <v>BK München</v>
      </c>
      <c r="E7" s="102">
        <f t="shared" si="3"/>
        <v>1677</v>
      </c>
      <c r="F7">
        <f t="shared" si="4"/>
        <v>9</v>
      </c>
      <c r="G7" s="137">
        <f t="shared" si="5"/>
        <v>186.33333332133336</v>
      </c>
      <c r="L7" s="227">
        <f>INDEX(Starter!A:A,ROW()-1)</f>
        <v>7889</v>
      </c>
      <c r="M7">
        <f>INDEX(SchnittGes4!M:M,MATCH(L7,SchnittGes4!L:L,0))+INDEX(Schnitt5!M:M,MATCH(L7,Schnitt5!L:L,0))</f>
        <v>5530</v>
      </c>
      <c r="N7">
        <f>INDEX(SchnittGes4!N:N,MATCH(L7,SchnittGes4!L:L,0))+INDEX(Schnitt5!N:N,MATCH(L7,Schnitt5!L:L,0))</f>
        <v>31</v>
      </c>
      <c r="O7">
        <f t="shared" si="0"/>
        <v>178.38709676719353</v>
      </c>
      <c r="P7">
        <f t="shared" si="1"/>
        <v>17</v>
      </c>
    </row>
    <row r="8" spans="1:16" x14ac:dyDescent="0.35">
      <c r="A8">
        <f t="shared" si="6"/>
        <v>4</v>
      </c>
      <c r="B8">
        <f t="shared" si="2"/>
        <v>38438</v>
      </c>
      <c r="C8" t="str">
        <f>IFERROR(INDEX(Starter!B:B,MATCH(B8,Starter!A:A,0)),"")</f>
        <v>Hassforth, Lea</v>
      </c>
      <c r="D8" t="str">
        <f>IFERROR(INDEX(Starter!C:C,MATCH(B8,Starter!A:A,0)),"")</f>
        <v>BK München</v>
      </c>
      <c r="E8" s="102">
        <f t="shared" si="3"/>
        <v>5010</v>
      </c>
      <c r="F8">
        <f t="shared" si="4"/>
        <v>27</v>
      </c>
      <c r="G8" s="137">
        <f t="shared" si="5"/>
        <v>185.55555554655555</v>
      </c>
      <c r="L8" s="227">
        <f>INDEX(Starter!A:A,ROW()-1)</f>
        <v>38222</v>
      </c>
      <c r="M8">
        <f>INDEX(SchnittGes4!M:M,MATCH(L8,SchnittGes4!L:L,0))+INDEX(Schnitt5!M:M,MATCH(L8,Schnitt5!L:L,0))</f>
        <v>1479</v>
      </c>
      <c r="N8">
        <f>INDEX(SchnittGes4!N:N,MATCH(L8,SchnittGes4!L:L,0))+INDEX(Schnitt5!N:N,MATCH(L8,Schnitt5!L:L,0))</f>
        <v>9</v>
      </c>
      <c r="O8">
        <f t="shared" si="0"/>
        <v>164.33333332533334</v>
      </c>
      <c r="P8">
        <f t="shared" si="1"/>
        <v>42</v>
      </c>
    </row>
    <row r="9" spans="1:16" x14ac:dyDescent="0.35">
      <c r="A9">
        <f t="shared" si="6"/>
        <v>5</v>
      </c>
      <c r="B9">
        <f t="shared" si="2"/>
        <v>38458</v>
      </c>
      <c r="C9" t="str">
        <f>IFERROR(INDEX(Starter!B:B,MATCH(B9,Starter!A:A,0)),"")</f>
        <v>Lindner, Theresa</v>
      </c>
      <c r="D9" t="str">
        <f>IFERROR(INDEX(Starter!C:C,MATCH(B9,Starter!A:A,0)),"")</f>
        <v>BSC Highroller Rosenheim</v>
      </c>
      <c r="E9" s="102">
        <f t="shared" si="3"/>
        <v>4996</v>
      </c>
      <c r="F9">
        <f t="shared" si="4"/>
        <v>27</v>
      </c>
      <c r="G9" s="137">
        <f t="shared" si="5"/>
        <v>185.03703697203704</v>
      </c>
      <c r="L9" s="227">
        <f>INDEX(Starter!A:A,ROW()-1)</f>
        <v>38438</v>
      </c>
      <c r="M9">
        <f>INDEX(SchnittGes4!M:M,MATCH(L9,SchnittGes4!L:L,0))+INDEX(Schnitt5!M:M,MATCH(L9,Schnitt5!L:L,0))</f>
        <v>5010</v>
      </c>
      <c r="N9">
        <f>INDEX(SchnittGes4!N:N,MATCH(L9,SchnittGes4!L:L,0))+INDEX(Schnitt5!N:N,MATCH(L9,Schnitt5!L:L,0))</f>
        <v>27</v>
      </c>
      <c r="O9">
        <f t="shared" si="0"/>
        <v>185.55555554655555</v>
      </c>
      <c r="P9">
        <f t="shared" si="1"/>
        <v>4</v>
      </c>
    </row>
    <row r="10" spans="1:16" x14ac:dyDescent="0.35">
      <c r="A10">
        <f t="shared" si="6"/>
        <v>6</v>
      </c>
      <c r="B10">
        <f t="shared" si="2"/>
        <v>7574</v>
      </c>
      <c r="C10" t="str">
        <f>IFERROR(INDEX(Starter!B:B,MATCH(B10,Starter!A:A,0)),"")</f>
        <v>Clemenz, Brigitte</v>
      </c>
      <c r="D10" t="str">
        <f>IFERROR(INDEX(Starter!C:C,MATCH(B10,Starter!A:A,0)),"")</f>
        <v>BK München</v>
      </c>
      <c r="E10" s="102">
        <f t="shared" si="3"/>
        <v>4605</v>
      </c>
      <c r="F10">
        <f t="shared" si="4"/>
        <v>25</v>
      </c>
      <c r="G10" s="137">
        <f t="shared" si="5"/>
        <v>184.19999998199998</v>
      </c>
      <c r="L10" s="227">
        <f>INDEX(Starter!A:A,ROW()-1)</f>
        <v>38553</v>
      </c>
      <c r="M10">
        <f>INDEX(SchnittGes4!M:M,MATCH(L10,SchnittGes4!L:L,0))+INDEX(Schnitt5!M:M,MATCH(L10,Schnitt5!L:L,0))</f>
        <v>4889</v>
      </c>
      <c r="N10">
        <f>INDEX(SchnittGes4!N:N,MATCH(L10,SchnittGes4!L:L,0))+INDEX(Schnitt5!N:N,MATCH(L10,Schnitt5!L:L,0))</f>
        <v>27</v>
      </c>
      <c r="O10">
        <f t="shared" si="0"/>
        <v>181.07407406407407</v>
      </c>
      <c r="P10">
        <f t="shared" si="1"/>
        <v>14</v>
      </c>
    </row>
    <row r="11" spans="1:16" x14ac:dyDescent="0.35">
      <c r="A11">
        <f t="shared" si="6"/>
        <v>7</v>
      </c>
      <c r="B11">
        <f t="shared" si="2"/>
        <v>25751</v>
      </c>
      <c r="C11" t="str">
        <f>IFERROR(INDEX(Starter!B:B,MATCH(B11,Starter!A:A,0)),"")</f>
        <v>Schlundt, Sabrina</v>
      </c>
      <c r="D11" t="str">
        <f>IFERROR(INDEX(Starter!C:C,MATCH(B11,Starter!A:A,0)),"")</f>
        <v>BC Praetoria</v>
      </c>
      <c r="E11" s="102">
        <f t="shared" si="3"/>
        <v>6257</v>
      </c>
      <c r="F11">
        <f t="shared" si="4"/>
        <v>34</v>
      </c>
      <c r="G11" s="137">
        <f t="shared" si="5"/>
        <v>184.02941176270588</v>
      </c>
      <c r="L11" s="227">
        <f>INDEX(Starter!A:A,ROW()-1)</f>
        <v>38350</v>
      </c>
      <c r="M11">
        <f>INDEX(SchnittGes4!M:M,MATCH(L11,SchnittGes4!L:L,0))+INDEX(Schnitt5!M:M,MATCH(L11,Schnitt5!L:L,0))</f>
        <v>6059</v>
      </c>
      <c r="N11">
        <f>INDEX(SchnittGes4!N:N,MATCH(L11,SchnittGes4!L:L,0))+INDEX(Schnitt5!N:N,MATCH(L11,Schnitt5!L:L,0))</f>
        <v>36</v>
      </c>
      <c r="O11">
        <f t="shared" si="0"/>
        <v>168.30555554455555</v>
      </c>
      <c r="P11">
        <f t="shared" si="1"/>
        <v>33</v>
      </c>
    </row>
    <row r="12" spans="1:16" x14ac:dyDescent="0.35">
      <c r="A12">
        <f t="shared" si="6"/>
        <v>8</v>
      </c>
      <c r="B12">
        <f t="shared" si="2"/>
        <v>7752</v>
      </c>
      <c r="C12" t="str">
        <f>IFERROR(INDEX(Starter!B:B,MATCH(B12,Starter!A:A,0)),"")</f>
        <v>Treffke, Helga</v>
      </c>
      <c r="D12" t="str">
        <f>IFERROR(INDEX(Starter!C:C,MATCH(B12,Starter!A:A,0)),"")</f>
        <v>BC E.P.A. München</v>
      </c>
      <c r="E12" s="102">
        <f t="shared" si="3"/>
        <v>1288</v>
      </c>
      <c r="F12">
        <f t="shared" si="4"/>
        <v>7</v>
      </c>
      <c r="G12" s="137">
        <f t="shared" si="5"/>
        <v>183.99999995900001</v>
      </c>
      <c r="L12" s="227">
        <f>INDEX(Starter!A:A,ROW()-1)</f>
        <v>16594</v>
      </c>
      <c r="M12">
        <f>INDEX(SchnittGes4!M:M,MATCH(L12,SchnittGes4!L:L,0))+INDEX(Schnitt5!M:M,MATCH(L12,Schnitt5!L:L,0))</f>
        <v>1677</v>
      </c>
      <c r="N12">
        <f>INDEX(SchnittGes4!N:N,MATCH(L12,SchnittGes4!L:L,0))+INDEX(Schnitt5!N:N,MATCH(L12,Schnitt5!L:L,0))</f>
        <v>9</v>
      </c>
      <c r="O12">
        <f t="shared" ref="O12:O75" si="7">IF(N12=0,0,M12/N12-ROW()/1000000000)</f>
        <v>186.33333332133336</v>
      </c>
      <c r="P12">
        <f t="shared" si="1"/>
        <v>3</v>
      </c>
    </row>
    <row r="13" spans="1:16" x14ac:dyDescent="0.35">
      <c r="A13">
        <f t="shared" si="6"/>
        <v>9</v>
      </c>
      <c r="B13">
        <f t="shared" si="2"/>
        <v>7578</v>
      </c>
      <c r="C13" t="str">
        <f>IFERROR(INDEX(Starter!B:B,MATCH(B13,Starter!A:A,0)),"")</f>
        <v>Hinterwimmer, Sabine</v>
      </c>
      <c r="D13" t="str">
        <f>IFERROR(INDEX(Starter!C:C,MATCH(B13,Starter!A:A,0)),"")</f>
        <v>BK München</v>
      </c>
      <c r="E13" s="102">
        <f t="shared" si="3"/>
        <v>6435</v>
      </c>
      <c r="F13">
        <f t="shared" si="4"/>
        <v>35</v>
      </c>
      <c r="G13" s="137">
        <f t="shared" si="5"/>
        <v>183.85714284114286</v>
      </c>
      <c r="L13" s="227">
        <f>INDEX(Starter!A:A,ROW()-1)</f>
        <v>16595</v>
      </c>
      <c r="M13">
        <f>INDEX(SchnittGes4!M:M,MATCH(L13,SchnittGes4!L:L,0))+INDEX(Schnitt5!M:M,MATCH(L13,Schnitt5!L:L,0))</f>
        <v>1551</v>
      </c>
      <c r="N13">
        <f>INDEX(SchnittGes4!N:N,MATCH(L13,SchnittGes4!L:L,0))+INDEX(Schnitt5!N:N,MATCH(L13,Schnitt5!L:L,0))</f>
        <v>9</v>
      </c>
      <c r="O13">
        <f t="shared" si="7"/>
        <v>172.33333332033334</v>
      </c>
      <c r="P13">
        <f t="shared" si="1"/>
        <v>27</v>
      </c>
    </row>
    <row r="14" spans="1:16" x14ac:dyDescent="0.35">
      <c r="A14">
        <f t="shared" si="6"/>
        <v>10</v>
      </c>
      <c r="B14">
        <f t="shared" si="2"/>
        <v>25798</v>
      </c>
      <c r="C14" t="str">
        <f>IFERROR(INDEX(Starter!B:B,MATCH(B14,Starter!A:A,0)),"")</f>
        <v>Kicker-Mihatsch, Elvira</v>
      </c>
      <c r="D14" t="str">
        <f>IFERROR(INDEX(Starter!C:C,MATCH(B14,Starter!A:A,0)),"")</f>
        <v>BC Praetoria</v>
      </c>
      <c r="E14" s="102">
        <f t="shared" si="3"/>
        <v>4934</v>
      </c>
      <c r="F14">
        <f t="shared" si="4"/>
        <v>27</v>
      </c>
      <c r="G14" s="137">
        <f t="shared" si="5"/>
        <v>182.74074073674075</v>
      </c>
      <c r="L14" s="227">
        <f>INDEX(Starter!A:A,ROW()-1)</f>
        <v>7061</v>
      </c>
      <c r="M14">
        <f>INDEX(SchnittGes4!M:M,MATCH(L14,SchnittGes4!L:L,0))+INDEX(Schnitt5!M:M,MATCH(L14,Schnitt5!L:L,0))</f>
        <v>1454</v>
      </c>
      <c r="N14">
        <f>INDEX(SchnittGes4!N:N,MATCH(L14,SchnittGes4!L:L,0))+INDEX(Schnitt5!N:N,MATCH(L14,Schnitt5!L:L,0))</f>
        <v>9</v>
      </c>
      <c r="O14">
        <f t="shared" si="7"/>
        <v>161.55555554155555</v>
      </c>
      <c r="P14">
        <f t="shared" si="1"/>
        <v>45</v>
      </c>
    </row>
    <row r="15" spans="1:16" x14ac:dyDescent="0.35">
      <c r="A15">
        <f t="shared" si="6"/>
        <v>11</v>
      </c>
      <c r="B15">
        <f t="shared" si="2"/>
        <v>7575</v>
      </c>
      <c r="C15" t="str">
        <f>IFERROR(INDEX(Starter!B:B,MATCH(B15,Starter!A:A,0)),"")</f>
        <v>Dozauer, Jessica</v>
      </c>
      <c r="D15" t="str">
        <f>IFERROR(INDEX(Starter!C:C,MATCH(B15,Starter!A:A,0)),"")</f>
        <v>BK München</v>
      </c>
      <c r="E15" s="102">
        <f t="shared" si="3"/>
        <v>4373</v>
      </c>
      <c r="F15">
        <f t="shared" si="4"/>
        <v>24</v>
      </c>
      <c r="G15" s="137">
        <f t="shared" si="5"/>
        <v>182.20833331633335</v>
      </c>
      <c r="L15" s="227">
        <f>INDEX(Starter!A:A,ROW()-1)</f>
        <v>25550</v>
      </c>
      <c r="M15">
        <f>INDEX(SchnittGes4!M:M,MATCH(L15,SchnittGes4!L:L,0))+INDEX(Schnitt5!M:M,MATCH(L15,Schnitt5!L:L,0))</f>
        <v>0</v>
      </c>
      <c r="N15">
        <f>INDEX(SchnittGes4!N:N,MATCH(L15,SchnittGes4!L:L,0))+INDEX(Schnitt5!N:N,MATCH(L15,Schnitt5!L:L,0))</f>
        <v>0</v>
      </c>
      <c r="O15">
        <f t="shared" si="7"/>
        <v>0</v>
      </c>
      <c r="P15">
        <f t="shared" si="1"/>
        <v>55</v>
      </c>
    </row>
    <row r="16" spans="1:16" x14ac:dyDescent="0.35">
      <c r="A16">
        <f t="shared" si="6"/>
        <v>12</v>
      </c>
      <c r="B16">
        <f t="shared" si="2"/>
        <v>38757</v>
      </c>
      <c r="C16" t="str">
        <f>IFERROR(INDEX(Starter!B:B,MATCH(B16,Starter!A:A,0)),"")</f>
        <v>Schanze, Bianka</v>
      </c>
      <c r="D16" t="str">
        <f>IFERROR(INDEX(Starter!C:C,MATCH(B16,Starter!A:A,0)),"")</f>
        <v>BSC Highroller Rosenheim</v>
      </c>
      <c r="E16" s="102">
        <f t="shared" si="3"/>
        <v>6192</v>
      </c>
      <c r="F16">
        <f t="shared" si="4"/>
        <v>34</v>
      </c>
      <c r="G16" s="137">
        <f t="shared" si="5"/>
        <v>182.11764703382354</v>
      </c>
      <c r="L16" s="227">
        <f>INDEX(Starter!A:A,ROW()-1)</f>
        <v>7578</v>
      </c>
      <c r="M16">
        <f>INDEX(SchnittGes4!M:M,MATCH(L16,SchnittGes4!L:L,0))+INDEX(Schnitt5!M:M,MATCH(L16,Schnitt5!L:L,0))</f>
        <v>6435</v>
      </c>
      <c r="N16">
        <f>INDEX(SchnittGes4!N:N,MATCH(L16,SchnittGes4!L:L,0))+INDEX(Schnitt5!N:N,MATCH(L16,Schnitt5!L:L,0))</f>
        <v>35</v>
      </c>
      <c r="O16">
        <f t="shared" si="7"/>
        <v>183.85714284114286</v>
      </c>
      <c r="P16">
        <f t="shared" si="1"/>
        <v>9</v>
      </c>
    </row>
    <row r="17" spans="1:16" x14ac:dyDescent="0.35">
      <c r="A17">
        <f t="shared" si="6"/>
        <v>13</v>
      </c>
      <c r="B17">
        <f t="shared" si="2"/>
        <v>25298</v>
      </c>
      <c r="C17" t="str">
        <f>IFERROR(INDEX(Starter!B:B,MATCH(B17,Starter!A:A,0)),"")</f>
        <v>Auer, Cornelia</v>
      </c>
      <c r="D17" t="str">
        <f>IFERROR(INDEX(Starter!C:C,MATCH(B17,Starter!A:A,0)),"")</f>
        <v>BSC Highroller Rosenheim</v>
      </c>
      <c r="E17" s="102">
        <f t="shared" si="3"/>
        <v>4899</v>
      </c>
      <c r="F17">
        <f t="shared" si="4"/>
        <v>27</v>
      </c>
      <c r="G17" s="137">
        <f t="shared" si="5"/>
        <v>181.44444442044446</v>
      </c>
      <c r="L17" s="227">
        <f>INDEX(Starter!A:A,ROW()-1)</f>
        <v>7575</v>
      </c>
      <c r="M17">
        <f>INDEX(SchnittGes4!M:M,MATCH(L17,SchnittGes4!L:L,0))+INDEX(Schnitt5!M:M,MATCH(L17,Schnitt5!L:L,0))</f>
        <v>4373</v>
      </c>
      <c r="N17">
        <f>INDEX(SchnittGes4!N:N,MATCH(L17,SchnittGes4!L:L,0))+INDEX(Schnitt5!N:N,MATCH(L17,Schnitt5!L:L,0))</f>
        <v>24</v>
      </c>
      <c r="O17">
        <f t="shared" si="7"/>
        <v>182.20833331633335</v>
      </c>
      <c r="P17">
        <f t="shared" si="1"/>
        <v>11</v>
      </c>
    </row>
    <row r="18" spans="1:16" x14ac:dyDescent="0.35">
      <c r="A18">
        <f t="shared" si="6"/>
        <v>14</v>
      </c>
      <c r="B18">
        <f t="shared" si="2"/>
        <v>38553</v>
      </c>
      <c r="C18" t="str">
        <f>IFERROR(INDEX(Starter!B:B,MATCH(B18,Starter!A:A,0)),"")</f>
        <v>Kirschke, Saskia</v>
      </c>
      <c r="D18" t="str">
        <f>IFERROR(INDEX(Starter!C:C,MATCH(B18,Starter!A:A,0)),"")</f>
        <v>BK München</v>
      </c>
      <c r="E18" s="102">
        <f t="shared" si="3"/>
        <v>4889</v>
      </c>
      <c r="F18">
        <f t="shared" si="4"/>
        <v>27</v>
      </c>
      <c r="G18" s="137">
        <f t="shared" si="5"/>
        <v>181.07407406407407</v>
      </c>
      <c r="L18" s="227">
        <f>INDEX(Starter!A:A,ROW()-1)</f>
        <v>7574</v>
      </c>
      <c r="M18">
        <f>INDEX(SchnittGes4!M:M,MATCH(L18,SchnittGes4!L:L,0))+INDEX(Schnitt5!M:M,MATCH(L18,Schnitt5!L:L,0))</f>
        <v>4605</v>
      </c>
      <c r="N18">
        <f>INDEX(SchnittGes4!N:N,MATCH(L18,SchnittGes4!L:L,0))+INDEX(Schnitt5!N:N,MATCH(L18,Schnitt5!L:L,0))</f>
        <v>25</v>
      </c>
      <c r="O18">
        <f t="shared" si="7"/>
        <v>184.19999998199998</v>
      </c>
      <c r="P18">
        <f t="shared" si="1"/>
        <v>6</v>
      </c>
    </row>
    <row r="19" spans="1:16" x14ac:dyDescent="0.35">
      <c r="A19">
        <f t="shared" si="6"/>
        <v>15</v>
      </c>
      <c r="B19">
        <f t="shared" si="2"/>
        <v>25192</v>
      </c>
      <c r="C19" t="str">
        <f>IFERROR(INDEX(Starter!B:B,MATCH(B19,Starter!A:A,0)),"")</f>
        <v>Bess, Vanessa</v>
      </c>
      <c r="D19" t="str">
        <f>IFERROR(INDEX(Starter!C:C,MATCH(B19,Starter!A:A,0)),"")</f>
        <v>BC E.P.A. München</v>
      </c>
      <c r="E19" s="102">
        <f t="shared" si="3"/>
        <v>5243</v>
      </c>
      <c r="F19">
        <f t="shared" si="4"/>
        <v>29</v>
      </c>
      <c r="G19" s="137">
        <f t="shared" si="5"/>
        <v>180.79310337927586</v>
      </c>
      <c r="L19" s="227">
        <f>INDEX(Starter!A:A,ROW()-1)</f>
        <v>7576</v>
      </c>
      <c r="M19">
        <f>INDEX(SchnittGes4!M:M,MATCH(L19,SchnittGes4!L:L,0))+INDEX(Schnitt5!M:M,MATCH(L19,Schnitt5!L:L,0))</f>
        <v>2553</v>
      </c>
      <c r="N19">
        <f>INDEX(SchnittGes4!N:N,MATCH(L19,SchnittGes4!L:L,0))+INDEX(Schnitt5!N:N,MATCH(L19,Schnitt5!L:L,0))</f>
        <v>15</v>
      </c>
      <c r="O19">
        <f t="shared" si="7"/>
        <v>170.19999998099999</v>
      </c>
      <c r="P19">
        <f t="shared" si="1"/>
        <v>31</v>
      </c>
    </row>
    <row r="20" spans="1:16" x14ac:dyDescent="0.35">
      <c r="A20">
        <f t="shared" si="6"/>
        <v>16</v>
      </c>
      <c r="B20">
        <f t="shared" si="2"/>
        <v>7534</v>
      </c>
      <c r="C20" t="str">
        <f>IFERROR(INDEX(Starter!B:B,MATCH(B20,Starter!A:A,0)),"")</f>
        <v>Lieb, Anja</v>
      </c>
      <c r="D20" t="str">
        <f>IFERROR(INDEX(Starter!C:C,MATCH(B20,Starter!A:A,0)),"")</f>
        <v>BC E.P.A. München</v>
      </c>
      <c r="E20" s="102">
        <f t="shared" si="3"/>
        <v>6143</v>
      </c>
      <c r="F20">
        <f t="shared" si="4"/>
        <v>34</v>
      </c>
      <c r="G20" s="137">
        <f t="shared" si="5"/>
        <v>180.67647051723532</v>
      </c>
      <c r="L20" s="227">
        <f>INDEX(Starter!A:A,ROW()-1)</f>
        <v>12850</v>
      </c>
      <c r="M20">
        <f>INDEX(SchnittGes4!M:M,MATCH(L20,SchnittGes4!L:L,0))+INDEX(Schnitt5!M:M,MATCH(L20,Schnitt5!L:L,0))</f>
        <v>4009</v>
      </c>
      <c r="N20">
        <f>INDEX(SchnittGes4!N:N,MATCH(L20,SchnittGes4!L:L,0))+INDEX(Schnitt5!N:N,MATCH(L20,Schnitt5!L:L,0))</f>
        <v>25</v>
      </c>
      <c r="O20">
        <f t="shared" si="7"/>
        <v>160.35999998000003</v>
      </c>
      <c r="P20">
        <f t="shared" si="1"/>
        <v>48</v>
      </c>
    </row>
    <row r="21" spans="1:16" x14ac:dyDescent="0.35">
      <c r="A21">
        <f t="shared" si="6"/>
        <v>17</v>
      </c>
      <c r="B21">
        <f t="shared" si="2"/>
        <v>7889</v>
      </c>
      <c r="C21" t="str">
        <f>IFERROR(INDEX(Starter!B:B,MATCH(B21,Starter!A:A,0)),"")</f>
        <v>Zahner, Barbara</v>
      </c>
      <c r="D21" t="str">
        <f>IFERROR(INDEX(Starter!C:C,MATCH(B21,Starter!A:A,0)),"")</f>
        <v>BC Praetoria</v>
      </c>
      <c r="E21" s="102">
        <f t="shared" si="3"/>
        <v>5530</v>
      </c>
      <c r="F21">
        <f t="shared" si="4"/>
        <v>31</v>
      </c>
      <c r="G21" s="137">
        <f t="shared" si="5"/>
        <v>178.38709676719353</v>
      </c>
      <c r="L21" s="227">
        <f>INDEX(Starter!A:A,ROW()-1)</f>
        <v>16879</v>
      </c>
      <c r="M21">
        <f>INDEX(SchnittGes4!M:M,MATCH(L21,SchnittGes4!L:L,0))+INDEX(Schnitt5!M:M,MATCH(L21,Schnitt5!L:L,0))</f>
        <v>3059</v>
      </c>
      <c r="N21">
        <f>INDEX(SchnittGes4!N:N,MATCH(L21,SchnittGes4!L:L,0))+INDEX(Schnitt5!N:N,MATCH(L21,Schnitt5!L:L,0))</f>
        <v>19</v>
      </c>
      <c r="O21">
        <f t="shared" si="7"/>
        <v>160.99999997899999</v>
      </c>
      <c r="P21">
        <f t="shared" si="1"/>
        <v>46</v>
      </c>
    </row>
    <row r="22" spans="1:16" x14ac:dyDescent="0.35">
      <c r="A22">
        <f t="shared" si="6"/>
        <v>18</v>
      </c>
      <c r="B22">
        <f t="shared" si="2"/>
        <v>7549</v>
      </c>
      <c r="C22" t="str">
        <f>IFERROR(INDEX(Starter!B:B,MATCH(B22,Starter!A:A,0)),"")</f>
        <v>Hernitschek, Angelika</v>
      </c>
      <c r="D22" t="str">
        <f>IFERROR(INDEX(Starter!C:C,MATCH(B22,Starter!A:A,0)),"")</f>
        <v>BC E.P.A. München</v>
      </c>
      <c r="E22" s="102">
        <f t="shared" si="3"/>
        <v>4101</v>
      </c>
      <c r="F22">
        <f t="shared" si="4"/>
        <v>23</v>
      </c>
      <c r="G22" s="137">
        <f t="shared" si="5"/>
        <v>178.30434775808698</v>
      </c>
      <c r="L22" s="227">
        <f>INDEX(Starter!A:A,ROW()-1)</f>
        <v>7991</v>
      </c>
      <c r="M22">
        <f>INDEX(SchnittGes4!M:M,MATCH(L22,SchnittGes4!L:L,0))+INDEX(Schnitt5!M:M,MATCH(L22,Schnitt5!L:L,0))</f>
        <v>792</v>
      </c>
      <c r="N22">
        <f>INDEX(SchnittGes4!N:N,MATCH(L22,SchnittGes4!L:L,0))+INDEX(Schnitt5!N:N,MATCH(L22,Schnitt5!L:L,0))</f>
        <v>5</v>
      </c>
      <c r="O22">
        <f t="shared" si="7"/>
        <v>158.39999997800001</v>
      </c>
      <c r="P22">
        <f t="shared" si="1"/>
        <v>51</v>
      </c>
    </row>
    <row r="23" spans="1:16" x14ac:dyDescent="0.35">
      <c r="A23">
        <f t="shared" si="6"/>
        <v>19</v>
      </c>
      <c r="B23">
        <f t="shared" si="2"/>
        <v>16170</v>
      </c>
      <c r="C23" t="str">
        <f>IFERROR(INDEX(Starter!B:B,MATCH(B23,Starter!A:A,0)),"")</f>
        <v>Wölki, Elisabeth</v>
      </c>
      <c r="D23" t="str">
        <f>IFERROR(INDEX(Starter!C:C,MATCH(B23,Starter!A:A,0)),"")</f>
        <v>BC Praetoria</v>
      </c>
      <c r="E23" s="102">
        <f t="shared" si="3"/>
        <v>2673</v>
      </c>
      <c r="F23">
        <f t="shared" si="4"/>
        <v>15</v>
      </c>
      <c r="G23" s="137">
        <f t="shared" si="5"/>
        <v>178.199999994</v>
      </c>
      <c r="L23" s="227">
        <f>INDEX(Starter!A:A,ROW()-1)</f>
        <v>7024</v>
      </c>
      <c r="M23">
        <f>INDEX(SchnittGes4!M:M,MATCH(L23,SchnittGes4!L:L,0))+INDEX(Schnitt5!M:M,MATCH(L23,Schnitt5!L:L,0))</f>
        <v>0</v>
      </c>
      <c r="N23">
        <f>INDEX(SchnittGes4!N:N,MATCH(L23,SchnittGes4!L:L,0))+INDEX(Schnitt5!N:N,MATCH(L23,Schnitt5!L:L,0))</f>
        <v>0</v>
      </c>
      <c r="O23">
        <f t="shared" si="7"/>
        <v>0</v>
      </c>
      <c r="P23">
        <f t="shared" si="1"/>
        <v>55</v>
      </c>
    </row>
    <row r="24" spans="1:16" x14ac:dyDescent="0.35">
      <c r="A24">
        <f t="shared" si="6"/>
        <v>20</v>
      </c>
      <c r="B24">
        <f t="shared" si="2"/>
        <v>7753</v>
      </c>
      <c r="C24" t="str">
        <f>IFERROR(INDEX(Starter!B:B,MATCH(B24,Starter!A:A,0)),"")</f>
        <v>Krämer, Gisela</v>
      </c>
      <c r="D24" t="str">
        <f>IFERROR(INDEX(Starter!C:C,MATCH(B24,Starter!A:A,0)),"")</f>
        <v>BC Frankenpower</v>
      </c>
      <c r="E24" s="102">
        <f t="shared" si="3"/>
        <v>6366</v>
      </c>
      <c r="F24">
        <f t="shared" si="4"/>
        <v>36</v>
      </c>
      <c r="G24" s="137">
        <f t="shared" si="5"/>
        <v>176.83333330433334</v>
      </c>
      <c r="L24" s="227">
        <f>INDEX(Starter!A:A,ROW()-1)</f>
        <v>25298</v>
      </c>
      <c r="M24">
        <f>INDEX(SchnittGes4!M:M,MATCH(L24,SchnittGes4!L:L,0))+INDEX(Schnitt5!M:M,MATCH(L24,Schnitt5!L:L,0))</f>
        <v>4899</v>
      </c>
      <c r="N24">
        <f>INDEX(SchnittGes4!N:N,MATCH(L24,SchnittGes4!L:L,0))+INDEX(Schnitt5!N:N,MATCH(L24,Schnitt5!L:L,0))</f>
        <v>27</v>
      </c>
      <c r="O24">
        <f t="shared" si="7"/>
        <v>181.44444442044446</v>
      </c>
      <c r="P24">
        <f t="shared" si="1"/>
        <v>13</v>
      </c>
    </row>
    <row r="25" spans="1:16" x14ac:dyDescent="0.35">
      <c r="A25">
        <f t="shared" si="6"/>
        <v>21</v>
      </c>
      <c r="B25">
        <f t="shared" si="2"/>
        <v>7786</v>
      </c>
      <c r="C25" t="str">
        <f>IFERROR(INDEX(Starter!B:B,MATCH(B25,Starter!A:A,0)),"")</f>
        <v>Reichel, Christina</v>
      </c>
      <c r="D25" t="str">
        <f>IFERROR(INDEX(Starter!C:C,MATCH(B25,Starter!A:A,0)),"")</f>
        <v>BC Phönix 03 Lauf</v>
      </c>
      <c r="E25" s="102">
        <f t="shared" si="3"/>
        <v>6006</v>
      </c>
      <c r="F25">
        <f t="shared" si="4"/>
        <v>34</v>
      </c>
      <c r="G25" s="137">
        <f t="shared" si="5"/>
        <v>176.64705876852943</v>
      </c>
      <c r="L25" s="227">
        <f>INDEX(Starter!A:A,ROW()-1)</f>
        <v>38757</v>
      </c>
      <c r="M25">
        <f>INDEX(SchnittGes4!M:M,MATCH(L25,SchnittGes4!L:L,0))+INDEX(Schnitt5!M:M,MATCH(L25,Schnitt5!L:L,0))</f>
        <v>6192</v>
      </c>
      <c r="N25">
        <f>INDEX(SchnittGes4!N:N,MATCH(L25,SchnittGes4!L:L,0))+INDEX(Schnitt5!N:N,MATCH(L25,Schnitt5!L:L,0))</f>
        <v>34</v>
      </c>
      <c r="O25">
        <f t="shared" si="7"/>
        <v>182.11764703382354</v>
      </c>
      <c r="P25">
        <f t="shared" si="1"/>
        <v>12</v>
      </c>
    </row>
    <row r="26" spans="1:16" x14ac:dyDescent="0.35">
      <c r="A26">
        <f t="shared" si="6"/>
        <v>22</v>
      </c>
      <c r="B26">
        <f t="shared" si="2"/>
        <v>7976</v>
      </c>
      <c r="C26" t="str">
        <f>IFERROR(INDEX(Starter!B:B,MATCH(B26,Starter!A:A,0)),"")</f>
        <v>Martisko, Petra</v>
      </c>
      <c r="D26" t="str">
        <f>IFERROR(INDEX(Starter!C:C,MATCH(B26,Starter!A:A,0)),"")</f>
        <v>BF Rot-Weiß Lichtenhof 69</v>
      </c>
      <c r="E26" s="102">
        <f t="shared" si="3"/>
        <v>6330</v>
      </c>
      <c r="F26">
        <f t="shared" si="4"/>
        <v>36</v>
      </c>
      <c r="G26" s="137">
        <f t="shared" si="5"/>
        <v>175.83333327233333</v>
      </c>
      <c r="L26" s="227">
        <f>INDEX(Starter!A:A,ROW()-1)</f>
        <v>25630</v>
      </c>
      <c r="M26">
        <f>INDEX(SchnittGes4!M:M,MATCH(L26,SchnittGes4!L:L,0))+INDEX(Schnitt5!M:M,MATCH(L26,Schnitt5!L:L,0))</f>
        <v>4664</v>
      </c>
      <c r="N26">
        <f>INDEX(SchnittGes4!N:N,MATCH(L26,SchnittGes4!L:L,0))+INDEX(Schnitt5!N:N,MATCH(L26,Schnitt5!L:L,0))</f>
        <v>27</v>
      </c>
      <c r="O26">
        <f t="shared" si="7"/>
        <v>172.74074071474072</v>
      </c>
      <c r="P26">
        <f t="shared" si="1"/>
        <v>26</v>
      </c>
    </row>
    <row r="27" spans="1:16" x14ac:dyDescent="0.35">
      <c r="A27">
        <f t="shared" si="6"/>
        <v>23</v>
      </c>
      <c r="B27">
        <f t="shared" si="2"/>
        <v>7087</v>
      </c>
      <c r="C27" t="str">
        <f>IFERROR(INDEX(Starter!B:B,MATCH(B27,Starter!A:A,0)),"")</f>
        <v>Albert, Beate</v>
      </c>
      <c r="D27" t="str">
        <f>IFERROR(INDEX(Starter!C:C,MATCH(B27,Starter!A:A,0)),"")</f>
        <v>BF Weiß-Blau</v>
      </c>
      <c r="E27" s="102">
        <f t="shared" si="3"/>
        <v>6120</v>
      </c>
      <c r="F27">
        <f t="shared" si="4"/>
        <v>35</v>
      </c>
      <c r="G27" s="137">
        <f t="shared" si="5"/>
        <v>174.85714281214285</v>
      </c>
      <c r="L27" s="227">
        <f>INDEX(Starter!A:A,ROW()-1)</f>
        <v>38758</v>
      </c>
      <c r="M27">
        <f>INDEX(SchnittGes4!M:M,MATCH(L27,SchnittGes4!L:L,0))+INDEX(Schnitt5!M:M,MATCH(L27,Schnitt5!L:L,0))</f>
        <v>4985</v>
      </c>
      <c r="N27">
        <f>INDEX(SchnittGes4!N:N,MATCH(L27,SchnittGes4!L:L,0))+INDEX(Schnitt5!N:N,MATCH(L27,Schnitt5!L:L,0))</f>
        <v>29</v>
      </c>
      <c r="O27">
        <f t="shared" si="7"/>
        <v>171.89655169713794</v>
      </c>
      <c r="P27">
        <f t="shared" si="1"/>
        <v>30</v>
      </c>
    </row>
    <row r="28" spans="1:16" x14ac:dyDescent="0.35">
      <c r="A28">
        <f t="shared" si="6"/>
        <v>24</v>
      </c>
      <c r="B28">
        <f t="shared" si="2"/>
        <v>38560</v>
      </c>
      <c r="C28" t="str">
        <f>IFERROR(INDEX(Starter!B:B,MATCH(B28,Starter!A:A,0)),"")</f>
        <v>Reng, Verena</v>
      </c>
      <c r="D28" t="str">
        <f>IFERROR(INDEX(Starter!C:C,MATCH(B28,Starter!A:A,0)),"")</f>
        <v>BC Frankenpower</v>
      </c>
      <c r="E28" s="102">
        <f t="shared" si="3"/>
        <v>6282</v>
      </c>
      <c r="F28">
        <f t="shared" si="4"/>
        <v>36</v>
      </c>
      <c r="G28" s="137">
        <f t="shared" si="5"/>
        <v>174.499999968</v>
      </c>
      <c r="L28" s="227">
        <f>INDEX(Starter!A:A,ROW()-1)</f>
        <v>7754</v>
      </c>
      <c r="M28">
        <f>INDEX(SchnittGes4!M:M,MATCH(L28,SchnittGes4!L:L,0))+INDEX(Schnitt5!M:M,MATCH(L28,Schnitt5!L:L,0))</f>
        <v>0</v>
      </c>
      <c r="N28">
        <f>INDEX(SchnittGes4!N:N,MATCH(L28,SchnittGes4!L:L,0))+INDEX(Schnitt5!N:N,MATCH(L28,Schnitt5!L:L,0))</f>
        <v>0</v>
      </c>
      <c r="O28">
        <f t="shared" si="7"/>
        <v>0</v>
      </c>
      <c r="P28">
        <f t="shared" si="1"/>
        <v>55</v>
      </c>
    </row>
    <row r="29" spans="1:16" x14ac:dyDescent="0.35">
      <c r="A29">
        <f t="shared" si="6"/>
        <v>25</v>
      </c>
      <c r="B29">
        <f t="shared" si="2"/>
        <v>25982</v>
      </c>
      <c r="C29" t="str">
        <f>IFERROR(INDEX(Starter!B:B,MATCH(B29,Starter!A:A,0)),"")</f>
        <v>Panek, Sandra</v>
      </c>
      <c r="D29" t="str">
        <f>IFERROR(INDEX(Starter!C:C,MATCH(B29,Starter!A:A,0)),"")</f>
        <v>BF Rot-Weiß Lichtenhof 69</v>
      </c>
      <c r="E29" s="102">
        <f t="shared" si="3"/>
        <v>2246</v>
      </c>
      <c r="F29">
        <f t="shared" si="4"/>
        <v>13</v>
      </c>
      <c r="G29" s="137">
        <f t="shared" si="5"/>
        <v>172.76923071123076</v>
      </c>
      <c r="L29" s="227">
        <f>INDEX(Starter!A:A,ROW()-1)</f>
        <v>7753</v>
      </c>
      <c r="M29">
        <f>INDEX(SchnittGes4!M:M,MATCH(L29,SchnittGes4!L:L,0))+INDEX(Schnitt5!M:M,MATCH(L29,Schnitt5!L:L,0))</f>
        <v>6366</v>
      </c>
      <c r="N29">
        <f>INDEX(SchnittGes4!N:N,MATCH(L29,SchnittGes4!L:L,0))+INDEX(Schnitt5!N:N,MATCH(L29,Schnitt5!L:L,0))</f>
        <v>36</v>
      </c>
      <c r="O29">
        <f t="shared" si="7"/>
        <v>176.83333330433334</v>
      </c>
      <c r="P29">
        <f t="shared" si="1"/>
        <v>20</v>
      </c>
    </row>
    <row r="30" spans="1:16" x14ac:dyDescent="0.35">
      <c r="A30">
        <f t="shared" si="6"/>
        <v>26</v>
      </c>
      <c r="B30">
        <f t="shared" si="2"/>
        <v>25630</v>
      </c>
      <c r="C30" t="str">
        <f>IFERROR(INDEX(Starter!B:B,MATCH(B30,Starter!A:A,0)),"")</f>
        <v>Groll, Hanni</v>
      </c>
      <c r="D30" t="str">
        <f>IFERROR(INDEX(Starter!C:C,MATCH(B30,Starter!A:A,0)),"")</f>
        <v>BSC Highroller Rosenheim</v>
      </c>
      <c r="E30" s="102">
        <f t="shared" si="3"/>
        <v>4664</v>
      </c>
      <c r="F30">
        <f t="shared" si="4"/>
        <v>27</v>
      </c>
      <c r="G30" s="137">
        <f t="shared" si="5"/>
        <v>172.74074071474072</v>
      </c>
      <c r="L30" s="227">
        <f>INDEX(Starter!A:A,ROW()-1)</f>
        <v>7758</v>
      </c>
      <c r="M30">
        <f>INDEX(SchnittGes4!M:M,MATCH(L30,SchnittGes4!L:L,0))+INDEX(Schnitt5!M:M,MATCH(L30,Schnitt5!L:L,0))</f>
        <v>6019</v>
      </c>
      <c r="N30">
        <f>INDEX(SchnittGes4!N:N,MATCH(L30,SchnittGes4!L:L,0))+INDEX(Schnitt5!N:N,MATCH(L30,Schnitt5!L:L,0))</f>
        <v>36</v>
      </c>
      <c r="O30">
        <f t="shared" si="7"/>
        <v>167.19444441444446</v>
      </c>
      <c r="P30">
        <f t="shared" si="1"/>
        <v>37</v>
      </c>
    </row>
    <row r="31" spans="1:16" x14ac:dyDescent="0.35">
      <c r="A31">
        <f t="shared" si="6"/>
        <v>27</v>
      </c>
      <c r="B31">
        <f t="shared" si="2"/>
        <v>16595</v>
      </c>
      <c r="C31" t="str">
        <f>IFERROR(INDEX(Starter!B:B,MATCH(B31,Starter!A:A,0)),"")</f>
        <v>Schott, Nicole</v>
      </c>
      <c r="D31" t="str">
        <f>IFERROR(INDEX(Starter!C:C,MATCH(B31,Starter!A:A,0)),"")</f>
        <v>BK München</v>
      </c>
      <c r="E31" s="102">
        <f t="shared" si="3"/>
        <v>1551</v>
      </c>
      <c r="F31">
        <f t="shared" si="4"/>
        <v>9</v>
      </c>
      <c r="G31" s="137">
        <f t="shared" si="5"/>
        <v>172.33333332033334</v>
      </c>
      <c r="L31" s="227">
        <f>INDEX(Starter!A:A,ROW()-1)</f>
        <v>7757</v>
      </c>
      <c r="M31">
        <f>INDEX(SchnittGes4!M:M,MATCH(L31,SchnittGes4!L:L,0))+INDEX(Schnitt5!M:M,MATCH(L31,Schnitt5!L:L,0))</f>
        <v>5859</v>
      </c>
      <c r="N31">
        <f>INDEX(SchnittGes4!N:N,MATCH(L31,SchnittGes4!L:L,0))+INDEX(Schnitt5!N:N,MATCH(L31,Schnitt5!L:L,0))</f>
        <v>36</v>
      </c>
      <c r="O31">
        <f t="shared" si="7"/>
        <v>162.74999996899999</v>
      </c>
      <c r="P31">
        <f t="shared" si="1"/>
        <v>43</v>
      </c>
    </row>
    <row r="32" spans="1:16" x14ac:dyDescent="0.35">
      <c r="A32">
        <f t="shared" si="6"/>
        <v>28</v>
      </c>
      <c r="B32">
        <f t="shared" si="2"/>
        <v>7431</v>
      </c>
      <c r="C32" t="str">
        <f>IFERROR(INDEX(Starter!B:B,MATCH(B32,Starter!A:A,0)),"")</f>
        <v>Denz, Angelika</v>
      </c>
      <c r="D32" t="str">
        <f>IFERROR(INDEX(Starter!C:C,MATCH(B32,Starter!A:A,0)),"")</f>
        <v>BF Weiß-Blau</v>
      </c>
      <c r="E32" s="102">
        <f t="shared" si="3"/>
        <v>5342</v>
      </c>
      <c r="F32">
        <f t="shared" si="4"/>
        <v>31</v>
      </c>
      <c r="G32" s="137">
        <f t="shared" si="5"/>
        <v>172.32258060116129</v>
      </c>
      <c r="L32" s="227">
        <f>INDEX(Starter!A:A,ROW()-1)</f>
        <v>38560</v>
      </c>
      <c r="M32">
        <f>INDEX(SchnittGes4!M:M,MATCH(L32,SchnittGes4!L:L,0))+INDEX(Schnitt5!M:M,MATCH(L32,Schnitt5!L:L,0))</f>
        <v>6282</v>
      </c>
      <c r="N32">
        <f>INDEX(SchnittGes4!N:N,MATCH(L32,SchnittGes4!L:L,0))+INDEX(Schnitt5!N:N,MATCH(L32,Schnitt5!L:L,0))</f>
        <v>36</v>
      </c>
      <c r="O32">
        <f t="shared" si="7"/>
        <v>174.499999968</v>
      </c>
      <c r="P32">
        <f t="shared" si="1"/>
        <v>24</v>
      </c>
    </row>
    <row r="33" spans="1:16" x14ac:dyDescent="0.35">
      <c r="A33">
        <f t="shared" si="6"/>
        <v>29</v>
      </c>
      <c r="B33">
        <f t="shared" si="2"/>
        <v>38258</v>
      </c>
      <c r="C33" t="str">
        <f>IFERROR(INDEX(Starter!B:B,MATCH(B33,Starter!A:A,0)),"")</f>
        <v>Bösl, Anna</v>
      </c>
      <c r="D33" t="str">
        <f>IFERROR(INDEX(Starter!C:C,MATCH(B33,Starter!A:A,0)),"")</f>
        <v>BC Praetoria</v>
      </c>
      <c r="E33" s="102">
        <f t="shared" si="3"/>
        <v>3963</v>
      </c>
      <c r="F33">
        <f t="shared" si="4"/>
        <v>23</v>
      </c>
      <c r="G33" s="137">
        <f t="shared" si="5"/>
        <v>172.30434782308697</v>
      </c>
      <c r="L33" s="227">
        <f>INDEX(Starter!A:A,ROW()-1)</f>
        <v>7755</v>
      </c>
      <c r="M33">
        <f>INDEX(SchnittGes4!M:M,MATCH(L33,SchnittGes4!L:L,0))+INDEX(Schnitt5!M:M,MATCH(L33,Schnitt5!L:L,0))</f>
        <v>0</v>
      </c>
      <c r="N33">
        <f>INDEX(SchnittGes4!N:N,MATCH(L33,SchnittGes4!L:L,0))+INDEX(Schnitt5!N:N,MATCH(L33,Schnitt5!L:L,0))</f>
        <v>0</v>
      </c>
      <c r="O33">
        <f t="shared" si="7"/>
        <v>0</v>
      </c>
      <c r="P33">
        <f t="shared" si="1"/>
        <v>55</v>
      </c>
    </row>
    <row r="34" spans="1:16" x14ac:dyDescent="0.35">
      <c r="A34">
        <f t="shared" si="6"/>
        <v>30</v>
      </c>
      <c r="B34">
        <f t="shared" si="2"/>
        <v>38758</v>
      </c>
      <c r="C34" t="str">
        <f>IFERROR(INDEX(Starter!B:B,MATCH(B34,Starter!A:A,0)),"")</f>
        <v>Rauscher, Julia</v>
      </c>
      <c r="D34" t="str">
        <f>IFERROR(INDEX(Starter!C:C,MATCH(B34,Starter!A:A,0)),"")</f>
        <v>BSC Highroller Rosenheim</v>
      </c>
      <c r="E34" s="102">
        <f t="shared" si="3"/>
        <v>4985</v>
      </c>
      <c r="F34">
        <f t="shared" si="4"/>
        <v>29</v>
      </c>
      <c r="G34" s="137">
        <f t="shared" si="5"/>
        <v>171.89655169713794</v>
      </c>
      <c r="L34" s="227">
        <f>INDEX(Starter!A:A,ROW()-1)</f>
        <v>7676</v>
      </c>
      <c r="M34">
        <f>INDEX(SchnittGes4!M:M,MATCH(L34,SchnittGes4!L:L,0))+INDEX(Schnitt5!M:M,MATCH(L34,Schnitt5!L:L,0))</f>
        <v>0</v>
      </c>
      <c r="N34">
        <f>INDEX(SchnittGes4!N:N,MATCH(L34,SchnittGes4!L:L,0))+INDEX(Schnitt5!N:N,MATCH(L34,Schnitt5!L:L,0))</f>
        <v>0</v>
      </c>
      <c r="O34">
        <f t="shared" si="7"/>
        <v>0</v>
      </c>
      <c r="P34">
        <f t="shared" ref="P34:P65" si="8">RANK(O34,O:O)</f>
        <v>55</v>
      </c>
    </row>
    <row r="35" spans="1:16" x14ac:dyDescent="0.35">
      <c r="A35">
        <f t="shared" si="6"/>
        <v>31</v>
      </c>
      <c r="B35">
        <f t="shared" si="2"/>
        <v>7576</v>
      </c>
      <c r="C35" t="str">
        <f>IFERROR(INDEX(Starter!B:B,MATCH(B35,Starter!A:A,0)),"")</f>
        <v>Laub, Angela</v>
      </c>
      <c r="D35" t="str">
        <f>IFERROR(INDEX(Starter!C:C,MATCH(B35,Starter!A:A,0)),"")</f>
        <v>BK München</v>
      </c>
      <c r="E35" s="102">
        <f t="shared" si="3"/>
        <v>2553</v>
      </c>
      <c r="F35">
        <f t="shared" si="4"/>
        <v>15</v>
      </c>
      <c r="G35" s="137">
        <f t="shared" si="5"/>
        <v>170.19999998099999</v>
      </c>
      <c r="L35" s="227">
        <f>INDEX(Starter!A:A,ROW()-1)</f>
        <v>16804</v>
      </c>
      <c r="M35">
        <f>INDEX(SchnittGes4!M:M,MATCH(L35,SchnittGes4!L:L,0))+INDEX(Schnitt5!M:M,MATCH(L35,Schnitt5!L:L,0))</f>
        <v>0</v>
      </c>
      <c r="N35">
        <f>INDEX(SchnittGes4!N:N,MATCH(L35,SchnittGes4!L:L,0))+INDEX(Schnitt5!N:N,MATCH(L35,Schnitt5!L:L,0))</f>
        <v>0</v>
      </c>
      <c r="O35">
        <f t="shared" si="7"/>
        <v>0</v>
      </c>
      <c r="P35">
        <f t="shared" si="8"/>
        <v>55</v>
      </c>
    </row>
    <row r="36" spans="1:16" x14ac:dyDescent="0.35">
      <c r="A36">
        <f t="shared" si="6"/>
        <v>32</v>
      </c>
      <c r="B36">
        <f t="shared" si="2"/>
        <v>38289</v>
      </c>
      <c r="C36" t="str">
        <f>IFERROR(INDEX(Starter!B:B,MATCH(B36,Starter!A:A,0)),"")</f>
        <v>Kirschke, Sandra</v>
      </c>
      <c r="D36" t="str">
        <f>IFERROR(INDEX(Starter!C:C,MATCH(B36,Starter!A:A,0)),"")</f>
        <v>BC LA Bowling</v>
      </c>
      <c r="E36" s="102">
        <f t="shared" si="3"/>
        <v>2033</v>
      </c>
      <c r="F36">
        <f t="shared" si="4"/>
        <v>12</v>
      </c>
      <c r="G36" s="137">
        <f t="shared" si="5"/>
        <v>169.41666659466665</v>
      </c>
      <c r="L36" s="227">
        <f>INDEX(Starter!A:A,ROW()-1)</f>
        <v>7978</v>
      </c>
      <c r="M36">
        <f>INDEX(SchnittGes4!M:M,MATCH(L36,SchnittGes4!L:L,0))+INDEX(Schnitt5!M:M,MATCH(L36,Schnitt5!L:L,0))</f>
        <v>0</v>
      </c>
      <c r="N36">
        <f>INDEX(SchnittGes4!N:N,MATCH(L36,SchnittGes4!L:L,0))+INDEX(Schnitt5!N:N,MATCH(L36,Schnitt5!L:L,0))</f>
        <v>0</v>
      </c>
      <c r="O36">
        <f t="shared" si="7"/>
        <v>0</v>
      </c>
      <c r="P36">
        <f t="shared" si="8"/>
        <v>55</v>
      </c>
    </row>
    <row r="37" spans="1:16" x14ac:dyDescent="0.35">
      <c r="A37">
        <f t="shared" si="6"/>
        <v>33</v>
      </c>
      <c r="B37">
        <f t="shared" ref="B37:B68" si="9">IFERROR(INDEX(L:L,MATCH(A37,P:P,0)),"")</f>
        <v>38350</v>
      </c>
      <c r="C37" t="str">
        <f>IFERROR(INDEX(Starter!B:B,MATCH(B37,Starter!A:A,0)),"")</f>
        <v>Seeger, Melanie</v>
      </c>
      <c r="D37" t="str">
        <f>IFERROR(INDEX(Starter!C:C,MATCH(B37,Starter!A:A,0)),"")</f>
        <v>BK München</v>
      </c>
      <c r="E37" s="102">
        <f t="shared" ref="E37:E68" si="10">IFERROR(INDEX(M:M,MATCH(A37,P:P,0)),"")</f>
        <v>6059</v>
      </c>
      <c r="F37">
        <f t="shared" ref="F37:F68" si="11">IFERROR(INDEX(N:N,MATCH(A37,P:P,0)),"")</f>
        <v>36</v>
      </c>
      <c r="G37" s="137">
        <f t="shared" ref="G37:G68" si="12">IFERROR(INDEX(O:O,MATCH(A37,P:P,0)),"")</f>
        <v>168.30555554455555</v>
      </c>
      <c r="L37" s="227">
        <f>INDEX(Starter!A:A,ROW()-1)</f>
        <v>16029</v>
      </c>
      <c r="M37">
        <f>INDEX(SchnittGes4!M:M,MATCH(L37,SchnittGes4!L:L,0))+INDEX(Schnitt5!M:M,MATCH(L37,Schnitt5!L:L,0))</f>
        <v>0</v>
      </c>
      <c r="N37">
        <f>INDEX(SchnittGes4!N:N,MATCH(L37,SchnittGes4!L:L,0))+INDEX(Schnitt5!N:N,MATCH(L37,Schnitt5!L:L,0))</f>
        <v>0</v>
      </c>
      <c r="O37">
        <f t="shared" si="7"/>
        <v>0</v>
      </c>
      <c r="P37">
        <f t="shared" si="8"/>
        <v>55</v>
      </c>
    </row>
    <row r="38" spans="1:16" x14ac:dyDescent="0.35">
      <c r="A38">
        <f t="shared" ref="A38:A69" si="13">IFERROR(IF(A37+1&gt;MAX(P:P)-1,"",A37+1),"")</f>
        <v>34</v>
      </c>
      <c r="B38">
        <f t="shared" si="9"/>
        <v>7787</v>
      </c>
      <c r="C38" t="str">
        <f>IFERROR(INDEX(Starter!B:B,MATCH(B38,Starter!A:A,0)),"")</f>
        <v>Kleim, Helga</v>
      </c>
      <c r="D38" t="str">
        <f>IFERROR(INDEX(Starter!C:C,MATCH(B38,Starter!A:A,0)),"")</f>
        <v>BC Phönix 03 Lauf</v>
      </c>
      <c r="E38" s="102">
        <f t="shared" si="10"/>
        <v>5207</v>
      </c>
      <c r="F38">
        <f t="shared" si="11"/>
        <v>31</v>
      </c>
      <c r="G38" s="137">
        <f t="shared" si="12"/>
        <v>167.96774188148387</v>
      </c>
      <c r="L38" s="227">
        <f>INDEX(Starter!A:A,ROW()-1)</f>
        <v>7082</v>
      </c>
      <c r="M38">
        <f>INDEX(SchnittGes4!M:M,MATCH(L38,SchnittGes4!L:L,0))+INDEX(Schnitt5!M:M,MATCH(L38,Schnitt5!L:L,0))</f>
        <v>0</v>
      </c>
      <c r="N38">
        <f>INDEX(SchnittGes4!N:N,MATCH(L38,SchnittGes4!L:L,0))+INDEX(Schnitt5!N:N,MATCH(L38,Schnitt5!L:L,0))</f>
        <v>0</v>
      </c>
      <c r="O38">
        <f t="shared" si="7"/>
        <v>0</v>
      </c>
      <c r="P38">
        <f t="shared" si="8"/>
        <v>55</v>
      </c>
    </row>
    <row r="39" spans="1:16" x14ac:dyDescent="0.35">
      <c r="A39">
        <f t="shared" si="13"/>
        <v>35</v>
      </c>
      <c r="B39">
        <f t="shared" si="9"/>
        <v>38607</v>
      </c>
      <c r="C39" t="str">
        <f>IFERROR(INDEX(Starter!B:B,MATCH(B39,Starter!A:A,0)),"")</f>
        <v>Jenke, Sandra</v>
      </c>
      <c r="D39" t="str">
        <f>IFERROR(INDEX(Starter!C:C,MATCH(B39,Starter!A:A,0)),"")</f>
        <v>BC Phönix 03 Lauf</v>
      </c>
      <c r="E39" s="102">
        <f t="shared" si="10"/>
        <v>670</v>
      </c>
      <c r="F39">
        <f t="shared" si="11"/>
        <v>4</v>
      </c>
      <c r="G39" s="137">
        <f t="shared" si="12"/>
        <v>167.49999992599999</v>
      </c>
      <c r="L39" s="227">
        <f>INDEX(Starter!A:A,ROW()-1)</f>
        <v>16700</v>
      </c>
      <c r="M39">
        <f>INDEX(SchnittGes4!M:M,MATCH(L39,SchnittGes4!L:L,0))+INDEX(Schnitt5!M:M,MATCH(L39,Schnitt5!L:L,0))</f>
        <v>0</v>
      </c>
      <c r="N39">
        <f>INDEX(SchnittGes4!N:N,MATCH(L39,SchnittGes4!L:L,0))+INDEX(Schnitt5!N:N,MATCH(L39,Schnitt5!L:L,0))</f>
        <v>0</v>
      </c>
      <c r="O39">
        <f t="shared" si="7"/>
        <v>0</v>
      </c>
      <c r="P39">
        <f t="shared" si="8"/>
        <v>55</v>
      </c>
    </row>
    <row r="40" spans="1:16" x14ac:dyDescent="0.35">
      <c r="A40">
        <f t="shared" si="13"/>
        <v>36</v>
      </c>
      <c r="B40">
        <f t="shared" si="9"/>
        <v>38513</v>
      </c>
      <c r="C40" t="str">
        <f>IFERROR(INDEX(Starter!B:B,MATCH(B40,Starter!A:A,0)),"")</f>
        <v>Thöne, Melanie</v>
      </c>
      <c r="D40" t="str">
        <f>IFERROR(INDEX(Starter!C:C,MATCH(B40,Starter!A:A,0)),"")</f>
        <v>BF Rot-Weiß Lichtenhof 69</v>
      </c>
      <c r="E40" s="102">
        <f t="shared" si="10"/>
        <v>5352</v>
      </c>
      <c r="F40">
        <f t="shared" si="11"/>
        <v>32</v>
      </c>
      <c r="G40" s="137">
        <f t="shared" si="12"/>
        <v>167.249999941</v>
      </c>
      <c r="L40" s="227">
        <f>INDEX(Starter!A:A,ROW()-1)</f>
        <v>38737</v>
      </c>
      <c r="M40">
        <f>INDEX(SchnittGes4!M:M,MATCH(L40,SchnittGes4!L:L,0))+INDEX(Schnitt5!M:M,MATCH(L40,Schnitt5!L:L,0))</f>
        <v>0</v>
      </c>
      <c r="N40">
        <f>INDEX(SchnittGes4!N:N,MATCH(L40,SchnittGes4!L:L,0))+INDEX(Schnitt5!N:N,MATCH(L40,Schnitt5!L:L,0))</f>
        <v>0</v>
      </c>
      <c r="O40">
        <f t="shared" si="7"/>
        <v>0</v>
      </c>
      <c r="P40">
        <f t="shared" si="8"/>
        <v>55</v>
      </c>
    </row>
    <row r="41" spans="1:16" x14ac:dyDescent="0.35">
      <c r="A41">
        <f t="shared" si="13"/>
        <v>37</v>
      </c>
      <c r="B41">
        <f t="shared" si="9"/>
        <v>7758</v>
      </c>
      <c r="C41" t="str">
        <f>IFERROR(INDEX(Starter!B:B,MATCH(B41,Starter!A:A,0)),"")</f>
        <v>Deinlein, Christine</v>
      </c>
      <c r="D41" t="str">
        <f>IFERROR(INDEX(Starter!C:C,MATCH(B41,Starter!A:A,0)),"")</f>
        <v>BC Frankenpower</v>
      </c>
      <c r="E41" s="102">
        <f t="shared" si="10"/>
        <v>6019</v>
      </c>
      <c r="F41">
        <f t="shared" si="11"/>
        <v>36</v>
      </c>
      <c r="G41" s="137">
        <f t="shared" si="12"/>
        <v>167.19444441444446</v>
      </c>
      <c r="L41" s="227">
        <f>INDEX(Starter!A:A,ROW()-1)</f>
        <v>7752</v>
      </c>
      <c r="M41">
        <f>INDEX(SchnittGes4!M:M,MATCH(L41,SchnittGes4!L:L,0))+INDEX(Schnitt5!M:M,MATCH(L41,Schnitt5!L:L,0))</f>
        <v>1288</v>
      </c>
      <c r="N41">
        <f>INDEX(SchnittGes4!N:N,MATCH(L41,SchnittGes4!L:L,0))+INDEX(Schnitt5!N:N,MATCH(L41,Schnitt5!L:L,0))</f>
        <v>7</v>
      </c>
      <c r="O41">
        <f t="shared" si="7"/>
        <v>183.99999995900001</v>
      </c>
      <c r="P41">
        <f t="shared" si="8"/>
        <v>8</v>
      </c>
    </row>
    <row r="42" spans="1:16" x14ac:dyDescent="0.35">
      <c r="A42">
        <f t="shared" si="13"/>
        <v>38</v>
      </c>
      <c r="B42">
        <f t="shared" si="9"/>
        <v>7903</v>
      </c>
      <c r="C42" t="str">
        <f>IFERROR(INDEX(Starter!B:B,MATCH(B42,Starter!A:A,0)),"")</f>
        <v>Spieler, Regina</v>
      </c>
      <c r="D42" t="str">
        <f>IFERROR(INDEX(Starter!C:C,MATCH(B42,Starter!A:A,0)),"")</f>
        <v>BC Praetoria</v>
      </c>
      <c r="E42" s="102">
        <f t="shared" si="10"/>
        <v>2338</v>
      </c>
      <c r="F42">
        <f t="shared" si="11"/>
        <v>14</v>
      </c>
      <c r="G42" s="137">
        <f t="shared" si="12"/>
        <v>166.999999995</v>
      </c>
      <c r="L42" s="227">
        <f>INDEX(Starter!A:A,ROW()-1)</f>
        <v>25397</v>
      </c>
      <c r="M42">
        <f>INDEX(SchnittGes4!M:M,MATCH(L42,SchnittGes4!L:L,0))+INDEX(Schnitt5!M:M,MATCH(L42,Schnitt5!L:L,0))</f>
        <v>3033</v>
      </c>
      <c r="N42">
        <f>INDEX(SchnittGes4!N:N,MATCH(L42,SchnittGes4!L:L,0))+INDEX(Schnitt5!N:N,MATCH(L42,Schnitt5!L:L,0))</f>
        <v>19</v>
      </c>
      <c r="O42">
        <f t="shared" si="7"/>
        <v>159.6315789053684</v>
      </c>
      <c r="P42">
        <f t="shared" si="8"/>
        <v>50</v>
      </c>
    </row>
    <row r="43" spans="1:16" x14ac:dyDescent="0.35">
      <c r="A43">
        <f t="shared" si="13"/>
        <v>39</v>
      </c>
      <c r="B43">
        <f t="shared" si="9"/>
        <v>16414</v>
      </c>
      <c r="C43" t="str">
        <f>IFERROR(INDEX(Starter!B:B,MATCH(B43,Starter!A:A,0)),"")</f>
        <v>Dornacher, Hannelore</v>
      </c>
      <c r="D43" t="str">
        <f>IFERROR(INDEX(Starter!C:C,MATCH(B43,Starter!A:A,0)),"")</f>
        <v>BF Weiß-Blau</v>
      </c>
      <c r="E43" s="102">
        <f t="shared" si="10"/>
        <v>5145</v>
      </c>
      <c r="F43">
        <f t="shared" si="11"/>
        <v>31</v>
      </c>
      <c r="G43" s="137">
        <f t="shared" si="12"/>
        <v>165.96774188948388</v>
      </c>
      <c r="L43" s="227">
        <f>INDEX(Starter!A:A,ROW()-1)</f>
        <v>38061</v>
      </c>
      <c r="M43">
        <f>INDEX(SchnittGes4!M:M,MATCH(L43,SchnittGes4!L:L,0))+INDEX(Schnitt5!M:M,MATCH(L43,Schnitt5!L:L,0))</f>
        <v>0</v>
      </c>
      <c r="N43">
        <f>INDEX(SchnittGes4!N:N,MATCH(L43,SchnittGes4!L:L,0))+INDEX(Schnitt5!N:N,MATCH(L43,Schnitt5!L:L,0))</f>
        <v>0</v>
      </c>
      <c r="O43">
        <f t="shared" si="7"/>
        <v>0</v>
      </c>
      <c r="P43">
        <f t="shared" si="8"/>
        <v>55</v>
      </c>
    </row>
    <row r="44" spans="1:16" x14ac:dyDescent="0.35">
      <c r="A44">
        <f t="shared" si="13"/>
        <v>40</v>
      </c>
      <c r="B44">
        <f t="shared" si="9"/>
        <v>38210</v>
      </c>
      <c r="C44" t="str">
        <f>IFERROR(INDEX(Starter!B:B,MATCH(B44,Starter!A:A,0)),"")</f>
        <v>Kulzer, Katharina</v>
      </c>
      <c r="D44" t="str">
        <f>IFERROR(INDEX(Starter!C:C,MATCH(B44,Starter!A:A,0)),"")</f>
        <v>BC Phönix 03 Lauf</v>
      </c>
      <c r="E44" s="102">
        <f t="shared" si="10"/>
        <v>3976</v>
      </c>
      <c r="F44">
        <f t="shared" si="11"/>
        <v>24</v>
      </c>
      <c r="G44" s="137">
        <f t="shared" si="12"/>
        <v>165.66666659966666</v>
      </c>
      <c r="L44" s="227">
        <f>INDEX(Starter!A:A,ROW()-1)</f>
        <v>7431</v>
      </c>
      <c r="M44">
        <f>INDEX(SchnittGes4!M:M,MATCH(L44,SchnittGes4!L:L,0))+INDEX(Schnitt5!M:M,MATCH(L44,Schnitt5!L:L,0))</f>
        <v>5342</v>
      </c>
      <c r="N44">
        <f>INDEX(SchnittGes4!N:N,MATCH(L44,SchnittGes4!L:L,0))+INDEX(Schnitt5!N:N,MATCH(L44,Schnitt5!L:L,0))</f>
        <v>31</v>
      </c>
      <c r="O44">
        <f t="shared" si="7"/>
        <v>172.32258060116129</v>
      </c>
      <c r="P44">
        <f t="shared" si="8"/>
        <v>28</v>
      </c>
    </row>
    <row r="45" spans="1:16" x14ac:dyDescent="0.35">
      <c r="A45">
        <f t="shared" si="13"/>
        <v>41</v>
      </c>
      <c r="B45">
        <f t="shared" si="9"/>
        <v>21185</v>
      </c>
      <c r="C45" t="str">
        <f>IFERROR(INDEX(Starter!B:B,MATCH(B45,Starter!A:A,0)),"")</f>
        <v>Richter, Petra</v>
      </c>
      <c r="D45" t="str">
        <f>IFERROR(INDEX(Starter!C:C,MATCH(B45,Starter!A:A,0)),"")</f>
        <v>BF Weiß-Blau</v>
      </c>
      <c r="E45" s="102">
        <f t="shared" si="10"/>
        <v>4120</v>
      </c>
      <c r="F45">
        <f t="shared" si="11"/>
        <v>25</v>
      </c>
      <c r="G45" s="137">
        <f t="shared" si="12"/>
        <v>164.79999994900001</v>
      </c>
      <c r="L45" s="227">
        <f>INDEX(Starter!A:A,ROW()-1)</f>
        <v>7087</v>
      </c>
      <c r="M45">
        <f>INDEX(SchnittGes4!M:M,MATCH(L45,SchnittGes4!L:L,0))+INDEX(Schnitt5!M:M,MATCH(L45,Schnitt5!L:L,0))</f>
        <v>6120</v>
      </c>
      <c r="N45">
        <f>INDEX(SchnittGes4!N:N,MATCH(L45,SchnittGes4!L:L,0))+INDEX(Schnitt5!N:N,MATCH(L45,Schnitt5!L:L,0))</f>
        <v>35</v>
      </c>
      <c r="O45">
        <f t="shared" si="7"/>
        <v>174.85714281214285</v>
      </c>
      <c r="P45">
        <f t="shared" si="8"/>
        <v>23</v>
      </c>
    </row>
    <row r="46" spans="1:16" x14ac:dyDescent="0.35">
      <c r="A46">
        <f t="shared" si="13"/>
        <v>42</v>
      </c>
      <c r="B46">
        <f t="shared" si="9"/>
        <v>38222</v>
      </c>
      <c r="C46" t="str">
        <f>IFERROR(INDEX(Starter!B:B,MATCH(B46,Starter!A:A,0)),"")</f>
        <v>Helmbrecht, Carolin</v>
      </c>
      <c r="D46" t="str">
        <f>IFERROR(INDEX(Starter!C:C,MATCH(B46,Starter!A:A,0)),"")</f>
        <v>BK München</v>
      </c>
      <c r="E46" s="102">
        <f t="shared" si="10"/>
        <v>1479</v>
      </c>
      <c r="F46">
        <f t="shared" si="11"/>
        <v>9</v>
      </c>
      <c r="G46" s="137">
        <f t="shared" si="12"/>
        <v>164.33333332533334</v>
      </c>
      <c r="L46" s="227">
        <f>INDEX(Starter!A:A,ROW()-1)</f>
        <v>16414</v>
      </c>
      <c r="M46">
        <f>INDEX(SchnittGes4!M:M,MATCH(L46,SchnittGes4!L:L,0))+INDEX(Schnitt5!M:M,MATCH(L46,Schnitt5!L:L,0))</f>
        <v>5145</v>
      </c>
      <c r="N46">
        <f>INDEX(SchnittGes4!N:N,MATCH(L46,SchnittGes4!L:L,0))+INDEX(Schnitt5!N:N,MATCH(L46,Schnitt5!L:L,0))</f>
        <v>31</v>
      </c>
      <c r="O46">
        <f t="shared" si="7"/>
        <v>165.96774188948388</v>
      </c>
      <c r="P46">
        <f t="shared" si="8"/>
        <v>39</v>
      </c>
    </row>
    <row r="47" spans="1:16" x14ac:dyDescent="0.35">
      <c r="A47">
        <f t="shared" si="13"/>
        <v>43</v>
      </c>
      <c r="B47">
        <f t="shared" si="9"/>
        <v>7757</v>
      </c>
      <c r="C47" t="str">
        <f>IFERROR(INDEX(Starter!B:B,MATCH(B47,Starter!A:A,0)),"")</f>
        <v>Legl, Renate</v>
      </c>
      <c r="D47" t="str">
        <f>IFERROR(INDEX(Starter!C:C,MATCH(B47,Starter!A:A,0)),"")</f>
        <v>BC Frankenpower</v>
      </c>
      <c r="E47" s="102">
        <f t="shared" si="10"/>
        <v>5859</v>
      </c>
      <c r="F47">
        <f t="shared" si="11"/>
        <v>36</v>
      </c>
      <c r="G47" s="137">
        <f t="shared" si="12"/>
        <v>162.74999996899999</v>
      </c>
      <c r="L47" s="227">
        <f>INDEX(Starter!A:A,ROW()-1)</f>
        <v>16713</v>
      </c>
      <c r="M47">
        <f>INDEX(SchnittGes4!M:M,MATCH(L47,SchnittGes4!L:L,0))+INDEX(Schnitt5!M:M,MATCH(L47,Schnitt5!L:L,0))</f>
        <v>0</v>
      </c>
      <c r="N47">
        <f>INDEX(SchnittGes4!N:N,MATCH(L47,SchnittGes4!L:L,0))+INDEX(Schnitt5!N:N,MATCH(L47,Schnitt5!L:L,0))</f>
        <v>0</v>
      </c>
      <c r="O47">
        <f t="shared" si="7"/>
        <v>0</v>
      </c>
      <c r="P47">
        <f t="shared" si="8"/>
        <v>55</v>
      </c>
    </row>
    <row r="48" spans="1:16" x14ac:dyDescent="0.35">
      <c r="A48">
        <f t="shared" si="13"/>
        <v>44</v>
      </c>
      <c r="B48">
        <f t="shared" si="9"/>
        <v>7972</v>
      </c>
      <c r="C48" t="str">
        <f>IFERROR(INDEX(Starter!B:B,MATCH(B48,Starter!A:A,0)),"")</f>
        <v>Hödl, Renate</v>
      </c>
      <c r="D48" t="str">
        <f>IFERROR(INDEX(Starter!C:C,MATCH(B48,Starter!A:A,0)),"")</f>
        <v>BF Rot-Weiß Lichtenhof 69</v>
      </c>
      <c r="E48" s="102">
        <f t="shared" si="10"/>
        <v>4705</v>
      </c>
      <c r="F48">
        <f t="shared" si="11"/>
        <v>29</v>
      </c>
      <c r="G48" s="137">
        <f t="shared" si="12"/>
        <v>162.24137925034483</v>
      </c>
      <c r="L48" s="227">
        <f>INDEX(Starter!A:A,ROW()-1)</f>
        <v>7541</v>
      </c>
      <c r="M48">
        <f>INDEX(SchnittGes4!M:M,MATCH(L48,SchnittGes4!L:L,0))+INDEX(Schnitt5!M:M,MATCH(L48,Schnitt5!L:L,0))</f>
        <v>0</v>
      </c>
      <c r="N48">
        <f>INDEX(SchnittGes4!N:N,MATCH(L48,SchnittGes4!L:L,0))+INDEX(Schnitt5!N:N,MATCH(L48,Schnitt5!L:L,0))</f>
        <v>0</v>
      </c>
      <c r="O48">
        <f t="shared" si="7"/>
        <v>0</v>
      </c>
      <c r="P48">
        <f t="shared" si="8"/>
        <v>55</v>
      </c>
    </row>
    <row r="49" spans="1:16" x14ac:dyDescent="0.35">
      <c r="A49">
        <f t="shared" si="13"/>
        <v>45</v>
      </c>
      <c r="B49">
        <f t="shared" si="9"/>
        <v>7061</v>
      </c>
      <c r="C49" t="str">
        <f>IFERROR(INDEX(Starter!B:B,MATCH(B49,Starter!A:A,0)),"")</f>
        <v>Waigel, Petra</v>
      </c>
      <c r="D49" t="str">
        <f>IFERROR(INDEX(Starter!C:C,MATCH(B49,Starter!A:A,0)),"")</f>
        <v>BK München</v>
      </c>
      <c r="E49" s="102">
        <f t="shared" si="10"/>
        <v>1454</v>
      </c>
      <c r="F49">
        <f t="shared" si="11"/>
        <v>9</v>
      </c>
      <c r="G49" s="137">
        <f t="shared" si="12"/>
        <v>161.55555554155555</v>
      </c>
      <c r="L49" s="227">
        <f>INDEX(Starter!A:A,ROW()-1)</f>
        <v>7546</v>
      </c>
      <c r="M49">
        <f>INDEX(SchnittGes4!M:M,MATCH(L49,SchnittGes4!L:L,0))+INDEX(Schnitt5!M:M,MATCH(L49,Schnitt5!L:L,0))</f>
        <v>1018</v>
      </c>
      <c r="N49">
        <f>INDEX(SchnittGes4!N:N,MATCH(L49,SchnittGes4!L:L,0))+INDEX(Schnitt5!N:N,MATCH(L49,Schnitt5!L:L,0))</f>
        <v>7</v>
      </c>
      <c r="O49">
        <f t="shared" si="7"/>
        <v>145.42857137957142</v>
      </c>
      <c r="P49">
        <f t="shared" si="8"/>
        <v>54</v>
      </c>
    </row>
    <row r="50" spans="1:16" x14ac:dyDescent="0.35">
      <c r="A50">
        <f t="shared" si="13"/>
        <v>46</v>
      </c>
      <c r="B50">
        <f t="shared" si="9"/>
        <v>16879</v>
      </c>
      <c r="C50" t="str">
        <f>IFERROR(INDEX(Starter!B:B,MATCH(B50,Starter!A:A,0)),"")</f>
        <v>Danzer, Andrea</v>
      </c>
      <c r="D50" t="str">
        <f>IFERROR(INDEX(Starter!C:C,MATCH(B50,Starter!A:A,0)),"")</f>
        <v>BK München</v>
      </c>
      <c r="E50" s="102">
        <f t="shared" si="10"/>
        <v>3059</v>
      </c>
      <c r="F50">
        <f t="shared" si="11"/>
        <v>19</v>
      </c>
      <c r="G50" s="137">
        <f t="shared" si="12"/>
        <v>160.99999997899999</v>
      </c>
      <c r="L50" s="227">
        <f>INDEX(Starter!A:A,ROW()-1)</f>
        <v>16953</v>
      </c>
      <c r="M50">
        <f>INDEX(SchnittGes4!M:M,MATCH(L50,SchnittGes4!L:L,0))+INDEX(Schnitt5!M:M,MATCH(L50,Schnitt5!L:L,0))</f>
        <v>0</v>
      </c>
      <c r="N50">
        <f>INDEX(SchnittGes4!N:N,MATCH(L50,SchnittGes4!L:L,0))+INDEX(Schnitt5!N:N,MATCH(L50,Schnitt5!L:L,0))</f>
        <v>0</v>
      </c>
      <c r="O50">
        <f t="shared" si="7"/>
        <v>0</v>
      </c>
      <c r="P50">
        <f t="shared" si="8"/>
        <v>55</v>
      </c>
    </row>
    <row r="51" spans="1:16" x14ac:dyDescent="0.35">
      <c r="A51">
        <f t="shared" si="13"/>
        <v>47</v>
      </c>
      <c r="B51">
        <f t="shared" si="9"/>
        <v>25347</v>
      </c>
      <c r="C51" t="str">
        <f>IFERROR(INDEX(Starter!B:B,MATCH(B51,Starter!A:A,0)),"")</f>
        <v>Schulz-Burkert, Roswitha</v>
      </c>
      <c r="D51" t="str">
        <f>IFERROR(INDEX(Starter!C:C,MATCH(B51,Starter!A:A,0)),"")</f>
        <v>BC Phönix 03 Lauf</v>
      </c>
      <c r="E51" s="102">
        <f t="shared" si="10"/>
        <v>1125</v>
      </c>
      <c r="F51">
        <f t="shared" si="11"/>
        <v>7</v>
      </c>
      <c r="G51" s="137">
        <f t="shared" si="12"/>
        <v>160.71428564128573</v>
      </c>
      <c r="L51" s="227">
        <f>INDEX(Starter!A:A,ROW()-1)</f>
        <v>21185</v>
      </c>
      <c r="M51">
        <f>INDEX(SchnittGes4!M:M,MATCH(L51,SchnittGes4!L:L,0))+INDEX(Schnitt5!M:M,MATCH(L51,Schnitt5!L:L,0))</f>
        <v>4120</v>
      </c>
      <c r="N51">
        <f>INDEX(SchnittGes4!N:N,MATCH(L51,SchnittGes4!L:L,0))+INDEX(Schnitt5!N:N,MATCH(L51,Schnitt5!L:L,0))</f>
        <v>25</v>
      </c>
      <c r="O51">
        <f t="shared" si="7"/>
        <v>164.79999994900001</v>
      </c>
      <c r="P51">
        <f t="shared" si="8"/>
        <v>41</v>
      </c>
    </row>
    <row r="52" spans="1:16" x14ac:dyDescent="0.35">
      <c r="A52">
        <f t="shared" si="13"/>
        <v>48</v>
      </c>
      <c r="B52">
        <f t="shared" si="9"/>
        <v>12850</v>
      </c>
      <c r="C52" t="str">
        <f>IFERROR(INDEX(Starter!B:B,MATCH(B52,Starter!A:A,0)),"")</f>
        <v>Müller, Angelika</v>
      </c>
      <c r="D52" t="str">
        <f>IFERROR(INDEX(Starter!C:C,MATCH(B52,Starter!A:A,0)),"")</f>
        <v>BK München</v>
      </c>
      <c r="E52" s="102">
        <f t="shared" si="10"/>
        <v>4009</v>
      </c>
      <c r="F52">
        <f t="shared" si="11"/>
        <v>25</v>
      </c>
      <c r="G52" s="137">
        <f t="shared" si="12"/>
        <v>160.35999998000003</v>
      </c>
      <c r="L52" s="227">
        <f>INDEX(Starter!A:A,ROW()-1)</f>
        <v>7551</v>
      </c>
      <c r="M52">
        <f>INDEX(SchnittGes4!M:M,MATCH(L52,SchnittGes4!L:L,0))+INDEX(Schnitt5!M:M,MATCH(L52,Schnitt5!L:L,0))</f>
        <v>2353</v>
      </c>
      <c r="N52">
        <f>INDEX(SchnittGes4!N:N,MATCH(L52,SchnittGes4!L:L,0))+INDEX(Schnitt5!N:N,MATCH(L52,Schnitt5!L:L,0))</f>
        <v>15</v>
      </c>
      <c r="O52">
        <f t="shared" si="7"/>
        <v>156.86666661466668</v>
      </c>
      <c r="P52">
        <f t="shared" si="8"/>
        <v>53</v>
      </c>
    </row>
    <row r="53" spans="1:16" x14ac:dyDescent="0.35">
      <c r="A53">
        <f t="shared" si="13"/>
        <v>49</v>
      </c>
      <c r="B53">
        <f t="shared" si="9"/>
        <v>25551</v>
      </c>
      <c r="C53" t="str">
        <f>IFERROR(INDEX(Starter!B:B,MATCH(B53,Starter!A:A,0)),"")</f>
        <v>Wahl, Alexandra</v>
      </c>
      <c r="D53" t="str">
        <f>IFERROR(INDEX(Starter!C:C,MATCH(B53,Starter!A:A,0)),"")</f>
        <v>BF Rot-Weiß Lichtenhof 69</v>
      </c>
      <c r="E53" s="102">
        <f t="shared" si="10"/>
        <v>5449</v>
      </c>
      <c r="F53">
        <f t="shared" si="11"/>
        <v>34</v>
      </c>
      <c r="G53" s="137">
        <f t="shared" si="12"/>
        <v>160.26470582535293</v>
      </c>
      <c r="L53" s="227">
        <f>INDEX(Starter!A:A,ROW()-1)</f>
        <v>16900</v>
      </c>
      <c r="M53">
        <f>INDEX(SchnittGes4!M:M,MATCH(L53,SchnittGes4!L:L,0))+INDEX(Schnitt5!M:M,MATCH(L53,Schnitt5!L:L,0))</f>
        <v>1263</v>
      </c>
      <c r="N53">
        <f>INDEX(SchnittGes4!N:N,MATCH(L53,SchnittGes4!L:L,0))+INDEX(Schnitt5!N:N,MATCH(L53,Schnitt5!L:L,0))</f>
        <v>8</v>
      </c>
      <c r="O53">
        <f t="shared" si="7"/>
        <v>157.87499994699999</v>
      </c>
      <c r="P53">
        <f t="shared" si="8"/>
        <v>52</v>
      </c>
    </row>
    <row r="54" spans="1:16" x14ac:dyDescent="0.35">
      <c r="A54">
        <f t="shared" si="13"/>
        <v>50</v>
      </c>
      <c r="B54">
        <f t="shared" si="9"/>
        <v>25397</v>
      </c>
      <c r="C54" t="str">
        <f>IFERROR(INDEX(Starter!B:B,MATCH(B54,Starter!A:A,0)),"")</f>
        <v>Weninger, Diana</v>
      </c>
      <c r="D54" t="str">
        <f>IFERROR(INDEX(Starter!C:C,MATCH(B54,Starter!A:A,0)),"")</f>
        <v>BC E.P.A. München</v>
      </c>
      <c r="E54" s="102">
        <f t="shared" si="10"/>
        <v>3033</v>
      </c>
      <c r="F54">
        <f t="shared" si="11"/>
        <v>19</v>
      </c>
      <c r="G54" s="137">
        <f t="shared" si="12"/>
        <v>159.6315789053684</v>
      </c>
      <c r="L54" s="227">
        <f>INDEX(Starter!A:A,ROW()-1)</f>
        <v>7787</v>
      </c>
      <c r="M54">
        <f>INDEX(SchnittGes4!M:M,MATCH(L54,SchnittGes4!L:L,0))+INDEX(Schnitt5!M:M,MATCH(L54,Schnitt5!L:L,0))</f>
        <v>5207</v>
      </c>
      <c r="N54">
        <f>INDEX(SchnittGes4!N:N,MATCH(L54,SchnittGes4!L:L,0))+INDEX(Schnitt5!N:N,MATCH(L54,Schnitt5!L:L,0))</f>
        <v>31</v>
      </c>
      <c r="O54">
        <f t="shared" si="7"/>
        <v>167.96774188148387</v>
      </c>
      <c r="P54">
        <f t="shared" si="8"/>
        <v>34</v>
      </c>
    </row>
    <row r="55" spans="1:16" x14ac:dyDescent="0.35">
      <c r="A55">
        <f t="shared" si="13"/>
        <v>51</v>
      </c>
      <c r="B55">
        <f t="shared" si="9"/>
        <v>7991</v>
      </c>
      <c r="C55" t="str">
        <f>IFERROR(INDEX(Starter!B:B,MATCH(B55,Starter!A:A,0)),"")</f>
        <v>Strahl, Pakwipa</v>
      </c>
      <c r="D55" t="str">
        <f>IFERROR(INDEX(Starter!C:C,MATCH(B55,Starter!A:A,0)),"")</f>
        <v>BK München</v>
      </c>
      <c r="E55" s="102">
        <f t="shared" si="10"/>
        <v>792</v>
      </c>
      <c r="F55">
        <f t="shared" si="11"/>
        <v>5</v>
      </c>
      <c r="G55" s="137">
        <f t="shared" si="12"/>
        <v>158.39999997800001</v>
      </c>
      <c r="L55" s="227">
        <f>INDEX(Starter!A:A,ROW()-1)</f>
        <v>7786</v>
      </c>
      <c r="M55">
        <f>INDEX(SchnittGes4!M:M,MATCH(L55,SchnittGes4!L:L,0))+INDEX(Schnitt5!M:M,MATCH(L55,Schnitt5!L:L,0))</f>
        <v>6006</v>
      </c>
      <c r="N55">
        <f>INDEX(SchnittGes4!N:N,MATCH(L55,SchnittGes4!L:L,0))+INDEX(Schnitt5!N:N,MATCH(L55,Schnitt5!L:L,0))</f>
        <v>34</v>
      </c>
      <c r="O55">
        <f t="shared" si="7"/>
        <v>176.64705876852943</v>
      </c>
      <c r="P55">
        <f t="shared" si="8"/>
        <v>21</v>
      </c>
    </row>
    <row r="56" spans="1:16" x14ac:dyDescent="0.35">
      <c r="A56">
        <f t="shared" si="13"/>
        <v>52</v>
      </c>
      <c r="B56">
        <f t="shared" si="9"/>
        <v>16900</v>
      </c>
      <c r="C56" t="str">
        <f>IFERROR(INDEX(Starter!B:B,MATCH(B56,Starter!A:A,0)),"")</f>
        <v>Grom-Ruffershöfer, Ilse</v>
      </c>
      <c r="D56" t="str">
        <f>IFERROR(INDEX(Starter!C:C,MATCH(B56,Starter!A:A,0)),"")</f>
        <v>BC Phönix 03 Lauf</v>
      </c>
      <c r="E56" s="102">
        <f t="shared" si="10"/>
        <v>1263</v>
      </c>
      <c r="F56">
        <f t="shared" si="11"/>
        <v>8</v>
      </c>
      <c r="G56" s="137">
        <f t="shared" si="12"/>
        <v>157.87499994699999</v>
      </c>
      <c r="L56" s="227">
        <f>INDEX(Starter!A:A,ROW()-1)</f>
        <v>7801</v>
      </c>
      <c r="M56">
        <f>INDEX(SchnittGes4!M:M,MATCH(L56,SchnittGes4!L:L,0))+INDEX(Schnitt5!M:M,MATCH(L56,Schnitt5!L:L,0))</f>
        <v>6839</v>
      </c>
      <c r="N56">
        <f>INDEX(SchnittGes4!N:N,MATCH(L56,SchnittGes4!L:L,0))+INDEX(Schnitt5!N:N,MATCH(L56,Schnitt5!L:L,0))</f>
        <v>36</v>
      </c>
      <c r="O56">
        <f t="shared" si="7"/>
        <v>189.97222216622222</v>
      </c>
      <c r="P56">
        <f t="shared" si="8"/>
        <v>2</v>
      </c>
    </row>
    <row r="57" spans="1:16" x14ac:dyDescent="0.35">
      <c r="A57">
        <f t="shared" si="13"/>
        <v>53</v>
      </c>
      <c r="B57">
        <f t="shared" si="9"/>
        <v>7551</v>
      </c>
      <c r="C57" t="str">
        <f>IFERROR(INDEX(Starter!B:B,MATCH(B57,Starter!A:A,0)),"")</f>
        <v>Zehner, Gabriele</v>
      </c>
      <c r="D57" t="str">
        <f>IFERROR(INDEX(Starter!C:C,MATCH(B57,Starter!A:A,0)),"")</f>
        <v>BF Weiß-Blau</v>
      </c>
      <c r="E57" s="102">
        <f t="shared" si="10"/>
        <v>2353</v>
      </c>
      <c r="F57">
        <f t="shared" si="11"/>
        <v>15</v>
      </c>
      <c r="G57" s="137">
        <f t="shared" si="12"/>
        <v>156.86666661466668</v>
      </c>
      <c r="L57" s="227">
        <f>INDEX(Starter!A:A,ROW()-1)</f>
        <v>25551</v>
      </c>
      <c r="M57">
        <f>INDEX(SchnittGes4!M:M,MATCH(L57,SchnittGes4!L:L,0))+INDEX(Schnitt5!M:M,MATCH(L57,Schnitt5!L:L,0))</f>
        <v>5449</v>
      </c>
      <c r="N57">
        <f>INDEX(SchnittGes4!N:N,MATCH(L57,SchnittGes4!L:L,0))+INDEX(Schnitt5!N:N,MATCH(L57,Schnitt5!L:L,0))</f>
        <v>34</v>
      </c>
      <c r="O57">
        <f t="shared" si="7"/>
        <v>160.26470582535293</v>
      </c>
      <c r="P57">
        <f t="shared" si="8"/>
        <v>49</v>
      </c>
    </row>
    <row r="58" spans="1:16" x14ac:dyDescent="0.35">
      <c r="A58">
        <f t="shared" si="13"/>
        <v>54</v>
      </c>
      <c r="B58">
        <f t="shared" si="9"/>
        <v>7546</v>
      </c>
      <c r="C58" t="str">
        <f>IFERROR(INDEX(Starter!B:B,MATCH(B58,Starter!A:A,0)),"")</f>
        <v>Mc Fadden, Brigitte</v>
      </c>
      <c r="D58" t="str">
        <f>IFERROR(INDEX(Starter!C:C,MATCH(B58,Starter!A:A,0)),"")</f>
        <v>BF Weiß-Blau</v>
      </c>
      <c r="E58" s="102">
        <f t="shared" si="10"/>
        <v>1018</v>
      </c>
      <c r="F58">
        <f t="shared" si="11"/>
        <v>7</v>
      </c>
      <c r="G58" s="137">
        <f t="shared" si="12"/>
        <v>145.42857137957142</v>
      </c>
      <c r="L58" s="227">
        <f>INDEX(Starter!A:A,ROW()-1)</f>
        <v>25982</v>
      </c>
      <c r="M58">
        <f>INDEX(SchnittGes4!M:M,MATCH(L58,SchnittGes4!L:L,0))+INDEX(Schnitt5!M:M,MATCH(L58,Schnitt5!L:L,0))</f>
        <v>2246</v>
      </c>
      <c r="N58">
        <f>INDEX(SchnittGes4!N:N,MATCH(L58,SchnittGes4!L:L,0))+INDEX(Schnitt5!N:N,MATCH(L58,Schnitt5!L:L,0))</f>
        <v>13</v>
      </c>
      <c r="O58">
        <f t="shared" si="7"/>
        <v>172.76923071123076</v>
      </c>
      <c r="P58">
        <f t="shared" si="8"/>
        <v>25</v>
      </c>
    </row>
    <row r="59" spans="1:16" x14ac:dyDescent="0.35">
      <c r="A59" t="str">
        <f t="shared" si="13"/>
        <v/>
      </c>
      <c r="B59" t="str">
        <f t="shared" si="9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10"/>
        <v/>
      </c>
      <c r="F59" t="str">
        <f t="shared" si="11"/>
        <v/>
      </c>
      <c r="G59" s="137" t="str">
        <f t="shared" si="12"/>
        <v/>
      </c>
      <c r="L59" s="227">
        <f>INDEX(Starter!A:A,ROW()-1)</f>
        <v>38513</v>
      </c>
      <c r="M59">
        <f>INDEX(SchnittGes4!M:M,MATCH(L59,SchnittGes4!L:L,0))+INDEX(Schnitt5!M:M,MATCH(L59,Schnitt5!L:L,0))</f>
        <v>5352</v>
      </c>
      <c r="N59">
        <f>INDEX(SchnittGes4!N:N,MATCH(L59,SchnittGes4!L:L,0))+INDEX(Schnitt5!N:N,MATCH(L59,Schnitt5!L:L,0))</f>
        <v>32</v>
      </c>
      <c r="O59">
        <f t="shared" si="7"/>
        <v>167.249999941</v>
      </c>
      <c r="P59">
        <f t="shared" si="8"/>
        <v>36</v>
      </c>
    </row>
    <row r="60" spans="1:16" x14ac:dyDescent="0.35">
      <c r="A60" t="str">
        <f t="shared" si="13"/>
        <v/>
      </c>
      <c r="B60" t="str">
        <f t="shared" si="9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10"/>
        <v/>
      </c>
      <c r="F60" t="str">
        <f t="shared" si="11"/>
        <v/>
      </c>
      <c r="G60" s="137" t="str">
        <f t="shared" si="12"/>
        <v/>
      </c>
      <c r="L60" s="227">
        <f>INDEX(Starter!A:A,ROW()-1)</f>
        <v>7972</v>
      </c>
      <c r="M60">
        <f>INDEX(SchnittGes4!M:M,MATCH(L60,SchnittGes4!L:L,0))+INDEX(Schnitt5!M:M,MATCH(L60,Schnitt5!L:L,0))</f>
        <v>4705</v>
      </c>
      <c r="N60">
        <f>INDEX(SchnittGes4!N:N,MATCH(L60,SchnittGes4!L:L,0))+INDEX(Schnitt5!N:N,MATCH(L60,Schnitt5!L:L,0))</f>
        <v>29</v>
      </c>
      <c r="O60">
        <f t="shared" si="7"/>
        <v>162.24137925034483</v>
      </c>
      <c r="P60">
        <f t="shared" si="8"/>
        <v>44</v>
      </c>
    </row>
    <row r="61" spans="1:16" x14ac:dyDescent="0.35">
      <c r="A61" t="str">
        <f t="shared" si="13"/>
        <v/>
      </c>
      <c r="B61" t="str">
        <f t="shared" si="9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10"/>
        <v/>
      </c>
      <c r="F61" t="str">
        <f t="shared" si="11"/>
        <v/>
      </c>
      <c r="G61" s="137" t="str">
        <f t="shared" si="12"/>
        <v/>
      </c>
      <c r="L61" s="227">
        <f>INDEX(Starter!A:A,ROW()-1)</f>
        <v>7976</v>
      </c>
      <c r="M61">
        <f>INDEX(SchnittGes4!M:M,MATCH(L61,SchnittGes4!L:L,0))+INDEX(Schnitt5!M:M,MATCH(L61,Schnitt5!L:L,0))</f>
        <v>6330</v>
      </c>
      <c r="N61">
        <f>INDEX(SchnittGes4!N:N,MATCH(L61,SchnittGes4!L:L,0))+INDEX(Schnitt5!N:N,MATCH(L61,Schnitt5!L:L,0))</f>
        <v>36</v>
      </c>
      <c r="O61">
        <f t="shared" si="7"/>
        <v>175.83333327233333</v>
      </c>
      <c r="P61">
        <f t="shared" si="8"/>
        <v>22</v>
      </c>
    </row>
    <row r="62" spans="1:16" x14ac:dyDescent="0.35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10"/>
        <v/>
      </c>
      <c r="F62" t="str">
        <f t="shared" si="11"/>
        <v/>
      </c>
      <c r="G62" s="137" t="str">
        <f t="shared" si="12"/>
        <v/>
      </c>
      <c r="L62" s="227">
        <f>INDEX(Starter!A:A,ROW()-1)</f>
        <v>7977</v>
      </c>
      <c r="M62">
        <f>INDEX(SchnittGes4!M:M,MATCH(L62,SchnittGes4!L:L,0))+INDEX(Schnitt5!M:M,MATCH(L62,Schnitt5!L:L,0))</f>
        <v>0</v>
      </c>
      <c r="N62">
        <f>INDEX(SchnittGes4!N:N,MATCH(L62,SchnittGes4!L:L,0))+INDEX(Schnitt5!N:N,MATCH(L62,Schnitt5!L:L,0))</f>
        <v>0</v>
      </c>
      <c r="O62">
        <f t="shared" si="7"/>
        <v>0</v>
      </c>
      <c r="P62">
        <f t="shared" si="8"/>
        <v>55</v>
      </c>
    </row>
    <row r="63" spans="1:16" x14ac:dyDescent="0.3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10"/>
        <v/>
      </c>
      <c r="F63" t="str">
        <f t="shared" si="11"/>
        <v/>
      </c>
      <c r="G63" s="137" t="str">
        <f t="shared" si="12"/>
        <v/>
      </c>
      <c r="L63" s="227">
        <f>INDEX(Starter!A:A,ROW()-1)</f>
        <v>7975</v>
      </c>
      <c r="M63">
        <f>INDEX(SchnittGes4!M:M,MATCH(L63,SchnittGes4!L:L,0))+INDEX(Schnitt5!M:M,MATCH(L63,Schnitt5!L:L,0))</f>
        <v>0</v>
      </c>
      <c r="N63">
        <f>INDEX(SchnittGes4!N:N,MATCH(L63,SchnittGes4!L:L,0))+INDEX(Schnitt5!N:N,MATCH(L63,Schnitt5!L:L,0))</f>
        <v>0</v>
      </c>
      <c r="O63">
        <f t="shared" si="7"/>
        <v>0</v>
      </c>
      <c r="P63">
        <f t="shared" si="8"/>
        <v>55</v>
      </c>
    </row>
    <row r="64" spans="1:16" x14ac:dyDescent="0.3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16475</v>
      </c>
      <c r="M64">
        <f>INDEX(SchnittGes4!M:M,MATCH(L64,SchnittGes4!L:L,0))+INDEX(Schnitt5!M:M,MATCH(L64,Schnitt5!L:L,0))</f>
        <v>0</v>
      </c>
      <c r="N64">
        <f>INDEX(SchnittGes4!N:N,MATCH(L64,SchnittGes4!L:L,0))+INDEX(Schnitt5!N:N,MATCH(L64,Schnitt5!L:L,0))</f>
        <v>0</v>
      </c>
      <c r="O64">
        <f t="shared" si="7"/>
        <v>0</v>
      </c>
      <c r="P64">
        <f t="shared" si="8"/>
        <v>55</v>
      </c>
    </row>
    <row r="65" spans="1:16" x14ac:dyDescent="0.3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38458</v>
      </c>
      <c r="M65">
        <f>INDEX(SchnittGes4!M:M,MATCH(L65,SchnittGes4!L:L,0))+INDEX(Schnitt5!M:M,MATCH(L65,Schnitt5!L:L,0))</f>
        <v>4996</v>
      </c>
      <c r="N65">
        <f>INDEX(SchnittGes4!N:N,MATCH(L65,SchnittGes4!L:L,0))+INDEX(Schnitt5!N:N,MATCH(L65,Schnitt5!L:L,0))</f>
        <v>27</v>
      </c>
      <c r="O65">
        <f t="shared" si="7"/>
        <v>185.03703697203704</v>
      </c>
      <c r="P65">
        <f t="shared" si="8"/>
        <v>5</v>
      </c>
    </row>
    <row r="66" spans="1:16" x14ac:dyDescent="0.3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25808</v>
      </c>
      <c r="M66">
        <f>INDEX(SchnittGes4!M:M,MATCH(L66,SchnittGes4!L:L,0))+INDEX(Schnitt5!M:M,MATCH(L66,Schnitt5!L:L,0))</f>
        <v>0</v>
      </c>
      <c r="N66">
        <f>INDEX(SchnittGes4!N:N,MATCH(L66,SchnittGes4!L:L,0))+INDEX(Schnitt5!N:N,MATCH(L66,Schnitt5!L:L,0))</f>
        <v>0</v>
      </c>
      <c r="O66">
        <f t="shared" si="7"/>
        <v>0</v>
      </c>
      <c r="P66">
        <f t="shared" ref="P66:P97" si="14">RANK(O66,O:O)</f>
        <v>55</v>
      </c>
    </row>
    <row r="67" spans="1:16" x14ac:dyDescent="0.3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38210</v>
      </c>
      <c r="M67">
        <f>INDEX(SchnittGes4!M:M,MATCH(L67,SchnittGes4!L:L,0))+INDEX(Schnitt5!M:M,MATCH(L67,Schnitt5!L:L,0))</f>
        <v>3976</v>
      </c>
      <c r="N67">
        <f>INDEX(SchnittGes4!N:N,MATCH(L67,SchnittGes4!L:L,0))+INDEX(Schnitt5!N:N,MATCH(L67,Schnitt5!L:L,0))</f>
        <v>24</v>
      </c>
      <c r="O67">
        <f t="shared" si="7"/>
        <v>165.66666659966666</v>
      </c>
      <c r="P67">
        <f t="shared" si="14"/>
        <v>40</v>
      </c>
    </row>
    <row r="68" spans="1:16" x14ac:dyDescent="0.3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7549</v>
      </c>
      <c r="M68">
        <f>INDEX(SchnittGes4!M:M,MATCH(L68,SchnittGes4!L:L,0))+INDEX(Schnitt5!M:M,MATCH(L68,Schnitt5!L:L,0))</f>
        <v>4101</v>
      </c>
      <c r="N68">
        <f>INDEX(SchnittGes4!N:N,MATCH(L68,SchnittGes4!L:L,0))+INDEX(Schnitt5!N:N,MATCH(L68,Schnitt5!L:L,0))</f>
        <v>23</v>
      </c>
      <c r="O68">
        <f t="shared" si="7"/>
        <v>178.30434775808698</v>
      </c>
      <c r="P68">
        <f t="shared" si="14"/>
        <v>18</v>
      </c>
    </row>
    <row r="69" spans="1:16" x14ac:dyDescent="0.3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INDEX(SchnittGes4!M:M,MATCH(L69,SchnittGes4!L:L,0))+INDEX(Schnitt5!M:M,MATCH(L69,Schnitt5!L:L,0))</f>
        <v>5243</v>
      </c>
      <c r="N69">
        <f>INDEX(SchnittGes4!N:N,MATCH(L69,SchnittGes4!L:L,0))+INDEX(Schnitt5!N:N,MATCH(L69,Schnitt5!L:L,0))</f>
        <v>29</v>
      </c>
      <c r="O69">
        <f t="shared" si="7"/>
        <v>180.79310337927586</v>
      </c>
      <c r="P69">
        <f t="shared" si="14"/>
        <v>15</v>
      </c>
    </row>
    <row r="70" spans="1:16" x14ac:dyDescent="0.3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INDEX(SchnittGes4!M:M,MATCH(L70,SchnittGes4!L:L,0))+INDEX(Schnitt5!M:M,MATCH(L70,Schnitt5!L:L,0))</f>
        <v>5908</v>
      </c>
      <c r="N70">
        <f>INDEX(SchnittGes4!N:N,MATCH(L70,SchnittGes4!L:L,0))+INDEX(Schnitt5!N:N,MATCH(L70,Schnitt5!L:L,0))</f>
        <v>31</v>
      </c>
      <c r="O70">
        <f t="shared" si="7"/>
        <v>190.58064509129034</v>
      </c>
      <c r="P70">
        <f t="shared" si="14"/>
        <v>1</v>
      </c>
    </row>
    <row r="71" spans="1:16" x14ac:dyDescent="0.3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INDEX(SchnittGes4!M:M,MATCH(L71,SchnittGes4!L:L,0))+INDEX(Schnitt5!M:M,MATCH(L71,Schnitt5!L:L,0))</f>
        <v>6143</v>
      </c>
      <c r="N71">
        <f>INDEX(SchnittGes4!N:N,MATCH(L71,SchnittGes4!L:L,0))+INDEX(Schnitt5!N:N,MATCH(L71,Schnitt5!L:L,0))</f>
        <v>34</v>
      </c>
      <c r="O71">
        <f t="shared" si="7"/>
        <v>180.67647051723532</v>
      </c>
      <c r="P71">
        <f t="shared" si="14"/>
        <v>16</v>
      </c>
    </row>
    <row r="72" spans="1:16" x14ac:dyDescent="0.3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INDEX(SchnittGes4!M:M,MATCH(L72,SchnittGes4!L:L,0))+INDEX(Schnitt5!M:M,MATCH(L72,Schnitt5!L:L,0))</f>
        <v>2033</v>
      </c>
      <c r="N72">
        <f>INDEX(SchnittGes4!N:N,MATCH(L72,SchnittGes4!L:L,0))+INDEX(Schnitt5!N:N,MATCH(L72,Schnitt5!L:L,0))</f>
        <v>12</v>
      </c>
      <c r="O72">
        <f t="shared" si="7"/>
        <v>169.41666659466665</v>
      </c>
      <c r="P72">
        <f t="shared" si="14"/>
        <v>32</v>
      </c>
    </row>
    <row r="73" spans="1:16" x14ac:dyDescent="0.3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INDEX(SchnittGes4!M:M,MATCH(L73,SchnittGes4!L:L,0))+INDEX(Schnitt5!M:M,MATCH(L73,Schnitt5!L:L,0))</f>
        <v>1125</v>
      </c>
      <c r="N73">
        <f>INDEX(SchnittGes4!N:N,MATCH(L73,SchnittGes4!L:L,0))+INDEX(Schnitt5!N:N,MATCH(L73,Schnitt5!L:L,0))</f>
        <v>7</v>
      </c>
      <c r="O73">
        <f t="shared" si="7"/>
        <v>160.71428564128573</v>
      </c>
      <c r="P73">
        <f t="shared" si="14"/>
        <v>47</v>
      </c>
    </row>
    <row r="74" spans="1:16" x14ac:dyDescent="0.3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38607</v>
      </c>
      <c r="M74">
        <f>INDEX(SchnittGes4!M:M,MATCH(L74,SchnittGes4!L:L,0))+INDEX(Schnitt5!M:M,MATCH(L74,Schnitt5!L:L,0))</f>
        <v>670</v>
      </c>
      <c r="N74">
        <f>INDEX(SchnittGes4!N:N,MATCH(L74,SchnittGes4!L:L,0))+INDEX(Schnitt5!N:N,MATCH(L74,Schnitt5!L:L,0))</f>
        <v>4</v>
      </c>
      <c r="O74">
        <f t="shared" si="7"/>
        <v>167.49999992599999</v>
      </c>
      <c r="P74">
        <f t="shared" si="14"/>
        <v>35</v>
      </c>
    </row>
    <row r="75" spans="1:16" x14ac:dyDescent="0.3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INDEX(SchnittGes4!M:M,MATCH(L75,SchnittGes4!L:L,0))+INDEX(Schnitt5!M:M,MATCH(L75,Schnitt5!L:L,0))</f>
        <v>0</v>
      </c>
      <c r="N75">
        <f>INDEX(SchnittGes4!N:N,MATCH(L75,SchnittGes4!L:L,0))+INDEX(Schnitt5!N:N,MATCH(L75,Schnitt5!L:L,0))</f>
        <v>0</v>
      </c>
      <c r="O75">
        <f t="shared" si="7"/>
        <v>0</v>
      </c>
      <c r="P75">
        <f t="shared" si="14"/>
        <v>55</v>
      </c>
    </row>
    <row r="76" spans="1:16" x14ac:dyDescent="0.3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INDEX(SchnittGes4!M:M,MATCH(L76,SchnittGes4!L:L,0))+INDEX(Schnitt5!M:M,MATCH(L76,Schnitt5!L:L,0))</f>
        <v>0</v>
      </c>
      <c r="N76">
        <f>INDEX(SchnittGes4!N:N,MATCH(L76,SchnittGes4!L:L,0))+INDEX(Schnitt5!N:N,MATCH(L76,Schnitt5!L:L,0))</f>
        <v>0</v>
      </c>
      <c r="O76">
        <f t="shared" ref="O76:O104" si="20">IF(N76=0,0,M76/N76-ROW()/1000000000)</f>
        <v>0</v>
      </c>
      <c r="P76">
        <f t="shared" si="14"/>
        <v>55</v>
      </c>
    </row>
    <row r="77" spans="1:16" x14ac:dyDescent="0.3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INDEX(SchnittGes4!M:M,MATCH(L77,SchnittGes4!L:L,0))+INDEX(Schnitt5!M:M,MATCH(L77,Schnitt5!L:L,0))</f>
        <v>0</v>
      </c>
      <c r="N77">
        <f>INDEX(SchnittGes4!N:N,MATCH(L77,SchnittGes4!L:L,0))+INDEX(Schnitt5!N:N,MATCH(L77,Schnitt5!L:L,0))</f>
        <v>0</v>
      </c>
      <c r="O77">
        <f t="shared" si="20"/>
        <v>0</v>
      </c>
      <c r="P77">
        <f t="shared" si="14"/>
        <v>55</v>
      </c>
    </row>
    <row r="78" spans="1:16" x14ac:dyDescent="0.3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INDEX(SchnittGes4!M:M,MATCH(L78,SchnittGes4!L:L,0))+INDEX(Schnitt5!M:M,MATCH(L78,Schnitt5!L:L,0))</f>
        <v>0</v>
      </c>
      <c r="N78">
        <f>INDEX(SchnittGes4!N:N,MATCH(L78,SchnittGes4!L:L,0))+INDEX(Schnitt5!N:N,MATCH(L78,Schnitt5!L:L,0))</f>
        <v>0</v>
      </c>
      <c r="O78">
        <f t="shared" si="20"/>
        <v>0</v>
      </c>
      <c r="P78">
        <f t="shared" si="14"/>
        <v>55</v>
      </c>
    </row>
    <row r="79" spans="1:16" x14ac:dyDescent="0.3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INDEX(SchnittGes4!M:M,MATCH(L79,SchnittGes4!L:L,0))+INDEX(Schnitt5!M:M,MATCH(L79,Schnitt5!L:L,0))</f>
        <v>0</v>
      </c>
      <c r="N79">
        <f>INDEX(SchnittGes4!N:N,MATCH(L79,SchnittGes4!L:L,0))+INDEX(Schnitt5!N:N,MATCH(L79,Schnitt5!L:L,0))</f>
        <v>0</v>
      </c>
      <c r="O79">
        <f t="shared" si="20"/>
        <v>0</v>
      </c>
      <c r="P79">
        <f t="shared" si="14"/>
        <v>55</v>
      </c>
    </row>
    <row r="80" spans="1:16" x14ac:dyDescent="0.3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INDEX(SchnittGes4!M:M,MATCH(L80,SchnittGes4!L:L,0))+INDEX(Schnitt5!M:M,MATCH(L80,Schnitt5!L:L,0))</f>
        <v>0</v>
      </c>
      <c r="N80">
        <f>INDEX(SchnittGes4!N:N,MATCH(L80,SchnittGes4!L:L,0))+INDEX(Schnitt5!N:N,MATCH(L80,Schnitt5!L:L,0))</f>
        <v>0</v>
      </c>
      <c r="O80">
        <f t="shared" si="20"/>
        <v>0</v>
      </c>
      <c r="P80">
        <f t="shared" si="14"/>
        <v>55</v>
      </c>
    </row>
    <row r="81" spans="1:16" x14ac:dyDescent="0.3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INDEX(SchnittGes4!M:M,MATCH(L81,SchnittGes4!L:L,0))+INDEX(Schnitt5!M:M,MATCH(L81,Schnitt5!L:L,0))</f>
        <v>0</v>
      </c>
      <c r="N81">
        <f>INDEX(SchnittGes4!N:N,MATCH(L81,SchnittGes4!L:L,0))+INDEX(Schnitt5!N:N,MATCH(L81,Schnitt5!L:L,0))</f>
        <v>0</v>
      </c>
      <c r="O81">
        <f t="shared" si="20"/>
        <v>0</v>
      </c>
      <c r="P81">
        <f t="shared" si="14"/>
        <v>55</v>
      </c>
    </row>
    <row r="82" spans="1:16" x14ac:dyDescent="0.3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INDEX(SchnittGes4!M:M,MATCH(L82,SchnittGes4!L:L,0))+INDEX(Schnitt5!M:M,MATCH(L82,Schnitt5!L:L,0))</f>
        <v>0</v>
      </c>
      <c r="N82">
        <f>INDEX(SchnittGes4!N:N,MATCH(L82,SchnittGes4!L:L,0))+INDEX(Schnitt5!N:N,MATCH(L82,Schnitt5!L:L,0))</f>
        <v>0</v>
      </c>
      <c r="O82">
        <f t="shared" si="20"/>
        <v>0</v>
      </c>
      <c r="P82">
        <f t="shared" si="14"/>
        <v>55</v>
      </c>
    </row>
    <row r="83" spans="1:16" x14ac:dyDescent="0.3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INDEX(SchnittGes4!M:M,MATCH(L83,SchnittGes4!L:L,0))+INDEX(Schnitt5!M:M,MATCH(L83,Schnitt5!L:L,0))</f>
        <v>0</v>
      </c>
      <c r="N83">
        <f>INDEX(SchnittGes4!N:N,MATCH(L83,SchnittGes4!L:L,0))+INDEX(Schnitt5!N:N,MATCH(L83,Schnitt5!L:L,0))</f>
        <v>0</v>
      </c>
      <c r="O83">
        <f t="shared" si="20"/>
        <v>0</v>
      </c>
      <c r="P83">
        <f t="shared" si="14"/>
        <v>55</v>
      </c>
    </row>
    <row r="84" spans="1:16" x14ac:dyDescent="0.3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INDEX(SchnittGes4!M:M,MATCH(L84,SchnittGes4!L:L,0))+INDEX(Schnitt5!M:M,MATCH(L84,Schnitt5!L:L,0))</f>
        <v>0</v>
      </c>
      <c r="N84">
        <f>INDEX(SchnittGes4!N:N,MATCH(L84,SchnittGes4!L:L,0))+INDEX(Schnitt5!N:N,MATCH(L84,Schnitt5!L:L,0))</f>
        <v>0</v>
      </c>
      <c r="O84">
        <f t="shared" si="20"/>
        <v>0</v>
      </c>
      <c r="P84">
        <f t="shared" si="14"/>
        <v>55</v>
      </c>
    </row>
    <row r="85" spans="1:16" x14ac:dyDescent="0.3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INDEX(SchnittGes4!M:M,MATCH(L85,SchnittGes4!L:L,0))+INDEX(Schnitt5!M:M,MATCH(L85,Schnitt5!L:L,0))</f>
        <v>0</v>
      </c>
      <c r="N85">
        <f>INDEX(SchnittGes4!N:N,MATCH(L85,SchnittGes4!L:L,0))+INDEX(Schnitt5!N:N,MATCH(L85,Schnitt5!L:L,0))</f>
        <v>0</v>
      </c>
      <c r="O85">
        <f t="shared" si="20"/>
        <v>0</v>
      </c>
      <c r="P85">
        <f t="shared" si="14"/>
        <v>55</v>
      </c>
    </row>
    <row r="86" spans="1:16" x14ac:dyDescent="0.3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INDEX(SchnittGes4!M:M,MATCH(L86,SchnittGes4!L:L,0))+INDEX(Schnitt5!M:M,MATCH(L86,Schnitt5!L:L,0))</f>
        <v>0</v>
      </c>
      <c r="N86">
        <f>INDEX(SchnittGes4!N:N,MATCH(L86,SchnittGes4!L:L,0))+INDEX(Schnitt5!N:N,MATCH(L86,Schnitt5!L:L,0))</f>
        <v>0</v>
      </c>
      <c r="O86">
        <f t="shared" si="20"/>
        <v>0</v>
      </c>
      <c r="P86">
        <f t="shared" si="14"/>
        <v>55</v>
      </c>
    </row>
    <row r="87" spans="1:16" x14ac:dyDescent="0.3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INDEX(SchnittGes4!M:M,MATCH(L87,SchnittGes4!L:L,0))+INDEX(Schnitt5!M:M,MATCH(L87,Schnitt5!L:L,0))</f>
        <v>0</v>
      </c>
      <c r="N87">
        <f>INDEX(SchnittGes4!N:N,MATCH(L87,SchnittGes4!L:L,0))+INDEX(Schnitt5!N:N,MATCH(L87,Schnitt5!L:L,0))</f>
        <v>0</v>
      </c>
      <c r="O87">
        <f t="shared" si="20"/>
        <v>0</v>
      </c>
      <c r="P87">
        <f t="shared" si="14"/>
        <v>55</v>
      </c>
    </row>
    <row r="88" spans="1:16" x14ac:dyDescent="0.3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INDEX(SchnittGes4!M:M,MATCH(L88,SchnittGes4!L:L,0))+INDEX(Schnitt5!M:M,MATCH(L88,Schnitt5!L:L,0))</f>
        <v>0</v>
      </c>
      <c r="N88">
        <f>INDEX(SchnittGes4!N:N,MATCH(L88,SchnittGes4!L:L,0))+INDEX(Schnitt5!N:N,MATCH(L88,Schnitt5!L:L,0))</f>
        <v>0</v>
      </c>
      <c r="O88">
        <f t="shared" si="20"/>
        <v>0</v>
      </c>
      <c r="P88">
        <f t="shared" si="14"/>
        <v>55</v>
      </c>
    </row>
    <row r="89" spans="1:16" x14ac:dyDescent="0.3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INDEX(SchnittGes4!M:M,MATCH(L89,SchnittGes4!L:L,0))+INDEX(Schnitt5!M:M,MATCH(L89,Schnitt5!L:L,0))</f>
        <v>0</v>
      </c>
      <c r="N89">
        <f>INDEX(SchnittGes4!N:N,MATCH(L89,SchnittGes4!L:L,0))+INDEX(Schnitt5!N:N,MATCH(L89,Schnitt5!L:L,0))</f>
        <v>0</v>
      </c>
      <c r="O89">
        <f t="shared" si="20"/>
        <v>0</v>
      </c>
      <c r="P89">
        <f t="shared" si="14"/>
        <v>55</v>
      </c>
    </row>
    <row r="90" spans="1:16" x14ac:dyDescent="0.3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INDEX(SchnittGes4!M:M,MATCH(L90,SchnittGes4!L:L,0))+INDEX(Schnitt5!M:M,MATCH(L90,Schnitt5!L:L,0))</f>
        <v>0</v>
      </c>
      <c r="N90">
        <f>INDEX(SchnittGes4!N:N,MATCH(L90,SchnittGes4!L:L,0))+INDEX(Schnitt5!N:N,MATCH(L90,Schnitt5!L:L,0))</f>
        <v>0</v>
      </c>
      <c r="O90">
        <f t="shared" si="20"/>
        <v>0</v>
      </c>
      <c r="P90">
        <f t="shared" si="14"/>
        <v>55</v>
      </c>
    </row>
    <row r="91" spans="1:16" x14ac:dyDescent="0.3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INDEX(SchnittGes4!M:M,MATCH(L91,SchnittGes4!L:L,0))+INDEX(Schnitt5!M:M,MATCH(L91,Schnitt5!L:L,0))</f>
        <v>0</v>
      </c>
      <c r="N91">
        <f>INDEX(SchnittGes4!N:N,MATCH(L91,SchnittGes4!L:L,0))+INDEX(Schnitt5!N:N,MATCH(L91,Schnitt5!L:L,0))</f>
        <v>0</v>
      </c>
      <c r="O91">
        <f t="shared" si="20"/>
        <v>0</v>
      </c>
      <c r="P91">
        <f t="shared" si="14"/>
        <v>55</v>
      </c>
    </row>
    <row r="92" spans="1:16" x14ac:dyDescent="0.3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INDEX(SchnittGes4!M:M,MATCH(L92,SchnittGes4!L:L,0))+INDEX(Schnitt5!M:M,MATCH(L92,Schnitt5!L:L,0))</f>
        <v>0</v>
      </c>
      <c r="N92">
        <f>INDEX(SchnittGes4!N:N,MATCH(L92,SchnittGes4!L:L,0))+INDEX(Schnitt5!N:N,MATCH(L92,Schnitt5!L:L,0))</f>
        <v>0</v>
      </c>
      <c r="O92">
        <f t="shared" si="20"/>
        <v>0</v>
      </c>
      <c r="P92">
        <f t="shared" si="14"/>
        <v>55</v>
      </c>
    </row>
    <row r="93" spans="1:16" x14ac:dyDescent="0.3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INDEX(SchnittGes4!M:M,MATCH(L93,SchnittGes4!L:L,0))+INDEX(Schnitt5!M:M,MATCH(L93,Schnitt5!L:L,0))</f>
        <v>0</v>
      </c>
      <c r="N93">
        <f>INDEX(SchnittGes4!N:N,MATCH(L93,SchnittGes4!L:L,0))+INDEX(Schnitt5!N:N,MATCH(L93,Schnitt5!L:L,0))</f>
        <v>0</v>
      </c>
      <c r="O93">
        <f t="shared" si="20"/>
        <v>0</v>
      </c>
      <c r="P93">
        <f t="shared" si="14"/>
        <v>55</v>
      </c>
    </row>
    <row r="94" spans="1:16" x14ac:dyDescent="0.3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INDEX(SchnittGes4!M:M,MATCH(L94,SchnittGes4!L:L,0))+INDEX(Schnitt5!M:M,MATCH(L94,Schnitt5!L:L,0))</f>
        <v>0</v>
      </c>
      <c r="N94">
        <f>INDEX(SchnittGes4!N:N,MATCH(L94,SchnittGes4!L:L,0))+INDEX(Schnitt5!N:N,MATCH(L94,Schnitt5!L:L,0))</f>
        <v>0</v>
      </c>
      <c r="O94">
        <f t="shared" si="20"/>
        <v>0</v>
      </c>
      <c r="P94">
        <f t="shared" si="14"/>
        <v>55</v>
      </c>
    </row>
    <row r="95" spans="1:16" x14ac:dyDescent="0.3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INDEX(SchnittGes4!M:M,MATCH(L95,SchnittGes4!L:L,0))+INDEX(Schnitt5!M:M,MATCH(L95,Schnitt5!L:L,0))</f>
        <v>0</v>
      </c>
      <c r="N95">
        <f>INDEX(SchnittGes4!N:N,MATCH(L95,SchnittGes4!L:L,0))+INDEX(Schnitt5!N:N,MATCH(L95,Schnitt5!L:L,0))</f>
        <v>0</v>
      </c>
      <c r="O95">
        <f t="shared" si="20"/>
        <v>0</v>
      </c>
      <c r="P95">
        <f t="shared" si="14"/>
        <v>55</v>
      </c>
    </row>
    <row r="96" spans="1:16" x14ac:dyDescent="0.3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INDEX(SchnittGes4!M:M,MATCH(L96,SchnittGes4!L:L,0))+INDEX(Schnitt5!M:M,MATCH(L96,Schnitt5!L:L,0))</f>
        <v>0</v>
      </c>
      <c r="N96">
        <f>INDEX(SchnittGes4!N:N,MATCH(L96,SchnittGes4!L:L,0))+INDEX(Schnitt5!N:N,MATCH(L96,Schnitt5!L:L,0))</f>
        <v>0</v>
      </c>
      <c r="O96">
        <f t="shared" si="20"/>
        <v>0</v>
      </c>
      <c r="P96">
        <f t="shared" si="14"/>
        <v>55</v>
      </c>
    </row>
    <row r="97" spans="1:16" x14ac:dyDescent="0.3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INDEX(SchnittGes4!M:M,MATCH(L97,SchnittGes4!L:L,0))+INDEX(Schnitt5!M:M,MATCH(L97,Schnitt5!L:L,0))</f>
        <v>0</v>
      </c>
      <c r="N97">
        <f>INDEX(SchnittGes4!N:N,MATCH(L97,SchnittGes4!L:L,0))+INDEX(Schnitt5!N:N,MATCH(L97,Schnitt5!L:L,0))</f>
        <v>0</v>
      </c>
      <c r="O97">
        <f t="shared" si="20"/>
        <v>0</v>
      </c>
      <c r="P97">
        <f t="shared" si="14"/>
        <v>55</v>
      </c>
    </row>
    <row r="98" spans="1:16" x14ac:dyDescent="0.3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INDEX(SchnittGes4!M:M,MATCH(L98,SchnittGes4!L:L,0))+INDEX(Schnitt5!M:M,MATCH(L98,Schnitt5!L:L,0))</f>
        <v>0</v>
      </c>
      <c r="N98">
        <f>INDEX(SchnittGes4!N:N,MATCH(L98,SchnittGes4!L:L,0))+INDEX(Schnitt5!N:N,MATCH(L98,Schnitt5!L:L,0))</f>
        <v>0</v>
      </c>
      <c r="O98">
        <f t="shared" si="20"/>
        <v>0</v>
      </c>
      <c r="P98">
        <f t="shared" ref="P98:P104" si="21">RANK(O98,O:O)</f>
        <v>55</v>
      </c>
    </row>
    <row r="99" spans="1:16" x14ac:dyDescent="0.3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INDEX(SchnittGes4!M:M,MATCH(L99,SchnittGes4!L:L,0))+INDEX(Schnitt5!M:M,MATCH(L99,Schnitt5!L:L,0))</f>
        <v>0</v>
      </c>
      <c r="N99">
        <f>INDEX(SchnittGes4!N:N,MATCH(L99,SchnittGes4!L:L,0))+INDEX(Schnitt5!N:N,MATCH(L99,Schnitt5!L:L,0))</f>
        <v>0</v>
      </c>
      <c r="O99">
        <f t="shared" si="20"/>
        <v>0</v>
      </c>
      <c r="P99">
        <f t="shared" si="21"/>
        <v>55</v>
      </c>
    </row>
    <row r="100" spans="1:16" x14ac:dyDescent="0.3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INDEX(SchnittGes4!M:M,MATCH(L100,SchnittGes4!L:L,0))+INDEX(Schnitt5!M:M,MATCH(L100,Schnitt5!L:L,0))</f>
        <v>0</v>
      </c>
      <c r="N100">
        <f>INDEX(SchnittGes4!N:N,MATCH(L100,SchnittGes4!L:L,0))+INDEX(Schnitt5!N:N,MATCH(L100,Schnitt5!L:L,0))</f>
        <v>0</v>
      </c>
      <c r="O100">
        <f t="shared" si="20"/>
        <v>0</v>
      </c>
      <c r="P100">
        <f t="shared" si="21"/>
        <v>55</v>
      </c>
    </row>
    <row r="101" spans="1:16" x14ac:dyDescent="0.3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INDEX(SchnittGes4!M:M,MATCH(L101,SchnittGes4!L:L,0))+INDEX(Schnitt5!M:M,MATCH(L101,Schnitt5!L:L,0))</f>
        <v>0</v>
      </c>
      <c r="N101">
        <f>INDEX(SchnittGes4!N:N,MATCH(L101,SchnittGes4!L:L,0))+INDEX(Schnitt5!N:N,MATCH(L101,Schnitt5!L:L,0))</f>
        <v>0</v>
      </c>
      <c r="O101">
        <f t="shared" si="20"/>
        <v>0</v>
      </c>
      <c r="P101">
        <f t="shared" si="21"/>
        <v>55</v>
      </c>
    </row>
    <row r="102" spans="1:16" x14ac:dyDescent="0.3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INDEX(SchnittGes4!M:M,MATCH(L102,SchnittGes4!L:L,0))+INDEX(Schnitt5!M:M,MATCH(L102,Schnitt5!L:L,0))</f>
        <v>0</v>
      </c>
      <c r="N102">
        <f>INDEX(SchnittGes4!N:N,MATCH(L102,SchnittGes4!L:L,0))+INDEX(Schnitt5!N:N,MATCH(L102,Schnitt5!L:L,0))</f>
        <v>0</v>
      </c>
      <c r="O102">
        <f t="shared" si="20"/>
        <v>0</v>
      </c>
      <c r="P102">
        <f t="shared" si="21"/>
        <v>55</v>
      </c>
    </row>
    <row r="103" spans="1:16" x14ac:dyDescent="0.3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INDEX(SchnittGes4!M:M,MATCH(L103,SchnittGes4!L:L,0))+INDEX(Schnitt5!M:M,MATCH(L103,Schnitt5!L:L,0))</f>
        <v>0</v>
      </c>
      <c r="N103">
        <f>INDEX(SchnittGes4!N:N,MATCH(L103,SchnittGes4!L:L,0))+INDEX(Schnitt5!N:N,MATCH(L103,Schnitt5!L:L,0))</f>
        <v>0</v>
      </c>
      <c r="O103">
        <f t="shared" si="20"/>
        <v>0</v>
      </c>
      <c r="P103">
        <f t="shared" si="21"/>
        <v>55</v>
      </c>
    </row>
    <row r="104" spans="1:16" x14ac:dyDescent="0.3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INDEX(SchnittGes4!M:M,MATCH(L104,SchnittGes4!L:L,0))+INDEX(Schnitt5!M:M,MATCH(L104,Schnitt5!L:L,0))</f>
        <v>0</v>
      </c>
      <c r="N104">
        <f>INDEX(SchnittGes4!N:N,MATCH(L104,SchnittGes4!L:L,0))+INDEX(Schnitt5!N:N,MATCH(L104,Schnitt5!L:L,0))</f>
        <v>0</v>
      </c>
      <c r="O104">
        <f t="shared" si="20"/>
        <v>0</v>
      </c>
      <c r="P104">
        <f t="shared" si="21"/>
        <v>55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1"/>
    <pageSetUpPr autoPageBreaks="0"/>
  </sheetPr>
  <dimension ref="A1:V82"/>
  <sheetViews>
    <sheetView showGridLines="0" zoomScaleNormal="100" workbookViewId="0">
      <selection activeCell="F22" sqref="F22:G22"/>
    </sheetView>
  </sheetViews>
  <sheetFormatPr baseColWidth="10" defaultColWidth="0" defaultRowHeight="12.75" x14ac:dyDescent="0.35"/>
  <cols>
    <col min="1" max="1" width="1.06640625" customWidth="1"/>
    <col min="2" max="2" width="3.59765625" customWidth="1"/>
    <col min="3" max="3" width="10.796875" customWidth="1"/>
    <col min="4" max="4" width="1.33203125" customWidth="1"/>
    <col min="5" max="5" width="3.73046875" customWidth="1"/>
    <col min="6" max="6" width="3" customWidth="1"/>
    <col min="7" max="7" width="2" customWidth="1"/>
    <col min="8" max="8" width="11.06640625" customWidth="1"/>
    <col min="9" max="9" width="2.06640625" customWidth="1"/>
    <col min="10" max="10" width="3.06640625" customWidth="1"/>
    <col min="11" max="11" width="0.796875" customWidth="1"/>
    <col min="12" max="12" width="9.265625" customWidth="1"/>
    <col min="13" max="13" width="2.06640625" customWidth="1"/>
    <col min="14" max="14" width="3.06640625" customWidth="1"/>
    <col min="15" max="15" width="0.796875" customWidth="1"/>
    <col min="16" max="16" width="11.06640625" customWidth="1"/>
    <col min="17" max="17" width="2.06640625" customWidth="1"/>
    <col min="18" max="18" width="3.06640625" customWidth="1"/>
    <col min="19" max="19" width="0.796875" customWidth="1"/>
    <col min="20" max="20" width="11.796875" customWidth="1"/>
    <col min="21" max="21" width="2.06640625" customWidth="1"/>
    <col min="22" max="22" width="1" customWidth="1"/>
    <col min="23" max="16384" width="9.06640625" hidden="1"/>
  </cols>
  <sheetData>
    <row r="1" spans="2:21" ht="3.75" customHeight="1" x14ac:dyDescent="0.35"/>
    <row r="2" spans="2:21" ht="25.15" x14ac:dyDescent="0.7">
      <c r="B2" s="314" t="s">
        <v>1837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</row>
    <row r="3" spans="2:21" ht="11.25" customHeight="1" x14ac:dyDescent="0.7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4">
      <c r="P4" s="157"/>
      <c r="Q4" s="315"/>
      <c r="R4" s="315"/>
      <c r="S4" s="315"/>
      <c r="T4" s="315"/>
      <c r="U4" s="315"/>
    </row>
    <row r="5" spans="2:21" ht="11.25" customHeight="1" x14ac:dyDescent="0.3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35">
      <c r="B6" s="17"/>
      <c r="C6" s="140" t="s">
        <v>1795</v>
      </c>
      <c r="D6" s="140"/>
      <c r="E6" s="316">
        <f>+Spielzettel6!T2</f>
        <v>6</v>
      </c>
      <c r="F6" s="317"/>
      <c r="P6" s="140" t="s">
        <v>1838</v>
      </c>
      <c r="Q6" s="318" t="str">
        <f>+Spielzettel6!U1</f>
        <v>05.04./06.04.</v>
      </c>
      <c r="R6" s="319">
        <v>0</v>
      </c>
      <c r="S6" s="319">
        <v>0</v>
      </c>
      <c r="T6" s="320">
        <v>0</v>
      </c>
      <c r="U6" s="18"/>
    </row>
    <row r="7" spans="2:21" x14ac:dyDescent="0.35">
      <c r="B7" s="17"/>
      <c r="C7" s="140"/>
      <c r="D7" s="140"/>
      <c r="U7" s="18"/>
    </row>
    <row r="8" spans="2:21" x14ac:dyDescent="0.35">
      <c r="B8" s="17"/>
      <c r="C8" s="140" t="s">
        <v>1839</v>
      </c>
      <c r="D8" s="140"/>
      <c r="E8" s="321" t="str">
        <f>+Spielzettel6!F2</f>
        <v>Schweinfurt Extreme Bowlingarena</v>
      </c>
      <c r="F8" s="322"/>
      <c r="G8" s="322"/>
      <c r="H8" s="322">
        <v>0</v>
      </c>
      <c r="I8" s="322"/>
      <c r="J8" s="323"/>
      <c r="N8" s="140" t="s">
        <v>1840</v>
      </c>
      <c r="P8" s="321" t="str">
        <f>+Spielzettel6!F1</f>
        <v>Bayernliga Frauen</v>
      </c>
      <c r="Q8" s="322"/>
      <c r="R8" s="322"/>
      <c r="S8" s="322"/>
      <c r="T8" s="323"/>
      <c r="U8" s="18"/>
    </row>
    <row r="9" spans="2:21" ht="11.25" customHeight="1" thickBot="1" x14ac:dyDescent="0.4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.15" thickBot="1" x14ac:dyDescent="0.4"/>
    <row r="11" spans="2:21" s="1" customFormat="1" ht="30" customHeight="1" thickBot="1" x14ac:dyDescent="0.4">
      <c r="B11" s="162"/>
      <c r="C11" s="324" t="s">
        <v>1841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163"/>
    </row>
    <row r="12" spans="2:21" ht="21.75" customHeight="1" x14ac:dyDescent="0.4">
      <c r="B12" s="164"/>
      <c r="C12" s="325" t="s">
        <v>1842</v>
      </c>
      <c r="D12" s="325"/>
      <c r="E12" s="325"/>
      <c r="F12" s="325"/>
      <c r="G12" s="325"/>
      <c r="H12" s="325"/>
      <c r="I12" s="325"/>
      <c r="J12" s="325"/>
      <c r="L12" s="150"/>
      <c r="M12" s="165" t="s">
        <v>1843</v>
      </c>
      <c r="P12" s="166"/>
      <c r="U12" s="18"/>
    </row>
    <row r="13" spans="2:21" ht="6.75" customHeight="1" thickBot="1" x14ac:dyDescent="0.55000000000000004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35">
      <c r="B14" s="17"/>
      <c r="U14" s="18"/>
    </row>
    <row r="15" spans="2:21" ht="13.15" x14ac:dyDescent="0.4">
      <c r="B15" s="17"/>
      <c r="C15" s="148" t="s">
        <v>1844</v>
      </c>
      <c r="D15" s="148"/>
      <c r="F15" s="151"/>
      <c r="G15" s="154"/>
      <c r="H15" t="s">
        <v>1845</v>
      </c>
      <c r="J15" s="151"/>
      <c r="L15" t="s">
        <v>1846</v>
      </c>
      <c r="U15" s="18"/>
    </row>
    <row r="16" spans="2:21" ht="13.15" x14ac:dyDescent="0.4">
      <c r="B16" s="17"/>
      <c r="C16" s="148"/>
      <c r="D16" s="148"/>
      <c r="F16" s="44"/>
      <c r="J16" s="153"/>
      <c r="U16" s="18"/>
    </row>
    <row r="17" spans="2:21" ht="13.15" x14ac:dyDescent="0.4">
      <c r="B17" s="17"/>
      <c r="C17" s="148" t="s">
        <v>1847</v>
      </c>
      <c r="D17" s="148"/>
      <c r="F17" s="151"/>
      <c r="G17" s="154"/>
      <c r="H17" t="s">
        <v>1845</v>
      </c>
      <c r="J17" s="151"/>
      <c r="L17" t="s">
        <v>1846</v>
      </c>
      <c r="U17" s="18"/>
    </row>
    <row r="18" spans="2:21" ht="18.75" customHeight="1" x14ac:dyDescent="0.3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200000000000003" customHeight="1" x14ac:dyDescent="0.35">
      <c r="B19" s="17"/>
      <c r="C19" s="326"/>
      <c r="D19" s="327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9"/>
      <c r="U19" s="18"/>
    </row>
    <row r="20" spans="2:21" ht="12.75" customHeight="1" x14ac:dyDescent="0.3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35">
      <c r="B21" s="17"/>
      <c r="C21" s="148" t="s">
        <v>1849</v>
      </c>
      <c r="D21" s="148"/>
      <c r="U21" s="18"/>
    </row>
    <row r="22" spans="2:21" ht="13.15" x14ac:dyDescent="0.4">
      <c r="B22" s="17"/>
      <c r="C22" s="148" t="s">
        <v>1850</v>
      </c>
      <c r="D22" s="148"/>
      <c r="F22" s="151"/>
      <c r="H22" t="s">
        <v>1845</v>
      </c>
      <c r="J22" s="151"/>
      <c r="L22" t="s">
        <v>1846</v>
      </c>
      <c r="U22" s="18"/>
    </row>
    <row r="23" spans="2:21" ht="18.75" customHeight="1" x14ac:dyDescent="0.3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200000000000003" customHeight="1" x14ac:dyDescent="0.35">
      <c r="B24" s="17"/>
      <c r="C24" s="326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30"/>
      <c r="U24" s="18"/>
    </row>
    <row r="25" spans="2:21" ht="12.75" customHeight="1" x14ac:dyDescent="0.35">
      <c r="B25" s="17"/>
      <c r="C25" s="171"/>
      <c r="D25" s="171"/>
      <c r="U25" s="18"/>
    </row>
    <row r="26" spans="2:21" ht="13.5" customHeight="1" thickBot="1" x14ac:dyDescent="0.4">
      <c r="B26" s="17"/>
      <c r="C26" s="148" t="s">
        <v>1851</v>
      </c>
      <c r="D26" s="148"/>
      <c r="U26" s="18"/>
    </row>
    <row r="27" spans="2:21" s="175" customFormat="1" ht="21.75" customHeight="1" x14ac:dyDescent="0.4">
      <c r="B27" s="172" t="s">
        <v>1852</v>
      </c>
      <c r="C27" s="173"/>
      <c r="D27" s="173"/>
      <c r="E27" s="173"/>
      <c r="F27" s="173"/>
      <c r="G27" s="173"/>
      <c r="H27" s="152"/>
      <c r="I27" s="173"/>
      <c r="J27" s="174" t="s">
        <v>1853</v>
      </c>
      <c r="K27" s="174"/>
      <c r="L27" s="152"/>
      <c r="M27" s="174" t="s">
        <v>1843</v>
      </c>
      <c r="N27" s="174"/>
      <c r="O27" s="174"/>
      <c r="P27" s="173"/>
      <c r="Q27" s="173"/>
      <c r="R27" s="173"/>
      <c r="S27" s="173"/>
      <c r="T27" s="173"/>
      <c r="U27" s="176"/>
    </row>
    <row r="28" spans="2:21" ht="9" customHeight="1" thickBot="1" x14ac:dyDescent="0.55000000000000004">
      <c r="B28" s="167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161"/>
    </row>
    <row r="29" spans="2:21" ht="9" customHeight="1" x14ac:dyDescent="0.5">
      <c r="B29" s="177"/>
      <c r="U29" s="18"/>
    </row>
    <row r="30" spans="2:21" ht="13.15" x14ac:dyDescent="0.4">
      <c r="B30" s="17"/>
      <c r="C30" s="148" t="s">
        <v>1854</v>
      </c>
      <c r="D30" s="148"/>
      <c r="F30" s="151"/>
      <c r="H30" t="s">
        <v>1845</v>
      </c>
      <c r="J30" s="151"/>
      <c r="L30" t="s">
        <v>1846</v>
      </c>
      <c r="U30" s="18"/>
    </row>
    <row r="31" spans="2:21" ht="17.25" customHeight="1" x14ac:dyDescent="0.35">
      <c r="B31" s="17"/>
      <c r="C31" s="148" t="s">
        <v>1855</v>
      </c>
      <c r="D31" s="148"/>
      <c r="F31" s="331"/>
      <c r="G31" s="331"/>
      <c r="H31" s="148"/>
      <c r="U31" s="18"/>
    </row>
    <row r="32" spans="2:21" ht="17.25" customHeight="1" x14ac:dyDescent="0.35">
      <c r="B32" s="17"/>
      <c r="C32" s="148" t="s">
        <v>1856</v>
      </c>
      <c r="D32" s="148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18"/>
    </row>
    <row r="33" spans="2:21" ht="35.200000000000003" customHeight="1" x14ac:dyDescent="0.35">
      <c r="B33" s="17"/>
      <c r="C33" s="326"/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327"/>
      <c r="P33" s="327"/>
      <c r="Q33" s="327"/>
      <c r="R33" s="327"/>
      <c r="S33" s="327"/>
      <c r="T33" s="330"/>
      <c r="U33" s="18"/>
    </row>
    <row r="34" spans="2:21" x14ac:dyDescent="0.35">
      <c r="B34" s="17"/>
      <c r="C34" s="171"/>
      <c r="D34" s="171"/>
      <c r="U34" s="18"/>
    </row>
    <row r="35" spans="2:21" ht="6.75" customHeight="1" x14ac:dyDescent="0.35">
      <c r="B35" s="17"/>
      <c r="C35" s="171"/>
      <c r="D35" s="171"/>
      <c r="U35" s="18"/>
    </row>
    <row r="36" spans="2:21" ht="13.15" x14ac:dyDescent="0.4">
      <c r="B36" s="17"/>
      <c r="C36" s="148" t="s">
        <v>1857</v>
      </c>
      <c r="D36" s="148"/>
      <c r="F36" s="151"/>
      <c r="H36" t="s">
        <v>1858</v>
      </c>
      <c r="J36" s="151"/>
      <c r="L36" s="178" t="s">
        <v>1859</v>
      </c>
      <c r="N36" s="151"/>
      <c r="P36" t="s">
        <v>1860</v>
      </c>
      <c r="U36" s="18"/>
    </row>
    <row r="37" spans="2:21" ht="16.5" customHeight="1" x14ac:dyDescent="0.35">
      <c r="B37" s="17"/>
      <c r="C37" s="149" t="s">
        <v>1861</v>
      </c>
      <c r="D37" s="149"/>
      <c r="F37" s="332"/>
      <c r="G37" s="332"/>
      <c r="H37" s="332"/>
      <c r="U37" s="18"/>
    </row>
    <row r="38" spans="2:21" ht="11.25" customHeight="1" x14ac:dyDescent="0.35">
      <c r="B38" s="17"/>
      <c r="U38" s="18"/>
    </row>
    <row r="39" spans="2:21" ht="13.9" x14ac:dyDescent="0.4">
      <c r="B39" s="179" t="s">
        <v>1862</v>
      </c>
      <c r="U39" s="18"/>
    </row>
    <row r="40" spans="2:21" ht="9" customHeight="1" x14ac:dyDescent="0.35">
      <c r="B40" s="17"/>
      <c r="U40" s="18"/>
    </row>
    <row r="41" spans="2:21" ht="80.25" customHeight="1" x14ac:dyDescent="0.35">
      <c r="B41" s="17"/>
      <c r="C41" s="326"/>
      <c r="D41" s="327"/>
      <c r="E41" s="327"/>
      <c r="F41" s="327"/>
      <c r="G41" s="327"/>
      <c r="H41" s="327"/>
      <c r="I41" s="327"/>
      <c r="J41" s="327"/>
      <c r="K41" s="327"/>
      <c r="L41" s="327"/>
      <c r="M41" s="327"/>
      <c r="N41" s="327"/>
      <c r="O41" s="327"/>
      <c r="P41" s="327"/>
      <c r="Q41" s="327"/>
      <c r="R41" s="327"/>
      <c r="S41" s="327"/>
      <c r="T41" s="330"/>
      <c r="U41" s="18"/>
    </row>
    <row r="42" spans="2:21" ht="11.25" customHeight="1" thickBot="1" x14ac:dyDescent="0.4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161"/>
    </row>
    <row r="43" spans="2:21" ht="13.15" thickBot="1" x14ac:dyDescent="0.4"/>
    <row r="44" spans="2:21" s="1" customFormat="1" ht="30" customHeight="1" thickBot="1" x14ac:dyDescent="0.4">
      <c r="B44" s="162"/>
      <c r="C44" s="324" t="s">
        <v>1863</v>
      </c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163"/>
    </row>
    <row r="45" spans="2:21" ht="9" customHeight="1" x14ac:dyDescent="0.35">
      <c r="B45" s="17"/>
      <c r="U45" s="18"/>
    </row>
    <row r="46" spans="2:21" ht="13.9" x14ac:dyDescent="0.4">
      <c r="B46" s="179"/>
      <c r="C46" s="166" t="s">
        <v>1864</v>
      </c>
      <c r="D46" s="166"/>
      <c r="U46" s="18"/>
    </row>
    <row r="47" spans="2:21" ht="9" customHeight="1" x14ac:dyDescent="0.35">
      <c r="B47" s="17"/>
      <c r="U47" s="18"/>
    </row>
    <row r="48" spans="2:21" ht="36.75" customHeight="1" x14ac:dyDescent="0.35">
      <c r="B48" s="17"/>
      <c r="C48" s="326"/>
      <c r="D48" s="327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27"/>
      <c r="P48" s="327"/>
      <c r="Q48" s="327"/>
      <c r="R48" s="327"/>
      <c r="S48" s="327"/>
      <c r="T48" s="330"/>
      <c r="U48" s="18"/>
    </row>
    <row r="49" spans="2:21" ht="12.75" customHeight="1" x14ac:dyDescent="0.35">
      <c r="B49" s="17"/>
      <c r="C49" s="171"/>
      <c r="D49" s="171"/>
      <c r="U49" s="18"/>
    </row>
    <row r="50" spans="2:21" ht="12.75" customHeight="1" x14ac:dyDescent="0.4">
      <c r="B50" s="179"/>
      <c r="C50" s="166" t="s">
        <v>1865</v>
      </c>
      <c r="D50" s="166"/>
      <c r="U50" s="18"/>
    </row>
    <row r="51" spans="2:21" ht="6.75" customHeight="1" x14ac:dyDescent="0.35">
      <c r="B51" s="17"/>
      <c r="U51" s="18"/>
    </row>
    <row r="52" spans="2:21" ht="36.75" customHeight="1" x14ac:dyDescent="0.35">
      <c r="B52" s="17"/>
      <c r="C52" s="326"/>
      <c r="D52" s="327"/>
      <c r="E52" s="327"/>
      <c r="F52" s="327"/>
      <c r="G52" s="327"/>
      <c r="H52" s="327"/>
      <c r="I52" s="327"/>
      <c r="J52" s="327"/>
      <c r="K52" s="327"/>
      <c r="L52" s="327"/>
      <c r="M52" s="327"/>
      <c r="N52" s="327"/>
      <c r="O52" s="327"/>
      <c r="P52" s="327"/>
      <c r="Q52" s="327"/>
      <c r="R52" s="327"/>
      <c r="S52" s="327"/>
      <c r="T52" s="330"/>
      <c r="U52" s="18"/>
    </row>
    <row r="53" spans="2:21" ht="12.75" customHeight="1" x14ac:dyDescent="0.35">
      <c r="B53" s="17"/>
      <c r="C53" s="171"/>
      <c r="D53" s="171"/>
      <c r="U53" s="18"/>
    </row>
    <row r="54" spans="2:21" ht="12.75" customHeight="1" x14ac:dyDescent="0.4">
      <c r="B54" s="179"/>
      <c r="C54" s="166" t="s">
        <v>1866</v>
      </c>
      <c r="D54" s="166"/>
      <c r="U54" s="18"/>
    </row>
    <row r="55" spans="2:21" ht="6.75" customHeight="1" x14ac:dyDescent="0.35">
      <c r="B55" s="17"/>
      <c r="U55" s="18"/>
    </row>
    <row r="56" spans="2:21" ht="36.75" customHeight="1" x14ac:dyDescent="0.35">
      <c r="B56" s="17"/>
      <c r="C56" s="326"/>
      <c r="D56" s="327"/>
      <c r="E56" s="327"/>
      <c r="F56" s="327"/>
      <c r="G56" s="327"/>
      <c r="H56" s="327"/>
      <c r="I56" s="327"/>
      <c r="J56" s="327"/>
      <c r="K56" s="327"/>
      <c r="L56" s="327"/>
      <c r="M56" s="327"/>
      <c r="N56" s="327"/>
      <c r="O56" s="327"/>
      <c r="P56" s="327"/>
      <c r="Q56" s="327"/>
      <c r="R56" s="327"/>
      <c r="S56" s="327"/>
      <c r="T56" s="330"/>
      <c r="U56" s="18"/>
    </row>
    <row r="57" spans="2:21" ht="11.25" customHeight="1" x14ac:dyDescent="0.35">
      <c r="B57" s="17"/>
      <c r="C57" s="171"/>
      <c r="D57" s="171"/>
      <c r="U57" s="18"/>
    </row>
    <row r="58" spans="2:21" ht="13.5" customHeight="1" x14ac:dyDescent="0.4">
      <c r="B58" s="179"/>
      <c r="C58" s="166" t="s">
        <v>1867</v>
      </c>
      <c r="D58" s="166"/>
      <c r="U58" s="18"/>
    </row>
    <row r="59" spans="2:21" ht="6.75" customHeight="1" x14ac:dyDescent="0.35">
      <c r="B59" s="17"/>
      <c r="U59" s="18"/>
    </row>
    <row r="60" spans="2:21" ht="36.75" customHeight="1" x14ac:dyDescent="0.35">
      <c r="B60" s="17"/>
      <c r="C60" s="326"/>
      <c r="D60" s="327"/>
      <c r="E60" s="327"/>
      <c r="F60" s="327"/>
      <c r="G60" s="327"/>
      <c r="H60" s="327"/>
      <c r="I60" s="327"/>
      <c r="J60" s="327"/>
      <c r="K60" s="327"/>
      <c r="L60" s="327"/>
      <c r="M60" s="327"/>
      <c r="N60" s="327"/>
      <c r="O60" s="327"/>
      <c r="P60" s="327"/>
      <c r="Q60" s="327"/>
      <c r="R60" s="327"/>
      <c r="S60" s="327"/>
      <c r="T60" s="330"/>
      <c r="U60" s="18"/>
    </row>
    <row r="61" spans="2:21" ht="11.25" customHeight="1" x14ac:dyDescent="0.35">
      <c r="B61" s="17"/>
      <c r="C61" s="171"/>
      <c r="D61" s="171"/>
      <c r="U61" s="18"/>
    </row>
    <row r="62" spans="2:21" ht="13.9" x14ac:dyDescent="0.4">
      <c r="B62" s="179"/>
      <c r="C62" s="166" t="s">
        <v>1868</v>
      </c>
      <c r="D62" s="166"/>
      <c r="U62" s="18"/>
    </row>
    <row r="63" spans="2:21" ht="6" customHeight="1" x14ac:dyDescent="0.35">
      <c r="B63" s="17"/>
      <c r="U63" s="18"/>
    </row>
    <row r="64" spans="2:21" ht="36.75" customHeight="1" x14ac:dyDescent="0.35">
      <c r="B64" s="17"/>
      <c r="C64" s="326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  <c r="T64" s="330"/>
      <c r="U64" s="18"/>
    </row>
    <row r="65" spans="1:21" ht="12.75" customHeight="1" x14ac:dyDescent="0.35">
      <c r="B65" s="17"/>
      <c r="C65" s="171"/>
      <c r="D65" s="171"/>
      <c r="U65" s="18"/>
    </row>
    <row r="66" spans="1:21" ht="12.75" customHeight="1" x14ac:dyDescent="0.4">
      <c r="B66" s="179"/>
      <c r="C66" s="166" t="s">
        <v>1869</v>
      </c>
      <c r="D66" s="166"/>
      <c r="U66" s="18"/>
    </row>
    <row r="67" spans="1:21" ht="6.75" customHeight="1" x14ac:dyDescent="0.35">
      <c r="B67" s="17"/>
      <c r="U67" s="18"/>
    </row>
    <row r="68" spans="1:21" ht="36.75" customHeight="1" x14ac:dyDescent="0.35">
      <c r="B68" s="17"/>
      <c r="C68" s="326"/>
      <c r="D68" s="327"/>
      <c r="E68" s="327"/>
      <c r="F68" s="327"/>
      <c r="G68" s="327"/>
      <c r="H68" s="327"/>
      <c r="I68" s="327"/>
      <c r="J68" s="327"/>
      <c r="K68" s="327"/>
      <c r="L68" s="327"/>
      <c r="M68" s="327"/>
      <c r="N68" s="327"/>
      <c r="O68" s="327"/>
      <c r="P68" s="327"/>
      <c r="Q68" s="327"/>
      <c r="R68" s="327"/>
      <c r="S68" s="327"/>
      <c r="T68" s="330"/>
      <c r="U68" s="18"/>
    </row>
    <row r="69" spans="1:21" ht="11.25" customHeight="1" thickBot="1" x14ac:dyDescent="0.4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61"/>
    </row>
    <row r="70" spans="1:21" ht="13.5" customHeight="1" thickBot="1" x14ac:dyDescent="0.4">
      <c r="B70" s="18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180"/>
    </row>
    <row r="71" spans="1:21" ht="11.25" customHeight="1" x14ac:dyDescent="0.5">
      <c r="B71" s="177"/>
      <c r="U71" s="18"/>
    </row>
    <row r="72" spans="1:21" s="52" customFormat="1" ht="18" customHeight="1" x14ac:dyDescent="0.5">
      <c r="A72"/>
      <c r="B72" s="181"/>
      <c r="C72" s="103" t="s">
        <v>1870</v>
      </c>
      <c r="D72" s="103"/>
      <c r="E72"/>
      <c r="F72"/>
      <c r="G72"/>
      <c r="H72"/>
      <c r="I72"/>
      <c r="J72"/>
      <c r="K72"/>
      <c r="L72"/>
      <c r="M72"/>
      <c r="N72"/>
      <c r="O72"/>
      <c r="P72" s="182"/>
      <c r="R72"/>
      <c r="S72"/>
      <c r="T72"/>
      <c r="U72" s="18"/>
    </row>
    <row r="73" spans="1:21" ht="14.25" customHeight="1" x14ac:dyDescent="0.35">
      <c r="B73" s="17"/>
      <c r="P73" s="52"/>
      <c r="Q73" s="52"/>
      <c r="U73" s="18"/>
    </row>
    <row r="74" spans="1:21" ht="6" customHeight="1" x14ac:dyDescent="0.35">
      <c r="B74" s="17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"/>
    </row>
    <row r="75" spans="1:21" ht="35.200000000000003" customHeight="1" x14ac:dyDescent="0.35">
      <c r="B75" s="17"/>
      <c r="C75" s="391"/>
      <c r="D75" s="392"/>
      <c r="E75" s="392"/>
      <c r="F75" s="392"/>
      <c r="G75" s="392"/>
      <c r="H75" s="392"/>
      <c r="I75" s="392"/>
      <c r="J75" s="392"/>
      <c r="K75" s="392"/>
      <c r="L75" s="392"/>
      <c r="M75" s="392"/>
      <c r="N75" s="392"/>
      <c r="O75" s="392"/>
      <c r="P75" s="392"/>
      <c r="Q75" s="392"/>
      <c r="R75" s="392"/>
      <c r="S75" s="392"/>
      <c r="T75" s="393"/>
      <c r="U75" s="18"/>
    </row>
    <row r="76" spans="1:21" ht="11.25" customHeight="1" thickBot="1" x14ac:dyDescent="0.4"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161"/>
    </row>
    <row r="77" spans="1:21" ht="22.5" customHeight="1" x14ac:dyDescent="0.35"/>
    <row r="78" spans="1:21" ht="13.15" x14ac:dyDescent="0.4">
      <c r="B78" s="166" t="s">
        <v>1871</v>
      </c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P78" s="334"/>
      <c r="Q78" s="334"/>
      <c r="R78" s="334"/>
      <c r="S78" s="334"/>
      <c r="T78" s="334"/>
      <c r="U78" s="334"/>
    </row>
    <row r="79" spans="1:21" x14ac:dyDescent="0.35">
      <c r="A79" s="52"/>
      <c r="B79" s="52"/>
      <c r="C79" s="184"/>
      <c r="D79" s="52" t="s">
        <v>1872</v>
      </c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 t="s">
        <v>1873</v>
      </c>
      <c r="Q79" s="52"/>
      <c r="R79" s="52"/>
      <c r="S79" s="52"/>
      <c r="T79" s="52"/>
      <c r="U79" s="52"/>
    </row>
    <row r="80" spans="1:21" ht="17.25" customHeight="1" x14ac:dyDescent="0.35"/>
    <row r="81" spans="2:21" ht="13.15" x14ac:dyDescent="0.4">
      <c r="B81" s="166" t="s">
        <v>1874</v>
      </c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P81" s="334"/>
      <c r="Q81" s="334"/>
      <c r="R81" s="334"/>
      <c r="S81" s="334"/>
      <c r="T81" s="334"/>
      <c r="U81" s="334"/>
    </row>
    <row r="82" spans="2:21" x14ac:dyDescent="0.35">
      <c r="C82" s="184"/>
      <c r="D82" s="52" t="s">
        <v>1872</v>
      </c>
      <c r="P82" s="155" t="s">
        <v>1873</v>
      </c>
    </row>
  </sheetData>
  <sheetProtection password="D19C" sheet="1" selectLockedCells="1"/>
  <mergeCells count="26">
    <mergeCell ref="F37:H37"/>
    <mergeCell ref="C41:T41"/>
    <mergeCell ref="C44:T44"/>
    <mergeCell ref="C48:T48"/>
    <mergeCell ref="C52:T52"/>
    <mergeCell ref="D81:M81"/>
    <mergeCell ref="P81:U81"/>
    <mergeCell ref="C56:T56"/>
    <mergeCell ref="C60:T60"/>
    <mergeCell ref="C64:T64"/>
    <mergeCell ref="C68:T68"/>
    <mergeCell ref="C75:T75"/>
    <mergeCell ref="D78:M78"/>
    <mergeCell ref="P78:U78"/>
    <mergeCell ref="C33:T33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1:G3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2" max="16383" man="1"/>
  </rowBreaks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abelle31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3" activePane="bottomLeft" state="frozen"/>
      <selection activeCell="F22" sqref="F22:G22"/>
      <selection pane="bottomLeft" activeCell="F22" sqref="F22:G22"/>
    </sheetView>
  </sheetViews>
  <sheetFormatPr baseColWidth="10" defaultColWidth="11.33203125" defaultRowHeight="12.75" x14ac:dyDescent="0.35"/>
  <cols>
    <col min="1" max="1" width="4.33203125" customWidth="1"/>
    <col min="2" max="2" width="18.06640625" customWidth="1"/>
    <col min="3" max="3" width="6.33203125" customWidth="1"/>
    <col min="4" max="21" width="5.73046875" customWidth="1"/>
    <col min="22" max="22" width="8.33203125" customWidth="1"/>
    <col min="23" max="23" width="6.73046875" customWidth="1"/>
    <col min="25" max="25" width="7.73046875" customWidth="1"/>
    <col min="26" max="26" width="2.73046875" customWidth="1"/>
    <col min="27" max="27" width="7.73046875" customWidth="1"/>
    <col min="28" max="28" width="2.73046875" customWidth="1"/>
  </cols>
  <sheetData>
    <row r="1" spans="1:29" ht="21" customHeight="1" x14ac:dyDescent="0.7">
      <c r="B1" s="44" t="s">
        <v>1813</v>
      </c>
      <c r="C1" s="45"/>
      <c r="D1" s="46" t="s">
        <v>1792</v>
      </c>
      <c r="E1" s="47"/>
      <c r="F1" s="359" t="str">
        <f>Schlüssel!$C$1</f>
        <v>Bayernliga Frauen</v>
      </c>
      <c r="G1" s="359"/>
      <c r="H1" s="359"/>
      <c r="I1" s="359"/>
      <c r="J1" s="359"/>
      <c r="K1" s="359"/>
      <c r="L1" s="359"/>
      <c r="M1" s="359"/>
      <c r="N1" s="359"/>
      <c r="O1" s="359"/>
      <c r="P1" s="45"/>
      <c r="Q1" s="45"/>
      <c r="R1" s="48"/>
      <c r="S1" s="49" t="s">
        <v>1794</v>
      </c>
      <c r="T1" s="50"/>
      <c r="U1" s="360" t="str">
        <f>Schlüssel!$DI$1</f>
        <v>05.04./06.04.</v>
      </c>
      <c r="V1" s="361"/>
      <c r="W1" s="362"/>
      <c r="AC1" s="51" t="s">
        <v>1836</v>
      </c>
    </row>
    <row r="2" spans="1:29" ht="17.25" customHeight="1" thickBot="1" x14ac:dyDescent="0.65">
      <c r="A2" s="52"/>
      <c r="B2" s="96">
        <v>1</v>
      </c>
      <c r="D2" s="46" t="s">
        <v>1793</v>
      </c>
      <c r="E2" s="54"/>
      <c r="F2" s="358" t="str">
        <f>Schlüssel!$CY$2</f>
        <v>Schweinfurt Extreme Bowlingarena</v>
      </c>
      <c r="G2" s="358"/>
      <c r="H2" s="358"/>
      <c r="I2" s="358"/>
      <c r="J2" s="358"/>
      <c r="K2" s="358"/>
      <c r="L2" s="358"/>
      <c r="M2" s="358"/>
      <c r="N2" s="358"/>
      <c r="O2" s="358"/>
      <c r="P2" s="55"/>
      <c r="Q2" s="55"/>
      <c r="S2" s="49" t="s">
        <v>1791</v>
      </c>
      <c r="T2" s="56">
        <v>6</v>
      </c>
      <c r="U2" s="50"/>
      <c r="V2" s="50"/>
      <c r="AC2" s="97">
        <v>1</v>
      </c>
    </row>
    <row r="3" spans="1:29" ht="15.75" customHeight="1" thickBot="1" x14ac:dyDescent="0.4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5" thickBot="1" x14ac:dyDescent="0.45">
      <c r="A4" s="2"/>
      <c r="B4" s="44"/>
      <c r="C4" s="63"/>
      <c r="D4" s="64" t="s">
        <v>10</v>
      </c>
      <c r="E4" s="44">
        <f>VLOOKUP($B2,Schlüssel!$A$5:$DZ$14,113)</f>
        <v>4</v>
      </c>
      <c r="F4" s="65" t="s">
        <v>10</v>
      </c>
      <c r="G4" s="44">
        <f>VLOOKUP($B2,Schlüssel!$A$5:$DZ$14,114)</f>
        <v>10</v>
      </c>
      <c r="H4" s="65" t="s">
        <v>10</v>
      </c>
      <c r="I4" s="44">
        <f>VLOOKUP($B2,Schlüssel!$A$5:$DZ$14,115)</f>
        <v>6</v>
      </c>
      <c r="J4" s="65" t="s">
        <v>10</v>
      </c>
      <c r="K4" s="44">
        <f>VLOOKUP($B2,Schlüssel!$A$5:$DZ$14,116)</f>
        <v>7</v>
      </c>
      <c r="L4" s="65" t="s">
        <v>10</v>
      </c>
      <c r="M4" s="44">
        <f>VLOOKUP($B2,Schlüssel!$A$5:$DZ$14,117)</f>
        <v>3</v>
      </c>
      <c r="N4" s="65" t="s">
        <v>10</v>
      </c>
      <c r="O4" s="44">
        <f>VLOOKUP($B2,Schlüssel!$A$5:$DZ$14,118)</f>
        <v>1</v>
      </c>
      <c r="P4" s="65" t="s">
        <v>10</v>
      </c>
      <c r="Q4" s="44">
        <f>VLOOKUP($B2,Schlüssel!$A$5:$DZ$14,119)</f>
        <v>5</v>
      </c>
      <c r="R4" s="65" t="s">
        <v>10</v>
      </c>
      <c r="S4" s="44">
        <f>VLOOKUP($B2,Schlüssel!$A$5:$DZ$14,120)</f>
        <v>9</v>
      </c>
      <c r="T4" s="65" t="s">
        <v>10</v>
      </c>
      <c r="U4" s="66">
        <f>VLOOKUP($B2,Schlüssel!$A$5:$DZ$14,121)</f>
        <v>2</v>
      </c>
    </row>
    <row r="5" spans="1:29" ht="20.25" customHeight="1" x14ac:dyDescent="0.35">
      <c r="B5" s="67" t="s">
        <v>1</v>
      </c>
      <c r="C5" s="68"/>
      <c r="D5" s="354" t="s">
        <v>1800</v>
      </c>
      <c r="E5" s="355"/>
      <c r="F5" s="354" t="s">
        <v>1801</v>
      </c>
      <c r="G5" s="355"/>
      <c r="H5" s="354" t="s">
        <v>1802</v>
      </c>
      <c r="I5" s="355"/>
      <c r="J5" s="354" t="s">
        <v>1803</v>
      </c>
      <c r="K5" s="355"/>
      <c r="L5" s="354" t="s">
        <v>1804</v>
      </c>
      <c r="M5" s="355"/>
      <c r="N5" s="354" t="s">
        <v>1805</v>
      </c>
      <c r="O5" s="355"/>
      <c r="P5" s="354" t="s">
        <v>1806</v>
      </c>
      <c r="Q5" s="355"/>
      <c r="R5" s="354" t="s">
        <v>1807</v>
      </c>
      <c r="S5" s="355"/>
      <c r="T5" s="354" t="s">
        <v>1808</v>
      </c>
      <c r="U5" s="355"/>
      <c r="V5" s="356" t="s">
        <v>1799</v>
      </c>
      <c r="W5" s="357"/>
    </row>
    <row r="6" spans="1:29" ht="15" customHeight="1" thickBot="1" x14ac:dyDescent="0.4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2" customHeight="1" x14ac:dyDescent="0.35">
      <c r="A7" s="351" t="s">
        <v>0</v>
      </c>
      <c r="B7" s="73"/>
      <c r="C7" s="74"/>
      <c r="D7" s="75"/>
      <c r="E7" s="348"/>
      <c r="F7" s="75"/>
      <c r="G7" s="348"/>
      <c r="H7" s="75"/>
      <c r="I7" s="348"/>
      <c r="J7" s="75"/>
      <c r="K7" s="348"/>
      <c r="L7" s="75"/>
      <c r="M7" s="348"/>
      <c r="N7" s="75"/>
      <c r="O7" s="348"/>
      <c r="P7" s="75"/>
      <c r="Q7" s="348"/>
      <c r="R7" s="75"/>
      <c r="S7" s="348"/>
      <c r="T7" s="75"/>
      <c r="U7" s="348"/>
      <c r="V7" s="75"/>
      <c r="W7" s="348"/>
    </row>
    <row r="8" spans="1:29" ht="17.2" customHeight="1" x14ac:dyDescent="0.35">
      <c r="A8" s="352"/>
      <c r="B8" s="76"/>
      <c r="C8" s="77"/>
      <c r="D8" s="78"/>
      <c r="E8" s="349"/>
      <c r="F8" s="78"/>
      <c r="G8" s="349"/>
      <c r="H8" s="78"/>
      <c r="I8" s="349"/>
      <c r="J8" s="78"/>
      <c r="K8" s="349"/>
      <c r="L8" s="78"/>
      <c r="M8" s="349"/>
      <c r="N8" s="78"/>
      <c r="O8" s="349"/>
      <c r="P8" s="78"/>
      <c r="Q8" s="349"/>
      <c r="R8" s="78"/>
      <c r="S8" s="349"/>
      <c r="T8" s="78"/>
      <c r="U8" s="349"/>
      <c r="V8" s="78"/>
      <c r="W8" s="349"/>
    </row>
    <row r="9" spans="1:29" ht="17.2" customHeight="1" thickBot="1" x14ac:dyDescent="0.4">
      <c r="A9" s="353"/>
      <c r="B9" s="79"/>
      <c r="C9" s="80"/>
      <c r="D9" s="69"/>
      <c r="E9" s="350"/>
      <c r="F9" s="69"/>
      <c r="G9" s="350"/>
      <c r="H9" s="69"/>
      <c r="I9" s="350"/>
      <c r="J9" s="69"/>
      <c r="K9" s="350"/>
      <c r="L9" s="69"/>
      <c r="M9" s="350"/>
      <c r="N9" s="69"/>
      <c r="O9" s="350"/>
      <c r="P9" s="69"/>
      <c r="Q9" s="350"/>
      <c r="R9" s="69"/>
      <c r="S9" s="350"/>
      <c r="T9" s="69"/>
      <c r="U9" s="350"/>
      <c r="V9" s="69"/>
      <c r="W9" s="350"/>
    </row>
    <row r="10" spans="1:29" ht="17.2" customHeight="1" x14ac:dyDescent="0.35">
      <c r="A10" s="351" t="s">
        <v>2</v>
      </c>
      <c r="B10" s="73"/>
      <c r="C10" s="74"/>
      <c r="D10" s="75"/>
      <c r="E10" s="348"/>
      <c r="F10" s="75"/>
      <c r="G10" s="348"/>
      <c r="H10" s="75"/>
      <c r="I10" s="348"/>
      <c r="J10" s="75"/>
      <c r="K10" s="348"/>
      <c r="L10" s="75"/>
      <c r="M10" s="348"/>
      <c r="N10" s="75"/>
      <c r="O10" s="348"/>
      <c r="P10" s="75"/>
      <c r="Q10" s="348"/>
      <c r="R10" s="75"/>
      <c r="S10" s="348"/>
      <c r="T10" s="75"/>
      <c r="U10" s="348"/>
      <c r="V10" s="75"/>
      <c r="W10" s="348"/>
    </row>
    <row r="11" spans="1:29" ht="17.2" customHeight="1" x14ac:dyDescent="0.35">
      <c r="A11" s="352"/>
      <c r="B11" s="76"/>
      <c r="C11" s="77"/>
      <c r="D11" s="78"/>
      <c r="E11" s="349"/>
      <c r="F11" s="78"/>
      <c r="G11" s="349"/>
      <c r="H11" s="78"/>
      <c r="I11" s="349"/>
      <c r="J11" s="78"/>
      <c r="K11" s="349"/>
      <c r="L11" s="78"/>
      <c r="M11" s="349"/>
      <c r="N11" s="78"/>
      <c r="O11" s="349"/>
      <c r="P11" s="78"/>
      <c r="Q11" s="349"/>
      <c r="R11" s="78"/>
      <c r="S11" s="349"/>
      <c r="T11" s="78"/>
      <c r="U11" s="349"/>
      <c r="V11" s="78"/>
      <c r="W11" s="349"/>
    </row>
    <row r="12" spans="1:29" ht="17.2" customHeight="1" thickBot="1" x14ac:dyDescent="0.4">
      <c r="A12" s="353"/>
      <c r="B12" s="79"/>
      <c r="C12" s="80"/>
      <c r="D12" s="69"/>
      <c r="E12" s="350"/>
      <c r="F12" s="69"/>
      <c r="G12" s="350"/>
      <c r="H12" s="69"/>
      <c r="I12" s="350"/>
      <c r="J12" s="69"/>
      <c r="K12" s="350"/>
      <c r="L12" s="69"/>
      <c r="M12" s="350"/>
      <c r="N12" s="69"/>
      <c r="O12" s="350"/>
      <c r="P12" s="69"/>
      <c r="Q12" s="350"/>
      <c r="R12" s="69"/>
      <c r="S12" s="350"/>
      <c r="T12" s="69"/>
      <c r="U12" s="350"/>
      <c r="V12" s="69"/>
      <c r="W12" s="350"/>
    </row>
    <row r="13" spans="1:29" ht="17.2" customHeight="1" x14ac:dyDescent="0.35">
      <c r="A13" s="351" t="s">
        <v>3</v>
      </c>
      <c r="B13" s="73"/>
      <c r="C13" s="74"/>
      <c r="D13" s="75"/>
      <c r="E13" s="348"/>
      <c r="F13" s="75"/>
      <c r="G13" s="348"/>
      <c r="H13" s="75"/>
      <c r="I13" s="348"/>
      <c r="J13" s="75"/>
      <c r="K13" s="348"/>
      <c r="L13" s="75"/>
      <c r="M13" s="348"/>
      <c r="N13" s="75"/>
      <c r="O13" s="348"/>
      <c r="P13" s="75"/>
      <c r="Q13" s="348"/>
      <c r="R13" s="75"/>
      <c r="S13" s="348"/>
      <c r="T13" s="75"/>
      <c r="U13" s="348"/>
      <c r="V13" s="75"/>
      <c r="W13" s="348"/>
    </row>
    <row r="14" spans="1:29" ht="17.2" customHeight="1" x14ac:dyDescent="0.35">
      <c r="A14" s="352"/>
      <c r="B14" s="76"/>
      <c r="C14" s="77"/>
      <c r="D14" s="78"/>
      <c r="E14" s="349"/>
      <c r="F14" s="78"/>
      <c r="G14" s="349"/>
      <c r="H14" s="78"/>
      <c r="I14" s="349"/>
      <c r="J14" s="78"/>
      <c r="K14" s="349"/>
      <c r="L14" s="78"/>
      <c r="M14" s="349"/>
      <c r="N14" s="78"/>
      <c r="O14" s="349"/>
      <c r="P14" s="78"/>
      <c r="Q14" s="349"/>
      <c r="R14" s="78"/>
      <c r="S14" s="349"/>
      <c r="T14" s="78"/>
      <c r="U14" s="349"/>
      <c r="V14" s="78"/>
      <c r="W14" s="349"/>
    </row>
    <row r="15" spans="1:29" ht="17.2" customHeight="1" thickBot="1" x14ac:dyDescent="0.4">
      <c r="A15" s="353"/>
      <c r="B15" s="79"/>
      <c r="C15" s="80"/>
      <c r="D15" s="69"/>
      <c r="E15" s="350"/>
      <c r="F15" s="69"/>
      <c r="G15" s="350"/>
      <c r="H15" s="69"/>
      <c r="I15" s="350"/>
      <c r="J15" s="69"/>
      <c r="K15" s="350"/>
      <c r="L15" s="69"/>
      <c r="M15" s="350"/>
      <c r="N15" s="69"/>
      <c r="O15" s="350"/>
      <c r="P15" s="69"/>
      <c r="Q15" s="350"/>
      <c r="R15" s="69"/>
      <c r="S15" s="350"/>
      <c r="T15" s="69"/>
      <c r="U15" s="350"/>
      <c r="V15" s="69"/>
      <c r="W15" s="350"/>
    </row>
    <row r="16" spans="1:29" ht="17.2" customHeight="1" x14ac:dyDescent="0.35">
      <c r="A16" s="351" t="s">
        <v>11</v>
      </c>
      <c r="B16" s="73"/>
      <c r="C16" s="74"/>
      <c r="D16" s="75"/>
      <c r="E16" s="348"/>
      <c r="F16" s="75"/>
      <c r="G16" s="348"/>
      <c r="H16" s="75"/>
      <c r="I16" s="348"/>
      <c r="J16" s="75"/>
      <c r="K16" s="348"/>
      <c r="L16" s="75"/>
      <c r="M16" s="348"/>
      <c r="N16" s="75"/>
      <c r="O16" s="348"/>
      <c r="P16" s="75"/>
      <c r="Q16" s="348"/>
      <c r="R16" s="75"/>
      <c r="S16" s="348"/>
      <c r="T16" s="75"/>
      <c r="U16" s="348"/>
      <c r="V16" s="75"/>
      <c r="W16" s="348"/>
    </row>
    <row r="17" spans="1:29" ht="17.2" customHeight="1" x14ac:dyDescent="0.35">
      <c r="A17" s="352"/>
      <c r="B17" s="76"/>
      <c r="C17" s="77"/>
      <c r="D17" s="78"/>
      <c r="E17" s="349"/>
      <c r="F17" s="78"/>
      <c r="G17" s="349"/>
      <c r="H17" s="78"/>
      <c r="I17" s="349"/>
      <c r="J17" s="78"/>
      <c r="K17" s="349"/>
      <c r="L17" s="78"/>
      <c r="M17" s="349"/>
      <c r="N17" s="78"/>
      <c r="O17" s="349"/>
      <c r="P17" s="78"/>
      <c r="Q17" s="349"/>
      <c r="R17" s="78"/>
      <c r="S17" s="349"/>
      <c r="T17" s="78"/>
      <c r="U17" s="349"/>
      <c r="V17" s="78"/>
      <c r="W17" s="349"/>
    </row>
    <row r="18" spans="1:29" ht="17.2" customHeight="1" thickBot="1" x14ac:dyDescent="0.4">
      <c r="A18" s="353"/>
      <c r="B18" s="79"/>
      <c r="C18" s="80"/>
      <c r="D18" s="69"/>
      <c r="E18" s="350"/>
      <c r="F18" s="69"/>
      <c r="G18" s="350"/>
      <c r="H18" s="69"/>
      <c r="I18" s="350"/>
      <c r="J18" s="69"/>
      <c r="K18" s="350"/>
      <c r="L18" s="69"/>
      <c r="M18" s="350"/>
      <c r="N18" s="69"/>
      <c r="O18" s="350"/>
      <c r="P18" s="69"/>
      <c r="Q18" s="350"/>
      <c r="R18" s="69"/>
      <c r="S18" s="350"/>
      <c r="T18" s="69"/>
      <c r="U18" s="350"/>
      <c r="V18" s="69"/>
      <c r="W18" s="350"/>
    </row>
    <row r="19" spans="1:29" ht="27.75" customHeight="1" thickBot="1" x14ac:dyDescent="0.4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4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3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35">
      <c r="B22" s="88" t="s">
        <v>1797</v>
      </c>
      <c r="C22" s="89" t="s">
        <v>1798</v>
      </c>
      <c r="D22" s="346">
        <f>VLOOKUP(B2,Schlüssel!$A$5:$DZ$14,103)</f>
        <v>7</v>
      </c>
      <c r="E22" s="346"/>
      <c r="F22" s="346">
        <f>VLOOKUP(B2,Schlüssel!$A$5:$DZ$14,104)</f>
        <v>8</v>
      </c>
      <c r="G22" s="346"/>
      <c r="H22" s="346">
        <f>VLOOKUP(B2,Schlüssel!$A$5:$DZ$14,105)</f>
        <v>5</v>
      </c>
      <c r="I22" s="346"/>
      <c r="J22" s="346">
        <f>VLOOKUP(B2,Schlüssel!$A$5:$DZ$14,106)</f>
        <v>3</v>
      </c>
      <c r="K22" s="346"/>
      <c r="L22" s="346">
        <f>VLOOKUP(B2,Schlüssel!$A$5:$DZ$14,107)</f>
        <v>4</v>
      </c>
      <c r="M22" s="346"/>
      <c r="N22" s="346">
        <f>VLOOKUP(B2,Schlüssel!$A$5:$DZ$14,108)</f>
        <v>9</v>
      </c>
      <c r="O22" s="346"/>
      <c r="P22" s="346">
        <f>VLOOKUP(B2,Schlüssel!$A$5:$DZ$14,109)</f>
        <v>10</v>
      </c>
      <c r="Q22" s="346"/>
      <c r="R22" s="346">
        <f>VLOOKUP(B2,Schlüssel!$A$5:$DZ$14,110)</f>
        <v>6</v>
      </c>
      <c r="S22" s="346"/>
      <c r="T22" s="346">
        <f>VLOOKUP(B2,Schlüssel!$A$5:$DZ$14,111)</f>
        <v>2</v>
      </c>
      <c r="U22" s="346"/>
      <c r="V22" s="347"/>
      <c r="W22" s="347"/>
    </row>
    <row r="23" spans="1:29" ht="28.5" customHeight="1" x14ac:dyDescent="0.35">
      <c r="B23" s="90"/>
      <c r="C23" s="86"/>
      <c r="D23" s="343" t="str">
        <f>VLOOKUP(D22,Schlüssel!$A$5:$K$14,2)</f>
        <v>Frankenpower Nürnberg</v>
      </c>
      <c r="E23" s="344"/>
      <c r="F23" s="343" t="str">
        <f>VLOOKUP(F22,Schlüssel!$A$5:$K$14,2)</f>
        <v>EPA München 1</v>
      </c>
      <c r="G23" s="344"/>
      <c r="H23" s="343" t="str">
        <f>VLOOKUP(H22,Schlüssel!$A$5:$K$14,2)</f>
        <v xml:space="preserve">Weiß Blau Unterföhring </v>
      </c>
      <c r="I23" s="344"/>
      <c r="J23" s="343" t="str">
        <f>VLOOKUP(J22,Schlüssel!$A$5:$K$14,2)</f>
        <v>Highroller Rosenheim</v>
      </c>
      <c r="K23" s="344"/>
      <c r="L23" s="343" t="str">
        <f>VLOOKUP(L22,Schlüssel!$A$5:$K$14,2)</f>
        <v>BK München 3</v>
      </c>
      <c r="M23" s="344"/>
      <c r="N23" s="343" t="str">
        <f>VLOOKUP(N22,Schlüssel!$A$5:$K$14,2)</f>
        <v>RW Lichtenhof 69 Stein 2</v>
      </c>
      <c r="O23" s="344"/>
      <c r="P23" s="343" t="str">
        <f>VLOOKUP(P22,Schlüssel!$A$5:$K$14,2)</f>
        <v>BK München 4</v>
      </c>
      <c r="Q23" s="344"/>
      <c r="R23" s="343" t="str">
        <f>VLOOKUP(R22,Schlüssel!$A$5:$K$14,2)</f>
        <v>Phönix 03 Lauf</v>
      </c>
      <c r="S23" s="344"/>
      <c r="T23" s="343" t="str">
        <f>VLOOKUP(T22,Schlüssel!$A$5:$K$14,2)</f>
        <v>BK München 2</v>
      </c>
      <c r="U23" s="344"/>
      <c r="V23" s="345"/>
      <c r="W23" s="345"/>
    </row>
    <row r="24" spans="1:29" ht="12" customHeight="1" x14ac:dyDescent="0.35">
      <c r="B24" s="90"/>
      <c r="C24" s="86"/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2"/>
      <c r="V24" s="301"/>
      <c r="W24" s="301"/>
    </row>
    <row r="25" spans="1:29" ht="16.05" customHeight="1" x14ac:dyDescent="0.35">
      <c r="B25" s="91" t="s">
        <v>0</v>
      </c>
      <c r="C25" s="92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40"/>
      <c r="W25" s="340"/>
    </row>
    <row r="26" spans="1:29" ht="16.05" customHeight="1" x14ac:dyDescent="0.35">
      <c r="B26" s="91" t="s">
        <v>2</v>
      </c>
      <c r="C26" s="92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40"/>
      <c r="W26" s="340"/>
    </row>
    <row r="27" spans="1:29" ht="16.05" customHeight="1" x14ac:dyDescent="0.35">
      <c r="B27" s="91" t="s">
        <v>3</v>
      </c>
      <c r="C27" s="92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40"/>
      <c r="W27" s="340"/>
    </row>
    <row r="28" spans="1:29" ht="16.05" customHeight="1" x14ac:dyDescent="0.35">
      <c r="B28" s="91" t="s">
        <v>11</v>
      </c>
      <c r="C28" s="92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40"/>
      <c r="W28" s="340"/>
    </row>
    <row r="29" spans="1:29" ht="16.05" customHeight="1" x14ac:dyDescent="0.35">
      <c r="B29" s="93" t="s">
        <v>1799</v>
      </c>
      <c r="C29" s="94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290"/>
      <c r="W29" s="290"/>
    </row>
    <row r="30" spans="1:29" ht="21" customHeight="1" x14ac:dyDescent="0.7">
      <c r="B30" s="44" t="s">
        <v>1813</v>
      </c>
      <c r="C30" s="45"/>
      <c r="D30" s="46" t="s">
        <v>1792</v>
      </c>
      <c r="E30" s="47"/>
      <c r="F30" s="359" t="str">
        <f>Schlüssel!$C$1</f>
        <v>Bayernliga Frauen</v>
      </c>
      <c r="G30" s="359"/>
      <c r="H30" s="359"/>
      <c r="I30" s="359"/>
      <c r="J30" s="359"/>
      <c r="K30" s="359"/>
      <c r="L30" s="359"/>
      <c r="M30" s="359"/>
      <c r="N30" s="359"/>
      <c r="O30" s="359"/>
      <c r="P30" s="45"/>
      <c r="Q30" s="45"/>
      <c r="R30" s="48"/>
      <c r="S30" s="49" t="s">
        <v>1794</v>
      </c>
      <c r="T30" s="50"/>
      <c r="U30" s="360" t="str">
        <f>Schlüssel!$DI$1</f>
        <v>05.04./06.04.</v>
      </c>
      <c r="V30" s="361"/>
      <c r="W30" s="362"/>
      <c r="AC30" s="51"/>
    </row>
    <row r="31" spans="1:29" ht="17.25" customHeight="1" thickBot="1" x14ac:dyDescent="0.65">
      <c r="A31" s="52"/>
      <c r="B31" s="96">
        <f>+B2+1</f>
        <v>2</v>
      </c>
      <c r="D31" s="46" t="s">
        <v>1793</v>
      </c>
      <c r="E31" s="54"/>
      <c r="F31" s="358" t="str">
        <f>Schlüssel!$CY$2</f>
        <v>Schweinfurt Extreme Bowlingarena</v>
      </c>
      <c r="G31" s="358"/>
      <c r="H31" s="358"/>
      <c r="I31" s="358"/>
      <c r="J31" s="358"/>
      <c r="K31" s="358"/>
      <c r="L31" s="358"/>
      <c r="M31" s="358"/>
      <c r="N31" s="358"/>
      <c r="O31" s="358"/>
      <c r="P31" s="55"/>
      <c r="Q31" s="55"/>
      <c r="S31" s="49" t="s">
        <v>1791</v>
      </c>
      <c r="T31" s="56">
        <v>6</v>
      </c>
      <c r="U31" s="50"/>
      <c r="V31" s="50"/>
      <c r="AC31" s="97"/>
    </row>
    <row r="32" spans="1:29" ht="15.75" customHeight="1" thickBot="1" x14ac:dyDescent="0.4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5" thickBot="1" x14ac:dyDescent="0.45">
      <c r="A33" s="2"/>
      <c r="B33" s="44"/>
      <c r="C33" s="63"/>
      <c r="D33" s="64" t="s">
        <v>10</v>
      </c>
      <c r="E33" s="44">
        <f>VLOOKUP($B31,Schlüssel!$A$5:$DZ$14,113)</f>
        <v>9</v>
      </c>
      <c r="F33" s="65" t="s">
        <v>10</v>
      </c>
      <c r="G33" s="44">
        <f>VLOOKUP($B31,Schlüssel!$A$5:$DZ$14,114)</f>
        <v>4</v>
      </c>
      <c r="H33" s="65" t="s">
        <v>10</v>
      </c>
      <c r="I33" s="44">
        <f>VLOOKUP($B31,Schlüssel!$A$5:$DZ$14,115)</f>
        <v>7</v>
      </c>
      <c r="J33" s="65" t="s">
        <v>10</v>
      </c>
      <c r="K33" s="44">
        <f>VLOOKUP($B31,Schlüssel!$A$5:$DZ$14,116)</f>
        <v>5</v>
      </c>
      <c r="L33" s="65" t="s">
        <v>10</v>
      </c>
      <c r="M33" s="44">
        <f>VLOOKUP($B31,Schlüssel!$A$5:$DZ$14,117)</f>
        <v>10</v>
      </c>
      <c r="N33" s="65" t="s">
        <v>10</v>
      </c>
      <c r="O33" s="44">
        <f>VLOOKUP($B31,Schlüssel!$A$5:$DZ$14,118)</f>
        <v>8</v>
      </c>
      <c r="P33" s="65" t="s">
        <v>10</v>
      </c>
      <c r="Q33" s="44">
        <f>VLOOKUP($B31,Schlüssel!$A$5:$DZ$14,119)</f>
        <v>3</v>
      </c>
      <c r="R33" s="65" t="s">
        <v>10</v>
      </c>
      <c r="S33" s="44">
        <f>VLOOKUP($B31,Schlüssel!$A$5:$DZ$14,120)</f>
        <v>6</v>
      </c>
      <c r="T33" s="65" t="s">
        <v>10</v>
      </c>
      <c r="U33" s="66">
        <f>VLOOKUP($B31,Schlüssel!$A$5:$DZ$14,121)</f>
        <v>1</v>
      </c>
    </row>
    <row r="34" spans="1:23" ht="20.25" customHeight="1" x14ac:dyDescent="0.35">
      <c r="B34" s="67" t="s">
        <v>1</v>
      </c>
      <c r="C34" s="68"/>
      <c r="D34" s="354" t="s">
        <v>1800</v>
      </c>
      <c r="E34" s="355"/>
      <c r="F34" s="354" t="s">
        <v>1801</v>
      </c>
      <c r="G34" s="355"/>
      <c r="H34" s="354" t="s">
        <v>1802</v>
      </c>
      <c r="I34" s="355"/>
      <c r="J34" s="354" t="s">
        <v>1803</v>
      </c>
      <c r="K34" s="355"/>
      <c r="L34" s="354" t="s">
        <v>1804</v>
      </c>
      <c r="M34" s="355"/>
      <c r="N34" s="354" t="s">
        <v>1805</v>
      </c>
      <c r="O34" s="355"/>
      <c r="P34" s="354" t="s">
        <v>1806</v>
      </c>
      <c r="Q34" s="355"/>
      <c r="R34" s="354" t="s">
        <v>1807</v>
      </c>
      <c r="S34" s="355"/>
      <c r="T34" s="354" t="s">
        <v>1808</v>
      </c>
      <c r="U34" s="355"/>
      <c r="V34" s="356" t="s">
        <v>1799</v>
      </c>
      <c r="W34" s="357"/>
    </row>
    <row r="35" spans="1:23" ht="15" customHeight="1" thickBot="1" x14ac:dyDescent="0.4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2" customHeight="1" x14ac:dyDescent="0.35">
      <c r="A36" s="351" t="s">
        <v>0</v>
      </c>
      <c r="B36" s="73"/>
      <c r="C36" s="74"/>
      <c r="D36" s="75"/>
      <c r="E36" s="348"/>
      <c r="F36" s="75"/>
      <c r="G36" s="348"/>
      <c r="H36" s="75"/>
      <c r="I36" s="348"/>
      <c r="J36" s="75"/>
      <c r="K36" s="348"/>
      <c r="L36" s="75"/>
      <c r="M36" s="348"/>
      <c r="N36" s="75"/>
      <c r="O36" s="348"/>
      <c r="P36" s="75"/>
      <c r="Q36" s="348"/>
      <c r="R36" s="75"/>
      <c r="S36" s="348"/>
      <c r="T36" s="75"/>
      <c r="U36" s="348"/>
      <c r="V36" s="75"/>
      <c r="W36" s="348"/>
    </row>
    <row r="37" spans="1:23" ht="17.2" customHeight="1" x14ac:dyDescent="0.35">
      <c r="A37" s="352"/>
      <c r="B37" s="76"/>
      <c r="C37" s="77"/>
      <c r="D37" s="78"/>
      <c r="E37" s="349"/>
      <c r="F37" s="78"/>
      <c r="G37" s="349"/>
      <c r="H37" s="78"/>
      <c r="I37" s="349"/>
      <c r="J37" s="78"/>
      <c r="K37" s="349"/>
      <c r="L37" s="78"/>
      <c r="M37" s="349"/>
      <c r="N37" s="78"/>
      <c r="O37" s="349"/>
      <c r="P37" s="78"/>
      <c r="Q37" s="349"/>
      <c r="R37" s="78"/>
      <c r="S37" s="349"/>
      <c r="T37" s="78"/>
      <c r="U37" s="349"/>
      <c r="V37" s="78"/>
      <c r="W37" s="349"/>
    </row>
    <row r="38" spans="1:23" ht="17.2" customHeight="1" thickBot="1" x14ac:dyDescent="0.4">
      <c r="A38" s="353"/>
      <c r="B38" s="79"/>
      <c r="C38" s="80"/>
      <c r="D38" s="69"/>
      <c r="E38" s="350"/>
      <c r="F38" s="69"/>
      <c r="G38" s="350"/>
      <c r="H38" s="69"/>
      <c r="I38" s="350"/>
      <c r="J38" s="69"/>
      <c r="K38" s="350"/>
      <c r="L38" s="69"/>
      <c r="M38" s="350"/>
      <c r="N38" s="69"/>
      <c r="O38" s="350"/>
      <c r="P38" s="69"/>
      <c r="Q38" s="350"/>
      <c r="R38" s="69"/>
      <c r="S38" s="350"/>
      <c r="T38" s="69"/>
      <c r="U38" s="350"/>
      <c r="V38" s="69"/>
      <c r="W38" s="350"/>
    </row>
    <row r="39" spans="1:23" ht="17.2" customHeight="1" x14ac:dyDescent="0.35">
      <c r="A39" s="351" t="s">
        <v>2</v>
      </c>
      <c r="B39" s="73"/>
      <c r="C39" s="74"/>
      <c r="D39" s="75"/>
      <c r="E39" s="348"/>
      <c r="F39" s="75"/>
      <c r="G39" s="348"/>
      <c r="H39" s="75"/>
      <c r="I39" s="348"/>
      <c r="J39" s="75"/>
      <c r="K39" s="348"/>
      <c r="L39" s="75"/>
      <c r="M39" s="348"/>
      <c r="N39" s="75"/>
      <c r="O39" s="348"/>
      <c r="P39" s="75"/>
      <c r="Q39" s="348"/>
      <c r="R39" s="75"/>
      <c r="S39" s="348"/>
      <c r="T39" s="75"/>
      <c r="U39" s="348"/>
      <c r="V39" s="75"/>
      <c r="W39" s="348"/>
    </row>
    <row r="40" spans="1:23" ht="17.2" customHeight="1" x14ac:dyDescent="0.35">
      <c r="A40" s="352"/>
      <c r="B40" s="76"/>
      <c r="C40" s="77"/>
      <c r="D40" s="78"/>
      <c r="E40" s="349"/>
      <c r="F40" s="78"/>
      <c r="G40" s="349"/>
      <c r="H40" s="78"/>
      <c r="I40" s="349"/>
      <c r="J40" s="78"/>
      <c r="K40" s="349"/>
      <c r="L40" s="78"/>
      <c r="M40" s="349"/>
      <c r="N40" s="78"/>
      <c r="O40" s="349"/>
      <c r="P40" s="78"/>
      <c r="Q40" s="349"/>
      <c r="R40" s="78"/>
      <c r="S40" s="349"/>
      <c r="T40" s="78"/>
      <c r="U40" s="349"/>
      <c r="V40" s="78"/>
      <c r="W40" s="349"/>
    </row>
    <row r="41" spans="1:23" ht="17.2" customHeight="1" thickBot="1" x14ac:dyDescent="0.4">
      <c r="A41" s="353"/>
      <c r="B41" s="79"/>
      <c r="C41" s="80"/>
      <c r="D41" s="69"/>
      <c r="E41" s="350"/>
      <c r="F41" s="69"/>
      <c r="G41" s="350"/>
      <c r="H41" s="69"/>
      <c r="I41" s="350"/>
      <c r="J41" s="69"/>
      <c r="K41" s="350"/>
      <c r="L41" s="69"/>
      <c r="M41" s="350"/>
      <c r="N41" s="69"/>
      <c r="O41" s="350"/>
      <c r="P41" s="69"/>
      <c r="Q41" s="350"/>
      <c r="R41" s="69"/>
      <c r="S41" s="350"/>
      <c r="T41" s="69"/>
      <c r="U41" s="350"/>
      <c r="V41" s="69"/>
      <c r="W41" s="350"/>
    </row>
    <row r="42" spans="1:23" ht="17.2" customHeight="1" x14ac:dyDescent="0.35">
      <c r="A42" s="351" t="s">
        <v>3</v>
      </c>
      <c r="B42" s="73"/>
      <c r="C42" s="74"/>
      <c r="D42" s="75"/>
      <c r="E42" s="348"/>
      <c r="F42" s="75"/>
      <c r="G42" s="348"/>
      <c r="H42" s="75"/>
      <c r="I42" s="348"/>
      <c r="J42" s="75"/>
      <c r="K42" s="348"/>
      <c r="L42" s="75"/>
      <c r="M42" s="348"/>
      <c r="N42" s="75"/>
      <c r="O42" s="348"/>
      <c r="P42" s="75"/>
      <c r="Q42" s="348"/>
      <c r="R42" s="75"/>
      <c r="S42" s="348"/>
      <c r="T42" s="75"/>
      <c r="U42" s="348"/>
      <c r="V42" s="75"/>
      <c r="W42" s="348"/>
    </row>
    <row r="43" spans="1:23" ht="17.2" customHeight="1" x14ac:dyDescent="0.35">
      <c r="A43" s="352"/>
      <c r="B43" s="76"/>
      <c r="C43" s="77"/>
      <c r="D43" s="78"/>
      <c r="E43" s="349"/>
      <c r="F43" s="78"/>
      <c r="G43" s="349"/>
      <c r="H43" s="78"/>
      <c r="I43" s="349"/>
      <c r="J43" s="78"/>
      <c r="K43" s="349"/>
      <c r="L43" s="78"/>
      <c r="M43" s="349"/>
      <c r="N43" s="78"/>
      <c r="O43" s="349"/>
      <c r="P43" s="78"/>
      <c r="Q43" s="349"/>
      <c r="R43" s="78"/>
      <c r="S43" s="349"/>
      <c r="T43" s="78"/>
      <c r="U43" s="349"/>
      <c r="V43" s="78"/>
      <c r="W43" s="349"/>
    </row>
    <row r="44" spans="1:23" ht="17.2" customHeight="1" thickBot="1" x14ac:dyDescent="0.4">
      <c r="A44" s="353"/>
      <c r="B44" s="79"/>
      <c r="C44" s="80"/>
      <c r="D44" s="69"/>
      <c r="E44" s="350"/>
      <c r="F44" s="69"/>
      <c r="G44" s="350"/>
      <c r="H44" s="69"/>
      <c r="I44" s="350"/>
      <c r="J44" s="69"/>
      <c r="K44" s="350"/>
      <c r="L44" s="69"/>
      <c r="M44" s="350"/>
      <c r="N44" s="69"/>
      <c r="O44" s="350"/>
      <c r="P44" s="69"/>
      <c r="Q44" s="350"/>
      <c r="R44" s="69"/>
      <c r="S44" s="350"/>
      <c r="T44" s="69"/>
      <c r="U44" s="350"/>
      <c r="V44" s="69"/>
      <c r="W44" s="350"/>
    </row>
    <row r="45" spans="1:23" ht="17.2" customHeight="1" x14ac:dyDescent="0.35">
      <c r="A45" s="351" t="s">
        <v>11</v>
      </c>
      <c r="B45" s="73"/>
      <c r="C45" s="74"/>
      <c r="D45" s="75"/>
      <c r="E45" s="348"/>
      <c r="F45" s="75"/>
      <c r="G45" s="348"/>
      <c r="H45" s="75"/>
      <c r="I45" s="348"/>
      <c r="J45" s="75"/>
      <c r="K45" s="348"/>
      <c r="L45" s="75"/>
      <c r="M45" s="348"/>
      <c r="N45" s="75"/>
      <c r="O45" s="348"/>
      <c r="P45" s="75"/>
      <c r="Q45" s="348"/>
      <c r="R45" s="75"/>
      <c r="S45" s="348"/>
      <c r="T45" s="75"/>
      <c r="U45" s="348"/>
      <c r="V45" s="75"/>
      <c r="W45" s="348"/>
    </row>
    <row r="46" spans="1:23" ht="17.2" customHeight="1" x14ac:dyDescent="0.35">
      <c r="A46" s="352"/>
      <c r="B46" s="76"/>
      <c r="C46" s="77"/>
      <c r="D46" s="78"/>
      <c r="E46" s="349"/>
      <c r="F46" s="78"/>
      <c r="G46" s="349"/>
      <c r="H46" s="78"/>
      <c r="I46" s="349"/>
      <c r="J46" s="78"/>
      <c r="K46" s="349"/>
      <c r="L46" s="78"/>
      <c r="M46" s="349"/>
      <c r="N46" s="78"/>
      <c r="O46" s="349"/>
      <c r="P46" s="78"/>
      <c r="Q46" s="349"/>
      <c r="R46" s="78"/>
      <c r="S46" s="349"/>
      <c r="T46" s="78"/>
      <c r="U46" s="349"/>
      <c r="V46" s="78"/>
      <c r="W46" s="349"/>
    </row>
    <row r="47" spans="1:23" ht="17.2" customHeight="1" thickBot="1" x14ac:dyDescent="0.4">
      <c r="A47" s="353"/>
      <c r="B47" s="79"/>
      <c r="C47" s="80"/>
      <c r="D47" s="69"/>
      <c r="E47" s="350"/>
      <c r="F47" s="69"/>
      <c r="G47" s="350"/>
      <c r="H47" s="69"/>
      <c r="I47" s="350"/>
      <c r="J47" s="69"/>
      <c r="K47" s="350"/>
      <c r="L47" s="69"/>
      <c r="M47" s="350"/>
      <c r="N47" s="69"/>
      <c r="O47" s="350"/>
      <c r="P47" s="69"/>
      <c r="Q47" s="350"/>
      <c r="R47" s="69"/>
      <c r="S47" s="350"/>
      <c r="T47" s="69"/>
      <c r="U47" s="350"/>
      <c r="V47" s="69"/>
      <c r="W47" s="350"/>
    </row>
    <row r="48" spans="1:23" ht="27.75" customHeight="1" thickBot="1" x14ac:dyDescent="0.4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4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3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35">
      <c r="B51" s="88" t="s">
        <v>1797</v>
      </c>
      <c r="C51" s="89" t="s">
        <v>1798</v>
      </c>
      <c r="D51" s="346">
        <f>VLOOKUP(B31,Schlüssel!$A$5:$DZ$14,103)</f>
        <v>5</v>
      </c>
      <c r="E51" s="346"/>
      <c r="F51" s="346">
        <f>VLOOKUP(B31,Schlüssel!$A$5:$DZ$14,104)</f>
        <v>4</v>
      </c>
      <c r="G51" s="346"/>
      <c r="H51" s="346">
        <f>VLOOKUP(B31,Schlüssel!$A$5:$DZ$14,105)</f>
        <v>8</v>
      </c>
      <c r="I51" s="346"/>
      <c r="J51" s="346">
        <f>VLOOKUP(B31,Schlüssel!$A$5:$DZ$14,106)</f>
        <v>7</v>
      </c>
      <c r="K51" s="346"/>
      <c r="L51" s="346">
        <f>VLOOKUP(B31,Schlüssel!$A$5:$DZ$14,107)</f>
        <v>6</v>
      </c>
      <c r="M51" s="346"/>
      <c r="N51" s="346">
        <f>VLOOKUP(B31,Schlüssel!$A$5:$DZ$14,108)</f>
        <v>10</v>
      </c>
      <c r="O51" s="346"/>
      <c r="P51" s="346">
        <f>VLOOKUP(B31,Schlüssel!$A$5:$DZ$14,109)</f>
        <v>3</v>
      </c>
      <c r="Q51" s="346"/>
      <c r="R51" s="346">
        <f>VLOOKUP(B31,Schlüssel!$A$5:$DZ$14,110)</f>
        <v>9</v>
      </c>
      <c r="S51" s="346"/>
      <c r="T51" s="346">
        <f>VLOOKUP(B31,Schlüssel!$A$5:$DZ$14,111)</f>
        <v>1</v>
      </c>
      <c r="U51" s="346"/>
      <c r="V51" s="347"/>
      <c r="W51" s="347"/>
    </row>
    <row r="52" spans="1:29" ht="28.5" customHeight="1" x14ac:dyDescent="0.35">
      <c r="B52" s="90"/>
      <c r="C52" s="86"/>
      <c r="D52" s="343" t="str">
        <f>VLOOKUP(D51,Schlüssel!$A$5:$K$14,2)</f>
        <v xml:space="preserve">Weiß Blau Unterföhring </v>
      </c>
      <c r="E52" s="344"/>
      <c r="F52" s="343" t="str">
        <f>VLOOKUP(F51,Schlüssel!$A$5:$K$14,2)</f>
        <v>BK München 3</v>
      </c>
      <c r="G52" s="344"/>
      <c r="H52" s="343" t="str">
        <f>VLOOKUP(H51,Schlüssel!$A$5:$K$14,2)</f>
        <v>EPA München 1</v>
      </c>
      <c r="I52" s="344"/>
      <c r="J52" s="343" t="str">
        <f>VLOOKUP(J51,Schlüssel!$A$5:$K$14,2)</f>
        <v>Frankenpower Nürnberg</v>
      </c>
      <c r="K52" s="344"/>
      <c r="L52" s="343" t="str">
        <f>VLOOKUP(L51,Schlüssel!$A$5:$K$14,2)</f>
        <v>Phönix 03 Lauf</v>
      </c>
      <c r="M52" s="344"/>
      <c r="N52" s="343" t="str">
        <f>VLOOKUP(N51,Schlüssel!$A$5:$K$14,2)</f>
        <v>BK München 4</v>
      </c>
      <c r="O52" s="344"/>
      <c r="P52" s="343" t="str">
        <f>VLOOKUP(P51,Schlüssel!$A$5:$K$14,2)</f>
        <v>Highroller Rosenheim</v>
      </c>
      <c r="Q52" s="344"/>
      <c r="R52" s="343" t="str">
        <f>VLOOKUP(R51,Schlüssel!$A$5:$K$14,2)</f>
        <v>RW Lichtenhof 69 Stein 2</v>
      </c>
      <c r="S52" s="344"/>
      <c r="T52" s="343" t="str">
        <f>VLOOKUP(T51,Schlüssel!$A$5:$K$14,2)</f>
        <v>Praetoria Regensburg</v>
      </c>
      <c r="U52" s="344"/>
      <c r="V52" s="345"/>
      <c r="W52" s="345"/>
    </row>
    <row r="53" spans="1:29" ht="12" customHeight="1" x14ac:dyDescent="0.35">
      <c r="B53" s="90"/>
      <c r="C53" s="86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T53" s="341"/>
      <c r="U53" s="342"/>
      <c r="V53" s="301"/>
      <c r="W53" s="301"/>
    </row>
    <row r="54" spans="1:29" ht="16.05" customHeight="1" x14ac:dyDescent="0.35">
      <c r="B54" s="91" t="s">
        <v>0</v>
      </c>
      <c r="C54" s="92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40"/>
      <c r="W54" s="340"/>
    </row>
    <row r="55" spans="1:29" ht="16.05" customHeight="1" x14ac:dyDescent="0.35">
      <c r="B55" s="91" t="s">
        <v>2</v>
      </c>
      <c r="C55" s="92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40"/>
      <c r="W55" s="340"/>
    </row>
    <row r="56" spans="1:29" ht="16.05" customHeight="1" x14ac:dyDescent="0.35">
      <c r="B56" s="91" t="s">
        <v>3</v>
      </c>
      <c r="C56" s="92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  <c r="S56" s="339"/>
      <c r="T56" s="339"/>
      <c r="U56" s="339"/>
      <c r="V56" s="340"/>
      <c r="W56" s="340"/>
    </row>
    <row r="57" spans="1:29" ht="16.05" customHeight="1" x14ac:dyDescent="0.35">
      <c r="B57" s="91" t="s">
        <v>11</v>
      </c>
      <c r="C57" s="92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39"/>
      <c r="V57" s="340"/>
      <c r="W57" s="340"/>
    </row>
    <row r="58" spans="1:29" ht="16.05" customHeight="1" x14ac:dyDescent="0.35">
      <c r="B58" s="93" t="s">
        <v>1799</v>
      </c>
      <c r="C58" s="94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38"/>
      <c r="R58" s="338"/>
      <c r="S58" s="338"/>
      <c r="T58" s="338"/>
      <c r="U58" s="338"/>
      <c r="V58" s="290"/>
      <c r="W58" s="290"/>
    </row>
    <row r="59" spans="1:29" ht="21" customHeight="1" x14ac:dyDescent="0.7">
      <c r="B59" s="44" t="s">
        <v>1813</v>
      </c>
      <c r="C59" s="45"/>
      <c r="D59" s="46" t="s">
        <v>1792</v>
      </c>
      <c r="E59" s="47"/>
      <c r="F59" s="359" t="str">
        <f>Schlüssel!$C$1</f>
        <v>Bayernliga Frauen</v>
      </c>
      <c r="G59" s="359"/>
      <c r="H59" s="359"/>
      <c r="I59" s="359"/>
      <c r="J59" s="359"/>
      <c r="K59" s="359"/>
      <c r="L59" s="359"/>
      <c r="M59" s="359"/>
      <c r="N59" s="359"/>
      <c r="O59" s="359"/>
      <c r="P59" s="45"/>
      <c r="Q59" s="45"/>
      <c r="R59" s="48"/>
      <c r="S59" s="49" t="s">
        <v>1794</v>
      </c>
      <c r="T59" s="50"/>
      <c r="U59" s="360" t="str">
        <f>Schlüssel!$DI$1</f>
        <v>05.04./06.04.</v>
      </c>
      <c r="V59" s="361"/>
      <c r="W59" s="362"/>
      <c r="AC59" s="51"/>
    </row>
    <row r="60" spans="1:29" ht="17.25" customHeight="1" thickBot="1" x14ac:dyDescent="0.65">
      <c r="A60" s="52"/>
      <c r="B60" s="96">
        <f>+B31+1</f>
        <v>3</v>
      </c>
      <c r="D60" s="46" t="s">
        <v>1793</v>
      </c>
      <c r="E60" s="54"/>
      <c r="F60" s="358" t="str">
        <f>Schlüssel!$CY$2</f>
        <v>Schweinfurt Extreme Bowlingarena</v>
      </c>
      <c r="G60" s="358"/>
      <c r="H60" s="358"/>
      <c r="I60" s="358"/>
      <c r="J60" s="358"/>
      <c r="K60" s="358"/>
      <c r="L60" s="358"/>
      <c r="M60" s="358"/>
      <c r="N60" s="358"/>
      <c r="O60" s="358"/>
      <c r="P60" s="55"/>
      <c r="Q60" s="55"/>
      <c r="S60" s="49" t="s">
        <v>1791</v>
      </c>
      <c r="T60" s="56">
        <v>6</v>
      </c>
      <c r="U60" s="50"/>
      <c r="V60" s="50"/>
      <c r="AC60" s="97"/>
    </row>
    <row r="61" spans="1:29" ht="15.75" customHeight="1" thickBot="1" x14ac:dyDescent="0.4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5" thickBot="1" x14ac:dyDescent="0.45">
      <c r="A62" s="2"/>
      <c r="B62" s="44"/>
      <c r="C62" s="63"/>
      <c r="D62" s="64" t="s">
        <v>10</v>
      </c>
      <c r="E62" s="44">
        <f>VLOOKUP($B60,Schlüssel!$A$5:$DZ$14,113)</f>
        <v>7</v>
      </c>
      <c r="F62" s="65" t="s">
        <v>10</v>
      </c>
      <c r="G62" s="44">
        <f>VLOOKUP($B60,Schlüssel!$A$5:$DZ$14,114)</f>
        <v>2</v>
      </c>
      <c r="H62" s="65" t="s">
        <v>10</v>
      </c>
      <c r="I62" s="44">
        <f>VLOOKUP($B60,Schlüssel!$A$5:$DZ$14,115)</f>
        <v>3</v>
      </c>
      <c r="J62" s="65" t="s">
        <v>10</v>
      </c>
      <c r="K62" s="44">
        <f>VLOOKUP($B60,Schlüssel!$A$5:$DZ$14,116)</f>
        <v>8</v>
      </c>
      <c r="L62" s="65" t="s">
        <v>10</v>
      </c>
      <c r="M62" s="44">
        <f>VLOOKUP($B60,Schlüssel!$A$5:$DZ$14,117)</f>
        <v>6</v>
      </c>
      <c r="N62" s="65" t="s">
        <v>10</v>
      </c>
      <c r="O62" s="44">
        <f>VLOOKUP($B60,Schlüssel!$A$5:$DZ$14,118)</f>
        <v>10</v>
      </c>
      <c r="P62" s="65" t="s">
        <v>10</v>
      </c>
      <c r="Q62" s="44">
        <f>VLOOKUP($B60,Schlüssel!$A$5:$DZ$14,119)</f>
        <v>4</v>
      </c>
      <c r="R62" s="65" t="s">
        <v>10</v>
      </c>
      <c r="S62" s="44">
        <f>VLOOKUP($B60,Schlüssel!$A$5:$DZ$14,120)</f>
        <v>1</v>
      </c>
      <c r="T62" s="65" t="s">
        <v>10</v>
      </c>
      <c r="U62" s="66">
        <f>VLOOKUP($B60,Schlüssel!$A$5:$DZ$14,121)</f>
        <v>9</v>
      </c>
    </row>
    <row r="63" spans="1:29" ht="20.25" customHeight="1" x14ac:dyDescent="0.35">
      <c r="B63" s="67" t="s">
        <v>1</v>
      </c>
      <c r="C63" s="68"/>
      <c r="D63" s="354" t="s">
        <v>1800</v>
      </c>
      <c r="E63" s="355"/>
      <c r="F63" s="354" t="s">
        <v>1801</v>
      </c>
      <c r="G63" s="355"/>
      <c r="H63" s="354" t="s">
        <v>1802</v>
      </c>
      <c r="I63" s="355"/>
      <c r="J63" s="354" t="s">
        <v>1803</v>
      </c>
      <c r="K63" s="355"/>
      <c r="L63" s="354" t="s">
        <v>1804</v>
      </c>
      <c r="M63" s="355"/>
      <c r="N63" s="354" t="s">
        <v>1805</v>
      </c>
      <c r="O63" s="355"/>
      <c r="P63" s="354" t="s">
        <v>1806</v>
      </c>
      <c r="Q63" s="355"/>
      <c r="R63" s="354" t="s">
        <v>1807</v>
      </c>
      <c r="S63" s="355"/>
      <c r="T63" s="354" t="s">
        <v>1808</v>
      </c>
      <c r="U63" s="355"/>
      <c r="V63" s="356" t="s">
        <v>1799</v>
      </c>
      <c r="W63" s="357"/>
    </row>
    <row r="64" spans="1:29" ht="15" customHeight="1" thickBot="1" x14ac:dyDescent="0.4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2" customHeight="1" x14ac:dyDescent="0.35">
      <c r="A65" s="351" t="s">
        <v>0</v>
      </c>
      <c r="B65" s="73"/>
      <c r="C65" s="74"/>
      <c r="D65" s="75"/>
      <c r="E65" s="348"/>
      <c r="F65" s="75"/>
      <c r="G65" s="348"/>
      <c r="H65" s="75"/>
      <c r="I65" s="348"/>
      <c r="J65" s="75"/>
      <c r="K65" s="348"/>
      <c r="L65" s="75"/>
      <c r="M65" s="348"/>
      <c r="N65" s="75"/>
      <c r="O65" s="348"/>
      <c r="P65" s="75"/>
      <c r="Q65" s="348"/>
      <c r="R65" s="75"/>
      <c r="S65" s="348"/>
      <c r="T65" s="75"/>
      <c r="U65" s="348"/>
      <c r="V65" s="75"/>
      <c r="W65" s="348"/>
    </row>
    <row r="66" spans="1:23" ht="17.2" customHeight="1" x14ac:dyDescent="0.35">
      <c r="A66" s="352"/>
      <c r="B66" s="76"/>
      <c r="C66" s="77"/>
      <c r="D66" s="78"/>
      <c r="E66" s="349"/>
      <c r="F66" s="78"/>
      <c r="G66" s="349"/>
      <c r="H66" s="78"/>
      <c r="I66" s="349"/>
      <c r="J66" s="78"/>
      <c r="K66" s="349"/>
      <c r="L66" s="78"/>
      <c r="M66" s="349"/>
      <c r="N66" s="78"/>
      <c r="O66" s="349"/>
      <c r="P66" s="78"/>
      <c r="Q66" s="349"/>
      <c r="R66" s="78"/>
      <c r="S66" s="349"/>
      <c r="T66" s="78"/>
      <c r="U66" s="349"/>
      <c r="V66" s="78"/>
      <c r="W66" s="349"/>
    </row>
    <row r="67" spans="1:23" ht="17.2" customHeight="1" thickBot="1" x14ac:dyDescent="0.4">
      <c r="A67" s="353"/>
      <c r="B67" s="79"/>
      <c r="C67" s="80"/>
      <c r="D67" s="69"/>
      <c r="E67" s="350"/>
      <c r="F67" s="69"/>
      <c r="G67" s="350"/>
      <c r="H67" s="69"/>
      <c r="I67" s="350"/>
      <c r="J67" s="69"/>
      <c r="K67" s="350"/>
      <c r="L67" s="69"/>
      <c r="M67" s="350"/>
      <c r="N67" s="69"/>
      <c r="O67" s="350"/>
      <c r="P67" s="69"/>
      <c r="Q67" s="350"/>
      <c r="R67" s="69"/>
      <c r="S67" s="350"/>
      <c r="T67" s="69"/>
      <c r="U67" s="350"/>
      <c r="V67" s="69"/>
      <c r="W67" s="350"/>
    </row>
    <row r="68" spans="1:23" ht="17.2" customHeight="1" x14ac:dyDescent="0.35">
      <c r="A68" s="351" t="s">
        <v>2</v>
      </c>
      <c r="B68" s="73"/>
      <c r="C68" s="74"/>
      <c r="D68" s="75"/>
      <c r="E68" s="348"/>
      <c r="F68" s="75"/>
      <c r="G68" s="348"/>
      <c r="H68" s="75"/>
      <c r="I68" s="348"/>
      <c r="J68" s="75"/>
      <c r="K68" s="348"/>
      <c r="L68" s="75"/>
      <c r="M68" s="348"/>
      <c r="N68" s="75"/>
      <c r="O68" s="348"/>
      <c r="P68" s="75"/>
      <c r="Q68" s="348"/>
      <c r="R68" s="75"/>
      <c r="S68" s="348"/>
      <c r="T68" s="75"/>
      <c r="U68" s="348"/>
      <c r="V68" s="75"/>
      <c r="W68" s="348"/>
    </row>
    <row r="69" spans="1:23" ht="17.2" customHeight="1" x14ac:dyDescent="0.35">
      <c r="A69" s="352"/>
      <c r="B69" s="76"/>
      <c r="C69" s="77"/>
      <c r="D69" s="78"/>
      <c r="E69" s="349"/>
      <c r="F69" s="78"/>
      <c r="G69" s="349"/>
      <c r="H69" s="78"/>
      <c r="I69" s="349"/>
      <c r="J69" s="78"/>
      <c r="K69" s="349"/>
      <c r="L69" s="78"/>
      <c r="M69" s="349"/>
      <c r="N69" s="78"/>
      <c r="O69" s="349"/>
      <c r="P69" s="78"/>
      <c r="Q69" s="349"/>
      <c r="R69" s="78"/>
      <c r="S69" s="349"/>
      <c r="T69" s="78"/>
      <c r="U69" s="349"/>
      <c r="V69" s="78"/>
      <c r="W69" s="349"/>
    </row>
    <row r="70" spans="1:23" ht="17.2" customHeight="1" thickBot="1" x14ac:dyDescent="0.4">
      <c r="A70" s="353"/>
      <c r="B70" s="79"/>
      <c r="C70" s="80"/>
      <c r="D70" s="69"/>
      <c r="E70" s="350"/>
      <c r="F70" s="69"/>
      <c r="G70" s="350"/>
      <c r="H70" s="69"/>
      <c r="I70" s="350"/>
      <c r="J70" s="69"/>
      <c r="K70" s="350"/>
      <c r="L70" s="69"/>
      <c r="M70" s="350"/>
      <c r="N70" s="69"/>
      <c r="O70" s="350"/>
      <c r="P70" s="69"/>
      <c r="Q70" s="350"/>
      <c r="R70" s="69"/>
      <c r="S70" s="350"/>
      <c r="T70" s="69"/>
      <c r="U70" s="350"/>
      <c r="V70" s="69"/>
      <c r="W70" s="350"/>
    </row>
    <row r="71" spans="1:23" ht="17.2" customHeight="1" x14ac:dyDescent="0.35">
      <c r="A71" s="351" t="s">
        <v>3</v>
      </c>
      <c r="B71" s="73"/>
      <c r="C71" s="74"/>
      <c r="D71" s="75"/>
      <c r="E71" s="348"/>
      <c r="F71" s="75"/>
      <c r="G71" s="348"/>
      <c r="H71" s="75"/>
      <c r="I71" s="348"/>
      <c r="J71" s="75"/>
      <c r="K71" s="348"/>
      <c r="L71" s="75"/>
      <c r="M71" s="348"/>
      <c r="N71" s="75"/>
      <c r="O71" s="348"/>
      <c r="P71" s="75"/>
      <c r="Q71" s="348"/>
      <c r="R71" s="75"/>
      <c r="S71" s="348"/>
      <c r="T71" s="75"/>
      <c r="U71" s="348"/>
      <c r="V71" s="75"/>
      <c r="W71" s="348"/>
    </row>
    <row r="72" spans="1:23" ht="17.2" customHeight="1" x14ac:dyDescent="0.35">
      <c r="A72" s="352"/>
      <c r="B72" s="76"/>
      <c r="C72" s="77"/>
      <c r="D72" s="78"/>
      <c r="E72" s="349"/>
      <c r="F72" s="78"/>
      <c r="G72" s="349"/>
      <c r="H72" s="78"/>
      <c r="I72" s="349"/>
      <c r="J72" s="78"/>
      <c r="K72" s="349"/>
      <c r="L72" s="78"/>
      <c r="M72" s="349"/>
      <c r="N72" s="78"/>
      <c r="O72" s="349"/>
      <c r="P72" s="78"/>
      <c r="Q72" s="349"/>
      <c r="R72" s="78"/>
      <c r="S72" s="349"/>
      <c r="T72" s="78"/>
      <c r="U72" s="349"/>
      <c r="V72" s="78"/>
      <c r="W72" s="349"/>
    </row>
    <row r="73" spans="1:23" ht="17.2" customHeight="1" thickBot="1" x14ac:dyDescent="0.4">
      <c r="A73" s="353"/>
      <c r="B73" s="79"/>
      <c r="C73" s="80"/>
      <c r="D73" s="69"/>
      <c r="E73" s="350"/>
      <c r="F73" s="69"/>
      <c r="G73" s="350"/>
      <c r="H73" s="69"/>
      <c r="I73" s="350"/>
      <c r="J73" s="69"/>
      <c r="K73" s="350"/>
      <c r="L73" s="69"/>
      <c r="M73" s="350"/>
      <c r="N73" s="69"/>
      <c r="O73" s="350"/>
      <c r="P73" s="69"/>
      <c r="Q73" s="350"/>
      <c r="R73" s="69"/>
      <c r="S73" s="350"/>
      <c r="T73" s="69"/>
      <c r="U73" s="350"/>
      <c r="V73" s="69"/>
      <c r="W73" s="350"/>
    </row>
    <row r="74" spans="1:23" ht="17.2" customHeight="1" x14ac:dyDescent="0.35">
      <c r="A74" s="351" t="s">
        <v>11</v>
      </c>
      <c r="B74" s="73"/>
      <c r="C74" s="74"/>
      <c r="D74" s="75"/>
      <c r="E74" s="348"/>
      <c r="F74" s="75"/>
      <c r="G74" s="348"/>
      <c r="H74" s="75"/>
      <c r="I74" s="348"/>
      <c r="J74" s="75"/>
      <c r="K74" s="348"/>
      <c r="L74" s="75"/>
      <c r="M74" s="348"/>
      <c r="N74" s="75"/>
      <c r="O74" s="348"/>
      <c r="P74" s="75"/>
      <c r="Q74" s="348"/>
      <c r="R74" s="75"/>
      <c r="S74" s="348"/>
      <c r="T74" s="75"/>
      <c r="U74" s="348"/>
      <c r="V74" s="75"/>
      <c r="W74" s="348"/>
    </row>
    <row r="75" spans="1:23" ht="17.2" customHeight="1" x14ac:dyDescent="0.35">
      <c r="A75" s="352"/>
      <c r="B75" s="76"/>
      <c r="C75" s="77"/>
      <c r="D75" s="78"/>
      <c r="E75" s="349"/>
      <c r="F75" s="78"/>
      <c r="G75" s="349"/>
      <c r="H75" s="78"/>
      <c r="I75" s="349"/>
      <c r="J75" s="78"/>
      <c r="K75" s="349"/>
      <c r="L75" s="78"/>
      <c r="M75" s="349"/>
      <c r="N75" s="78"/>
      <c r="O75" s="349"/>
      <c r="P75" s="78"/>
      <c r="Q75" s="349"/>
      <c r="R75" s="78"/>
      <c r="S75" s="349"/>
      <c r="T75" s="78"/>
      <c r="U75" s="349"/>
      <c r="V75" s="78"/>
      <c r="W75" s="349"/>
    </row>
    <row r="76" spans="1:23" ht="17.2" customHeight="1" thickBot="1" x14ac:dyDescent="0.4">
      <c r="A76" s="353"/>
      <c r="B76" s="79"/>
      <c r="C76" s="80"/>
      <c r="D76" s="69"/>
      <c r="E76" s="350"/>
      <c r="F76" s="69"/>
      <c r="G76" s="350"/>
      <c r="H76" s="69"/>
      <c r="I76" s="350"/>
      <c r="J76" s="69"/>
      <c r="K76" s="350"/>
      <c r="L76" s="69"/>
      <c r="M76" s="350"/>
      <c r="N76" s="69"/>
      <c r="O76" s="350"/>
      <c r="P76" s="69"/>
      <c r="Q76" s="350"/>
      <c r="R76" s="69"/>
      <c r="S76" s="350"/>
      <c r="T76" s="69"/>
      <c r="U76" s="350"/>
      <c r="V76" s="69"/>
      <c r="W76" s="350"/>
    </row>
    <row r="77" spans="1:23" ht="27.75" customHeight="1" thickBot="1" x14ac:dyDescent="0.4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4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3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35">
      <c r="B80" s="88" t="s">
        <v>1797</v>
      </c>
      <c r="C80" s="89" t="s">
        <v>1798</v>
      </c>
      <c r="D80" s="346">
        <f>VLOOKUP(B60,Schlüssel!$A$5:$DZ$14,103)</f>
        <v>6</v>
      </c>
      <c r="E80" s="346"/>
      <c r="F80" s="346">
        <f>VLOOKUP(B60,Schlüssel!$A$5:$DZ$14,104)</f>
        <v>9</v>
      </c>
      <c r="G80" s="346"/>
      <c r="H80" s="346">
        <f>VLOOKUP(B60,Schlüssel!$A$5:$DZ$14,105)</f>
        <v>10</v>
      </c>
      <c r="I80" s="346"/>
      <c r="J80" s="346">
        <f>VLOOKUP(B60,Schlüssel!$A$5:$DZ$14,106)</f>
        <v>1</v>
      </c>
      <c r="K80" s="346"/>
      <c r="L80" s="346">
        <f>VLOOKUP(B60,Schlüssel!$A$5:$DZ$14,107)</f>
        <v>8</v>
      </c>
      <c r="M80" s="346"/>
      <c r="N80" s="346">
        <f>VLOOKUP(B60,Schlüssel!$A$5:$DZ$14,108)</f>
        <v>5</v>
      </c>
      <c r="O80" s="346"/>
      <c r="P80" s="346">
        <f>VLOOKUP(B60,Schlüssel!$A$5:$DZ$14,109)</f>
        <v>2</v>
      </c>
      <c r="Q80" s="346"/>
      <c r="R80" s="346">
        <f>VLOOKUP(B60,Schlüssel!$A$5:$DZ$14,110)</f>
        <v>7</v>
      </c>
      <c r="S80" s="346"/>
      <c r="T80" s="346">
        <f>VLOOKUP(B60,Schlüssel!$A$5:$DZ$14,111)</f>
        <v>4</v>
      </c>
      <c r="U80" s="346"/>
      <c r="V80" s="347"/>
      <c r="W80" s="347"/>
    </row>
    <row r="81" spans="1:29" ht="28.5" customHeight="1" x14ac:dyDescent="0.35">
      <c r="B81" s="90"/>
      <c r="C81" s="86"/>
      <c r="D81" s="343" t="str">
        <f>VLOOKUP(D80,Schlüssel!$A$5:$K$14,2)</f>
        <v>Phönix 03 Lauf</v>
      </c>
      <c r="E81" s="344"/>
      <c r="F81" s="343" t="str">
        <f>VLOOKUP(F80,Schlüssel!$A$5:$K$14,2)</f>
        <v>RW Lichtenhof 69 Stein 2</v>
      </c>
      <c r="G81" s="344"/>
      <c r="H81" s="343" t="str">
        <f>VLOOKUP(H80,Schlüssel!$A$5:$K$14,2)</f>
        <v>BK München 4</v>
      </c>
      <c r="I81" s="344"/>
      <c r="J81" s="343" t="str">
        <f>VLOOKUP(J80,Schlüssel!$A$5:$K$14,2)</f>
        <v>Praetoria Regensburg</v>
      </c>
      <c r="K81" s="344"/>
      <c r="L81" s="343" t="str">
        <f>VLOOKUP(L80,Schlüssel!$A$5:$K$14,2)</f>
        <v>EPA München 1</v>
      </c>
      <c r="M81" s="344"/>
      <c r="N81" s="343" t="str">
        <f>VLOOKUP(N80,Schlüssel!$A$5:$K$14,2)</f>
        <v xml:space="preserve">Weiß Blau Unterföhring </v>
      </c>
      <c r="O81" s="344"/>
      <c r="P81" s="343" t="str">
        <f>VLOOKUP(P80,Schlüssel!$A$5:$K$14,2)</f>
        <v>BK München 2</v>
      </c>
      <c r="Q81" s="344"/>
      <c r="R81" s="343" t="str">
        <f>VLOOKUP(R80,Schlüssel!$A$5:$K$14,2)</f>
        <v>Frankenpower Nürnberg</v>
      </c>
      <c r="S81" s="344"/>
      <c r="T81" s="343" t="str">
        <f>VLOOKUP(T80,Schlüssel!$A$5:$K$14,2)</f>
        <v>BK München 3</v>
      </c>
      <c r="U81" s="344"/>
      <c r="V81" s="345"/>
      <c r="W81" s="345"/>
    </row>
    <row r="82" spans="1:29" ht="12" customHeight="1" x14ac:dyDescent="0.35">
      <c r="B82" s="90"/>
      <c r="C82" s="86"/>
      <c r="D82" s="341"/>
      <c r="E82" s="341"/>
      <c r="F82" s="341"/>
      <c r="G82" s="341"/>
      <c r="H82" s="341"/>
      <c r="I82" s="341"/>
      <c r="J82" s="341"/>
      <c r="K82" s="341"/>
      <c r="L82" s="341"/>
      <c r="M82" s="341"/>
      <c r="N82" s="341"/>
      <c r="O82" s="341"/>
      <c r="P82" s="341"/>
      <c r="Q82" s="341"/>
      <c r="R82" s="341"/>
      <c r="S82" s="341"/>
      <c r="T82" s="341"/>
      <c r="U82" s="342"/>
      <c r="V82" s="301"/>
      <c r="W82" s="301"/>
    </row>
    <row r="83" spans="1:29" ht="16.05" customHeight="1" x14ac:dyDescent="0.35">
      <c r="B83" s="91" t="s">
        <v>0</v>
      </c>
      <c r="C83" s="92"/>
      <c r="D83" s="339"/>
      <c r="E83" s="339"/>
      <c r="F83" s="339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39"/>
      <c r="S83" s="339"/>
      <c r="T83" s="339"/>
      <c r="U83" s="339"/>
      <c r="V83" s="340"/>
      <c r="W83" s="340"/>
    </row>
    <row r="84" spans="1:29" ht="16.05" customHeight="1" x14ac:dyDescent="0.35">
      <c r="B84" s="91" t="s">
        <v>2</v>
      </c>
      <c r="C84" s="92"/>
      <c r="D84" s="339"/>
      <c r="E84" s="339"/>
      <c r="F84" s="339"/>
      <c r="G84" s="339"/>
      <c r="H84" s="339"/>
      <c r="I84" s="339"/>
      <c r="J84" s="339"/>
      <c r="K84" s="339"/>
      <c r="L84" s="339"/>
      <c r="M84" s="339"/>
      <c r="N84" s="339"/>
      <c r="O84" s="339"/>
      <c r="P84" s="339"/>
      <c r="Q84" s="339"/>
      <c r="R84" s="339"/>
      <c r="S84" s="339"/>
      <c r="T84" s="339"/>
      <c r="U84" s="339"/>
      <c r="V84" s="340"/>
      <c r="W84" s="340"/>
    </row>
    <row r="85" spans="1:29" ht="16.05" customHeight="1" x14ac:dyDescent="0.35">
      <c r="B85" s="91" t="s">
        <v>3</v>
      </c>
      <c r="C85" s="92"/>
      <c r="D85" s="339"/>
      <c r="E85" s="339"/>
      <c r="F85" s="339"/>
      <c r="G85" s="339"/>
      <c r="H85" s="339"/>
      <c r="I85" s="339"/>
      <c r="J85" s="339"/>
      <c r="K85" s="339"/>
      <c r="L85" s="339"/>
      <c r="M85" s="339"/>
      <c r="N85" s="339"/>
      <c r="O85" s="339"/>
      <c r="P85" s="339"/>
      <c r="Q85" s="339"/>
      <c r="R85" s="339"/>
      <c r="S85" s="339"/>
      <c r="T85" s="339"/>
      <c r="U85" s="339"/>
      <c r="V85" s="340"/>
      <c r="W85" s="340"/>
    </row>
    <row r="86" spans="1:29" ht="16.05" customHeight="1" x14ac:dyDescent="0.35">
      <c r="B86" s="91" t="s">
        <v>11</v>
      </c>
      <c r="C86" s="92"/>
      <c r="D86" s="339"/>
      <c r="E86" s="339"/>
      <c r="F86" s="339"/>
      <c r="G86" s="339"/>
      <c r="H86" s="339"/>
      <c r="I86" s="339"/>
      <c r="J86" s="339"/>
      <c r="K86" s="339"/>
      <c r="L86" s="339"/>
      <c r="M86" s="339"/>
      <c r="N86" s="339"/>
      <c r="O86" s="339"/>
      <c r="P86" s="339"/>
      <c r="Q86" s="339"/>
      <c r="R86" s="339"/>
      <c r="S86" s="339"/>
      <c r="T86" s="339"/>
      <c r="U86" s="339"/>
      <c r="V86" s="340"/>
      <c r="W86" s="340"/>
    </row>
    <row r="87" spans="1:29" ht="16.05" customHeight="1" x14ac:dyDescent="0.35">
      <c r="B87" s="93" t="s">
        <v>1799</v>
      </c>
      <c r="C87" s="94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38"/>
      <c r="R87" s="338"/>
      <c r="S87" s="338"/>
      <c r="T87" s="338"/>
      <c r="U87" s="338"/>
      <c r="V87" s="290"/>
      <c r="W87" s="290"/>
    </row>
    <row r="88" spans="1:29" ht="21" customHeight="1" x14ac:dyDescent="0.7">
      <c r="B88" s="44" t="s">
        <v>1813</v>
      </c>
      <c r="C88" s="45"/>
      <c r="D88" s="46" t="s">
        <v>1792</v>
      </c>
      <c r="E88" s="47"/>
      <c r="F88" s="359" t="str">
        <f>Schlüssel!$C$1</f>
        <v>Bayernliga Frauen</v>
      </c>
      <c r="G88" s="359"/>
      <c r="H88" s="359"/>
      <c r="I88" s="359"/>
      <c r="J88" s="359"/>
      <c r="K88" s="359"/>
      <c r="L88" s="359"/>
      <c r="M88" s="359"/>
      <c r="N88" s="359"/>
      <c r="O88" s="359"/>
      <c r="P88" s="45"/>
      <c r="Q88" s="45"/>
      <c r="R88" s="48"/>
      <c r="S88" s="49" t="s">
        <v>1794</v>
      </c>
      <c r="T88" s="50"/>
      <c r="U88" s="360" t="str">
        <f>Schlüssel!$DI$1</f>
        <v>05.04./06.04.</v>
      </c>
      <c r="V88" s="361"/>
      <c r="W88" s="362"/>
      <c r="AC88" s="51"/>
    </row>
    <row r="89" spans="1:29" ht="17.25" customHeight="1" thickBot="1" x14ac:dyDescent="0.65">
      <c r="A89" s="52"/>
      <c r="B89" s="96">
        <f>+B60+1</f>
        <v>4</v>
      </c>
      <c r="D89" s="46" t="s">
        <v>1793</v>
      </c>
      <c r="E89" s="54"/>
      <c r="F89" s="358" t="str">
        <f>Schlüssel!$CY$2</f>
        <v>Schweinfurt Extreme Bowlingarena</v>
      </c>
      <c r="G89" s="358"/>
      <c r="H89" s="358"/>
      <c r="I89" s="358"/>
      <c r="J89" s="358"/>
      <c r="K89" s="358"/>
      <c r="L89" s="358"/>
      <c r="M89" s="358"/>
      <c r="N89" s="358"/>
      <c r="O89" s="358"/>
      <c r="P89" s="55"/>
      <c r="Q89" s="55"/>
      <c r="S89" s="49" t="s">
        <v>1791</v>
      </c>
      <c r="T89" s="56">
        <v>6</v>
      </c>
      <c r="U89" s="50"/>
      <c r="V89" s="50"/>
      <c r="AC89" s="97"/>
    </row>
    <row r="90" spans="1:29" ht="15.75" customHeight="1" thickBot="1" x14ac:dyDescent="0.4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5" thickBot="1" x14ac:dyDescent="0.45">
      <c r="A91" s="2"/>
      <c r="B91" s="44"/>
      <c r="C91" s="63"/>
      <c r="D91" s="64" t="s">
        <v>10</v>
      </c>
      <c r="E91" s="44">
        <f>VLOOKUP($B89,Schlüssel!$A$5:$DZ$14,113)</f>
        <v>5</v>
      </c>
      <c r="F91" s="65" t="s">
        <v>10</v>
      </c>
      <c r="G91" s="44">
        <f>VLOOKUP($B89,Schlüssel!$A$5:$DZ$14,114)</f>
        <v>3</v>
      </c>
      <c r="H91" s="65" t="s">
        <v>10</v>
      </c>
      <c r="I91" s="44">
        <f>VLOOKUP($B89,Schlüssel!$A$5:$DZ$14,115)</f>
        <v>1</v>
      </c>
      <c r="J91" s="65" t="s">
        <v>10</v>
      </c>
      <c r="K91" s="44">
        <f>VLOOKUP($B89,Schlüssel!$A$5:$DZ$14,116)</f>
        <v>9</v>
      </c>
      <c r="L91" s="65" t="s">
        <v>10</v>
      </c>
      <c r="M91" s="44">
        <f>VLOOKUP($B89,Schlüssel!$A$5:$DZ$14,117)</f>
        <v>4</v>
      </c>
      <c r="N91" s="65" t="s">
        <v>10</v>
      </c>
      <c r="O91" s="44">
        <f>VLOOKUP($B89,Schlüssel!$A$5:$DZ$14,118)</f>
        <v>6</v>
      </c>
      <c r="P91" s="65" t="s">
        <v>10</v>
      </c>
      <c r="Q91" s="44">
        <f>VLOOKUP($B89,Schlüssel!$A$5:$DZ$14,119)</f>
        <v>2</v>
      </c>
      <c r="R91" s="65" t="s">
        <v>10</v>
      </c>
      <c r="S91" s="44">
        <f>VLOOKUP($B89,Schlüssel!$A$5:$DZ$14,120)</f>
        <v>8</v>
      </c>
      <c r="T91" s="65" t="s">
        <v>10</v>
      </c>
      <c r="U91" s="66">
        <f>VLOOKUP($B89,Schlüssel!$A$5:$DZ$14,121)</f>
        <v>10</v>
      </c>
    </row>
    <row r="92" spans="1:29" ht="20.25" customHeight="1" x14ac:dyDescent="0.35">
      <c r="B92" s="67" t="s">
        <v>1</v>
      </c>
      <c r="C92" s="68"/>
      <c r="D92" s="354" t="s">
        <v>1800</v>
      </c>
      <c r="E92" s="355"/>
      <c r="F92" s="354" t="s">
        <v>1801</v>
      </c>
      <c r="G92" s="355"/>
      <c r="H92" s="354" t="s">
        <v>1802</v>
      </c>
      <c r="I92" s="355"/>
      <c r="J92" s="354" t="s">
        <v>1803</v>
      </c>
      <c r="K92" s="355"/>
      <c r="L92" s="354" t="s">
        <v>1804</v>
      </c>
      <c r="M92" s="355"/>
      <c r="N92" s="354" t="s">
        <v>1805</v>
      </c>
      <c r="O92" s="355"/>
      <c r="P92" s="354" t="s">
        <v>1806</v>
      </c>
      <c r="Q92" s="355"/>
      <c r="R92" s="354" t="s">
        <v>1807</v>
      </c>
      <c r="S92" s="355"/>
      <c r="T92" s="354" t="s">
        <v>1808</v>
      </c>
      <c r="U92" s="355"/>
      <c r="V92" s="356" t="s">
        <v>1799</v>
      </c>
      <c r="W92" s="357"/>
    </row>
    <row r="93" spans="1:29" ht="15" customHeight="1" thickBot="1" x14ac:dyDescent="0.4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2" customHeight="1" x14ac:dyDescent="0.35">
      <c r="A94" s="351" t="s">
        <v>0</v>
      </c>
      <c r="B94" s="73"/>
      <c r="C94" s="74"/>
      <c r="D94" s="75"/>
      <c r="E94" s="348"/>
      <c r="F94" s="75"/>
      <c r="G94" s="348"/>
      <c r="H94" s="75"/>
      <c r="I94" s="348"/>
      <c r="J94" s="75"/>
      <c r="K94" s="348"/>
      <c r="L94" s="75"/>
      <c r="M94" s="348"/>
      <c r="N94" s="75"/>
      <c r="O94" s="348"/>
      <c r="P94" s="75"/>
      <c r="Q94" s="348"/>
      <c r="R94" s="75"/>
      <c r="S94" s="348"/>
      <c r="T94" s="75"/>
      <c r="U94" s="348"/>
      <c r="V94" s="75"/>
      <c r="W94" s="348"/>
    </row>
    <row r="95" spans="1:29" ht="17.2" customHeight="1" x14ac:dyDescent="0.35">
      <c r="A95" s="352"/>
      <c r="B95" s="76"/>
      <c r="C95" s="77"/>
      <c r="D95" s="78"/>
      <c r="E95" s="349"/>
      <c r="F95" s="78"/>
      <c r="G95" s="349"/>
      <c r="H95" s="78"/>
      <c r="I95" s="349"/>
      <c r="J95" s="78"/>
      <c r="K95" s="349"/>
      <c r="L95" s="78"/>
      <c r="M95" s="349"/>
      <c r="N95" s="78"/>
      <c r="O95" s="349"/>
      <c r="P95" s="78"/>
      <c r="Q95" s="349"/>
      <c r="R95" s="78"/>
      <c r="S95" s="349"/>
      <c r="T95" s="78"/>
      <c r="U95" s="349"/>
      <c r="V95" s="78"/>
      <c r="W95" s="349"/>
    </row>
    <row r="96" spans="1:29" ht="17.2" customHeight="1" thickBot="1" x14ac:dyDescent="0.4">
      <c r="A96" s="353"/>
      <c r="B96" s="79"/>
      <c r="C96" s="80"/>
      <c r="D96" s="69"/>
      <c r="E96" s="350"/>
      <c r="F96" s="69"/>
      <c r="G96" s="350"/>
      <c r="H96" s="69"/>
      <c r="I96" s="350"/>
      <c r="J96" s="69"/>
      <c r="K96" s="350"/>
      <c r="L96" s="69"/>
      <c r="M96" s="350"/>
      <c r="N96" s="69"/>
      <c r="O96" s="350"/>
      <c r="P96" s="69"/>
      <c r="Q96" s="350"/>
      <c r="R96" s="69"/>
      <c r="S96" s="350"/>
      <c r="T96" s="69"/>
      <c r="U96" s="350"/>
      <c r="V96" s="69"/>
      <c r="W96" s="350"/>
    </row>
    <row r="97" spans="1:23" ht="17.2" customHeight="1" x14ac:dyDescent="0.35">
      <c r="A97" s="351" t="s">
        <v>2</v>
      </c>
      <c r="B97" s="73"/>
      <c r="C97" s="74"/>
      <c r="D97" s="75"/>
      <c r="E97" s="348"/>
      <c r="F97" s="75"/>
      <c r="G97" s="348"/>
      <c r="H97" s="75"/>
      <c r="I97" s="348"/>
      <c r="J97" s="75"/>
      <c r="K97" s="348"/>
      <c r="L97" s="75"/>
      <c r="M97" s="348"/>
      <c r="N97" s="75"/>
      <c r="O97" s="348"/>
      <c r="P97" s="75"/>
      <c r="Q97" s="348"/>
      <c r="R97" s="75"/>
      <c r="S97" s="348"/>
      <c r="T97" s="75"/>
      <c r="U97" s="348"/>
      <c r="V97" s="75"/>
      <c r="W97" s="348"/>
    </row>
    <row r="98" spans="1:23" ht="17.2" customHeight="1" x14ac:dyDescent="0.35">
      <c r="A98" s="352"/>
      <c r="B98" s="76"/>
      <c r="C98" s="77"/>
      <c r="D98" s="78"/>
      <c r="E98" s="349"/>
      <c r="F98" s="78"/>
      <c r="G98" s="349"/>
      <c r="H98" s="78"/>
      <c r="I98" s="349"/>
      <c r="J98" s="78"/>
      <c r="K98" s="349"/>
      <c r="L98" s="78"/>
      <c r="M98" s="349"/>
      <c r="N98" s="78"/>
      <c r="O98" s="349"/>
      <c r="P98" s="78"/>
      <c r="Q98" s="349"/>
      <c r="R98" s="78"/>
      <c r="S98" s="349"/>
      <c r="T98" s="78"/>
      <c r="U98" s="349"/>
      <c r="V98" s="78"/>
      <c r="W98" s="349"/>
    </row>
    <row r="99" spans="1:23" ht="17.2" customHeight="1" thickBot="1" x14ac:dyDescent="0.4">
      <c r="A99" s="353"/>
      <c r="B99" s="79"/>
      <c r="C99" s="80"/>
      <c r="D99" s="69"/>
      <c r="E99" s="350"/>
      <c r="F99" s="69"/>
      <c r="G99" s="350"/>
      <c r="H99" s="69"/>
      <c r="I99" s="350"/>
      <c r="J99" s="69"/>
      <c r="K99" s="350"/>
      <c r="L99" s="69"/>
      <c r="M99" s="350"/>
      <c r="N99" s="69"/>
      <c r="O99" s="350"/>
      <c r="P99" s="69"/>
      <c r="Q99" s="350"/>
      <c r="R99" s="69"/>
      <c r="S99" s="350"/>
      <c r="T99" s="69"/>
      <c r="U99" s="350"/>
      <c r="V99" s="69"/>
      <c r="W99" s="350"/>
    </row>
    <row r="100" spans="1:23" ht="17.2" customHeight="1" x14ac:dyDescent="0.35">
      <c r="A100" s="351" t="s">
        <v>3</v>
      </c>
      <c r="B100" s="73"/>
      <c r="C100" s="74"/>
      <c r="D100" s="75"/>
      <c r="E100" s="348"/>
      <c r="F100" s="75"/>
      <c r="G100" s="348"/>
      <c r="H100" s="75"/>
      <c r="I100" s="348"/>
      <c r="J100" s="75"/>
      <c r="K100" s="348"/>
      <c r="L100" s="75"/>
      <c r="M100" s="348"/>
      <c r="N100" s="75"/>
      <c r="O100" s="348"/>
      <c r="P100" s="75"/>
      <c r="Q100" s="348"/>
      <c r="R100" s="75"/>
      <c r="S100" s="348"/>
      <c r="T100" s="75"/>
      <c r="U100" s="348"/>
      <c r="V100" s="75"/>
      <c r="W100" s="348"/>
    </row>
    <row r="101" spans="1:23" ht="17.2" customHeight="1" x14ac:dyDescent="0.35">
      <c r="A101" s="352"/>
      <c r="B101" s="76"/>
      <c r="C101" s="77"/>
      <c r="D101" s="78"/>
      <c r="E101" s="349"/>
      <c r="F101" s="78"/>
      <c r="G101" s="349"/>
      <c r="H101" s="78"/>
      <c r="I101" s="349"/>
      <c r="J101" s="78"/>
      <c r="K101" s="349"/>
      <c r="L101" s="78"/>
      <c r="M101" s="349"/>
      <c r="N101" s="78"/>
      <c r="O101" s="349"/>
      <c r="P101" s="78"/>
      <c r="Q101" s="349"/>
      <c r="R101" s="78"/>
      <c r="S101" s="349"/>
      <c r="T101" s="78"/>
      <c r="U101" s="349"/>
      <c r="V101" s="78"/>
      <c r="W101" s="349"/>
    </row>
    <row r="102" spans="1:23" ht="17.2" customHeight="1" thickBot="1" x14ac:dyDescent="0.4">
      <c r="A102" s="353"/>
      <c r="B102" s="79"/>
      <c r="C102" s="80"/>
      <c r="D102" s="69"/>
      <c r="E102" s="350"/>
      <c r="F102" s="69"/>
      <c r="G102" s="350"/>
      <c r="H102" s="69"/>
      <c r="I102" s="350"/>
      <c r="J102" s="69"/>
      <c r="K102" s="350"/>
      <c r="L102" s="69"/>
      <c r="M102" s="350"/>
      <c r="N102" s="69"/>
      <c r="O102" s="350"/>
      <c r="P102" s="69"/>
      <c r="Q102" s="350"/>
      <c r="R102" s="69"/>
      <c r="S102" s="350"/>
      <c r="T102" s="69"/>
      <c r="U102" s="350"/>
      <c r="V102" s="69"/>
      <c r="W102" s="350"/>
    </row>
    <row r="103" spans="1:23" ht="17.2" customHeight="1" x14ac:dyDescent="0.35">
      <c r="A103" s="351" t="s">
        <v>11</v>
      </c>
      <c r="B103" s="73"/>
      <c r="C103" s="74"/>
      <c r="D103" s="75"/>
      <c r="E103" s="348"/>
      <c r="F103" s="75"/>
      <c r="G103" s="348"/>
      <c r="H103" s="75"/>
      <c r="I103" s="348"/>
      <c r="J103" s="75"/>
      <c r="K103" s="348"/>
      <c r="L103" s="75"/>
      <c r="M103" s="348"/>
      <c r="N103" s="75"/>
      <c r="O103" s="348"/>
      <c r="P103" s="75"/>
      <c r="Q103" s="348"/>
      <c r="R103" s="75"/>
      <c r="S103" s="348"/>
      <c r="T103" s="75"/>
      <c r="U103" s="348"/>
      <c r="V103" s="75"/>
      <c r="W103" s="348"/>
    </row>
    <row r="104" spans="1:23" ht="17.2" customHeight="1" x14ac:dyDescent="0.35">
      <c r="A104" s="352"/>
      <c r="B104" s="76"/>
      <c r="C104" s="77"/>
      <c r="D104" s="78"/>
      <c r="E104" s="349"/>
      <c r="F104" s="78"/>
      <c r="G104" s="349"/>
      <c r="H104" s="78"/>
      <c r="I104" s="349"/>
      <c r="J104" s="78"/>
      <c r="K104" s="349"/>
      <c r="L104" s="78"/>
      <c r="M104" s="349"/>
      <c r="N104" s="78"/>
      <c r="O104" s="349"/>
      <c r="P104" s="78"/>
      <c r="Q104" s="349"/>
      <c r="R104" s="78"/>
      <c r="S104" s="349"/>
      <c r="T104" s="78"/>
      <c r="U104" s="349"/>
      <c r="V104" s="78"/>
      <c r="W104" s="349"/>
    </row>
    <row r="105" spans="1:23" ht="17.2" customHeight="1" thickBot="1" x14ac:dyDescent="0.4">
      <c r="A105" s="353"/>
      <c r="B105" s="79"/>
      <c r="C105" s="80"/>
      <c r="D105" s="69"/>
      <c r="E105" s="350"/>
      <c r="F105" s="69"/>
      <c r="G105" s="350"/>
      <c r="H105" s="69"/>
      <c r="I105" s="350"/>
      <c r="J105" s="69"/>
      <c r="K105" s="350"/>
      <c r="L105" s="69"/>
      <c r="M105" s="350"/>
      <c r="N105" s="69"/>
      <c r="O105" s="350"/>
      <c r="P105" s="69"/>
      <c r="Q105" s="350"/>
      <c r="R105" s="69"/>
      <c r="S105" s="350"/>
      <c r="T105" s="69"/>
      <c r="U105" s="350"/>
      <c r="V105" s="69"/>
      <c r="W105" s="350"/>
    </row>
    <row r="106" spans="1:23" ht="27.75" customHeight="1" thickBot="1" x14ac:dyDescent="0.4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4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3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35">
      <c r="B109" s="88" t="s">
        <v>1797</v>
      </c>
      <c r="C109" s="89" t="s">
        <v>1798</v>
      </c>
      <c r="D109" s="346">
        <f>VLOOKUP(B89,Schlüssel!$A$5:$DZ$14,103)</f>
        <v>9</v>
      </c>
      <c r="E109" s="346"/>
      <c r="F109" s="346">
        <f>VLOOKUP(B89,Schlüssel!$A$5:$DZ$14,104)</f>
        <v>2</v>
      </c>
      <c r="G109" s="346"/>
      <c r="H109" s="346">
        <f>VLOOKUP(B89,Schlüssel!$A$5:$DZ$14,105)</f>
        <v>6</v>
      </c>
      <c r="I109" s="346"/>
      <c r="J109" s="346">
        <f>VLOOKUP(B89,Schlüssel!$A$5:$DZ$14,106)</f>
        <v>10</v>
      </c>
      <c r="K109" s="346"/>
      <c r="L109" s="346">
        <f>VLOOKUP(B89,Schlüssel!$A$5:$DZ$14,107)</f>
        <v>1</v>
      </c>
      <c r="M109" s="346"/>
      <c r="N109" s="346">
        <f>VLOOKUP(B89,Schlüssel!$A$5:$DZ$14,108)</f>
        <v>7</v>
      </c>
      <c r="O109" s="346"/>
      <c r="P109" s="346">
        <f>VLOOKUP(B89,Schlüssel!$A$5:$DZ$14,109)</f>
        <v>5</v>
      </c>
      <c r="Q109" s="346"/>
      <c r="R109" s="346">
        <f>VLOOKUP(B89,Schlüssel!$A$5:$DZ$14,110)</f>
        <v>8</v>
      </c>
      <c r="S109" s="346"/>
      <c r="T109" s="346">
        <f>VLOOKUP(B89,Schlüssel!$A$5:$DZ$14,111)</f>
        <v>3</v>
      </c>
      <c r="U109" s="346"/>
      <c r="V109" s="347"/>
      <c r="W109" s="347"/>
    </row>
    <row r="110" spans="1:23" ht="28.5" customHeight="1" x14ac:dyDescent="0.35">
      <c r="B110" s="90"/>
      <c r="C110" s="86"/>
      <c r="D110" s="343" t="str">
        <f>VLOOKUP(D109,Schlüssel!$A$5:$K$14,2)</f>
        <v>RW Lichtenhof 69 Stein 2</v>
      </c>
      <c r="E110" s="344"/>
      <c r="F110" s="343" t="str">
        <f>VLOOKUP(F109,Schlüssel!$A$5:$K$14,2)</f>
        <v>BK München 2</v>
      </c>
      <c r="G110" s="344"/>
      <c r="H110" s="343" t="str">
        <f>VLOOKUP(H109,Schlüssel!$A$5:$K$14,2)</f>
        <v>Phönix 03 Lauf</v>
      </c>
      <c r="I110" s="344"/>
      <c r="J110" s="343" t="str">
        <f>VLOOKUP(J109,Schlüssel!$A$5:$K$14,2)</f>
        <v>BK München 4</v>
      </c>
      <c r="K110" s="344"/>
      <c r="L110" s="343" t="str">
        <f>VLOOKUP(L109,Schlüssel!$A$5:$K$14,2)</f>
        <v>Praetoria Regensburg</v>
      </c>
      <c r="M110" s="344"/>
      <c r="N110" s="343" t="str">
        <f>VLOOKUP(N109,Schlüssel!$A$5:$K$14,2)</f>
        <v>Frankenpower Nürnberg</v>
      </c>
      <c r="O110" s="344"/>
      <c r="P110" s="343" t="str">
        <f>VLOOKUP(P109,Schlüssel!$A$5:$K$14,2)</f>
        <v xml:space="preserve">Weiß Blau Unterföhring </v>
      </c>
      <c r="Q110" s="344"/>
      <c r="R110" s="343" t="str">
        <f>VLOOKUP(R109,Schlüssel!$A$5:$K$14,2)</f>
        <v>EPA München 1</v>
      </c>
      <c r="S110" s="344"/>
      <c r="T110" s="343" t="str">
        <f>VLOOKUP(T109,Schlüssel!$A$5:$K$14,2)</f>
        <v>Highroller Rosenheim</v>
      </c>
      <c r="U110" s="344"/>
      <c r="V110" s="345"/>
      <c r="W110" s="345"/>
    </row>
    <row r="111" spans="1:23" ht="12" customHeight="1" x14ac:dyDescent="0.35">
      <c r="B111" s="90"/>
      <c r="C111" s="86"/>
      <c r="D111" s="341"/>
      <c r="E111" s="341"/>
      <c r="F111" s="341"/>
      <c r="G111" s="341"/>
      <c r="H111" s="341"/>
      <c r="I111" s="341"/>
      <c r="J111" s="341"/>
      <c r="K111" s="341"/>
      <c r="L111" s="341"/>
      <c r="M111" s="341"/>
      <c r="N111" s="341"/>
      <c r="O111" s="341"/>
      <c r="P111" s="341"/>
      <c r="Q111" s="341"/>
      <c r="R111" s="341"/>
      <c r="S111" s="341"/>
      <c r="T111" s="341"/>
      <c r="U111" s="342"/>
      <c r="V111" s="301"/>
      <c r="W111" s="301"/>
    </row>
    <row r="112" spans="1:23" ht="16.05" customHeight="1" x14ac:dyDescent="0.35">
      <c r="B112" s="91" t="s">
        <v>0</v>
      </c>
      <c r="C112" s="92"/>
      <c r="D112" s="339"/>
      <c r="E112" s="339"/>
      <c r="F112" s="339"/>
      <c r="G112" s="339"/>
      <c r="H112" s="339"/>
      <c r="I112" s="339"/>
      <c r="J112" s="339"/>
      <c r="K112" s="339"/>
      <c r="L112" s="339"/>
      <c r="M112" s="339"/>
      <c r="N112" s="339"/>
      <c r="O112" s="339"/>
      <c r="P112" s="339"/>
      <c r="Q112" s="339"/>
      <c r="R112" s="339"/>
      <c r="S112" s="339"/>
      <c r="T112" s="339"/>
      <c r="U112" s="339"/>
      <c r="V112" s="340"/>
      <c r="W112" s="340"/>
    </row>
    <row r="113" spans="1:29" ht="16.05" customHeight="1" x14ac:dyDescent="0.35">
      <c r="B113" s="91" t="s">
        <v>2</v>
      </c>
      <c r="C113" s="92"/>
      <c r="D113" s="339"/>
      <c r="E113" s="339"/>
      <c r="F113" s="339"/>
      <c r="G113" s="339"/>
      <c r="H113" s="339"/>
      <c r="I113" s="339"/>
      <c r="J113" s="339"/>
      <c r="K113" s="339"/>
      <c r="L113" s="339"/>
      <c r="M113" s="339"/>
      <c r="N113" s="339"/>
      <c r="O113" s="339"/>
      <c r="P113" s="339"/>
      <c r="Q113" s="339"/>
      <c r="R113" s="339"/>
      <c r="S113" s="339"/>
      <c r="T113" s="339"/>
      <c r="U113" s="339"/>
      <c r="V113" s="340"/>
      <c r="W113" s="340"/>
    </row>
    <row r="114" spans="1:29" ht="16.05" customHeight="1" x14ac:dyDescent="0.35">
      <c r="B114" s="91" t="s">
        <v>3</v>
      </c>
      <c r="C114" s="92"/>
      <c r="D114" s="339"/>
      <c r="E114" s="339"/>
      <c r="F114" s="339"/>
      <c r="G114" s="339"/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40"/>
      <c r="W114" s="340"/>
    </row>
    <row r="115" spans="1:29" ht="16.05" customHeight="1" x14ac:dyDescent="0.35">
      <c r="B115" s="91" t="s">
        <v>11</v>
      </c>
      <c r="C115" s="92"/>
      <c r="D115" s="339"/>
      <c r="E115" s="339"/>
      <c r="F115" s="339"/>
      <c r="G115" s="339"/>
      <c r="H115" s="339"/>
      <c r="I115" s="339"/>
      <c r="J115" s="339"/>
      <c r="K115" s="339"/>
      <c r="L115" s="339"/>
      <c r="M115" s="339"/>
      <c r="N115" s="339"/>
      <c r="O115" s="339"/>
      <c r="P115" s="339"/>
      <c r="Q115" s="339"/>
      <c r="R115" s="339"/>
      <c r="S115" s="339"/>
      <c r="T115" s="339"/>
      <c r="U115" s="339"/>
      <c r="V115" s="340"/>
      <c r="W115" s="340"/>
    </row>
    <row r="116" spans="1:29" ht="16.05" customHeight="1" x14ac:dyDescent="0.35">
      <c r="B116" s="93" t="s">
        <v>1799</v>
      </c>
      <c r="C116" s="94"/>
      <c r="D116" s="338"/>
      <c r="E116" s="338"/>
      <c r="F116" s="338"/>
      <c r="G116" s="338"/>
      <c r="H116" s="338"/>
      <c r="I116" s="338"/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  <c r="U116" s="338"/>
      <c r="V116" s="290"/>
      <c r="W116" s="290"/>
    </row>
    <row r="117" spans="1:29" ht="21" customHeight="1" x14ac:dyDescent="0.7">
      <c r="B117" s="44" t="s">
        <v>1813</v>
      </c>
      <c r="C117" s="45"/>
      <c r="D117" s="46" t="s">
        <v>1792</v>
      </c>
      <c r="E117" s="47"/>
      <c r="F117" s="359" t="str">
        <f>Schlüssel!$C$1</f>
        <v>Bayernliga Frauen</v>
      </c>
      <c r="G117" s="359"/>
      <c r="H117" s="359"/>
      <c r="I117" s="359"/>
      <c r="J117" s="359"/>
      <c r="K117" s="359"/>
      <c r="L117" s="359"/>
      <c r="M117" s="359"/>
      <c r="N117" s="359"/>
      <c r="O117" s="359"/>
      <c r="P117" s="45"/>
      <c r="Q117" s="45"/>
      <c r="R117" s="48"/>
      <c r="S117" s="49" t="s">
        <v>1794</v>
      </c>
      <c r="T117" s="50"/>
      <c r="U117" s="360" t="str">
        <f>Schlüssel!$DI$1</f>
        <v>05.04./06.04.</v>
      </c>
      <c r="V117" s="361"/>
      <c r="W117" s="362"/>
      <c r="AC117" s="51"/>
    </row>
    <row r="118" spans="1:29" ht="17.25" customHeight="1" thickBot="1" x14ac:dyDescent="0.65">
      <c r="A118" s="52"/>
      <c r="B118" s="96">
        <f>+B89+1</f>
        <v>5</v>
      </c>
      <c r="D118" s="46" t="s">
        <v>1793</v>
      </c>
      <c r="E118" s="54"/>
      <c r="F118" s="358" t="str">
        <f>Schlüssel!$CY$2</f>
        <v>Schweinfurt Extreme Bowlingarena</v>
      </c>
      <c r="G118" s="358"/>
      <c r="H118" s="358"/>
      <c r="I118" s="358"/>
      <c r="J118" s="358"/>
      <c r="K118" s="358"/>
      <c r="L118" s="358"/>
      <c r="M118" s="358"/>
      <c r="N118" s="358"/>
      <c r="O118" s="358"/>
      <c r="P118" s="55"/>
      <c r="Q118" s="55"/>
      <c r="S118" s="49" t="s">
        <v>1791</v>
      </c>
      <c r="T118" s="56">
        <v>6</v>
      </c>
      <c r="U118" s="50"/>
      <c r="V118" s="50"/>
      <c r="AC118" s="97"/>
    </row>
    <row r="119" spans="1:29" ht="15.75" customHeight="1" thickBot="1" x14ac:dyDescent="0.4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5" thickBot="1" x14ac:dyDescent="0.45">
      <c r="A120" s="2"/>
      <c r="B120" s="44"/>
      <c r="C120" s="63"/>
      <c r="D120" s="64" t="s">
        <v>10</v>
      </c>
      <c r="E120" s="44">
        <f>VLOOKUP($B118,Schlüssel!$A$5:$DZ$14,113)</f>
        <v>10</v>
      </c>
      <c r="F120" s="65" t="s">
        <v>10</v>
      </c>
      <c r="G120" s="44">
        <f>VLOOKUP($B118,Schlüssel!$A$5:$DZ$14,114)</f>
        <v>8</v>
      </c>
      <c r="H120" s="65" t="s">
        <v>10</v>
      </c>
      <c r="I120" s="44">
        <f>VLOOKUP($B118,Schlüssel!$A$5:$DZ$14,115)</f>
        <v>5</v>
      </c>
      <c r="J120" s="65" t="s">
        <v>10</v>
      </c>
      <c r="K120" s="44">
        <f>VLOOKUP($B118,Schlüssel!$A$5:$DZ$14,116)</f>
        <v>2</v>
      </c>
      <c r="L120" s="65" t="s">
        <v>10</v>
      </c>
      <c r="M120" s="44">
        <f>VLOOKUP($B118,Schlüssel!$A$5:$DZ$14,117)</f>
        <v>7</v>
      </c>
      <c r="N120" s="65" t="s">
        <v>10</v>
      </c>
      <c r="O120" s="44">
        <f>VLOOKUP($B118,Schlüssel!$A$5:$DZ$14,118)</f>
        <v>9</v>
      </c>
      <c r="P120" s="65" t="s">
        <v>10</v>
      </c>
      <c r="Q120" s="44">
        <f>VLOOKUP($B118,Schlüssel!$A$5:$DZ$14,119)</f>
        <v>1</v>
      </c>
      <c r="R120" s="65" t="s">
        <v>10</v>
      </c>
      <c r="S120" s="44">
        <f>VLOOKUP($B118,Schlüssel!$A$5:$DZ$14,120)</f>
        <v>4</v>
      </c>
      <c r="T120" s="65" t="s">
        <v>10</v>
      </c>
      <c r="U120" s="66">
        <f>VLOOKUP($B118,Schlüssel!$A$5:$DZ$14,121)</f>
        <v>6</v>
      </c>
    </row>
    <row r="121" spans="1:29" ht="20.25" customHeight="1" x14ac:dyDescent="0.35">
      <c r="B121" s="67" t="s">
        <v>1</v>
      </c>
      <c r="C121" s="68"/>
      <c r="D121" s="354" t="s">
        <v>1800</v>
      </c>
      <c r="E121" s="355"/>
      <c r="F121" s="354" t="s">
        <v>1801</v>
      </c>
      <c r="G121" s="355"/>
      <c r="H121" s="354" t="s">
        <v>1802</v>
      </c>
      <c r="I121" s="355"/>
      <c r="J121" s="354" t="s">
        <v>1803</v>
      </c>
      <c r="K121" s="355"/>
      <c r="L121" s="354" t="s">
        <v>1804</v>
      </c>
      <c r="M121" s="355"/>
      <c r="N121" s="354" t="s">
        <v>1805</v>
      </c>
      <c r="O121" s="355"/>
      <c r="P121" s="354" t="s">
        <v>1806</v>
      </c>
      <c r="Q121" s="355"/>
      <c r="R121" s="354" t="s">
        <v>1807</v>
      </c>
      <c r="S121" s="355"/>
      <c r="T121" s="354" t="s">
        <v>1808</v>
      </c>
      <c r="U121" s="355"/>
      <c r="V121" s="356" t="s">
        <v>1799</v>
      </c>
      <c r="W121" s="357"/>
    </row>
    <row r="122" spans="1:29" ht="15" customHeight="1" thickBot="1" x14ac:dyDescent="0.4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2" customHeight="1" x14ac:dyDescent="0.35">
      <c r="A123" s="351" t="s">
        <v>0</v>
      </c>
      <c r="B123" s="73"/>
      <c r="C123" s="74"/>
      <c r="D123" s="75"/>
      <c r="E123" s="348"/>
      <c r="F123" s="75"/>
      <c r="G123" s="348"/>
      <c r="H123" s="75"/>
      <c r="I123" s="348"/>
      <c r="J123" s="75"/>
      <c r="K123" s="348"/>
      <c r="L123" s="75"/>
      <c r="M123" s="348"/>
      <c r="N123" s="75"/>
      <c r="O123" s="348"/>
      <c r="P123" s="75"/>
      <c r="Q123" s="348"/>
      <c r="R123" s="75"/>
      <c r="S123" s="348"/>
      <c r="T123" s="75"/>
      <c r="U123" s="348"/>
      <c r="V123" s="75"/>
      <c r="W123" s="348"/>
    </row>
    <row r="124" spans="1:29" ht="17.2" customHeight="1" x14ac:dyDescent="0.35">
      <c r="A124" s="352"/>
      <c r="B124" s="76"/>
      <c r="C124" s="77"/>
      <c r="D124" s="78"/>
      <c r="E124" s="349"/>
      <c r="F124" s="78"/>
      <c r="G124" s="349"/>
      <c r="H124" s="78"/>
      <c r="I124" s="349"/>
      <c r="J124" s="78"/>
      <c r="K124" s="349"/>
      <c r="L124" s="78"/>
      <c r="M124" s="349"/>
      <c r="N124" s="78"/>
      <c r="O124" s="349"/>
      <c r="P124" s="78"/>
      <c r="Q124" s="349"/>
      <c r="R124" s="78"/>
      <c r="S124" s="349"/>
      <c r="T124" s="78"/>
      <c r="U124" s="349"/>
      <c r="V124" s="78"/>
      <c r="W124" s="349"/>
    </row>
    <row r="125" spans="1:29" ht="17.2" customHeight="1" thickBot="1" x14ac:dyDescent="0.4">
      <c r="A125" s="353"/>
      <c r="B125" s="79"/>
      <c r="C125" s="80"/>
      <c r="D125" s="69"/>
      <c r="E125" s="350"/>
      <c r="F125" s="69"/>
      <c r="G125" s="350"/>
      <c r="H125" s="69"/>
      <c r="I125" s="350"/>
      <c r="J125" s="69"/>
      <c r="K125" s="350"/>
      <c r="L125" s="69"/>
      <c r="M125" s="350"/>
      <c r="N125" s="69"/>
      <c r="O125" s="350"/>
      <c r="P125" s="69"/>
      <c r="Q125" s="350"/>
      <c r="R125" s="69"/>
      <c r="S125" s="350"/>
      <c r="T125" s="69"/>
      <c r="U125" s="350"/>
      <c r="V125" s="69"/>
      <c r="W125" s="350"/>
    </row>
    <row r="126" spans="1:29" ht="17.2" customHeight="1" x14ac:dyDescent="0.35">
      <c r="A126" s="351" t="s">
        <v>2</v>
      </c>
      <c r="B126" s="73"/>
      <c r="C126" s="74"/>
      <c r="D126" s="75"/>
      <c r="E126" s="348"/>
      <c r="F126" s="75"/>
      <c r="G126" s="348"/>
      <c r="H126" s="75"/>
      <c r="I126" s="348"/>
      <c r="J126" s="75"/>
      <c r="K126" s="348"/>
      <c r="L126" s="75"/>
      <c r="M126" s="348"/>
      <c r="N126" s="75"/>
      <c r="O126" s="348"/>
      <c r="P126" s="75"/>
      <c r="Q126" s="348"/>
      <c r="R126" s="75"/>
      <c r="S126" s="348"/>
      <c r="T126" s="75"/>
      <c r="U126" s="348"/>
      <c r="V126" s="75"/>
      <c r="W126" s="348"/>
    </row>
    <row r="127" spans="1:29" ht="17.2" customHeight="1" x14ac:dyDescent="0.35">
      <c r="A127" s="352"/>
      <c r="B127" s="76"/>
      <c r="C127" s="77"/>
      <c r="D127" s="78"/>
      <c r="E127" s="349"/>
      <c r="F127" s="78"/>
      <c r="G127" s="349"/>
      <c r="H127" s="78"/>
      <c r="I127" s="349"/>
      <c r="J127" s="78"/>
      <c r="K127" s="349"/>
      <c r="L127" s="78"/>
      <c r="M127" s="349"/>
      <c r="N127" s="78"/>
      <c r="O127" s="349"/>
      <c r="P127" s="78"/>
      <c r="Q127" s="349"/>
      <c r="R127" s="78"/>
      <c r="S127" s="349"/>
      <c r="T127" s="78"/>
      <c r="U127" s="349"/>
      <c r="V127" s="78"/>
      <c r="W127" s="349"/>
    </row>
    <row r="128" spans="1:29" ht="17.2" customHeight="1" thickBot="1" x14ac:dyDescent="0.4">
      <c r="A128" s="353"/>
      <c r="B128" s="79"/>
      <c r="C128" s="80"/>
      <c r="D128" s="69"/>
      <c r="E128" s="350"/>
      <c r="F128" s="69"/>
      <c r="G128" s="350"/>
      <c r="H128" s="69"/>
      <c r="I128" s="350"/>
      <c r="J128" s="69"/>
      <c r="K128" s="350"/>
      <c r="L128" s="69"/>
      <c r="M128" s="350"/>
      <c r="N128" s="69"/>
      <c r="O128" s="350"/>
      <c r="P128" s="69"/>
      <c r="Q128" s="350"/>
      <c r="R128" s="69"/>
      <c r="S128" s="350"/>
      <c r="T128" s="69"/>
      <c r="U128" s="350"/>
      <c r="V128" s="69"/>
      <c r="W128" s="350"/>
    </row>
    <row r="129" spans="1:23" ht="17.2" customHeight="1" x14ac:dyDescent="0.35">
      <c r="A129" s="351" t="s">
        <v>3</v>
      </c>
      <c r="B129" s="73"/>
      <c r="C129" s="74"/>
      <c r="D129" s="75"/>
      <c r="E129" s="348"/>
      <c r="F129" s="75"/>
      <c r="G129" s="348"/>
      <c r="H129" s="75"/>
      <c r="I129" s="348"/>
      <c r="J129" s="75"/>
      <c r="K129" s="348"/>
      <c r="L129" s="75"/>
      <c r="M129" s="348"/>
      <c r="N129" s="75"/>
      <c r="O129" s="348"/>
      <c r="P129" s="75"/>
      <c r="Q129" s="348"/>
      <c r="R129" s="75"/>
      <c r="S129" s="348"/>
      <c r="T129" s="75"/>
      <c r="U129" s="348"/>
      <c r="V129" s="75"/>
      <c r="W129" s="348"/>
    </row>
    <row r="130" spans="1:23" ht="17.2" customHeight="1" x14ac:dyDescent="0.35">
      <c r="A130" s="352"/>
      <c r="B130" s="76"/>
      <c r="C130" s="77"/>
      <c r="D130" s="78"/>
      <c r="E130" s="349"/>
      <c r="F130" s="78"/>
      <c r="G130" s="349"/>
      <c r="H130" s="78"/>
      <c r="I130" s="349"/>
      <c r="J130" s="78"/>
      <c r="K130" s="349"/>
      <c r="L130" s="78"/>
      <c r="M130" s="349"/>
      <c r="N130" s="78"/>
      <c r="O130" s="349"/>
      <c r="P130" s="78"/>
      <c r="Q130" s="349"/>
      <c r="R130" s="78"/>
      <c r="S130" s="349"/>
      <c r="T130" s="78"/>
      <c r="U130" s="349"/>
      <c r="V130" s="78"/>
      <c r="W130" s="349"/>
    </row>
    <row r="131" spans="1:23" ht="17.2" customHeight="1" thickBot="1" x14ac:dyDescent="0.4">
      <c r="A131" s="353"/>
      <c r="B131" s="79"/>
      <c r="C131" s="80"/>
      <c r="D131" s="69"/>
      <c r="E131" s="350"/>
      <c r="F131" s="69"/>
      <c r="G131" s="350"/>
      <c r="H131" s="69"/>
      <c r="I131" s="350"/>
      <c r="J131" s="69"/>
      <c r="K131" s="350"/>
      <c r="L131" s="69"/>
      <c r="M131" s="350"/>
      <c r="N131" s="69"/>
      <c r="O131" s="350"/>
      <c r="P131" s="69"/>
      <c r="Q131" s="350"/>
      <c r="R131" s="69"/>
      <c r="S131" s="350"/>
      <c r="T131" s="69"/>
      <c r="U131" s="350"/>
      <c r="V131" s="69"/>
      <c r="W131" s="350"/>
    </row>
    <row r="132" spans="1:23" ht="17.2" customHeight="1" x14ac:dyDescent="0.35">
      <c r="A132" s="351" t="s">
        <v>11</v>
      </c>
      <c r="B132" s="73"/>
      <c r="C132" s="74"/>
      <c r="D132" s="75"/>
      <c r="E132" s="348"/>
      <c r="F132" s="75"/>
      <c r="G132" s="348"/>
      <c r="H132" s="75"/>
      <c r="I132" s="348"/>
      <c r="J132" s="75"/>
      <c r="K132" s="348"/>
      <c r="L132" s="75"/>
      <c r="M132" s="348"/>
      <c r="N132" s="75"/>
      <c r="O132" s="348"/>
      <c r="P132" s="75"/>
      <c r="Q132" s="348"/>
      <c r="R132" s="75"/>
      <c r="S132" s="348"/>
      <c r="T132" s="75"/>
      <c r="U132" s="348"/>
      <c r="V132" s="75"/>
      <c r="W132" s="348"/>
    </row>
    <row r="133" spans="1:23" ht="17.2" customHeight="1" x14ac:dyDescent="0.35">
      <c r="A133" s="352"/>
      <c r="B133" s="76"/>
      <c r="C133" s="77"/>
      <c r="D133" s="78"/>
      <c r="E133" s="349"/>
      <c r="F133" s="78"/>
      <c r="G133" s="349"/>
      <c r="H133" s="78"/>
      <c r="I133" s="349"/>
      <c r="J133" s="78"/>
      <c r="K133" s="349"/>
      <c r="L133" s="78"/>
      <c r="M133" s="349"/>
      <c r="N133" s="78"/>
      <c r="O133" s="349"/>
      <c r="P133" s="78"/>
      <c r="Q133" s="349"/>
      <c r="R133" s="78"/>
      <c r="S133" s="349"/>
      <c r="T133" s="78"/>
      <c r="U133" s="349"/>
      <c r="V133" s="78"/>
      <c r="W133" s="349"/>
    </row>
    <row r="134" spans="1:23" ht="17.2" customHeight="1" thickBot="1" x14ac:dyDescent="0.4">
      <c r="A134" s="353"/>
      <c r="B134" s="79"/>
      <c r="C134" s="80"/>
      <c r="D134" s="69"/>
      <c r="E134" s="350"/>
      <c r="F134" s="69"/>
      <c r="G134" s="350"/>
      <c r="H134" s="69"/>
      <c r="I134" s="350"/>
      <c r="J134" s="69"/>
      <c r="K134" s="350"/>
      <c r="L134" s="69"/>
      <c r="M134" s="350"/>
      <c r="N134" s="69"/>
      <c r="O134" s="350"/>
      <c r="P134" s="69"/>
      <c r="Q134" s="350"/>
      <c r="R134" s="69"/>
      <c r="S134" s="350"/>
      <c r="T134" s="69"/>
      <c r="U134" s="350"/>
      <c r="V134" s="69"/>
      <c r="W134" s="350"/>
    </row>
    <row r="135" spans="1:23" ht="27.75" customHeight="1" thickBot="1" x14ac:dyDescent="0.4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4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3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35">
      <c r="B138" s="88" t="s">
        <v>1797</v>
      </c>
      <c r="C138" s="89" t="s">
        <v>1798</v>
      </c>
      <c r="D138" s="346">
        <f>VLOOKUP(B118,Schlüssel!$A$5:$DZ$14,103)</f>
        <v>2</v>
      </c>
      <c r="E138" s="346"/>
      <c r="F138" s="346">
        <f>VLOOKUP(B118,Schlüssel!$A$5:$DZ$14,104)</f>
        <v>7</v>
      </c>
      <c r="G138" s="346"/>
      <c r="H138" s="346">
        <f>VLOOKUP(B118,Schlüssel!$A$5:$DZ$14,105)</f>
        <v>1</v>
      </c>
      <c r="I138" s="346"/>
      <c r="J138" s="346">
        <f>VLOOKUP(B118,Schlüssel!$A$5:$DZ$14,106)</f>
        <v>8</v>
      </c>
      <c r="K138" s="346"/>
      <c r="L138" s="346">
        <f>VLOOKUP(B118,Schlüssel!$A$5:$DZ$14,107)</f>
        <v>9</v>
      </c>
      <c r="M138" s="346"/>
      <c r="N138" s="346">
        <f>VLOOKUP(B118,Schlüssel!$A$5:$DZ$14,108)</f>
        <v>3</v>
      </c>
      <c r="O138" s="346"/>
      <c r="P138" s="346">
        <f>VLOOKUP(B118,Schlüssel!$A$5:$DZ$14,109)</f>
        <v>4</v>
      </c>
      <c r="Q138" s="346"/>
      <c r="R138" s="346">
        <f>VLOOKUP(B118,Schlüssel!$A$5:$DZ$14,110)</f>
        <v>10</v>
      </c>
      <c r="S138" s="346"/>
      <c r="T138" s="346">
        <f>VLOOKUP(B118,Schlüssel!$A$5:$DZ$14,111)</f>
        <v>6</v>
      </c>
      <c r="U138" s="346"/>
      <c r="V138" s="347"/>
      <c r="W138" s="347"/>
    </row>
    <row r="139" spans="1:23" ht="28.5" customHeight="1" x14ac:dyDescent="0.35">
      <c r="B139" s="90"/>
      <c r="C139" s="86"/>
      <c r="D139" s="343" t="str">
        <f>VLOOKUP(D138,Schlüssel!$A$5:$K$14,2)</f>
        <v>BK München 2</v>
      </c>
      <c r="E139" s="344"/>
      <c r="F139" s="343" t="str">
        <f>VLOOKUP(F138,Schlüssel!$A$5:$K$14,2)</f>
        <v>Frankenpower Nürnberg</v>
      </c>
      <c r="G139" s="344"/>
      <c r="H139" s="343" t="str">
        <f>VLOOKUP(H138,Schlüssel!$A$5:$K$14,2)</f>
        <v>Praetoria Regensburg</v>
      </c>
      <c r="I139" s="344"/>
      <c r="J139" s="343" t="str">
        <f>VLOOKUP(J138,Schlüssel!$A$5:$K$14,2)</f>
        <v>EPA München 1</v>
      </c>
      <c r="K139" s="344"/>
      <c r="L139" s="343" t="str">
        <f>VLOOKUP(L138,Schlüssel!$A$5:$K$14,2)</f>
        <v>RW Lichtenhof 69 Stein 2</v>
      </c>
      <c r="M139" s="344"/>
      <c r="N139" s="343" t="str">
        <f>VLOOKUP(N138,Schlüssel!$A$5:$K$14,2)</f>
        <v>Highroller Rosenheim</v>
      </c>
      <c r="O139" s="344"/>
      <c r="P139" s="343" t="str">
        <f>VLOOKUP(P138,Schlüssel!$A$5:$K$14,2)</f>
        <v>BK München 3</v>
      </c>
      <c r="Q139" s="344"/>
      <c r="R139" s="343" t="str">
        <f>VLOOKUP(R138,Schlüssel!$A$5:$K$14,2)</f>
        <v>BK München 4</v>
      </c>
      <c r="S139" s="344"/>
      <c r="T139" s="343" t="str">
        <f>VLOOKUP(T138,Schlüssel!$A$5:$K$14,2)</f>
        <v>Phönix 03 Lauf</v>
      </c>
      <c r="U139" s="344"/>
      <c r="V139" s="345"/>
      <c r="W139" s="345"/>
    </row>
    <row r="140" spans="1:23" ht="12" customHeight="1" x14ac:dyDescent="0.35">
      <c r="B140" s="90"/>
      <c r="C140" s="86"/>
      <c r="D140" s="341"/>
      <c r="E140" s="341"/>
      <c r="F140" s="341"/>
      <c r="G140" s="341"/>
      <c r="H140" s="341"/>
      <c r="I140" s="341"/>
      <c r="J140" s="341"/>
      <c r="K140" s="341"/>
      <c r="L140" s="341"/>
      <c r="M140" s="341"/>
      <c r="N140" s="341"/>
      <c r="O140" s="341"/>
      <c r="P140" s="341"/>
      <c r="Q140" s="341"/>
      <c r="R140" s="341"/>
      <c r="S140" s="341"/>
      <c r="T140" s="341"/>
      <c r="U140" s="342"/>
      <c r="V140" s="301"/>
      <c r="W140" s="301"/>
    </row>
    <row r="141" spans="1:23" ht="16.05" customHeight="1" x14ac:dyDescent="0.35">
      <c r="B141" s="91" t="s">
        <v>0</v>
      </c>
      <c r="C141" s="92"/>
      <c r="D141" s="339"/>
      <c r="E141" s="339"/>
      <c r="F141" s="339"/>
      <c r="G141" s="339"/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40"/>
      <c r="W141" s="340"/>
    </row>
    <row r="142" spans="1:23" ht="16.05" customHeight="1" x14ac:dyDescent="0.35">
      <c r="B142" s="91" t="s">
        <v>2</v>
      </c>
      <c r="C142" s="92"/>
      <c r="D142" s="339"/>
      <c r="E142" s="339"/>
      <c r="F142" s="339"/>
      <c r="G142" s="339"/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40"/>
      <c r="W142" s="340"/>
    </row>
    <row r="143" spans="1:23" ht="16.05" customHeight="1" x14ac:dyDescent="0.35">
      <c r="B143" s="91" t="s">
        <v>3</v>
      </c>
      <c r="C143" s="92"/>
      <c r="D143" s="339"/>
      <c r="E143" s="339"/>
      <c r="F143" s="339"/>
      <c r="G143" s="339"/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40"/>
      <c r="W143" s="340"/>
    </row>
    <row r="144" spans="1:23" ht="16.05" customHeight="1" x14ac:dyDescent="0.35">
      <c r="B144" s="91" t="s">
        <v>11</v>
      </c>
      <c r="C144" s="92"/>
      <c r="D144" s="339"/>
      <c r="E144" s="339"/>
      <c r="F144" s="339"/>
      <c r="G144" s="339"/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40"/>
      <c r="W144" s="340"/>
    </row>
    <row r="145" spans="1:29" ht="16.05" customHeight="1" x14ac:dyDescent="0.35">
      <c r="B145" s="93" t="s">
        <v>1799</v>
      </c>
      <c r="C145" s="94"/>
      <c r="D145" s="338"/>
      <c r="E145" s="338"/>
      <c r="F145" s="338"/>
      <c r="G145" s="338"/>
      <c r="H145" s="338"/>
      <c r="I145" s="338"/>
      <c r="J145" s="338"/>
      <c r="K145" s="338"/>
      <c r="L145" s="338"/>
      <c r="M145" s="338"/>
      <c r="N145" s="338"/>
      <c r="O145" s="338"/>
      <c r="P145" s="338"/>
      <c r="Q145" s="338"/>
      <c r="R145" s="338"/>
      <c r="S145" s="338"/>
      <c r="T145" s="338"/>
      <c r="U145" s="338"/>
      <c r="V145" s="290"/>
      <c r="W145" s="290"/>
    </row>
    <row r="146" spans="1:29" ht="21" customHeight="1" x14ac:dyDescent="0.7">
      <c r="B146" s="44" t="s">
        <v>1813</v>
      </c>
      <c r="C146" s="45"/>
      <c r="D146" s="46" t="s">
        <v>1792</v>
      </c>
      <c r="E146" s="47"/>
      <c r="F146" s="359" t="str">
        <f>Schlüssel!$C$1</f>
        <v>Bayernliga Frauen</v>
      </c>
      <c r="G146" s="359"/>
      <c r="H146" s="359"/>
      <c r="I146" s="359"/>
      <c r="J146" s="359"/>
      <c r="K146" s="359"/>
      <c r="L146" s="359"/>
      <c r="M146" s="359"/>
      <c r="N146" s="359"/>
      <c r="O146" s="359"/>
      <c r="P146" s="45"/>
      <c r="Q146" s="45"/>
      <c r="R146" s="48"/>
      <c r="S146" s="49" t="s">
        <v>1794</v>
      </c>
      <c r="T146" s="50"/>
      <c r="U146" s="360" t="str">
        <f>Schlüssel!$DI$1</f>
        <v>05.04./06.04.</v>
      </c>
      <c r="V146" s="361"/>
      <c r="W146" s="362"/>
      <c r="AC146" s="51"/>
    </row>
    <row r="147" spans="1:29" ht="17.25" customHeight="1" thickBot="1" x14ac:dyDescent="0.65">
      <c r="A147" s="52"/>
      <c r="B147" s="96">
        <f>+B118+1</f>
        <v>6</v>
      </c>
      <c r="D147" s="46" t="s">
        <v>1793</v>
      </c>
      <c r="E147" s="54"/>
      <c r="F147" s="358" t="str">
        <f>Schlüssel!$CY$2</f>
        <v>Schweinfurt Extreme Bowlingarena</v>
      </c>
      <c r="G147" s="358"/>
      <c r="H147" s="358"/>
      <c r="I147" s="358"/>
      <c r="J147" s="358"/>
      <c r="K147" s="358"/>
      <c r="L147" s="358"/>
      <c r="M147" s="358"/>
      <c r="N147" s="358"/>
      <c r="O147" s="358"/>
      <c r="P147" s="55"/>
      <c r="Q147" s="55"/>
      <c r="S147" s="49" t="s">
        <v>1791</v>
      </c>
      <c r="T147" s="56">
        <v>6</v>
      </c>
      <c r="U147" s="50"/>
      <c r="V147" s="50"/>
      <c r="AC147" s="97"/>
    </row>
    <row r="148" spans="1:29" ht="15.75" customHeight="1" thickBot="1" x14ac:dyDescent="0.4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5" thickBot="1" x14ac:dyDescent="0.45">
      <c r="A149" s="2"/>
      <c r="B149" s="44"/>
      <c r="C149" s="63"/>
      <c r="D149" s="64" t="s">
        <v>10</v>
      </c>
      <c r="E149" s="44">
        <f>VLOOKUP($B147,Schlüssel!$A$5:$DZ$14,113)</f>
        <v>8</v>
      </c>
      <c r="F149" s="65" t="s">
        <v>10</v>
      </c>
      <c r="G149" s="44">
        <f>VLOOKUP($B147,Schlüssel!$A$5:$DZ$14,114)</f>
        <v>6</v>
      </c>
      <c r="H149" s="65" t="s">
        <v>10</v>
      </c>
      <c r="I149" s="44">
        <f>VLOOKUP($B147,Schlüssel!$A$5:$DZ$14,115)</f>
        <v>2</v>
      </c>
      <c r="J149" s="65" t="s">
        <v>10</v>
      </c>
      <c r="K149" s="44">
        <f>VLOOKUP($B147,Schlüssel!$A$5:$DZ$14,116)</f>
        <v>4</v>
      </c>
      <c r="L149" s="65" t="s">
        <v>10</v>
      </c>
      <c r="M149" s="44">
        <f>VLOOKUP($B147,Schlüssel!$A$5:$DZ$14,117)</f>
        <v>9</v>
      </c>
      <c r="N149" s="65" t="s">
        <v>10</v>
      </c>
      <c r="O149" s="44">
        <f>VLOOKUP($B147,Schlüssel!$A$5:$DZ$14,118)</f>
        <v>3</v>
      </c>
      <c r="P149" s="65" t="s">
        <v>10</v>
      </c>
      <c r="Q149" s="44">
        <f>VLOOKUP($B147,Schlüssel!$A$5:$DZ$14,119)</f>
        <v>7</v>
      </c>
      <c r="R149" s="65" t="s">
        <v>10</v>
      </c>
      <c r="S149" s="44">
        <f>VLOOKUP($B147,Schlüssel!$A$5:$DZ$14,120)</f>
        <v>10</v>
      </c>
      <c r="T149" s="65" t="s">
        <v>10</v>
      </c>
      <c r="U149" s="66">
        <f>VLOOKUP($B147,Schlüssel!$A$5:$DZ$14,121)</f>
        <v>5</v>
      </c>
    </row>
    <row r="150" spans="1:29" ht="20.25" customHeight="1" x14ac:dyDescent="0.35">
      <c r="B150" s="67" t="s">
        <v>1</v>
      </c>
      <c r="C150" s="68"/>
      <c r="D150" s="354" t="s">
        <v>1800</v>
      </c>
      <c r="E150" s="355"/>
      <c r="F150" s="354" t="s">
        <v>1801</v>
      </c>
      <c r="G150" s="355"/>
      <c r="H150" s="354" t="s">
        <v>1802</v>
      </c>
      <c r="I150" s="355"/>
      <c r="J150" s="354" t="s">
        <v>1803</v>
      </c>
      <c r="K150" s="355"/>
      <c r="L150" s="354" t="s">
        <v>1804</v>
      </c>
      <c r="M150" s="355"/>
      <c r="N150" s="354" t="s">
        <v>1805</v>
      </c>
      <c r="O150" s="355"/>
      <c r="P150" s="354" t="s">
        <v>1806</v>
      </c>
      <c r="Q150" s="355"/>
      <c r="R150" s="354" t="s">
        <v>1807</v>
      </c>
      <c r="S150" s="355"/>
      <c r="T150" s="354" t="s">
        <v>1808</v>
      </c>
      <c r="U150" s="355"/>
      <c r="V150" s="356" t="s">
        <v>1799</v>
      </c>
      <c r="W150" s="357"/>
    </row>
    <row r="151" spans="1:29" ht="15" customHeight="1" thickBot="1" x14ac:dyDescent="0.4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2" customHeight="1" x14ac:dyDescent="0.35">
      <c r="A152" s="351" t="s">
        <v>0</v>
      </c>
      <c r="B152" s="73"/>
      <c r="C152" s="74"/>
      <c r="D152" s="75"/>
      <c r="E152" s="348"/>
      <c r="F152" s="75"/>
      <c r="G152" s="348"/>
      <c r="H152" s="75"/>
      <c r="I152" s="348"/>
      <c r="J152" s="75"/>
      <c r="K152" s="348"/>
      <c r="L152" s="75"/>
      <c r="M152" s="348"/>
      <c r="N152" s="75"/>
      <c r="O152" s="348"/>
      <c r="P152" s="75"/>
      <c r="Q152" s="348"/>
      <c r="R152" s="75"/>
      <c r="S152" s="348"/>
      <c r="T152" s="75"/>
      <c r="U152" s="348"/>
      <c r="V152" s="75"/>
      <c r="W152" s="348"/>
    </row>
    <row r="153" spans="1:29" ht="17.2" customHeight="1" x14ac:dyDescent="0.35">
      <c r="A153" s="352"/>
      <c r="B153" s="76"/>
      <c r="C153" s="77"/>
      <c r="D153" s="78"/>
      <c r="E153" s="349"/>
      <c r="F153" s="78"/>
      <c r="G153" s="349"/>
      <c r="H153" s="78"/>
      <c r="I153" s="349"/>
      <c r="J153" s="78"/>
      <c r="K153" s="349"/>
      <c r="L153" s="78"/>
      <c r="M153" s="349"/>
      <c r="N153" s="78"/>
      <c r="O153" s="349"/>
      <c r="P153" s="78"/>
      <c r="Q153" s="349"/>
      <c r="R153" s="78"/>
      <c r="S153" s="349"/>
      <c r="T153" s="78"/>
      <c r="U153" s="349"/>
      <c r="V153" s="78"/>
      <c r="W153" s="349"/>
    </row>
    <row r="154" spans="1:29" ht="17.2" customHeight="1" thickBot="1" x14ac:dyDescent="0.4">
      <c r="A154" s="353"/>
      <c r="B154" s="79"/>
      <c r="C154" s="80"/>
      <c r="D154" s="69"/>
      <c r="E154" s="350"/>
      <c r="F154" s="69"/>
      <c r="G154" s="350"/>
      <c r="H154" s="69"/>
      <c r="I154" s="350"/>
      <c r="J154" s="69"/>
      <c r="K154" s="350"/>
      <c r="L154" s="69"/>
      <c r="M154" s="350"/>
      <c r="N154" s="69"/>
      <c r="O154" s="350"/>
      <c r="P154" s="69"/>
      <c r="Q154" s="350"/>
      <c r="R154" s="69"/>
      <c r="S154" s="350"/>
      <c r="T154" s="69"/>
      <c r="U154" s="350"/>
      <c r="V154" s="69"/>
      <c r="W154" s="350"/>
    </row>
    <row r="155" spans="1:29" ht="17.2" customHeight="1" x14ac:dyDescent="0.35">
      <c r="A155" s="351" t="s">
        <v>2</v>
      </c>
      <c r="B155" s="73"/>
      <c r="C155" s="74"/>
      <c r="D155" s="75"/>
      <c r="E155" s="348"/>
      <c r="F155" s="75"/>
      <c r="G155" s="348"/>
      <c r="H155" s="75"/>
      <c r="I155" s="348"/>
      <c r="J155" s="75"/>
      <c r="K155" s="348"/>
      <c r="L155" s="75"/>
      <c r="M155" s="348"/>
      <c r="N155" s="75"/>
      <c r="O155" s="348"/>
      <c r="P155" s="75"/>
      <c r="Q155" s="348"/>
      <c r="R155" s="75"/>
      <c r="S155" s="348"/>
      <c r="T155" s="75"/>
      <c r="U155" s="348"/>
      <c r="V155" s="75"/>
      <c r="W155" s="348"/>
    </row>
    <row r="156" spans="1:29" ht="17.2" customHeight="1" x14ac:dyDescent="0.35">
      <c r="A156" s="352"/>
      <c r="B156" s="76"/>
      <c r="C156" s="77"/>
      <c r="D156" s="78"/>
      <c r="E156" s="349"/>
      <c r="F156" s="78"/>
      <c r="G156" s="349"/>
      <c r="H156" s="78"/>
      <c r="I156" s="349"/>
      <c r="J156" s="78"/>
      <c r="K156" s="349"/>
      <c r="L156" s="78"/>
      <c r="M156" s="349"/>
      <c r="N156" s="78"/>
      <c r="O156" s="349"/>
      <c r="P156" s="78"/>
      <c r="Q156" s="349"/>
      <c r="R156" s="78"/>
      <c r="S156" s="349"/>
      <c r="T156" s="78"/>
      <c r="U156" s="349"/>
      <c r="V156" s="78"/>
      <c r="W156" s="349"/>
    </row>
    <row r="157" spans="1:29" ht="17.2" customHeight="1" thickBot="1" x14ac:dyDescent="0.4">
      <c r="A157" s="353"/>
      <c r="B157" s="79"/>
      <c r="C157" s="80"/>
      <c r="D157" s="69"/>
      <c r="E157" s="350"/>
      <c r="F157" s="69"/>
      <c r="G157" s="350"/>
      <c r="H157" s="69"/>
      <c r="I157" s="350"/>
      <c r="J157" s="69"/>
      <c r="K157" s="350"/>
      <c r="L157" s="69"/>
      <c r="M157" s="350"/>
      <c r="N157" s="69"/>
      <c r="O157" s="350"/>
      <c r="P157" s="69"/>
      <c r="Q157" s="350"/>
      <c r="R157" s="69"/>
      <c r="S157" s="350"/>
      <c r="T157" s="69"/>
      <c r="U157" s="350"/>
      <c r="V157" s="69"/>
      <c r="W157" s="350"/>
    </row>
    <row r="158" spans="1:29" ht="17.2" customHeight="1" x14ac:dyDescent="0.35">
      <c r="A158" s="351" t="s">
        <v>3</v>
      </c>
      <c r="B158" s="73"/>
      <c r="C158" s="74"/>
      <c r="D158" s="75"/>
      <c r="E158" s="348"/>
      <c r="F158" s="75"/>
      <c r="G158" s="348"/>
      <c r="H158" s="75"/>
      <c r="I158" s="348"/>
      <c r="J158" s="75"/>
      <c r="K158" s="348"/>
      <c r="L158" s="75"/>
      <c r="M158" s="348"/>
      <c r="N158" s="75"/>
      <c r="O158" s="348"/>
      <c r="P158" s="75"/>
      <c r="Q158" s="348"/>
      <c r="R158" s="75"/>
      <c r="S158" s="348"/>
      <c r="T158" s="75"/>
      <c r="U158" s="348"/>
      <c r="V158" s="75"/>
      <c r="W158" s="348"/>
    </row>
    <row r="159" spans="1:29" ht="17.2" customHeight="1" x14ac:dyDescent="0.35">
      <c r="A159" s="352"/>
      <c r="B159" s="76"/>
      <c r="C159" s="77"/>
      <c r="D159" s="78"/>
      <c r="E159" s="349"/>
      <c r="F159" s="78"/>
      <c r="G159" s="349"/>
      <c r="H159" s="78"/>
      <c r="I159" s="349"/>
      <c r="J159" s="78"/>
      <c r="K159" s="349"/>
      <c r="L159" s="78"/>
      <c r="M159" s="349"/>
      <c r="N159" s="78"/>
      <c r="O159" s="349"/>
      <c r="P159" s="78"/>
      <c r="Q159" s="349"/>
      <c r="R159" s="78"/>
      <c r="S159" s="349"/>
      <c r="T159" s="78"/>
      <c r="U159" s="349"/>
      <c r="V159" s="78"/>
      <c r="W159" s="349"/>
    </row>
    <row r="160" spans="1:29" ht="17.2" customHeight="1" thickBot="1" x14ac:dyDescent="0.4">
      <c r="A160" s="353"/>
      <c r="B160" s="79"/>
      <c r="C160" s="80"/>
      <c r="D160" s="69"/>
      <c r="E160" s="350"/>
      <c r="F160" s="69"/>
      <c r="G160" s="350"/>
      <c r="H160" s="69"/>
      <c r="I160" s="350"/>
      <c r="J160" s="69"/>
      <c r="K160" s="350"/>
      <c r="L160" s="69"/>
      <c r="M160" s="350"/>
      <c r="N160" s="69"/>
      <c r="O160" s="350"/>
      <c r="P160" s="69"/>
      <c r="Q160" s="350"/>
      <c r="R160" s="69"/>
      <c r="S160" s="350"/>
      <c r="T160" s="69"/>
      <c r="U160" s="350"/>
      <c r="V160" s="69"/>
      <c r="W160" s="350"/>
    </row>
    <row r="161" spans="1:29" ht="17.2" customHeight="1" x14ac:dyDescent="0.35">
      <c r="A161" s="351" t="s">
        <v>11</v>
      </c>
      <c r="B161" s="73"/>
      <c r="C161" s="74"/>
      <c r="D161" s="75"/>
      <c r="E161" s="348"/>
      <c r="F161" s="75"/>
      <c r="G161" s="348"/>
      <c r="H161" s="75"/>
      <c r="I161" s="348"/>
      <c r="J161" s="75"/>
      <c r="K161" s="348"/>
      <c r="L161" s="75"/>
      <c r="M161" s="348"/>
      <c r="N161" s="75"/>
      <c r="O161" s="348"/>
      <c r="P161" s="75"/>
      <c r="Q161" s="348"/>
      <c r="R161" s="75"/>
      <c r="S161" s="348"/>
      <c r="T161" s="75"/>
      <c r="U161" s="348"/>
      <c r="V161" s="75"/>
      <c r="W161" s="348"/>
    </row>
    <row r="162" spans="1:29" ht="17.2" customHeight="1" x14ac:dyDescent="0.35">
      <c r="A162" s="352"/>
      <c r="B162" s="76"/>
      <c r="C162" s="77"/>
      <c r="D162" s="78"/>
      <c r="E162" s="349"/>
      <c r="F162" s="78"/>
      <c r="G162" s="349"/>
      <c r="H162" s="78"/>
      <c r="I162" s="349"/>
      <c r="J162" s="78"/>
      <c r="K162" s="349"/>
      <c r="L162" s="78"/>
      <c r="M162" s="349"/>
      <c r="N162" s="78"/>
      <c r="O162" s="349"/>
      <c r="P162" s="78"/>
      <c r="Q162" s="349"/>
      <c r="R162" s="78"/>
      <c r="S162" s="349"/>
      <c r="T162" s="78"/>
      <c r="U162" s="349"/>
      <c r="V162" s="78"/>
      <c r="W162" s="349"/>
    </row>
    <row r="163" spans="1:29" ht="17.2" customHeight="1" thickBot="1" x14ac:dyDescent="0.4">
      <c r="A163" s="353"/>
      <c r="B163" s="79"/>
      <c r="C163" s="80"/>
      <c r="D163" s="69"/>
      <c r="E163" s="350"/>
      <c r="F163" s="69"/>
      <c r="G163" s="350"/>
      <c r="H163" s="69"/>
      <c r="I163" s="350"/>
      <c r="J163" s="69"/>
      <c r="K163" s="350"/>
      <c r="L163" s="69"/>
      <c r="M163" s="350"/>
      <c r="N163" s="69"/>
      <c r="O163" s="350"/>
      <c r="P163" s="69"/>
      <c r="Q163" s="350"/>
      <c r="R163" s="69"/>
      <c r="S163" s="350"/>
      <c r="T163" s="69"/>
      <c r="U163" s="350"/>
      <c r="V163" s="69"/>
      <c r="W163" s="350"/>
    </row>
    <row r="164" spans="1:29" ht="27.75" customHeight="1" thickBot="1" x14ac:dyDescent="0.4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4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3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35">
      <c r="B167" s="88" t="s">
        <v>1797</v>
      </c>
      <c r="C167" s="89" t="s">
        <v>1798</v>
      </c>
      <c r="D167" s="346">
        <f>VLOOKUP(B147,Schlüssel!$A$5:$DZ$14,103)</f>
        <v>3</v>
      </c>
      <c r="E167" s="346"/>
      <c r="F167" s="346">
        <f>VLOOKUP(B147,Schlüssel!$A$5:$DZ$14,104)</f>
        <v>10</v>
      </c>
      <c r="G167" s="346"/>
      <c r="H167" s="346">
        <f>VLOOKUP(B147,Schlüssel!$A$5:$DZ$14,105)</f>
        <v>4</v>
      </c>
      <c r="I167" s="346"/>
      <c r="J167" s="346">
        <f>VLOOKUP(B147,Schlüssel!$A$5:$DZ$14,106)</f>
        <v>9</v>
      </c>
      <c r="K167" s="346"/>
      <c r="L167" s="346">
        <f>VLOOKUP(B147,Schlüssel!$A$5:$DZ$14,107)</f>
        <v>2</v>
      </c>
      <c r="M167" s="346"/>
      <c r="N167" s="346">
        <f>VLOOKUP(B147,Schlüssel!$A$5:$DZ$14,108)</f>
        <v>8</v>
      </c>
      <c r="O167" s="346"/>
      <c r="P167" s="346">
        <f>VLOOKUP(B147,Schlüssel!$A$5:$DZ$14,109)</f>
        <v>7</v>
      </c>
      <c r="Q167" s="346"/>
      <c r="R167" s="346">
        <f>VLOOKUP(B147,Schlüssel!$A$5:$DZ$14,110)</f>
        <v>1</v>
      </c>
      <c r="S167" s="346"/>
      <c r="T167" s="346">
        <f>VLOOKUP(B147,Schlüssel!$A$5:$DZ$14,111)</f>
        <v>5</v>
      </c>
      <c r="U167" s="346"/>
      <c r="V167" s="347"/>
      <c r="W167" s="347"/>
    </row>
    <row r="168" spans="1:29" ht="28.5" customHeight="1" x14ac:dyDescent="0.35">
      <c r="B168" s="90"/>
      <c r="C168" s="86"/>
      <c r="D168" s="343" t="str">
        <f>VLOOKUP(D167,Schlüssel!$A$5:$K$14,2)</f>
        <v>Highroller Rosenheim</v>
      </c>
      <c r="E168" s="344"/>
      <c r="F168" s="343" t="str">
        <f>VLOOKUP(F167,Schlüssel!$A$5:$K$14,2)</f>
        <v>BK München 4</v>
      </c>
      <c r="G168" s="344"/>
      <c r="H168" s="343" t="str">
        <f>VLOOKUP(H167,Schlüssel!$A$5:$K$14,2)</f>
        <v>BK München 3</v>
      </c>
      <c r="I168" s="344"/>
      <c r="J168" s="343" t="str">
        <f>VLOOKUP(J167,Schlüssel!$A$5:$K$14,2)</f>
        <v>RW Lichtenhof 69 Stein 2</v>
      </c>
      <c r="K168" s="344"/>
      <c r="L168" s="343" t="str">
        <f>VLOOKUP(L167,Schlüssel!$A$5:$K$14,2)</f>
        <v>BK München 2</v>
      </c>
      <c r="M168" s="344"/>
      <c r="N168" s="343" t="str">
        <f>VLOOKUP(N167,Schlüssel!$A$5:$K$14,2)</f>
        <v>EPA München 1</v>
      </c>
      <c r="O168" s="344"/>
      <c r="P168" s="343" t="str">
        <f>VLOOKUP(P167,Schlüssel!$A$5:$K$14,2)</f>
        <v>Frankenpower Nürnberg</v>
      </c>
      <c r="Q168" s="344"/>
      <c r="R168" s="343" t="str">
        <f>VLOOKUP(R167,Schlüssel!$A$5:$K$14,2)</f>
        <v>Praetoria Regensburg</v>
      </c>
      <c r="S168" s="344"/>
      <c r="T168" s="343" t="str">
        <f>VLOOKUP(T167,Schlüssel!$A$5:$K$14,2)</f>
        <v xml:space="preserve">Weiß Blau Unterföhring </v>
      </c>
      <c r="U168" s="344"/>
      <c r="V168" s="345"/>
      <c r="W168" s="345"/>
    </row>
    <row r="169" spans="1:29" ht="12" customHeight="1" x14ac:dyDescent="0.35">
      <c r="B169" s="90"/>
      <c r="C169" s="86"/>
      <c r="D169" s="341"/>
      <c r="E169" s="341"/>
      <c r="F169" s="341"/>
      <c r="G169" s="341"/>
      <c r="H169" s="341"/>
      <c r="I169" s="341"/>
      <c r="J169" s="341"/>
      <c r="K169" s="341"/>
      <c r="L169" s="341"/>
      <c r="M169" s="341"/>
      <c r="N169" s="341"/>
      <c r="O169" s="341"/>
      <c r="P169" s="341"/>
      <c r="Q169" s="341"/>
      <c r="R169" s="341"/>
      <c r="S169" s="341"/>
      <c r="T169" s="341"/>
      <c r="U169" s="342"/>
      <c r="V169" s="301"/>
      <c r="W169" s="301"/>
    </row>
    <row r="170" spans="1:29" ht="16.05" customHeight="1" x14ac:dyDescent="0.35">
      <c r="B170" s="91" t="s">
        <v>0</v>
      </c>
      <c r="C170" s="92"/>
      <c r="D170" s="339"/>
      <c r="E170" s="339"/>
      <c r="F170" s="339"/>
      <c r="G170" s="339"/>
      <c r="H170" s="339"/>
      <c r="I170" s="339"/>
      <c r="J170" s="339"/>
      <c r="K170" s="339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40"/>
      <c r="W170" s="340"/>
    </row>
    <row r="171" spans="1:29" ht="16.05" customHeight="1" x14ac:dyDescent="0.35">
      <c r="B171" s="91" t="s">
        <v>2</v>
      </c>
      <c r="C171" s="92"/>
      <c r="D171" s="339"/>
      <c r="E171" s="339"/>
      <c r="F171" s="339"/>
      <c r="G171" s="339"/>
      <c r="H171" s="339"/>
      <c r="I171" s="339"/>
      <c r="J171" s="339"/>
      <c r="K171" s="33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40"/>
      <c r="W171" s="340"/>
    </row>
    <row r="172" spans="1:29" ht="16.05" customHeight="1" x14ac:dyDescent="0.35">
      <c r="B172" s="91" t="s">
        <v>3</v>
      </c>
      <c r="C172" s="92"/>
      <c r="D172" s="339"/>
      <c r="E172" s="339"/>
      <c r="F172" s="339"/>
      <c r="G172" s="339"/>
      <c r="H172" s="339"/>
      <c r="I172" s="339"/>
      <c r="J172" s="339"/>
      <c r="K172" s="339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40"/>
      <c r="W172" s="340"/>
    </row>
    <row r="173" spans="1:29" ht="16.05" customHeight="1" x14ac:dyDescent="0.35">
      <c r="B173" s="91" t="s">
        <v>11</v>
      </c>
      <c r="C173" s="92"/>
      <c r="D173" s="339"/>
      <c r="E173" s="339"/>
      <c r="F173" s="339"/>
      <c r="G173" s="339"/>
      <c r="H173" s="339"/>
      <c r="I173" s="339"/>
      <c r="J173" s="339"/>
      <c r="K173" s="339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40"/>
      <c r="W173" s="340"/>
    </row>
    <row r="174" spans="1:29" ht="16.05" customHeight="1" x14ac:dyDescent="0.35">
      <c r="B174" s="93" t="s">
        <v>1799</v>
      </c>
      <c r="C174" s="94"/>
      <c r="D174" s="338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290"/>
      <c r="W174" s="290"/>
    </row>
    <row r="175" spans="1:29" ht="21" customHeight="1" x14ac:dyDescent="0.7">
      <c r="B175" s="44" t="s">
        <v>1813</v>
      </c>
      <c r="C175" s="45"/>
      <c r="D175" s="46" t="s">
        <v>1792</v>
      </c>
      <c r="E175" s="47"/>
      <c r="F175" s="359" t="str">
        <f>Schlüssel!$C$1</f>
        <v>Bayernliga Frauen</v>
      </c>
      <c r="G175" s="359"/>
      <c r="H175" s="359"/>
      <c r="I175" s="359"/>
      <c r="J175" s="359"/>
      <c r="K175" s="359"/>
      <c r="L175" s="359"/>
      <c r="M175" s="359"/>
      <c r="N175" s="359"/>
      <c r="O175" s="359"/>
      <c r="P175" s="45"/>
      <c r="Q175" s="45"/>
      <c r="R175" s="48"/>
      <c r="S175" s="49" t="s">
        <v>1794</v>
      </c>
      <c r="T175" s="50"/>
      <c r="U175" s="360" t="str">
        <f>Schlüssel!$DI$1</f>
        <v>05.04./06.04.</v>
      </c>
      <c r="V175" s="361"/>
      <c r="W175" s="362"/>
      <c r="AC175" s="51"/>
    </row>
    <row r="176" spans="1:29" ht="17.25" customHeight="1" thickBot="1" x14ac:dyDescent="0.65">
      <c r="A176" s="52"/>
      <c r="B176" s="96">
        <f>+B147+1</f>
        <v>7</v>
      </c>
      <c r="D176" s="46" t="s">
        <v>1793</v>
      </c>
      <c r="E176" s="54"/>
      <c r="F176" s="358" t="str">
        <f>Schlüssel!$CY$2</f>
        <v>Schweinfurt Extreme Bowlingarena</v>
      </c>
      <c r="G176" s="358"/>
      <c r="H176" s="358"/>
      <c r="I176" s="358"/>
      <c r="J176" s="358"/>
      <c r="K176" s="358"/>
      <c r="L176" s="358"/>
      <c r="M176" s="358"/>
      <c r="N176" s="358"/>
      <c r="O176" s="358"/>
      <c r="P176" s="55"/>
      <c r="Q176" s="55"/>
      <c r="S176" s="49" t="s">
        <v>1791</v>
      </c>
      <c r="T176" s="56">
        <v>6</v>
      </c>
      <c r="U176" s="50"/>
      <c r="V176" s="50"/>
      <c r="AC176" s="97"/>
    </row>
    <row r="177" spans="1:23" ht="15.75" customHeight="1" thickBot="1" x14ac:dyDescent="0.4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5" thickBot="1" x14ac:dyDescent="0.45">
      <c r="A178" s="2"/>
      <c r="B178" s="44"/>
      <c r="C178" s="63"/>
      <c r="D178" s="64" t="s">
        <v>10</v>
      </c>
      <c r="E178" s="44">
        <f>VLOOKUP($B176,Schlüssel!$A$5:$DZ$14,113)</f>
        <v>3</v>
      </c>
      <c r="F178" s="65" t="s">
        <v>10</v>
      </c>
      <c r="G178" s="44">
        <f>VLOOKUP($B176,Schlüssel!$A$5:$DZ$14,114)</f>
        <v>7</v>
      </c>
      <c r="H178" s="65" t="s">
        <v>10</v>
      </c>
      <c r="I178" s="44">
        <f>VLOOKUP($B176,Schlüssel!$A$5:$DZ$14,115)</f>
        <v>9</v>
      </c>
      <c r="J178" s="65" t="s">
        <v>10</v>
      </c>
      <c r="K178" s="44">
        <f>VLOOKUP($B176,Schlüssel!$A$5:$DZ$14,116)</f>
        <v>6</v>
      </c>
      <c r="L178" s="65" t="s">
        <v>10</v>
      </c>
      <c r="M178" s="44">
        <f>VLOOKUP($B176,Schlüssel!$A$5:$DZ$14,117)</f>
        <v>1</v>
      </c>
      <c r="N178" s="65" t="s">
        <v>10</v>
      </c>
      <c r="O178" s="44">
        <f>VLOOKUP($B176,Schlüssel!$A$5:$DZ$14,118)</f>
        <v>5</v>
      </c>
      <c r="P178" s="65" t="s">
        <v>10</v>
      </c>
      <c r="Q178" s="44">
        <f>VLOOKUP($B176,Schlüssel!$A$5:$DZ$14,119)</f>
        <v>8</v>
      </c>
      <c r="R178" s="65" t="s">
        <v>10</v>
      </c>
      <c r="S178" s="44">
        <f>VLOOKUP($B176,Schlüssel!$A$5:$DZ$14,120)</f>
        <v>2</v>
      </c>
      <c r="T178" s="65" t="s">
        <v>10</v>
      </c>
      <c r="U178" s="66">
        <f>VLOOKUP($B176,Schlüssel!$A$5:$DZ$14,121)</f>
        <v>4</v>
      </c>
    </row>
    <row r="179" spans="1:23" ht="20.25" customHeight="1" x14ac:dyDescent="0.35">
      <c r="B179" s="67" t="s">
        <v>1</v>
      </c>
      <c r="C179" s="68"/>
      <c r="D179" s="354" t="s">
        <v>1800</v>
      </c>
      <c r="E179" s="355"/>
      <c r="F179" s="354" t="s">
        <v>1801</v>
      </c>
      <c r="G179" s="355"/>
      <c r="H179" s="354" t="s">
        <v>1802</v>
      </c>
      <c r="I179" s="355"/>
      <c r="J179" s="354" t="s">
        <v>1803</v>
      </c>
      <c r="K179" s="355"/>
      <c r="L179" s="354" t="s">
        <v>1804</v>
      </c>
      <c r="M179" s="355"/>
      <c r="N179" s="354" t="s">
        <v>1805</v>
      </c>
      <c r="O179" s="355"/>
      <c r="P179" s="354" t="s">
        <v>1806</v>
      </c>
      <c r="Q179" s="355"/>
      <c r="R179" s="354" t="s">
        <v>1807</v>
      </c>
      <c r="S179" s="355"/>
      <c r="T179" s="354" t="s">
        <v>1808</v>
      </c>
      <c r="U179" s="355"/>
      <c r="V179" s="356" t="s">
        <v>1799</v>
      </c>
      <c r="W179" s="357"/>
    </row>
    <row r="180" spans="1:23" ht="15" customHeight="1" thickBot="1" x14ac:dyDescent="0.4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2" customHeight="1" x14ac:dyDescent="0.35">
      <c r="A181" s="351" t="s">
        <v>0</v>
      </c>
      <c r="B181" s="73"/>
      <c r="C181" s="74"/>
      <c r="D181" s="75"/>
      <c r="E181" s="348"/>
      <c r="F181" s="75"/>
      <c r="G181" s="348"/>
      <c r="H181" s="75"/>
      <c r="I181" s="348"/>
      <c r="J181" s="75"/>
      <c r="K181" s="348"/>
      <c r="L181" s="75"/>
      <c r="M181" s="348"/>
      <c r="N181" s="75"/>
      <c r="O181" s="348"/>
      <c r="P181" s="75"/>
      <c r="Q181" s="348"/>
      <c r="R181" s="75"/>
      <c r="S181" s="348"/>
      <c r="T181" s="75"/>
      <c r="U181" s="348"/>
      <c r="V181" s="75"/>
      <c r="W181" s="348"/>
    </row>
    <row r="182" spans="1:23" ht="17.2" customHeight="1" x14ac:dyDescent="0.35">
      <c r="A182" s="352"/>
      <c r="B182" s="76"/>
      <c r="C182" s="77"/>
      <c r="D182" s="78"/>
      <c r="E182" s="349"/>
      <c r="F182" s="78"/>
      <c r="G182" s="349"/>
      <c r="H182" s="78"/>
      <c r="I182" s="349"/>
      <c r="J182" s="78"/>
      <c r="K182" s="349"/>
      <c r="L182" s="78"/>
      <c r="M182" s="349"/>
      <c r="N182" s="78"/>
      <c r="O182" s="349"/>
      <c r="P182" s="78"/>
      <c r="Q182" s="349"/>
      <c r="R182" s="78"/>
      <c r="S182" s="349"/>
      <c r="T182" s="78"/>
      <c r="U182" s="349"/>
      <c r="V182" s="78"/>
      <c r="W182" s="349"/>
    </row>
    <row r="183" spans="1:23" ht="17.2" customHeight="1" thickBot="1" x14ac:dyDescent="0.4">
      <c r="A183" s="353"/>
      <c r="B183" s="79"/>
      <c r="C183" s="80"/>
      <c r="D183" s="69"/>
      <c r="E183" s="350"/>
      <c r="F183" s="69"/>
      <c r="G183" s="350"/>
      <c r="H183" s="69"/>
      <c r="I183" s="350"/>
      <c r="J183" s="69"/>
      <c r="K183" s="350"/>
      <c r="L183" s="69"/>
      <c r="M183" s="350"/>
      <c r="N183" s="69"/>
      <c r="O183" s="350"/>
      <c r="P183" s="69"/>
      <c r="Q183" s="350"/>
      <c r="R183" s="69"/>
      <c r="S183" s="350"/>
      <c r="T183" s="69"/>
      <c r="U183" s="350"/>
      <c r="V183" s="69"/>
      <c r="W183" s="350"/>
    </row>
    <row r="184" spans="1:23" ht="17.2" customHeight="1" x14ac:dyDescent="0.35">
      <c r="A184" s="351" t="s">
        <v>2</v>
      </c>
      <c r="B184" s="73"/>
      <c r="C184" s="74"/>
      <c r="D184" s="75"/>
      <c r="E184" s="348"/>
      <c r="F184" s="75"/>
      <c r="G184" s="348"/>
      <c r="H184" s="75"/>
      <c r="I184" s="348"/>
      <c r="J184" s="75"/>
      <c r="K184" s="348"/>
      <c r="L184" s="75"/>
      <c r="M184" s="348"/>
      <c r="N184" s="75"/>
      <c r="O184" s="348"/>
      <c r="P184" s="75"/>
      <c r="Q184" s="348"/>
      <c r="R184" s="75"/>
      <c r="S184" s="348"/>
      <c r="T184" s="75"/>
      <c r="U184" s="348"/>
      <c r="V184" s="75"/>
      <c r="W184" s="348"/>
    </row>
    <row r="185" spans="1:23" ht="17.2" customHeight="1" x14ac:dyDescent="0.35">
      <c r="A185" s="352"/>
      <c r="B185" s="76"/>
      <c r="C185" s="77"/>
      <c r="D185" s="78"/>
      <c r="E185" s="349"/>
      <c r="F185" s="78"/>
      <c r="G185" s="349"/>
      <c r="H185" s="78"/>
      <c r="I185" s="349"/>
      <c r="J185" s="78"/>
      <c r="K185" s="349"/>
      <c r="L185" s="78"/>
      <c r="M185" s="349"/>
      <c r="N185" s="78"/>
      <c r="O185" s="349"/>
      <c r="P185" s="78"/>
      <c r="Q185" s="349"/>
      <c r="R185" s="78"/>
      <c r="S185" s="349"/>
      <c r="T185" s="78"/>
      <c r="U185" s="349"/>
      <c r="V185" s="78"/>
      <c r="W185" s="349"/>
    </row>
    <row r="186" spans="1:23" ht="17.2" customHeight="1" thickBot="1" x14ac:dyDescent="0.4">
      <c r="A186" s="353"/>
      <c r="B186" s="79"/>
      <c r="C186" s="80"/>
      <c r="D186" s="69"/>
      <c r="E186" s="350"/>
      <c r="F186" s="69"/>
      <c r="G186" s="350"/>
      <c r="H186" s="69"/>
      <c r="I186" s="350"/>
      <c r="J186" s="69"/>
      <c r="K186" s="350"/>
      <c r="L186" s="69"/>
      <c r="M186" s="350"/>
      <c r="N186" s="69"/>
      <c r="O186" s="350"/>
      <c r="P186" s="69"/>
      <c r="Q186" s="350"/>
      <c r="R186" s="69"/>
      <c r="S186" s="350"/>
      <c r="T186" s="69"/>
      <c r="U186" s="350"/>
      <c r="V186" s="69"/>
      <c r="W186" s="350"/>
    </row>
    <row r="187" spans="1:23" ht="17.2" customHeight="1" x14ac:dyDescent="0.35">
      <c r="A187" s="351" t="s">
        <v>3</v>
      </c>
      <c r="B187" s="73"/>
      <c r="C187" s="74"/>
      <c r="D187" s="75"/>
      <c r="E187" s="348"/>
      <c r="F187" s="75"/>
      <c r="G187" s="348"/>
      <c r="H187" s="75"/>
      <c r="I187" s="348"/>
      <c r="J187" s="75"/>
      <c r="K187" s="348"/>
      <c r="L187" s="75"/>
      <c r="M187" s="348"/>
      <c r="N187" s="75"/>
      <c r="O187" s="348"/>
      <c r="P187" s="75"/>
      <c r="Q187" s="348"/>
      <c r="R187" s="75"/>
      <c r="S187" s="348"/>
      <c r="T187" s="75"/>
      <c r="U187" s="348"/>
      <c r="V187" s="75"/>
      <c r="W187" s="348"/>
    </row>
    <row r="188" spans="1:23" ht="17.2" customHeight="1" x14ac:dyDescent="0.35">
      <c r="A188" s="352"/>
      <c r="B188" s="76"/>
      <c r="C188" s="77"/>
      <c r="D188" s="78"/>
      <c r="E188" s="349"/>
      <c r="F188" s="78"/>
      <c r="G188" s="349"/>
      <c r="H188" s="78"/>
      <c r="I188" s="349"/>
      <c r="J188" s="78"/>
      <c r="K188" s="349"/>
      <c r="L188" s="78"/>
      <c r="M188" s="349"/>
      <c r="N188" s="78"/>
      <c r="O188" s="349"/>
      <c r="P188" s="78"/>
      <c r="Q188" s="349"/>
      <c r="R188" s="78"/>
      <c r="S188" s="349"/>
      <c r="T188" s="78"/>
      <c r="U188" s="349"/>
      <c r="V188" s="78"/>
      <c r="W188" s="349"/>
    </row>
    <row r="189" spans="1:23" ht="17.2" customHeight="1" thickBot="1" x14ac:dyDescent="0.4">
      <c r="A189" s="353"/>
      <c r="B189" s="79"/>
      <c r="C189" s="80"/>
      <c r="D189" s="69"/>
      <c r="E189" s="350"/>
      <c r="F189" s="69"/>
      <c r="G189" s="350"/>
      <c r="H189" s="69"/>
      <c r="I189" s="350"/>
      <c r="J189" s="69"/>
      <c r="K189" s="350"/>
      <c r="L189" s="69"/>
      <c r="M189" s="350"/>
      <c r="N189" s="69"/>
      <c r="O189" s="350"/>
      <c r="P189" s="69"/>
      <c r="Q189" s="350"/>
      <c r="R189" s="69"/>
      <c r="S189" s="350"/>
      <c r="T189" s="69"/>
      <c r="U189" s="350"/>
      <c r="V189" s="69"/>
      <c r="W189" s="350"/>
    </row>
    <row r="190" spans="1:23" ht="17.2" customHeight="1" x14ac:dyDescent="0.35">
      <c r="A190" s="351" t="s">
        <v>11</v>
      </c>
      <c r="B190" s="73"/>
      <c r="C190" s="74"/>
      <c r="D190" s="75"/>
      <c r="E190" s="348"/>
      <c r="F190" s="75"/>
      <c r="G190" s="348"/>
      <c r="H190" s="75"/>
      <c r="I190" s="348"/>
      <c r="J190" s="75"/>
      <c r="K190" s="348"/>
      <c r="L190" s="75"/>
      <c r="M190" s="348"/>
      <c r="N190" s="75"/>
      <c r="O190" s="348"/>
      <c r="P190" s="75"/>
      <c r="Q190" s="348"/>
      <c r="R190" s="75"/>
      <c r="S190" s="348"/>
      <c r="T190" s="75"/>
      <c r="U190" s="348"/>
      <c r="V190" s="75"/>
      <c r="W190" s="348"/>
    </row>
    <row r="191" spans="1:23" ht="17.2" customHeight="1" x14ac:dyDescent="0.35">
      <c r="A191" s="352"/>
      <c r="B191" s="76"/>
      <c r="C191" s="77"/>
      <c r="D191" s="78"/>
      <c r="E191" s="349"/>
      <c r="F191" s="78"/>
      <c r="G191" s="349"/>
      <c r="H191" s="78"/>
      <c r="I191" s="349"/>
      <c r="J191" s="78"/>
      <c r="K191" s="349"/>
      <c r="L191" s="78"/>
      <c r="M191" s="349"/>
      <c r="N191" s="78"/>
      <c r="O191" s="349"/>
      <c r="P191" s="78"/>
      <c r="Q191" s="349"/>
      <c r="R191" s="78"/>
      <c r="S191" s="349"/>
      <c r="T191" s="78"/>
      <c r="U191" s="349"/>
      <c r="V191" s="78"/>
      <c r="W191" s="349"/>
    </row>
    <row r="192" spans="1:23" ht="17.2" customHeight="1" thickBot="1" x14ac:dyDescent="0.4">
      <c r="A192" s="353"/>
      <c r="B192" s="79"/>
      <c r="C192" s="80"/>
      <c r="D192" s="69"/>
      <c r="E192" s="350"/>
      <c r="F192" s="69"/>
      <c r="G192" s="350"/>
      <c r="H192" s="69"/>
      <c r="I192" s="350"/>
      <c r="J192" s="69"/>
      <c r="K192" s="350"/>
      <c r="L192" s="69"/>
      <c r="M192" s="350"/>
      <c r="N192" s="69"/>
      <c r="O192" s="350"/>
      <c r="P192" s="69"/>
      <c r="Q192" s="350"/>
      <c r="R192" s="69"/>
      <c r="S192" s="350"/>
      <c r="T192" s="69"/>
      <c r="U192" s="350"/>
      <c r="V192" s="69"/>
      <c r="W192" s="350"/>
    </row>
    <row r="193" spans="1:29" ht="27.75" customHeight="1" thickBot="1" x14ac:dyDescent="0.4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4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3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35">
      <c r="B196" s="88" t="s">
        <v>1797</v>
      </c>
      <c r="C196" s="89" t="s">
        <v>1798</v>
      </c>
      <c r="D196" s="346">
        <f>VLOOKUP(B176,Schlüssel!$A$5:$DZ$14,103)</f>
        <v>1</v>
      </c>
      <c r="E196" s="346"/>
      <c r="F196" s="346">
        <f>VLOOKUP(B176,Schlüssel!$A$5:$DZ$14,104)</f>
        <v>5</v>
      </c>
      <c r="G196" s="346"/>
      <c r="H196" s="346">
        <f>VLOOKUP(B176,Schlüssel!$A$5:$DZ$14,105)</f>
        <v>9</v>
      </c>
      <c r="I196" s="346"/>
      <c r="J196" s="346">
        <f>VLOOKUP(B176,Schlüssel!$A$5:$DZ$14,106)</f>
        <v>2</v>
      </c>
      <c r="K196" s="346"/>
      <c r="L196" s="346">
        <f>VLOOKUP(B176,Schlüssel!$A$5:$DZ$14,107)</f>
        <v>10</v>
      </c>
      <c r="M196" s="346"/>
      <c r="N196" s="346">
        <f>VLOOKUP(B176,Schlüssel!$A$5:$DZ$14,108)</f>
        <v>4</v>
      </c>
      <c r="O196" s="346"/>
      <c r="P196" s="346">
        <f>VLOOKUP(B176,Schlüssel!$A$5:$DZ$14,109)</f>
        <v>6</v>
      </c>
      <c r="Q196" s="346"/>
      <c r="R196" s="346">
        <f>VLOOKUP(B176,Schlüssel!$A$5:$DZ$14,110)</f>
        <v>3</v>
      </c>
      <c r="S196" s="346"/>
      <c r="T196" s="346">
        <f>VLOOKUP(B176,Schlüssel!$A$5:$DZ$14,111)</f>
        <v>8</v>
      </c>
      <c r="U196" s="346"/>
      <c r="V196" s="347"/>
      <c r="W196" s="347"/>
    </row>
    <row r="197" spans="1:29" ht="28.5" customHeight="1" x14ac:dyDescent="0.35">
      <c r="B197" s="90"/>
      <c r="C197" s="86"/>
      <c r="D197" s="343" t="str">
        <f>VLOOKUP(D196,Schlüssel!$A$5:$K$14,2)</f>
        <v>Praetoria Regensburg</v>
      </c>
      <c r="E197" s="344"/>
      <c r="F197" s="343" t="str">
        <f>VLOOKUP(F196,Schlüssel!$A$5:$K$14,2)</f>
        <v xml:space="preserve">Weiß Blau Unterföhring </v>
      </c>
      <c r="G197" s="344"/>
      <c r="H197" s="343" t="str">
        <f>VLOOKUP(H196,Schlüssel!$A$5:$K$14,2)</f>
        <v>RW Lichtenhof 69 Stein 2</v>
      </c>
      <c r="I197" s="344"/>
      <c r="J197" s="343" t="str">
        <f>VLOOKUP(J196,Schlüssel!$A$5:$K$14,2)</f>
        <v>BK München 2</v>
      </c>
      <c r="K197" s="344"/>
      <c r="L197" s="343" t="str">
        <f>VLOOKUP(L196,Schlüssel!$A$5:$K$14,2)</f>
        <v>BK München 4</v>
      </c>
      <c r="M197" s="344"/>
      <c r="N197" s="343" t="str">
        <f>VLOOKUP(N196,Schlüssel!$A$5:$K$14,2)</f>
        <v>BK München 3</v>
      </c>
      <c r="O197" s="344"/>
      <c r="P197" s="343" t="str">
        <f>VLOOKUP(P196,Schlüssel!$A$5:$K$14,2)</f>
        <v>Phönix 03 Lauf</v>
      </c>
      <c r="Q197" s="344"/>
      <c r="R197" s="343" t="str">
        <f>VLOOKUP(R196,Schlüssel!$A$5:$K$14,2)</f>
        <v>Highroller Rosenheim</v>
      </c>
      <c r="S197" s="344"/>
      <c r="T197" s="343" t="str">
        <f>VLOOKUP(T196,Schlüssel!$A$5:$K$14,2)</f>
        <v>EPA München 1</v>
      </c>
      <c r="U197" s="344"/>
      <c r="V197" s="345"/>
      <c r="W197" s="345"/>
    </row>
    <row r="198" spans="1:29" ht="12" customHeight="1" x14ac:dyDescent="0.35">
      <c r="B198" s="90"/>
      <c r="C198" s="86"/>
      <c r="D198" s="341"/>
      <c r="E198" s="341"/>
      <c r="F198" s="341"/>
      <c r="G198" s="341"/>
      <c r="H198" s="341"/>
      <c r="I198" s="341"/>
      <c r="J198" s="341"/>
      <c r="K198" s="341"/>
      <c r="L198" s="341"/>
      <c r="M198" s="341"/>
      <c r="N198" s="341"/>
      <c r="O198" s="341"/>
      <c r="P198" s="341"/>
      <c r="Q198" s="341"/>
      <c r="R198" s="341"/>
      <c r="S198" s="341"/>
      <c r="T198" s="341"/>
      <c r="U198" s="342"/>
      <c r="V198" s="301"/>
      <c r="W198" s="301"/>
    </row>
    <row r="199" spans="1:29" ht="16.05" customHeight="1" x14ac:dyDescent="0.35">
      <c r="B199" s="91" t="s">
        <v>0</v>
      </c>
      <c r="C199" s="92"/>
      <c r="D199" s="339"/>
      <c r="E199" s="339"/>
      <c r="F199" s="339"/>
      <c r="G199" s="339"/>
      <c r="H199" s="339"/>
      <c r="I199" s="339"/>
      <c r="J199" s="339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40"/>
      <c r="W199" s="340"/>
    </row>
    <row r="200" spans="1:29" ht="16.05" customHeight="1" x14ac:dyDescent="0.35">
      <c r="B200" s="91" t="s">
        <v>2</v>
      </c>
      <c r="C200" s="92"/>
      <c r="D200" s="339"/>
      <c r="E200" s="339"/>
      <c r="F200" s="339"/>
      <c r="G200" s="339"/>
      <c r="H200" s="339"/>
      <c r="I200" s="339"/>
      <c r="J200" s="339"/>
      <c r="K200" s="33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40"/>
      <c r="W200" s="340"/>
    </row>
    <row r="201" spans="1:29" ht="16.05" customHeight="1" x14ac:dyDescent="0.35">
      <c r="B201" s="91" t="s">
        <v>3</v>
      </c>
      <c r="C201" s="92"/>
      <c r="D201" s="339"/>
      <c r="E201" s="339"/>
      <c r="F201" s="339"/>
      <c r="G201" s="339"/>
      <c r="H201" s="339"/>
      <c r="I201" s="339"/>
      <c r="J201" s="339"/>
      <c r="K201" s="339"/>
      <c r="L201" s="339"/>
      <c r="M201" s="339"/>
      <c r="N201" s="339"/>
      <c r="O201" s="339"/>
      <c r="P201" s="339"/>
      <c r="Q201" s="339"/>
      <c r="R201" s="339"/>
      <c r="S201" s="339"/>
      <c r="T201" s="339"/>
      <c r="U201" s="339"/>
      <c r="V201" s="340"/>
      <c r="W201" s="340"/>
    </row>
    <row r="202" spans="1:29" ht="16.05" customHeight="1" x14ac:dyDescent="0.35">
      <c r="B202" s="91" t="s">
        <v>11</v>
      </c>
      <c r="C202" s="92"/>
      <c r="D202" s="339"/>
      <c r="E202" s="339"/>
      <c r="F202" s="339"/>
      <c r="G202" s="339"/>
      <c r="H202" s="339"/>
      <c r="I202" s="339"/>
      <c r="J202" s="339"/>
      <c r="K202" s="339"/>
      <c r="L202" s="339"/>
      <c r="M202" s="339"/>
      <c r="N202" s="339"/>
      <c r="O202" s="339"/>
      <c r="P202" s="339"/>
      <c r="Q202" s="339"/>
      <c r="R202" s="339"/>
      <c r="S202" s="339"/>
      <c r="T202" s="339"/>
      <c r="U202" s="339"/>
      <c r="V202" s="340"/>
      <c r="W202" s="340"/>
    </row>
    <row r="203" spans="1:29" ht="16.05" customHeight="1" x14ac:dyDescent="0.35">
      <c r="B203" s="93" t="s">
        <v>1799</v>
      </c>
      <c r="C203" s="94"/>
      <c r="D203" s="338"/>
      <c r="E203" s="338"/>
      <c r="F203" s="338"/>
      <c r="G203" s="338"/>
      <c r="H203" s="338"/>
      <c r="I203" s="338"/>
      <c r="J203" s="338"/>
      <c r="K203" s="338"/>
      <c r="L203" s="338"/>
      <c r="M203" s="338"/>
      <c r="N203" s="338"/>
      <c r="O203" s="338"/>
      <c r="P203" s="338"/>
      <c r="Q203" s="338"/>
      <c r="R203" s="338"/>
      <c r="S203" s="338"/>
      <c r="T203" s="338"/>
      <c r="U203" s="338"/>
      <c r="V203" s="290"/>
      <c r="W203" s="290"/>
    </row>
    <row r="204" spans="1:29" ht="21" customHeight="1" x14ac:dyDescent="0.7">
      <c r="B204" s="44" t="s">
        <v>1813</v>
      </c>
      <c r="C204" s="45"/>
      <c r="D204" s="46" t="s">
        <v>1792</v>
      </c>
      <c r="E204" s="47"/>
      <c r="F204" s="359" t="str">
        <f>Schlüssel!$C$1</f>
        <v>Bayernliga Frauen</v>
      </c>
      <c r="G204" s="359"/>
      <c r="H204" s="359"/>
      <c r="I204" s="359"/>
      <c r="J204" s="359"/>
      <c r="K204" s="359"/>
      <c r="L204" s="359"/>
      <c r="M204" s="359"/>
      <c r="N204" s="359"/>
      <c r="O204" s="359"/>
      <c r="P204" s="45"/>
      <c r="Q204" s="45"/>
      <c r="R204" s="48"/>
      <c r="S204" s="49" t="s">
        <v>1794</v>
      </c>
      <c r="T204" s="50"/>
      <c r="U204" s="360" t="str">
        <f>Schlüssel!$DI$1</f>
        <v>05.04./06.04.</v>
      </c>
      <c r="V204" s="361"/>
      <c r="W204" s="362"/>
      <c r="AC204" s="51"/>
    </row>
    <row r="205" spans="1:29" ht="17.25" customHeight="1" thickBot="1" x14ac:dyDescent="0.65">
      <c r="A205" s="52"/>
      <c r="B205" s="96">
        <f>+B176+1</f>
        <v>8</v>
      </c>
      <c r="D205" s="46" t="s">
        <v>1793</v>
      </c>
      <c r="E205" s="54"/>
      <c r="F205" s="358" t="str">
        <f>Schlüssel!$CY$2</f>
        <v>Schweinfurt Extreme Bowlingarena</v>
      </c>
      <c r="G205" s="358"/>
      <c r="H205" s="358"/>
      <c r="I205" s="358"/>
      <c r="J205" s="358"/>
      <c r="K205" s="358"/>
      <c r="L205" s="358"/>
      <c r="M205" s="358"/>
      <c r="N205" s="358"/>
      <c r="O205" s="358"/>
      <c r="P205" s="55"/>
      <c r="Q205" s="55"/>
      <c r="S205" s="49" t="s">
        <v>1791</v>
      </c>
      <c r="T205" s="56">
        <v>6</v>
      </c>
      <c r="U205" s="50"/>
      <c r="V205" s="50"/>
      <c r="AC205" s="97"/>
    </row>
    <row r="206" spans="1:29" ht="15.75" customHeight="1" thickBot="1" x14ac:dyDescent="0.4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5" thickBot="1" x14ac:dyDescent="0.45">
      <c r="A207" s="2"/>
      <c r="B207" s="44"/>
      <c r="C207" s="63"/>
      <c r="D207" s="64" t="s">
        <v>10</v>
      </c>
      <c r="E207" s="44">
        <f>VLOOKUP($B205,Schlüssel!$A$5:$DZ$14,113)</f>
        <v>2</v>
      </c>
      <c r="F207" s="65" t="s">
        <v>10</v>
      </c>
      <c r="G207" s="44">
        <f>VLOOKUP($B205,Schlüssel!$A$5:$DZ$14,114)</f>
        <v>9</v>
      </c>
      <c r="H207" s="65" t="s">
        <v>10</v>
      </c>
      <c r="I207" s="44">
        <f>VLOOKUP($B205,Schlüssel!$A$5:$DZ$14,115)</f>
        <v>8</v>
      </c>
      <c r="J207" s="65" t="s">
        <v>10</v>
      </c>
      <c r="K207" s="44">
        <f>VLOOKUP($B205,Schlüssel!$A$5:$DZ$14,116)</f>
        <v>1</v>
      </c>
      <c r="L207" s="65" t="s">
        <v>10</v>
      </c>
      <c r="M207" s="44">
        <f>VLOOKUP($B205,Schlüssel!$A$5:$DZ$14,117)</f>
        <v>5</v>
      </c>
      <c r="N207" s="65" t="s">
        <v>10</v>
      </c>
      <c r="O207" s="44">
        <f>VLOOKUP($B205,Schlüssel!$A$5:$DZ$14,118)</f>
        <v>4</v>
      </c>
      <c r="P207" s="65" t="s">
        <v>10</v>
      </c>
      <c r="Q207" s="44">
        <f>VLOOKUP($B205,Schlüssel!$A$5:$DZ$14,119)</f>
        <v>10</v>
      </c>
      <c r="R207" s="65" t="s">
        <v>10</v>
      </c>
      <c r="S207" s="44">
        <f>VLOOKUP($B205,Schlüssel!$A$5:$DZ$14,120)</f>
        <v>7</v>
      </c>
      <c r="T207" s="65" t="s">
        <v>10</v>
      </c>
      <c r="U207" s="66">
        <f>VLOOKUP($B205,Schlüssel!$A$5:$DZ$14,121)</f>
        <v>3</v>
      </c>
    </row>
    <row r="208" spans="1:29" ht="20.25" customHeight="1" x14ac:dyDescent="0.35">
      <c r="B208" s="67" t="s">
        <v>1</v>
      </c>
      <c r="C208" s="68"/>
      <c r="D208" s="354" t="s">
        <v>1800</v>
      </c>
      <c r="E208" s="355"/>
      <c r="F208" s="354" t="s">
        <v>1801</v>
      </c>
      <c r="G208" s="355"/>
      <c r="H208" s="354" t="s">
        <v>1802</v>
      </c>
      <c r="I208" s="355"/>
      <c r="J208" s="354" t="s">
        <v>1803</v>
      </c>
      <c r="K208" s="355"/>
      <c r="L208" s="354" t="s">
        <v>1804</v>
      </c>
      <c r="M208" s="355"/>
      <c r="N208" s="354" t="s">
        <v>1805</v>
      </c>
      <c r="O208" s="355"/>
      <c r="P208" s="354" t="s">
        <v>1806</v>
      </c>
      <c r="Q208" s="355"/>
      <c r="R208" s="354" t="s">
        <v>1807</v>
      </c>
      <c r="S208" s="355"/>
      <c r="T208" s="354" t="s">
        <v>1808</v>
      </c>
      <c r="U208" s="355"/>
      <c r="V208" s="356" t="s">
        <v>1799</v>
      </c>
      <c r="W208" s="357"/>
    </row>
    <row r="209" spans="1:23" ht="15" customHeight="1" thickBot="1" x14ac:dyDescent="0.4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2" customHeight="1" x14ac:dyDescent="0.35">
      <c r="A210" s="351" t="s">
        <v>0</v>
      </c>
      <c r="B210" s="73"/>
      <c r="C210" s="74"/>
      <c r="D210" s="75"/>
      <c r="E210" s="348"/>
      <c r="F210" s="75"/>
      <c r="G210" s="348"/>
      <c r="H210" s="75"/>
      <c r="I210" s="348"/>
      <c r="J210" s="75"/>
      <c r="K210" s="348"/>
      <c r="L210" s="75"/>
      <c r="M210" s="348"/>
      <c r="N210" s="75"/>
      <c r="O210" s="348"/>
      <c r="P210" s="75"/>
      <c r="Q210" s="348"/>
      <c r="R210" s="75"/>
      <c r="S210" s="348"/>
      <c r="T210" s="75"/>
      <c r="U210" s="348"/>
      <c r="V210" s="75"/>
      <c r="W210" s="348"/>
    </row>
    <row r="211" spans="1:23" ht="17.2" customHeight="1" x14ac:dyDescent="0.35">
      <c r="A211" s="352"/>
      <c r="B211" s="76"/>
      <c r="C211" s="77"/>
      <c r="D211" s="78"/>
      <c r="E211" s="349"/>
      <c r="F211" s="78"/>
      <c r="G211" s="349"/>
      <c r="H211" s="78"/>
      <c r="I211" s="349"/>
      <c r="J211" s="78"/>
      <c r="K211" s="349"/>
      <c r="L211" s="78"/>
      <c r="M211" s="349"/>
      <c r="N211" s="78"/>
      <c r="O211" s="349"/>
      <c r="P211" s="78"/>
      <c r="Q211" s="349"/>
      <c r="R211" s="78"/>
      <c r="S211" s="349"/>
      <c r="T211" s="78"/>
      <c r="U211" s="349"/>
      <c r="V211" s="78"/>
      <c r="W211" s="349"/>
    </row>
    <row r="212" spans="1:23" ht="17.2" customHeight="1" thickBot="1" x14ac:dyDescent="0.4">
      <c r="A212" s="353"/>
      <c r="B212" s="79"/>
      <c r="C212" s="80"/>
      <c r="D212" s="69"/>
      <c r="E212" s="350"/>
      <c r="F212" s="69"/>
      <c r="G212" s="350"/>
      <c r="H212" s="69"/>
      <c r="I212" s="350"/>
      <c r="J212" s="69"/>
      <c r="K212" s="350"/>
      <c r="L212" s="69"/>
      <c r="M212" s="350"/>
      <c r="N212" s="69"/>
      <c r="O212" s="350"/>
      <c r="P212" s="69"/>
      <c r="Q212" s="350"/>
      <c r="R212" s="69"/>
      <c r="S212" s="350"/>
      <c r="T212" s="69"/>
      <c r="U212" s="350"/>
      <c r="V212" s="69"/>
      <c r="W212" s="350"/>
    </row>
    <row r="213" spans="1:23" ht="17.2" customHeight="1" x14ac:dyDescent="0.35">
      <c r="A213" s="351" t="s">
        <v>2</v>
      </c>
      <c r="B213" s="73"/>
      <c r="C213" s="74"/>
      <c r="D213" s="75"/>
      <c r="E213" s="348"/>
      <c r="F213" s="75"/>
      <c r="G213" s="348"/>
      <c r="H213" s="75"/>
      <c r="I213" s="348"/>
      <c r="J213" s="75"/>
      <c r="K213" s="348"/>
      <c r="L213" s="75"/>
      <c r="M213" s="348"/>
      <c r="N213" s="75"/>
      <c r="O213" s="348"/>
      <c r="P213" s="75"/>
      <c r="Q213" s="348"/>
      <c r="R213" s="75"/>
      <c r="S213" s="348"/>
      <c r="T213" s="75"/>
      <c r="U213" s="348"/>
      <c r="V213" s="75"/>
      <c r="W213" s="348"/>
    </row>
    <row r="214" spans="1:23" ht="17.2" customHeight="1" x14ac:dyDescent="0.35">
      <c r="A214" s="352"/>
      <c r="B214" s="76"/>
      <c r="C214" s="77"/>
      <c r="D214" s="78"/>
      <c r="E214" s="349"/>
      <c r="F214" s="78"/>
      <c r="G214" s="349"/>
      <c r="H214" s="78"/>
      <c r="I214" s="349"/>
      <c r="J214" s="78"/>
      <c r="K214" s="349"/>
      <c r="L214" s="78"/>
      <c r="M214" s="349"/>
      <c r="N214" s="78"/>
      <c r="O214" s="349"/>
      <c r="P214" s="78"/>
      <c r="Q214" s="349"/>
      <c r="R214" s="78"/>
      <c r="S214" s="349"/>
      <c r="T214" s="78"/>
      <c r="U214" s="349"/>
      <c r="V214" s="78"/>
      <c r="W214" s="349"/>
    </row>
    <row r="215" spans="1:23" ht="17.2" customHeight="1" thickBot="1" x14ac:dyDescent="0.4">
      <c r="A215" s="353"/>
      <c r="B215" s="79"/>
      <c r="C215" s="80"/>
      <c r="D215" s="69"/>
      <c r="E215" s="350"/>
      <c r="F215" s="69"/>
      <c r="G215" s="350"/>
      <c r="H215" s="69"/>
      <c r="I215" s="350"/>
      <c r="J215" s="69"/>
      <c r="K215" s="350"/>
      <c r="L215" s="69"/>
      <c r="M215" s="350"/>
      <c r="N215" s="69"/>
      <c r="O215" s="350"/>
      <c r="P215" s="69"/>
      <c r="Q215" s="350"/>
      <c r="R215" s="69"/>
      <c r="S215" s="350"/>
      <c r="T215" s="69"/>
      <c r="U215" s="350"/>
      <c r="V215" s="69"/>
      <c r="W215" s="350"/>
    </row>
    <row r="216" spans="1:23" ht="17.2" customHeight="1" x14ac:dyDescent="0.35">
      <c r="A216" s="351" t="s">
        <v>3</v>
      </c>
      <c r="B216" s="73"/>
      <c r="C216" s="74"/>
      <c r="D216" s="75"/>
      <c r="E216" s="348"/>
      <c r="F216" s="75"/>
      <c r="G216" s="348"/>
      <c r="H216" s="75"/>
      <c r="I216" s="348"/>
      <c r="J216" s="75"/>
      <c r="K216" s="348"/>
      <c r="L216" s="75"/>
      <c r="M216" s="348"/>
      <c r="N216" s="75"/>
      <c r="O216" s="348"/>
      <c r="P216" s="75"/>
      <c r="Q216" s="348"/>
      <c r="R216" s="75"/>
      <c r="S216" s="348"/>
      <c r="T216" s="75"/>
      <c r="U216" s="348"/>
      <c r="V216" s="75"/>
      <c r="W216" s="348"/>
    </row>
    <row r="217" spans="1:23" ht="17.2" customHeight="1" x14ac:dyDescent="0.35">
      <c r="A217" s="352"/>
      <c r="B217" s="76"/>
      <c r="C217" s="77"/>
      <c r="D217" s="78"/>
      <c r="E217" s="349"/>
      <c r="F217" s="78"/>
      <c r="G217" s="349"/>
      <c r="H217" s="78"/>
      <c r="I217" s="349"/>
      <c r="J217" s="78"/>
      <c r="K217" s="349"/>
      <c r="L217" s="78"/>
      <c r="M217" s="349"/>
      <c r="N217" s="78"/>
      <c r="O217" s="349"/>
      <c r="P217" s="78"/>
      <c r="Q217" s="349"/>
      <c r="R217" s="78"/>
      <c r="S217" s="349"/>
      <c r="T217" s="78"/>
      <c r="U217" s="349"/>
      <c r="V217" s="78"/>
      <c r="W217" s="349"/>
    </row>
    <row r="218" spans="1:23" ht="17.2" customHeight="1" thickBot="1" x14ac:dyDescent="0.4">
      <c r="A218" s="353"/>
      <c r="B218" s="79"/>
      <c r="C218" s="80"/>
      <c r="D218" s="69"/>
      <c r="E218" s="350"/>
      <c r="F218" s="69"/>
      <c r="G218" s="350"/>
      <c r="H218" s="69"/>
      <c r="I218" s="350"/>
      <c r="J218" s="69"/>
      <c r="K218" s="350"/>
      <c r="L218" s="69"/>
      <c r="M218" s="350"/>
      <c r="N218" s="69"/>
      <c r="O218" s="350"/>
      <c r="P218" s="69"/>
      <c r="Q218" s="350"/>
      <c r="R218" s="69"/>
      <c r="S218" s="350"/>
      <c r="T218" s="69"/>
      <c r="U218" s="350"/>
      <c r="V218" s="69"/>
      <c r="W218" s="350"/>
    </row>
    <row r="219" spans="1:23" ht="17.2" customHeight="1" x14ac:dyDescent="0.35">
      <c r="A219" s="351" t="s">
        <v>11</v>
      </c>
      <c r="B219" s="73"/>
      <c r="C219" s="74"/>
      <c r="D219" s="75"/>
      <c r="E219" s="348"/>
      <c r="F219" s="75"/>
      <c r="G219" s="348"/>
      <c r="H219" s="75"/>
      <c r="I219" s="348"/>
      <c r="J219" s="75"/>
      <c r="K219" s="348"/>
      <c r="L219" s="75"/>
      <c r="M219" s="348"/>
      <c r="N219" s="75"/>
      <c r="O219" s="348"/>
      <c r="P219" s="75"/>
      <c r="Q219" s="348"/>
      <c r="R219" s="75"/>
      <c r="S219" s="348"/>
      <c r="T219" s="75"/>
      <c r="U219" s="348"/>
      <c r="V219" s="75"/>
      <c r="W219" s="348"/>
    </row>
    <row r="220" spans="1:23" ht="17.2" customHeight="1" x14ac:dyDescent="0.35">
      <c r="A220" s="352"/>
      <c r="B220" s="76"/>
      <c r="C220" s="77"/>
      <c r="D220" s="78"/>
      <c r="E220" s="349"/>
      <c r="F220" s="78"/>
      <c r="G220" s="349"/>
      <c r="H220" s="78"/>
      <c r="I220" s="349"/>
      <c r="J220" s="78"/>
      <c r="K220" s="349"/>
      <c r="L220" s="78"/>
      <c r="M220" s="349"/>
      <c r="N220" s="78"/>
      <c r="O220" s="349"/>
      <c r="P220" s="78"/>
      <c r="Q220" s="349"/>
      <c r="R220" s="78"/>
      <c r="S220" s="349"/>
      <c r="T220" s="78"/>
      <c r="U220" s="349"/>
      <c r="V220" s="78"/>
      <c r="W220" s="349"/>
    </row>
    <row r="221" spans="1:23" ht="17.2" customHeight="1" thickBot="1" x14ac:dyDescent="0.4">
      <c r="A221" s="353"/>
      <c r="B221" s="79"/>
      <c r="C221" s="80"/>
      <c r="D221" s="69"/>
      <c r="E221" s="350"/>
      <c r="F221" s="69"/>
      <c r="G221" s="350"/>
      <c r="H221" s="69"/>
      <c r="I221" s="350"/>
      <c r="J221" s="69"/>
      <c r="K221" s="350"/>
      <c r="L221" s="69"/>
      <c r="M221" s="350"/>
      <c r="N221" s="69"/>
      <c r="O221" s="350"/>
      <c r="P221" s="69"/>
      <c r="Q221" s="350"/>
      <c r="R221" s="69"/>
      <c r="S221" s="350"/>
      <c r="T221" s="69"/>
      <c r="U221" s="350"/>
      <c r="V221" s="69"/>
      <c r="W221" s="350"/>
    </row>
    <row r="222" spans="1:23" ht="27.75" customHeight="1" thickBot="1" x14ac:dyDescent="0.4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4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3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35">
      <c r="B225" s="88" t="s">
        <v>1797</v>
      </c>
      <c r="C225" s="89" t="s">
        <v>1798</v>
      </c>
      <c r="D225" s="346">
        <f>VLOOKUP(B205,Schlüssel!$A$5:$DZ$14,103)</f>
        <v>10</v>
      </c>
      <c r="E225" s="346"/>
      <c r="F225" s="346">
        <f>VLOOKUP(B205,Schlüssel!$A$5:$DZ$14,104)</f>
        <v>1</v>
      </c>
      <c r="G225" s="346"/>
      <c r="H225" s="346">
        <f>VLOOKUP(B205,Schlüssel!$A$5:$DZ$14,105)</f>
        <v>2</v>
      </c>
      <c r="I225" s="346"/>
      <c r="J225" s="346">
        <f>VLOOKUP(B205,Schlüssel!$A$5:$DZ$14,106)</f>
        <v>5</v>
      </c>
      <c r="K225" s="346"/>
      <c r="L225" s="346">
        <f>VLOOKUP(B205,Schlüssel!$A$5:$DZ$14,107)</f>
        <v>3</v>
      </c>
      <c r="M225" s="346"/>
      <c r="N225" s="346">
        <f>VLOOKUP(B205,Schlüssel!$A$5:$DZ$14,108)</f>
        <v>6</v>
      </c>
      <c r="O225" s="346"/>
      <c r="P225" s="346">
        <f>VLOOKUP(B205,Schlüssel!$A$5:$DZ$14,109)</f>
        <v>9</v>
      </c>
      <c r="Q225" s="346"/>
      <c r="R225" s="346">
        <f>VLOOKUP(B205,Schlüssel!$A$5:$DZ$14,110)</f>
        <v>4</v>
      </c>
      <c r="S225" s="346"/>
      <c r="T225" s="346">
        <f>VLOOKUP(B205,Schlüssel!$A$5:$DZ$14,111)</f>
        <v>7</v>
      </c>
      <c r="U225" s="346"/>
      <c r="V225" s="347"/>
      <c r="W225" s="347"/>
    </row>
    <row r="226" spans="1:29" ht="28.5" customHeight="1" x14ac:dyDescent="0.35">
      <c r="B226" s="90"/>
      <c r="C226" s="86"/>
      <c r="D226" s="343" t="str">
        <f>VLOOKUP(D225,Schlüssel!$A$5:$K$14,2)</f>
        <v>BK München 4</v>
      </c>
      <c r="E226" s="344"/>
      <c r="F226" s="343" t="str">
        <f>VLOOKUP(F225,Schlüssel!$A$5:$K$14,2)</f>
        <v>Praetoria Regensburg</v>
      </c>
      <c r="G226" s="344"/>
      <c r="H226" s="343" t="str">
        <f>VLOOKUP(H225,Schlüssel!$A$5:$K$14,2)</f>
        <v>BK München 2</v>
      </c>
      <c r="I226" s="344"/>
      <c r="J226" s="343" t="str">
        <f>VLOOKUP(J225,Schlüssel!$A$5:$K$14,2)</f>
        <v xml:space="preserve">Weiß Blau Unterföhring </v>
      </c>
      <c r="K226" s="344"/>
      <c r="L226" s="343" t="str">
        <f>VLOOKUP(L225,Schlüssel!$A$5:$K$14,2)</f>
        <v>Highroller Rosenheim</v>
      </c>
      <c r="M226" s="344"/>
      <c r="N226" s="343" t="str">
        <f>VLOOKUP(N225,Schlüssel!$A$5:$K$14,2)</f>
        <v>Phönix 03 Lauf</v>
      </c>
      <c r="O226" s="344"/>
      <c r="P226" s="343" t="str">
        <f>VLOOKUP(P225,Schlüssel!$A$5:$K$14,2)</f>
        <v>RW Lichtenhof 69 Stein 2</v>
      </c>
      <c r="Q226" s="344"/>
      <c r="R226" s="343" t="str">
        <f>VLOOKUP(R225,Schlüssel!$A$5:$K$14,2)</f>
        <v>BK München 3</v>
      </c>
      <c r="S226" s="344"/>
      <c r="T226" s="343" t="str">
        <f>VLOOKUP(T225,Schlüssel!$A$5:$K$14,2)</f>
        <v>Frankenpower Nürnberg</v>
      </c>
      <c r="U226" s="344"/>
      <c r="V226" s="345"/>
      <c r="W226" s="345"/>
    </row>
    <row r="227" spans="1:29" ht="12" customHeight="1" x14ac:dyDescent="0.35">
      <c r="B227" s="90"/>
      <c r="C227" s="86"/>
      <c r="D227" s="341"/>
      <c r="E227" s="341"/>
      <c r="F227" s="341"/>
      <c r="G227" s="341"/>
      <c r="H227" s="341"/>
      <c r="I227" s="341"/>
      <c r="J227" s="341"/>
      <c r="K227" s="341"/>
      <c r="L227" s="341"/>
      <c r="M227" s="341"/>
      <c r="N227" s="341"/>
      <c r="O227" s="341"/>
      <c r="P227" s="341"/>
      <c r="Q227" s="341"/>
      <c r="R227" s="341"/>
      <c r="S227" s="341"/>
      <c r="T227" s="341"/>
      <c r="U227" s="342"/>
      <c r="V227" s="301"/>
      <c r="W227" s="301"/>
    </row>
    <row r="228" spans="1:29" ht="16.05" customHeight="1" x14ac:dyDescent="0.35">
      <c r="B228" s="91" t="s">
        <v>0</v>
      </c>
      <c r="C228" s="92"/>
      <c r="D228" s="339"/>
      <c r="E228" s="339"/>
      <c r="F228" s="339"/>
      <c r="G228" s="339"/>
      <c r="H228" s="339"/>
      <c r="I228" s="339"/>
      <c r="J228" s="339"/>
      <c r="K228" s="339"/>
      <c r="L228" s="339"/>
      <c r="M228" s="339"/>
      <c r="N228" s="339"/>
      <c r="O228" s="339"/>
      <c r="P228" s="339"/>
      <c r="Q228" s="339"/>
      <c r="R228" s="339"/>
      <c r="S228" s="339"/>
      <c r="T228" s="339"/>
      <c r="U228" s="339"/>
      <c r="V228" s="340"/>
      <c r="W228" s="340"/>
    </row>
    <row r="229" spans="1:29" ht="16.05" customHeight="1" x14ac:dyDescent="0.35">
      <c r="B229" s="91" t="s">
        <v>2</v>
      </c>
      <c r="C229" s="92"/>
      <c r="D229" s="339"/>
      <c r="E229" s="339"/>
      <c r="F229" s="339"/>
      <c r="G229" s="339"/>
      <c r="H229" s="339"/>
      <c r="I229" s="339"/>
      <c r="J229" s="339"/>
      <c r="K229" s="339"/>
      <c r="L229" s="339"/>
      <c r="M229" s="339"/>
      <c r="N229" s="339"/>
      <c r="O229" s="339"/>
      <c r="P229" s="339"/>
      <c r="Q229" s="339"/>
      <c r="R229" s="339"/>
      <c r="S229" s="339"/>
      <c r="T229" s="339"/>
      <c r="U229" s="339"/>
      <c r="V229" s="340"/>
      <c r="W229" s="340"/>
    </row>
    <row r="230" spans="1:29" ht="16.05" customHeight="1" x14ac:dyDescent="0.35">
      <c r="B230" s="91" t="s">
        <v>3</v>
      </c>
      <c r="C230" s="92"/>
      <c r="D230" s="339"/>
      <c r="E230" s="339"/>
      <c r="F230" s="339"/>
      <c r="G230" s="339"/>
      <c r="H230" s="339"/>
      <c r="I230" s="339"/>
      <c r="J230" s="339"/>
      <c r="K230" s="339"/>
      <c r="L230" s="339"/>
      <c r="M230" s="339"/>
      <c r="N230" s="339"/>
      <c r="O230" s="339"/>
      <c r="P230" s="339"/>
      <c r="Q230" s="339"/>
      <c r="R230" s="339"/>
      <c r="S230" s="339"/>
      <c r="T230" s="339"/>
      <c r="U230" s="339"/>
      <c r="V230" s="340"/>
      <c r="W230" s="340"/>
    </row>
    <row r="231" spans="1:29" ht="16.05" customHeight="1" x14ac:dyDescent="0.35">
      <c r="B231" s="91" t="s">
        <v>11</v>
      </c>
      <c r="C231" s="92"/>
      <c r="D231" s="339"/>
      <c r="E231" s="339"/>
      <c r="F231" s="339"/>
      <c r="G231" s="339"/>
      <c r="H231" s="339"/>
      <c r="I231" s="339"/>
      <c r="J231" s="339"/>
      <c r="K231" s="339"/>
      <c r="L231" s="339"/>
      <c r="M231" s="339"/>
      <c r="N231" s="339"/>
      <c r="O231" s="339"/>
      <c r="P231" s="339"/>
      <c r="Q231" s="339"/>
      <c r="R231" s="339"/>
      <c r="S231" s="339"/>
      <c r="T231" s="339"/>
      <c r="U231" s="339"/>
      <c r="V231" s="340"/>
      <c r="W231" s="340"/>
    </row>
    <row r="232" spans="1:29" ht="16.05" customHeight="1" x14ac:dyDescent="0.35">
      <c r="B232" s="93" t="s">
        <v>1799</v>
      </c>
      <c r="C232" s="94"/>
      <c r="D232" s="338"/>
      <c r="E232" s="338"/>
      <c r="F232" s="338"/>
      <c r="G232" s="338"/>
      <c r="H232" s="338"/>
      <c r="I232" s="338"/>
      <c r="J232" s="338"/>
      <c r="K232" s="338"/>
      <c r="L232" s="338"/>
      <c r="M232" s="338"/>
      <c r="N232" s="338"/>
      <c r="O232" s="338"/>
      <c r="P232" s="338"/>
      <c r="Q232" s="338"/>
      <c r="R232" s="338"/>
      <c r="S232" s="338"/>
      <c r="T232" s="338"/>
      <c r="U232" s="338"/>
      <c r="V232" s="290"/>
      <c r="W232" s="290"/>
    </row>
    <row r="233" spans="1:29" ht="21" customHeight="1" x14ac:dyDescent="0.7">
      <c r="B233" s="44" t="s">
        <v>1813</v>
      </c>
      <c r="C233" s="45"/>
      <c r="D233" s="46" t="s">
        <v>1792</v>
      </c>
      <c r="E233" s="47"/>
      <c r="F233" s="359" t="str">
        <f>Schlüssel!$C$1</f>
        <v>Bayernliga Frauen</v>
      </c>
      <c r="G233" s="359"/>
      <c r="H233" s="359"/>
      <c r="I233" s="359"/>
      <c r="J233" s="359"/>
      <c r="K233" s="359"/>
      <c r="L233" s="359"/>
      <c r="M233" s="359"/>
      <c r="N233" s="359"/>
      <c r="O233" s="359"/>
      <c r="P233" s="45"/>
      <c r="Q233" s="45"/>
      <c r="R233" s="48"/>
      <c r="S233" s="49" t="s">
        <v>1794</v>
      </c>
      <c r="T233" s="50"/>
      <c r="U233" s="360" t="str">
        <f>Schlüssel!$DI$1</f>
        <v>05.04./06.04.</v>
      </c>
      <c r="V233" s="361"/>
      <c r="W233" s="362"/>
      <c r="AC233" s="51"/>
    </row>
    <row r="234" spans="1:29" ht="17.25" customHeight="1" thickBot="1" x14ac:dyDescent="0.65">
      <c r="A234" s="52"/>
      <c r="B234" s="96">
        <f>+B205+1</f>
        <v>9</v>
      </c>
      <c r="D234" s="46" t="s">
        <v>1793</v>
      </c>
      <c r="E234" s="54"/>
      <c r="F234" s="358" t="str">
        <f>Schlüssel!$CY$2</f>
        <v>Schweinfurt Extreme Bowlingarena</v>
      </c>
      <c r="G234" s="358"/>
      <c r="H234" s="358"/>
      <c r="I234" s="358"/>
      <c r="J234" s="358"/>
      <c r="K234" s="358"/>
      <c r="L234" s="358"/>
      <c r="M234" s="358"/>
      <c r="N234" s="358"/>
      <c r="O234" s="358"/>
      <c r="P234" s="55"/>
      <c r="Q234" s="55"/>
      <c r="S234" s="49" t="s">
        <v>1791</v>
      </c>
      <c r="T234" s="56">
        <v>6</v>
      </c>
      <c r="U234" s="50"/>
      <c r="V234" s="50"/>
      <c r="AC234" s="97"/>
    </row>
    <row r="235" spans="1:29" ht="15.75" customHeight="1" thickBot="1" x14ac:dyDescent="0.4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5" thickBot="1" x14ac:dyDescent="0.45">
      <c r="A236" s="2"/>
      <c r="B236" s="44"/>
      <c r="C236" s="63"/>
      <c r="D236" s="64" t="s">
        <v>10</v>
      </c>
      <c r="E236" s="44">
        <f>VLOOKUP($B234,Schlüssel!$A$5:$DZ$14,113)</f>
        <v>6</v>
      </c>
      <c r="F236" s="65" t="s">
        <v>10</v>
      </c>
      <c r="G236" s="44">
        <f>VLOOKUP($B234,Schlüssel!$A$5:$DZ$14,114)</f>
        <v>1</v>
      </c>
      <c r="H236" s="65" t="s">
        <v>10</v>
      </c>
      <c r="I236" s="44">
        <f>VLOOKUP($B234,Schlüssel!$A$5:$DZ$14,115)</f>
        <v>10</v>
      </c>
      <c r="J236" s="65" t="s">
        <v>10</v>
      </c>
      <c r="K236" s="44">
        <f>VLOOKUP($B234,Schlüssel!$A$5:$DZ$14,116)</f>
        <v>3</v>
      </c>
      <c r="L236" s="65" t="s">
        <v>10</v>
      </c>
      <c r="M236" s="44">
        <f>VLOOKUP($B234,Schlüssel!$A$5:$DZ$14,117)</f>
        <v>8</v>
      </c>
      <c r="N236" s="65" t="s">
        <v>10</v>
      </c>
      <c r="O236" s="44">
        <f>VLOOKUP($B234,Schlüssel!$A$5:$DZ$14,118)</f>
        <v>2</v>
      </c>
      <c r="P236" s="65" t="s">
        <v>10</v>
      </c>
      <c r="Q236" s="44">
        <f>VLOOKUP($B234,Schlüssel!$A$5:$DZ$14,119)</f>
        <v>9</v>
      </c>
      <c r="R236" s="65" t="s">
        <v>10</v>
      </c>
      <c r="S236" s="44">
        <f>VLOOKUP($B234,Schlüssel!$A$5:$DZ$14,120)</f>
        <v>5</v>
      </c>
      <c r="T236" s="65" t="s">
        <v>10</v>
      </c>
      <c r="U236" s="66">
        <f>VLOOKUP($B234,Schlüssel!$A$5:$DZ$14,121)</f>
        <v>7</v>
      </c>
    </row>
    <row r="237" spans="1:29" ht="20.25" customHeight="1" x14ac:dyDescent="0.35">
      <c r="B237" s="67" t="s">
        <v>1</v>
      </c>
      <c r="C237" s="68"/>
      <c r="D237" s="354" t="s">
        <v>1800</v>
      </c>
      <c r="E237" s="355"/>
      <c r="F237" s="354" t="s">
        <v>1801</v>
      </c>
      <c r="G237" s="355"/>
      <c r="H237" s="354" t="s">
        <v>1802</v>
      </c>
      <c r="I237" s="355"/>
      <c r="J237" s="354" t="s">
        <v>1803</v>
      </c>
      <c r="K237" s="355"/>
      <c r="L237" s="354" t="s">
        <v>1804</v>
      </c>
      <c r="M237" s="355"/>
      <c r="N237" s="354" t="s">
        <v>1805</v>
      </c>
      <c r="O237" s="355"/>
      <c r="P237" s="354" t="s">
        <v>1806</v>
      </c>
      <c r="Q237" s="355"/>
      <c r="R237" s="354" t="s">
        <v>1807</v>
      </c>
      <c r="S237" s="355"/>
      <c r="T237" s="354" t="s">
        <v>1808</v>
      </c>
      <c r="U237" s="355"/>
      <c r="V237" s="356" t="s">
        <v>1799</v>
      </c>
      <c r="W237" s="357"/>
    </row>
    <row r="238" spans="1:29" ht="15" customHeight="1" thickBot="1" x14ac:dyDescent="0.4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2" customHeight="1" x14ac:dyDescent="0.35">
      <c r="A239" s="351" t="s">
        <v>0</v>
      </c>
      <c r="B239" s="73"/>
      <c r="C239" s="74"/>
      <c r="D239" s="75"/>
      <c r="E239" s="348"/>
      <c r="F239" s="75"/>
      <c r="G239" s="348"/>
      <c r="H239" s="75"/>
      <c r="I239" s="348"/>
      <c r="J239" s="75"/>
      <c r="K239" s="348"/>
      <c r="L239" s="75"/>
      <c r="M239" s="348"/>
      <c r="N239" s="75"/>
      <c r="O239" s="348"/>
      <c r="P239" s="75"/>
      <c r="Q239" s="348"/>
      <c r="R239" s="75"/>
      <c r="S239" s="348"/>
      <c r="T239" s="75"/>
      <c r="U239" s="348"/>
      <c r="V239" s="75"/>
      <c r="W239" s="348"/>
    </row>
    <row r="240" spans="1:29" ht="17.2" customHeight="1" x14ac:dyDescent="0.35">
      <c r="A240" s="352"/>
      <c r="B240" s="76"/>
      <c r="C240" s="77"/>
      <c r="D240" s="78"/>
      <c r="E240" s="349"/>
      <c r="F240" s="78"/>
      <c r="G240" s="349"/>
      <c r="H240" s="78"/>
      <c r="I240" s="349"/>
      <c r="J240" s="78"/>
      <c r="K240" s="349"/>
      <c r="L240" s="78"/>
      <c r="M240" s="349"/>
      <c r="N240" s="78"/>
      <c r="O240" s="349"/>
      <c r="P240" s="78"/>
      <c r="Q240" s="349"/>
      <c r="R240" s="78"/>
      <c r="S240" s="349"/>
      <c r="T240" s="78"/>
      <c r="U240" s="349"/>
      <c r="V240" s="78"/>
      <c r="W240" s="349"/>
    </row>
    <row r="241" spans="1:23" ht="17.2" customHeight="1" thickBot="1" x14ac:dyDescent="0.4">
      <c r="A241" s="353"/>
      <c r="B241" s="79"/>
      <c r="C241" s="80"/>
      <c r="D241" s="69"/>
      <c r="E241" s="350"/>
      <c r="F241" s="69"/>
      <c r="G241" s="350"/>
      <c r="H241" s="69"/>
      <c r="I241" s="350"/>
      <c r="J241" s="69"/>
      <c r="K241" s="350"/>
      <c r="L241" s="69"/>
      <c r="M241" s="350"/>
      <c r="N241" s="69"/>
      <c r="O241" s="350"/>
      <c r="P241" s="69"/>
      <c r="Q241" s="350"/>
      <c r="R241" s="69"/>
      <c r="S241" s="350"/>
      <c r="T241" s="69"/>
      <c r="U241" s="350"/>
      <c r="V241" s="69"/>
      <c r="W241" s="350"/>
    </row>
    <row r="242" spans="1:23" ht="17.2" customHeight="1" x14ac:dyDescent="0.35">
      <c r="A242" s="351" t="s">
        <v>2</v>
      </c>
      <c r="B242" s="73"/>
      <c r="C242" s="74"/>
      <c r="D242" s="75"/>
      <c r="E242" s="348"/>
      <c r="F242" s="75"/>
      <c r="G242" s="348"/>
      <c r="H242" s="75"/>
      <c r="I242" s="348"/>
      <c r="J242" s="75"/>
      <c r="K242" s="348"/>
      <c r="L242" s="75"/>
      <c r="M242" s="348"/>
      <c r="N242" s="75"/>
      <c r="O242" s="348"/>
      <c r="P242" s="75"/>
      <c r="Q242" s="348"/>
      <c r="R242" s="75"/>
      <c r="S242" s="348"/>
      <c r="T242" s="75"/>
      <c r="U242" s="348"/>
      <c r="V242" s="75"/>
      <c r="W242" s="348"/>
    </row>
    <row r="243" spans="1:23" ht="17.2" customHeight="1" x14ac:dyDescent="0.35">
      <c r="A243" s="352"/>
      <c r="B243" s="76"/>
      <c r="C243" s="77"/>
      <c r="D243" s="78"/>
      <c r="E243" s="349"/>
      <c r="F243" s="78"/>
      <c r="G243" s="349"/>
      <c r="H243" s="78"/>
      <c r="I243" s="349"/>
      <c r="J243" s="78"/>
      <c r="K243" s="349"/>
      <c r="L243" s="78"/>
      <c r="M243" s="349"/>
      <c r="N243" s="78"/>
      <c r="O243" s="349"/>
      <c r="P243" s="78"/>
      <c r="Q243" s="349"/>
      <c r="R243" s="78"/>
      <c r="S243" s="349"/>
      <c r="T243" s="78"/>
      <c r="U243" s="349"/>
      <c r="V243" s="78"/>
      <c r="W243" s="349"/>
    </row>
    <row r="244" spans="1:23" ht="17.2" customHeight="1" thickBot="1" x14ac:dyDescent="0.4">
      <c r="A244" s="353"/>
      <c r="B244" s="79"/>
      <c r="C244" s="80"/>
      <c r="D244" s="69"/>
      <c r="E244" s="350"/>
      <c r="F244" s="69"/>
      <c r="G244" s="350"/>
      <c r="H244" s="69"/>
      <c r="I244" s="350"/>
      <c r="J244" s="69"/>
      <c r="K244" s="350"/>
      <c r="L244" s="69"/>
      <c r="M244" s="350"/>
      <c r="N244" s="69"/>
      <c r="O244" s="350"/>
      <c r="P244" s="69"/>
      <c r="Q244" s="350"/>
      <c r="R244" s="69"/>
      <c r="S244" s="350"/>
      <c r="T244" s="69"/>
      <c r="U244" s="350"/>
      <c r="V244" s="69"/>
      <c r="W244" s="350"/>
    </row>
    <row r="245" spans="1:23" ht="17.2" customHeight="1" x14ac:dyDescent="0.35">
      <c r="A245" s="351" t="s">
        <v>3</v>
      </c>
      <c r="B245" s="73"/>
      <c r="C245" s="74"/>
      <c r="D245" s="75"/>
      <c r="E245" s="348"/>
      <c r="F245" s="75"/>
      <c r="G245" s="348"/>
      <c r="H245" s="75"/>
      <c r="I245" s="348"/>
      <c r="J245" s="75"/>
      <c r="K245" s="348"/>
      <c r="L245" s="75"/>
      <c r="M245" s="348"/>
      <c r="N245" s="75"/>
      <c r="O245" s="348"/>
      <c r="P245" s="75"/>
      <c r="Q245" s="348"/>
      <c r="R245" s="75"/>
      <c r="S245" s="348"/>
      <c r="T245" s="75"/>
      <c r="U245" s="348"/>
      <c r="V245" s="75"/>
      <c r="W245" s="348"/>
    </row>
    <row r="246" spans="1:23" ht="17.2" customHeight="1" x14ac:dyDescent="0.35">
      <c r="A246" s="352"/>
      <c r="B246" s="76"/>
      <c r="C246" s="77"/>
      <c r="D246" s="78"/>
      <c r="E246" s="349"/>
      <c r="F246" s="78"/>
      <c r="G246" s="349"/>
      <c r="H246" s="78"/>
      <c r="I246" s="349"/>
      <c r="J246" s="78"/>
      <c r="K246" s="349"/>
      <c r="L246" s="78"/>
      <c r="M246" s="349"/>
      <c r="N246" s="78"/>
      <c r="O246" s="349"/>
      <c r="P246" s="78"/>
      <c r="Q246" s="349"/>
      <c r="R246" s="78"/>
      <c r="S246" s="349"/>
      <c r="T246" s="78"/>
      <c r="U246" s="349"/>
      <c r="V246" s="78"/>
      <c r="W246" s="349"/>
    </row>
    <row r="247" spans="1:23" ht="17.2" customHeight="1" thickBot="1" x14ac:dyDescent="0.4">
      <c r="A247" s="353"/>
      <c r="B247" s="79"/>
      <c r="C247" s="80"/>
      <c r="D247" s="69"/>
      <c r="E247" s="350"/>
      <c r="F247" s="69"/>
      <c r="G247" s="350"/>
      <c r="H247" s="69"/>
      <c r="I247" s="350"/>
      <c r="J247" s="69"/>
      <c r="K247" s="350"/>
      <c r="L247" s="69"/>
      <c r="M247" s="350"/>
      <c r="N247" s="69"/>
      <c r="O247" s="350"/>
      <c r="P247" s="69"/>
      <c r="Q247" s="350"/>
      <c r="R247" s="69"/>
      <c r="S247" s="350"/>
      <c r="T247" s="69"/>
      <c r="U247" s="350"/>
      <c r="V247" s="69"/>
      <c r="W247" s="350"/>
    </row>
    <row r="248" spans="1:23" ht="17.2" customHeight="1" x14ac:dyDescent="0.35">
      <c r="A248" s="351" t="s">
        <v>11</v>
      </c>
      <c r="B248" s="73"/>
      <c r="C248" s="74"/>
      <c r="D248" s="75"/>
      <c r="E248" s="348"/>
      <c r="F248" s="75"/>
      <c r="G248" s="348"/>
      <c r="H248" s="75"/>
      <c r="I248" s="348"/>
      <c r="J248" s="75"/>
      <c r="K248" s="348"/>
      <c r="L248" s="75"/>
      <c r="M248" s="348"/>
      <c r="N248" s="75"/>
      <c r="O248" s="348"/>
      <c r="P248" s="75"/>
      <c r="Q248" s="348"/>
      <c r="R248" s="75"/>
      <c r="S248" s="348"/>
      <c r="T248" s="75"/>
      <c r="U248" s="348"/>
      <c r="V248" s="75"/>
      <c r="W248" s="348"/>
    </row>
    <row r="249" spans="1:23" ht="17.2" customHeight="1" x14ac:dyDescent="0.35">
      <c r="A249" s="352"/>
      <c r="B249" s="76"/>
      <c r="C249" s="77"/>
      <c r="D249" s="78"/>
      <c r="E249" s="349"/>
      <c r="F249" s="78"/>
      <c r="G249" s="349"/>
      <c r="H249" s="78"/>
      <c r="I249" s="349"/>
      <c r="J249" s="78"/>
      <c r="K249" s="349"/>
      <c r="L249" s="78"/>
      <c r="M249" s="349"/>
      <c r="N249" s="78"/>
      <c r="O249" s="349"/>
      <c r="P249" s="78"/>
      <c r="Q249" s="349"/>
      <c r="R249" s="78"/>
      <c r="S249" s="349"/>
      <c r="T249" s="78"/>
      <c r="U249" s="349"/>
      <c r="V249" s="78"/>
      <c r="W249" s="349"/>
    </row>
    <row r="250" spans="1:23" ht="17.2" customHeight="1" thickBot="1" x14ac:dyDescent="0.4">
      <c r="A250" s="353"/>
      <c r="B250" s="79"/>
      <c r="C250" s="80"/>
      <c r="D250" s="69"/>
      <c r="E250" s="350"/>
      <c r="F250" s="69"/>
      <c r="G250" s="350"/>
      <c r="H250" s="69"/>
      <c r="I250" s="350"/>
      <c r="J250" s="69"/>
      <c r="K250" s="350"/>
      <c r="L250" s="69"/>
      <c r="M250" s="350"/>
      <c r="N250" s="69"/>
      <c r="O250" s="350"/>
      <c r="P250" s="69"/>
      <c r="Q250" s="350"/>
      <c r="R250" s="69"/>
      <c r="S250" s="350"/>
      <c r="T250" s="69"/>
      <c r="U250" s="350"/>
      <c r="V250" s="69"/>
      <c r="W250" s="350"/>
    </row>
    <row r="251" spans="1:23" ht="27.75" customHeight="1" thickBot="1" x14ac:dyDescent="0.4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4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3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35">
      <c r="B254" s="88" t="s">
        <v>1797</v>
      </c>
      <c r="C254" s="89" t="s">
        <v>1798</v>
      </c>
      <c r="D254" s="346">
        <f>VLOOKUP(B234,Schlüssel!$A$5:$DZ$14,103)</f>
        <v>4</v>
      </c>
      <c r="E254" s="346"/>
      <c r="F254" s="346">
        <f>VLOOKUP(B234,Schlüssel!$A$5:$DZ$14,104)</f>
        <v>3</v>
      </c>
      <c r="G254" s="346"/>
      <c r="H254" s="346">
        <f>VLOOKUP(B234,Schlüssel!$A$5:$DZ$14,105)</f>
        <v>7</v>
      </c>
      <c r="I254" s="346"/>
      <c r="J254" s="346">
        <f>VLOOKUP(B234,Schlüssel!$A$5:$DZ$14,106)</f>
        <v>6</v>
      </c>
      <c r="K254" s="346"/>
      <c r="L254" s="346">
        <f>VLOOKUP(B234,Schlüssel!$A$5:$DZ$14,107)</f>
        <v>5</v>
      </c>
      <c r="M254" s="346"/>
      <c r="N254" s="346">
        <f>VLOOKUP(B234,Schlüssel!$A$5:$DZ$14,108)</f>
        <v>1</v>
      </c>
      <c r="O254" s="346"/>
      <c r="P254" s="346">
        <f>VLOOKUP(B234,Schlüssel!$A$5:$DZ$14,109)</f>
        <v>8</v>
      </c>
      <c r="Q254" s="346"/>
      <c r="R254" s="346">
        <f>VLOOKUP(B234,Schlüssel!$A$5:$DZ$14,110)</f>
        <v>2</v>
      </c>
      <c r="S254" s="346"/>
      <c r="T254" s="346">
        <f>VLOOKUP(B234,Schlüssel!$A$5:$DZ$14,111)</f>
        <v>10</v>
      </c>
      <c r="U254" s="346"/>
      <c r="V254" s="347"/>
      <c r="W254" s="347"/>
    </row>
    <row r="255" spans="1:23" ht="28.5" customHeight="1" x14ac:dyDescent="0.35">
      <c r="B255" s="90"/>
      <c r="C255" s="86"/>
      <c r="D255" s="343" t="str">
        <f>VLOOKUP(D254,Schlüssel!$A$5:$K$14,2)</f>
        <v>BK München 3</v>
      </c>
      <c r="E255" s="344"/>
      <c r="F255" s="343" t="str">
        <f>VLOOKUP(F254,Schlüssel!$A$5:$K$14,2)</f>
        <v>Highroller Rosenheim</v>
      </c>
      <c r="G255" s="344"/>
      <c r="H255" s="343" t="str">
        <f>VLOOKUP(H254,Schlüssel!$A$5:$K$14,2)</f>
        <v>Frankenpower Nürnberg</v>
      </c>
      <c r="I255" s="344"/>
      <c r="J255" s="343" t="str">
        <f>VLOOKUP(J254,Schlüssel!$A$5:$K$14,2)</f>
        <v>Phönix 03 Lauf</v>
      </c>
      <c r="K255" s="344"/>
      <c r="L255" s="343" t="str">
        <f>VLOOKUP(L254,Schlüssel!$A$5:$K$14,2)</f>
        <v xml:space="preserve">Weiß Blau Unterföhring </v>
      </c>
      <c r="M255" s="344"/>
      <c r="N255" s="343" t="str">
        <f>VLOOKUP(N254,Schlüssel!$A$5:$K$14,2)</f>
        <v>Praetoria Regensburg</v>
      </c>
      <c r="O255" s="344"/>
      <c r="P255" s="343" t="str">
        <f>VLOOKUP(P254,Schlüssel!$A$5:$K$14,2)</f>
        <v>EPA München 1</v>
      </c>
      <c r="Q255" s="344"/>
      <c r="R255" s="343" t="str">
        <f>VLOOKUP(R254,Schlüssel!$A$5:$K$14,2)</f>
        <v>BK München 2</v>
      </c>
      <c r="S255" s="344"/>
      <c r="T255" s="343" t="str">
        <f>VLOOKUP(T254,Schlüssel!$A$5:$K$14,2)</f>
        <v>BK München 4</v>
      </c>
      <c r="U255" s="344"/>
      <c r="V255" s="345"/>
      <c r="W255" s="345"/>
    </row>
    <row r="256" spans="1:23" ht="12" customHeight="1" x14ac:dyDescent="0.35">
      <c r="B256" s="90"/>
      <c r="C256" s="86"/>
      <c r="D256" s="341"/>
      <c r="E256" s="341"/>
      <c r="F256" s="341"/>
      <c r="G256" s="341"/>
      <c r="H256" s="341"/>
      <c r="I256" s="341"/>
      <c r="J256" s="341"/>
      <c r="K256" s="341"/>
      <c r="L256" s="341"/>
      <c r="M256" s="341"/>
      <c r="N256" s="341"/>
      <c r="O256" s="341"/>
      <c r="P256" s="341"/>
      <c r="Q256" s="341"/>
      <c r="R256" s="341"/>
      <c r="S256" s="341"/>
      <c r="T256" s="341"/>
      <c r="U256" s="342"/>
      <c r="V256" s="301"/>
      <c r="W256" s="301"/>
    </row>
    <row r="257" spans="1:29" ht="16.05" customHeight="1" x14ac:dyDescent="0.35">
      <c r="B257" s="91" t="s">
        <v>0</v>
      </c>
      <c r="C257" s="92"/>
      <c r="D257" s="339"/>
      <c r="E257" s="339"/>
      <c r="F257" s="339"/>
      <c r="G257" s="339"/>
      <c r="H257" s="339"/>
      <c r="I257" s="339"/>
      <c r="J257" s="339"/>
      <c r="K257" s="339"/>
      <c r="L257" s="339"/>
      <c r="M257" s="339"/>
      <c r="N257" s="339"/>
      <c r="O257" s="339"/>
      <c r="P257" s="339"/>
      <c r="Q257" s="339"/>
      <c r="R257" s="339"/>
      <c r="S257" s="339"/>
      <c r="T257" s="339"/>
      <c r="U257" s="339"/>
      <c r="V257" s="340"/>
      <c r="W257" s="340"/>
    </row>
    <row r="258" spans="1:29" ht="16.05" customHeight="1" x14ac:dyDescent="0.35">
      <c r="B258" s="91" t="s">
        <v>2</v>
      </c>
      <c r="C258" s="92"/>
      <c r="D258" s="339"/>
      <c r="E258" s="339"/>
      <c r="F258" s="339"/>
      <c r="G258" s="339"/>
      <c r="H258" s="339"/>
      <c r="I258" s="339"/>
      <c r="J258" s="339"/>
      <c r="K258" s="339"/>
      <c r="L258" s="339"/>
      <c r="M258" s="339"/>
      <c r="N258" s="339"/>
      <c r="O258" s="339"/>
      <c r="P258" s="339"/>
      <c r="Q258" s="339"/>
      <c r="R258" s="339"/>
      <c r="S258" s="339"/>
      <c r="T258" s="339"/>
      <c r="U258" s="339"/>
      <c r="V258" s="340"/>
      <c r="W258" s="340"/>
    </row>
    <row r="259" spans="1:29" ht="16.05" customHeight="1" x14ac:dyDescent="0.35">
      <c r="B259" s="91" t="s">
        <v>3</v>
      </c>
      <c r="C259" s="92"/>
      <c r="D259" s="339"/>
      <c r="E259" s="339"/>
      <c r="F259" s="339"/>
      <c r="G259" s="339"/>
      <c r="H259" s="339"/>
      <c r="I259" s="339"/>
      <c r="J259" s="339"/>
      <c r="K259" s="339"/>
      <c r="L259" s="339"/>
      <c r="M259" s="339"/>
      <c r="N259" s="339"/>
      <c r="O259" s="339"/>
      <c r="P259" s="339"/>
      <c r="Q259" s="339"/>
      <c r="R259" s="339"/>
      <c r="S259" s="339"/>
      <c r="T259" s="339"/>
      <c r="U259" s="339"/>
      <c r="V259" s="340"/>
      <c r="W259" s="340"/>
    </row>
    <row r="260" spans="1:29" ht="16.05" customHeight="1" x14ac:dyDescent="0.35">
      <c r="B260" s="91" t="s">
        <v>11</v>
      </c>
      <c r="C260" s="92"/>
      <c r="D260" s="339"/>
      <c r="E260" s="339"/>
      <c r="F260" s="339"/>
      <c r="G260" s="339"/>
      <c r="H260" s="339"/>
      <c r="I260" s="339"/>
      <c r="J260" s="339"/>
      <c r="K260" s="339"/>
      <c r="L260" s="339"/>
      <c r="M260" s="339"/>
      <c r="N260" s="339"/>
      <c r="O260" s="339"/>
      <c r="P260" s="339"/>
      <c r="Q260" s="339"/>
      <c r="R260" s="339"/>
      <c r="S260" s="339"/>
      <c r="T260" s="339"/>
      <c r="U260" s="339"/>
      <c r="V260" s="340"/>
      <c r="W260" s="340"/>
    </row>
    <row r="261" spans="1:29" ht="16.05" customHeight="1" x14ac:dyDescent="0.35">
      <c r="B261" s="93" t="s">
        <v>1799</v>
      </c>
      <c r="C261" s="94"/>
      <c r="D261" s="338"/>
      <c r="E261" s="338"/>
      <c r="F261" s="338"/>
      <c r="G261" s="338"/>
      <c r="H261" s="338"/>
      <c r="I261" s="338"/>
      <c r="J261" s="338"/>
      <c r="K261" s="338"/>
      <c r="L261" s="338"/>
      <c r="M261" s="338"/>
      <c r="N261" s="338"/>
      <c r="O261" s="338"/>
      <c r="P261" s="338"/>
      <c r="Q261" s="338"/>
      <c r="R261" s="338"/>
      <c r="S261" s="338"/>
      <c r="T261" s="338"/>
      <c r="U261" s="338"/>
      <c r="V261" s="290"/>
      <c r="W261" s="290"/>
    </row>
    <row r="262" spans="1:29" ht="21" customHeight="1" x14ac:dyDescent="0.7">
      <c r="B262" s="44" t="s">
        <v>1813</v>
      </c>
      <c r="C262" s="45"/>
      <c r="D262" s="46" t="s">
        <v>1792</v>
      </c>
      <c r="E262" s="47"/>
      <c r="F262" s="359" t="str">
        <f>Schlüssel!$C$1</f>
        <v>Bayernliga Frauen</v>
      </c>
      <c r="G262" s="359"/>
      <c r="H262" s="359"/>
      <c r="I262" s="359"/>
      <c r="J262" s="359"/>
      <c r="K262" s="359"/>
      <c r="L262" s="359"/>
      <c r="M262" s="359"/>
      <c r="N262" s="359"/>
      <c r="O262" s="359"/>
      <c r="P262" s="45"/>
      <c r="Q262" s="45"/>
      <c r="R262" s="48"/>
      <c r="S262" s="49" t="s">
        <v>1794</v>
      </c>
      <c r="T262" s="50"/>
      <c r="U262" s="360" t="str">
        <f>Schlüssel!$DI$1</f>
        <v>05.04./06.04.</v>
      </c>
      <c r="V262" s="361"/>
      <c r="W262" s="362"/>
      <c r="AC262" s="51"/>
    </row>
    <row r="263" spans="1:29" ht="17.25" customHeight="1" thickBot="1" x14ac:dyDescent="0.65">
      <c r="A263" s="52"/>
      <c r="B263" s="96">
        <f>+B234+1</f>
        <v>10</v>
      </c>
      <c r="D263" s="46" t="s">
        <v>1793</v>
      </c>
      <c r="E263" s="54"/>
      <c r="F263" s="358" t="str">
        <f>Schlüssel!$CY$2</f>
        <v>Schweinfurt Extreme Bowlingarena</v>
      </c>
      <c r="G263" s="358"/>
      <c r="H263" s="358"/>
      <c r="I263" s="358"/>
      <c r="J263" s="358"/>
      <c r="K263" s="358"/>
      <c r="L263" s="358"/>
      <c r="M263" s="358"/>
      <c r="N263" s="358"/>
      <c r="O263" s="358"/>
      <c r="P263" s="55"/>
      <c r="Q263" s="55"/>
      <c r="S263" s="49" t="s">
        <v>1791</v>
      </c>
      <c r="T263" s="56">
        <v>6</v>
      </c>
      <c r="U263" s="50"/>
      <c r="V263" s="50"/>
      <c r="AC263" s="97"/>
    </row>
    <row r="264" spans="1:29" ht="15.75" customHeight="1" thickBot="1" x14ac:dyDescent="0.4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5" thickBot="1" x14ac:dyDescent="0.45">
      <c r="A265" s="2"/>
      <c r="B265" s="44"/>
      <c r="C265" s="63"/>
      <c r="D265" s="64" t="s">
        <v>10</v>
      </c>
      <c r="E265" s="44">
        <f>VLOOKUP($B263,Schlüssel!$A$5:$DZ$14,113)</f>
        <v>1</v>
      </c>
      <c r="F265" s="65" t="s">
        <v>10</v>
      </c>
      <c r="G265" s="44">
        <f>VLOOKUP($B263,Schlüssel!$A$5:$DZ$14,114)</f>
        <v>5</v>
      </c>
      <c r="H265" s="65" t="s">
        <v>10</v>
      </c>
      <c r="I265" s="44">
        <f>VLOOKUP($B263,Schlüssel!$A$5:$DZ$14,115)</f>
        <v>4</v>
      </c>
      <c r="J265" s="65" t="s">
        <v>10</v>
      </c>
      <c r="K265" s="44">
        <f>VLOOKUP($B263,Schlüssel!$A$5:$DZ$14,116)</f>
        <v>10</v>
      </c>
      <c r="L265" s="65" t="s">
        <v>10</v>
      </c>
      <c r="M265" s="44">
        <f>VLOOKUP($B263,Schlüssel!$A$5:$DZ$14,117)</f>
        <v>2</v>
      </c>
      <c r="N265" s="65" t="s">
        <v>10</v>
      </c>
      <c r="O265" s="44">
        <f>VLOOKUP($B263,Schlüssel!$A$5:$DZ$14,118)</f>
        <v>7</v>
      </c>
      <c r="P265" s="65" t="s">
        <v>10</v>
      </c>
      <c r="Q265" s="44">
        <f>VLOOKUP($B263,Schlüssel!$A$5:$DZ$14,119)</f>
        <v>6</v>
      </c>
      <c r="R265" s="65" t="s">
        <v>10</v>
      </c>
      <c r="S265" s="44">
        <f>VLOOKUP($B263,Schlüssel!$A$5:$DZ$14,120)</f>
        <v>3</v>
      </c>
      <c r="T265" s="65" t="s">
        <v>10</v>
      </c>
      <c r="U265" s="66">
        <f>VLOOKUP($B263,Schlüssel!$A$5:$DZ$14,121)</f>
        <v>8</v>
      </c>
    </row>
    <row r="266" spans="1:29" ht="20.25" customHeight="1" x14ac:dyDescent="0.35">
      <c r="B266" s="67" t="s">
        <v>1</v>
      </c>
      <c r="C266" s="68"/>
      <c r="D266" s="354" t="s">
        <v>1800</v>
      </c>
      <c r="E266" s="355"/>
      <c r="F266" s="354" t="s">
        <v>1801</v>
      </c>
      <c r="G266" s="355"/>
      <c r="H266" s="354" t="s">
        <v>1802</v>
      </c>
      <c r="I266" s="355"/>
      <c r="J266" s="354" t="s">
        <v>1803</v>
      </c>
      <c r="K266" s="355"/>
      <c r="L266" s="354" t="s">
        <v>1804</v>
      </c>
      <c r="M266" s="355"/>
      <c r="N266" s="354" t="s">
        <v>1805</v>
      </c>
      <c r="O266" s="355"/>
      <c r="P266" s="354" t="s">
        <v>1806</v>
      </c>
      <c r="Q266" s="355"/>
      <c r="R266" s="354" t="s">
        <v>1807</v>
      </c>
      <c r="S266" s="355"/>
      <c r="T266" s="354" t="s">
        <v>1808</v>
      </c>
      <c r="U266" s="355"/>
      <c r="V266" s="356" t="s">
        <v>1799</v>
      </c>
      <c r="W266" s="357"/>
    </row>
    <row r="267" spans="1:29" ht="15" customHeight="1" thickBot="1" x14ac:dyDescent="0.4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2" customHeight="1" x14ac:dyDescent="0.35">
      <c r="A268" s="351" t="s">
        <v>0</v>
      </c>
      <c r="B268" s="73"/>
      <c r="C268" s="74"/>
      <c r="D268" s="75"/>
      <c r="E268" s="348"/>
      <c r="F268" s="75"/>
      <c r="G268" s="348"/>
      <c r="H268" s="75"/>
      <c r="I268" s="348"/>
      <c r="J268" s="75"/>
      <c r="K268" s="348"/>
      <c r="L268" s="75"/>
      <c r="M268" s="348"/>
      <c r="N268" s="75"/>
      <c r="O268" s="348"/>
      <c r="P268" s="75"/>
      <c r="Q268" s="348"/>
      <c r="R268" s="75"/>
      <c r="S268" s="348"/>
      <c r="T268" s="75"/>
      <c r="U268" s="348"/>
      <c r="V268" s="75"/>
      <c r="W268" s="348"/>
    </row>
    <row r="269" spans="1:29" ht="17.2" customHeight="1" x14ac:dyDescent="0.35">
      <c r="A269" s="352"/>
      <c r="B269" s="76"/>
      <c r="C269" s="77"/>
      <c r="D269" s="78"/>
      <c r="E269" s="349"/>
      <c r="F269" s="78"/>
      <c r="G269" s="349"/>
      <c r="H269" s="78"/>
      <c r="I269" s="349"/>
      <c r="J269" s="78"/>
      <c r="K269" s="349"/>
      <c r="L269" s="78"/>
      <c r="M269" s="349"/>
      <c r="N269" s="78"/>
      <c r="O269" s="349"/>
      <c r="P269" s="78"/>
      <c r="Q269" s="349"/>
      <c r="R269" s="78"/>
      <c r="S269" s="349"/>
      <c r="T269" s="78"/>
      <c r="U269" s="349"/>
      <c r="V269" s="78"/>
      <c r="W269" s="349"/>
    </row>
    <row r="270" spans="1:29" ht="17.2" customHeight="1" thickBot="1" x14ac:dyDescent="0.4">
      <c r="A270" s="353"/>
      <c r="B270" s="79"/>
      <c r="C270" s="80"/>
      <c r="D270" s="69"/>
      <c r="E270" s="350"/>
      <c r="F270" s="69"/>
      <c r="G270" s="350"/>
      <c r="H270" s="69"/>
      <c r="I270" s="350"/>
      <c r="J270" s="69"/>
      <c r="K270" s="350"/>
      <c r="L270" s="69"/>
      <c r="M270" s="350"/>
      <c r="N270" s="69"/>
      <c r="O270" s="350"/>
      <c r="P270" s="69"/>
      <c r="Q270" s="350"/>
      <c r="R270" s="69"/>
      <c r="S270" s="350"/>
      <c r="T270" s="69"/>
      <c r="U270" s="350"/>
      <c r="V270" s="69"/>
      <c r="W270" s="350"/>
    </row>
    <row r="271" spans="1:29" ht="17.2" customHeight="1" x14ac:dyDescent="0.35">
      <c r="A271" s="351" t="s">
        <v>2</v>
      </c>
      <c r="B271" s="73"/>
      <c r="C271" s="74"/>
      <c r="D271" s="75"/>
      <c r="E271" s="348"/>
      <c r="F271" s="75"/>
      <c r="G271" s="348"/>
      <c r="H271" s="75"/>
      <c r="I271" s="348"/>
      <c r="J271" s="75"/>
      <c r="K271" s="348"/>
      <c r="L271" s="75"/>
      <c r="M271" s="348"/>
      <c r="N271" s="75"/>
      <c r="O271" s="348"/>
      <c r="P271" s="75"/>
      <c r="Q271" s="348"/>
      <c r="R271" s="75"/>
      <c r="S271" s="348"/>
      <c r="T271" s="75"/>
      <c r="U271" s="348"/>
      <c r="V271" s="75"/>
      <c r="W271" s="348"/>
    </row>
    <row r="272" spans="1:29" ht="17.2" customHeight="1" x14ac:dyDescent="0.35">
      <c r="A272" s="352"/>
      <c r="B272" s="76"/>
      <c r="C272" s="77"/>
      <c r="D272" s="78"/>
      <c r="E272" s="349"/>
      <c r="F272" s="78"/>
      <c r="G272" s="349"/>
      <c r="H272" s="78"/>
      <c r="I272" s="349"/>
      <c r="J272" s="78"/>
      <c r="K272" s="349"/>
      <c r="L272" s="78"/>
      <c r="M272" s="349"/>
      <c r="N272" s="78"/>
      <c r="O272" s="349"/>
      <c r="P272" s="78"/>
      <c r="Q272" s="349"/>
      <c r="R272" s="78"/>
      <c r="S272" s="349"/>
      <c r="T272" s="78"/>
      <c r="U272" s="349"/>
      <c r="V272" s="78"/>
      <c r="W272" s="349"/>
    </row>
    <row r="273" spans="1:23" ht="17.2" customHeight="1" thickBot="1" x14ac:dyDescent="0.4">
      <c r="A273" s="353"/>
      <c r="B273" s="79"/>
      <c r="C273" s="80"/>
      <c r="D273" s="69"/>
      <c r="E273" s="350"/>
      <c r="F273" s="69"/>
      <c r="G273" s="350"/>
      <c r="H273" s="69"/>
      <c r="I273" s="350"/>
      <c r="J273" s="69"/>
      <c r="K273" s="350"/>
      <c r="L273" s="69"/>
      <c r="M273" s="350"/>
      <c r="N273" s="69"/>
      <c r="O273" s="350"/>
      <c r="P273" s="69"/>
      <c r="Q273" s="350"/>
      <c r="R273" s="69"/>
      <c r="S273" s="350"/>
      <c r="T273" s="69"/>
      <c r="U273" s="350"/>
      <c r="V273" s="69"/>
      <c r="W273" s="350"/>
    </row>
    <row r="274" spans="1:23" ht="17.2" customHeight="1" x14ac:dyDescent="0.35">
      <c r="A274" s="351" t="s">
        <v>3</v>
      </c>
      <c r="B274" s="73"/>
      <c r="C274" s="74"/>
      <c r="D274" s="75"/>
      <c r="E274" s="348"/>
      <c r="F274" s="75"/>
      <c r="G274" s="348"/>
      <c r="H274" s="75"/>
      <c r="I274" s="348"/>
      <c r="J274" s="75"/>
      <c r="K274" s="348"/>
      <c r="L274" s="75"/>
      <c r="M274" s="348"/>
      <c r="N274" s="75"/>
      <c r="O274" s="348"/>
      <c r="P274" s="75"/>
      <c r="Q274" s="348"/>
      <c r="R274" s="75"/>
      <c r="S274" s="348"/>
      <c r="T274" s="75"/>
      <c r="U274" s="348"/>
      <c r="V274" s="75"/>
      <c r="W274" s="348"/>
    </row>
    <row r="275" spans="1:23" ht="17.2" customHeight="1" x14ac:dyDescent="0.35">
      <c r="A275" s="352"/>
      <c r="B275" s="76"/>
      <c r="C275" s="77"/>
      <c r="D275" s="78"/>
      <c r="E275" s="349"/>
      <c r="F275" s="78"/>
      <c r="G275" s="349"/>
      <c r="H275" s="78"/>
      <c r="I275" s="349"/>
      <c r="J275" s="78"/>
      <c r="K275" s="349"/>
      <c r="L275" s="78"/>
      <c r="M275" s="349"/>
      <c r="N275" s="78"/>
      <c r="O275" s="349"/>
      <c r="P275" s="78"/>
      <c r="Q275" s="349"/>
      <c r="R275" s="78"/>
      <c r="S275" s="349"/>
      <c r="T275" s="78"/>
      <c r="U275" s="349"/>
      <c r="V275" s="78"/>
      <c r="W275" s="349"/>
    </row>
    <row r="276" spans="1:23" ht="17.2" customHeight="1" thickBot="1" x14ac:dyDescent="0.4">
      <c r="A276" s="353"/>
      <c r="B276" s="79"/>
      <c r="C276" s="80"/>
      <c r="D276" s="69"/>
      <c r="E276" s="350"/>
      <c r="F276" s="69"/>
      <c r="G276" s="350"/>
      <c r="H276" s="69"/>
      <c r="I276" s="350"/>
      <c r="J276" s="69"/>
      <c r="K276" s="350"/>
      <c r="L276" s="69"/>
      <c r="M276" s="350"/>
      <c r="N276" s="69"/>
      <c r="O276" s="350"/>
      <c r="P276" s="69"/>
      <c r="Q276" s="350"/>
      <c r="R276" s="69"/>
      <c r="S276" s="350"/>
      <c r="T276" s="69"/>
      <c r="U276" s="350"/>
      <c r="V276" s="69"/>
      <c r="W276" s="350"/>
    </row>
    <row r="277" spans="1:23" ht="17.2" customHeight="1" x14ac:dyDescent="0.35">
      <c r="A277" s="351" t="s">
        <v>11</v>
      </c>
      <c r="B277" s="73"/>
      <c r="C277" s="74"/>
      <c r="D277" s="75"/>
      <c r="E277" s="348"/>
      <c r="F277" s="75"/>
      <c r="G277" s="348"/>
      <c r="H277" s="75"/>
      <c r="I277" s="348"/>
      <c r="J277" s="75"/>
      <c r="K277" s="348"/>
      <c r="L277" s="75"/>
      <c r="M277" s="348"/>
      <c r="N277" s="75"/>
      <c r="O277" s="348"/>
      <c r="P277" s="75"/>
      <c r="Q277" s="348"/>
      <c r="R277" s="75"/>
      <c r="S277" s="348"/>
      <c r="T277" s="75"/>
      <c r="U277" s="348"/>
      <c r="V277" s="75"/>
      <c r="W277" s="348"/>
    </row>
    <row r="278" spans="1:23" ht="17.2" customHeight="1" x14ac:dyDescent="0.35">
      <c r="A278" s="352"/>
      <c r="B278" s="76"/>
      <c r="C278" s="77"/>
      <c r="D278" s="78"/>
      <c r="E278" s="349"/>
      <c r="F278" s="78"/>
      <c r="G278" s="349"/>
      <c r="H278" s="78"/>
      <c r="I278" s="349"/>
      <c r="J278" s="78"/>
      <c r="K278" s="349"/>
      <c r="L278" s="78"/>
      <c r="M278" s="349"/>
      <c r="N278" s="78"/>
      <c r="O278" s="349"/>
      <c r="P278" s="78"/>
      <c r="Q278" s="349"/>
      <c r="R278" s="78"/>
      <c r="S278" s="349"/>
      <c r="T278" s="78"/>
      <c r="U278" s="349"/>
      <c r="V278" s="78"/>
      <c r="W278" s="349"/>
    </row>
    <row r="279" spans="1:23" ht="17.2" customHeight="1" thickBot="1" x14ac:dyDescent="0.4">
      <c r="A279" s="353"/>
      <c r="B279" s="79"/>
      <c r="C279" s="80"/>
      <c r="D279" s="69"/>
      <c r="E279" s="350"/>
      <c r="F279" s="69"/>
      <c r="G279" s="350"/>
      <c r="H279" s="69"/>
      <c r="I279" s="350"/>
      <c r="J279" s="69"/>
      <c r="K279" s="350"/>
      <c r="L279" s="69"/>
      <c r="M279" s="350"/>
      <c r="N279" s="69"/>
      <c r="O279" s="350"/>
      <c r="P279" s="69"/>
      <c r="Q279" s="350"/>
      <c r="R279" s="69"/>
      <c r="S279" s="350"/>
      <c r="T279" s="69"/>
      <c r="U279" s="350"/>
      <c r="V279" s="69"/>
      <c r="W279" s="350"/>
    </row>
    <row r="280" spans="1:23" ht="27.75" customHeight="1" thickBot="1" x14ac:dyDescent="0.4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4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3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35">
      <c r="B283" s="88" t="s">
        <v>1797</v>
      </c>
      <c r="C283" s="89" t="s">
        <v>1798</v>
      </c>
      <c r="D283" s="346">
        <f>VLOOKUP(B263,Schlüssel!$A$5:$DZ$14,103)</f>
        <v>8</v>
      </c>
      <c r="E283" s="346"/>
      <c r="F283" s="346">
        <f>VLOOKUP(B263,Schlüssel!$A$5:$DZ$14,104)</f>
        <v>6</v>
      </c>
      <c r="G283" s="346"/>
      <c r="H283" s="346">
        <f>VLOOKUP(B263,Schlüssel!$A$5:$DZ$14,105)</f>
        <v>3</v>
      </c>
      <c r="I283" s="346"/>
      <c r="J283" s="346">
        <f>VLOOKUP(B263,Schlüssel!$A$5:$DZ$14,106)</f>
        <v>4</v>
      </c>
      <c r="K283" s="346"/>
      <c r="L283" s="346">
        <f>VLOOKUP(B263,Schlüssel!$A$5:$DZ$14,107)</f>
        <v>7</v>
      </c>
      <c r="M283" s="346"/>
      <c r="N283" s="346">
        <f>VLOOKUP(B263,Schlüssel!$A$5:$DZ$14,108)</f>
        <v>2</v>
      </c>
      <c r="O283" s="346"/>
      <c r="P283" s="346">
        <f>VLOOKUP(B263,Schlüssel!$A$5:$DZ$14,109)</f>
        <v>1</v>
      </c>
      <c r="Q283" s="346"/>
      <c r="R283" s="346">
        <f>VLOOKUP(B263,Schlüssel!$A$5:$DZ$14,110)</f>
        <v>5</v>
      </c>
      <c r="S283" s="346"/>
      <c r="T283" s="346">
        <f>VLOOKUP(B263,Schlüssel!$A$5:$DZ$14,111)</f>
        <v>9</v>
      </c>
      <c r="U283" s="346"/>
      <c r="V283" s="347"/>
      <c r="W283" s="347"/>
    </row>
    <row r="284" spans="1:23" ht="28.5" customHeight="1" x14ac:dyDescent="0.35">
      <c r="B284" s="90"/>
      <c r="C284" s="86"/>
      <c r="D284" s="343" t="str">
        <f>VLOOKUP(D283,Schlüssel!$A$5:$K$14,2)</f>
        <v>EPA München 1</v>
      </c>
      <c r="E284" s="344"/>
      <c r="F284" s="343" t="str">
        <f>VLOOKUP(F283,Schlüssel!$A$5:$K$14,2)</f>
        <v>Phönix 03 Lauf</v>
      </c>
      <c r="G284" s="344"/>
      <c r="H284" s="343" t="str">
        <f>VLOOKUP(H283,Schlüssel!$A$5:$K$14,2)</f>
        <v>Highroller Rosenheim</v>
      </c>
      <c r="I284" s="344"/>
      <c r="J284" s="343" t="str">
        <f>VLOOKUP(J283,Schlüssel!$A$5:$K$14,2)</f>
        <v>BK München 3</v>
      </c>
      <c r="K284" s="344"/>
      <c r="L284" s="343" t="str">
        <f>VLOOKUP(L283,Schlüssel!$A$5:$K$14,2)</f>
        <v>Frankenpower Nürnberg</v>
      </c>
      <c r="M284" s="344"/>
      <c r="N284" s="343" t="str">
        <f>VLOOKUP(N283,Schlüssel!$A$5:$K$14,2)</f>
        <v>BK München 2</v>
      </c>
      <c r="O284" s="344"/>
      <c r="P284" s="343" t="str">
        <f>VLOOKUP(P283,Schlüssel!$A$5:$K$14,2)</f>
        <v>Praetoria Regensburg</v>
      </c>
      <c r="Q284" s="344"/>
      <c r="R284" s="343" t="str">
        <f>VLOOKUP(R283,Schlüssel!$A$5:$K$14,2)</f>
        <v xml:space="preserve">Weiß Blau Unterföhring </v>
      </c>
      <c r="S284" s="344"/>
      <c r="T284" s="343" t="str">
        <f>VLOOKUP(T283,Schlüssel!$A$5:$K$14,2)</f>
        <v>RW Lichtenhof 69 Stein 2</v>
      </c>
      <c r="U284" s="344"/>
      <c r="V284" s="345"/>
      <c r="W284" s="345"/>
    </row>
    <row r="285" spans="1:23" ht="12" customHeight="1" x14ac:dyDescent="0.35">
      <c r="B285" s="90"/>
      <c r="C285" s="86"/>
      <c r="D285" s="341"/>
      <c r="E285" s="341"/>
      <c r="F285" s="341"/>
      <c r="G285" s="341"/>
      <c r="H285" s="341"/>
      <c r="I285" s="341"/>
      <c r="J285" s="341"/>
      <c r="K285" s="341"/>
      <c r="L285" s="341"/>
      <c r="M285" s="341"/>
      <c r="N285" s="341"/>
      <c r="O285" s="341"/>
      <c r="P285" s="341"/>
      <c r="Q285" s="341"/>
      <c r="R285" s="341"/>
      <c r="S285" s="341"/>
      <c r="T285" s="341"/>
      <c r="U285" s="342"/>
      <c r="V285" s="301"/>
      <c r="W285" s="301"/>
    </row>
    <row r="286" spans="1:23" ht="16.05" customHeight="1" x14ac:dyDescent="0.35">
      <c r="B286" s="91" t="s">
        <v>0</v>
      </c>
      <c r="C286" s="92"/>
      <c r="D286" s="339"/>
      <c r="E286" s="339"/>
      <c r="F286" s="339"/>
      <c r="G286" s="339"/>
      <c r="H286" s="339"/>
      <c r="I286" s="339"/>
      <c r="J286" s="339"/>
      <c r="K286" s="339"/>
      <c r="L286" s="339"/>
      <c r="M286" s="339"/>
      <c r="N286" s="339"/>
      <c r="O286" s="339"/>
      <c r="P286" s="339"/>
      <c r="Q286" s="339"/>
      <c r="R286" s="339"/>
      <c r="S286" s="339"/>
      <c r="T286" s="339"/>
      <c r="U286" s="339"/>
      <c r="V286" s="340"/>
      <c r="W286" s="340"/>
    </row>
    <row r="287" spans="1:23" ht="16.05" customHeight="1" x14ac:dyDescent="0.35">
      <c r="B287" s="91" t="s">
        <v>2</v>
      </c>
      <c r="C287" s="92"/>
      <c r="D287" s="339"/>
      <c r="E287" s="339"/>
      <c r="F287" s="339"/>
      <c r="G287" s="339"/>
      <c r="H287" s="339"/>
      <c r="I287" s="339"/>
      <c r="J287" s="339"/>
      <c r="K287" s="339"/>
      <c r="L287" s="339"/>
      <c r="M287" s="339"/>
      <c r="N287" s="339"/>
      <c r="O287" s="339"/>
      <c r="P287" s="339"/>
      <c r="Q287" s="339"/>
      <c r="R287" s="339"/>
      <c r="S287" s="339"/>
      <c r="T287" s="339"/>
      <c r="U287" s="339"/>
      <c r="V287" s="340"/>
      <c r="W287" s="340"/>
    </row>
    <row r="288" spans="1:23" ht="16.05" customHeight="1" x14ac:dyDescent="0.35">
      <c r="B288" s="91" t="s">
        <v>3</v>
      </c>
      <c r="C288" s="92"/>
      <c r="D288" s="339"/>
      <c r="E288" s="339"/>
      <c r="F288" s="339"/>
      <c r="G288" s="339"/>
      <c r="H288" s="339"/>
      <c r="I288" s="339"/>
      <c r="J288" s="339"/>
      <c r="K288" s="33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40"/>
      <c r="W288" s="340"/>
    </row>
    <row r="289" spans="2:23" ht="16.05" customHeight="1" x14ac:dyDescent="0.35">
      <c r="B289" s="91" t="s">
        <v>11</v>
      </c>
      <c r="C289" s="92"/>
      <c r="D289" s="339"/>
      <c r="E289" s="339"/>
      <c r="F289" s="339"/>
      <c r="G289" s="339"/>
      <c r="H289" s="339"/>
      <c r="I289" s="339"/>
      <c r="J289" s="339"/>
      <c r="K289" s="339"/>
      <c r="L289" s="339"/>
      <c r="M289" s="339"/>
      <c r="N289" s="339"/>
      <c r="O289" s="339"/>
      <c r="P289" s="339"/>
      <c r="Q289" s="339"/>
      <c r="R289" s="339"/>
      <c r="S289" s="339"/>
      <c r="T289" s="339"/>
      <c r="U289" s="339"/>
      <c r="V289" s="340"/>
      <c r="W289" s="340"/>
    </row>
    <row r="290" spans="2:23" ht="16.05" customHeight="1" x14ac:dyDescent="0.35">
      <c r="B290" s="93" t="s">
        <v>1799</v>
      </c>
      <c r="C290" s="94"/>
      <c r="D290" s="338"/>
      <c r="E290" s="338"/>
      <c r="F290" s="338"/>
      <c r="G290" s="338"/>
      <c r="H290" s="338"/>
      <c r="I290" s="338"/>
      <c r="J290" s="338"/>
      <c r="K290" s="338"/>
      <c r="L290" s="338"/>
      <c r="M290" s="338"/>
      <c r="N290" s="338"/>
      <c r="O290" s="338"/>
      <c r="P290" s="338"/>
      <c r="Q290" s="338"/>
      <c r="R290" s="338"/>
      <c r="S290" s="338"/>
      <c r="T290" s="338"/>
      <c r="U290" s="338"/>
      <c r="V290" s="290"/>
      <c r="W290" s="290"/>
    </row>
  </sheetData>
  <sheetProtection password="D19C" sheet="1" formatCells="0" formatColumns="0" formatRows="0"/>
  <mergeCells count="1370"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</mergeCell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Tabelle32">
    <tabColor rgb="FF92D050"/>
    <pageSetUpPr fitToPage="1"/>
  </sheetPr>
  <dimension ref="A1:BZ300"/>
  <sheetViews>
    <sheetView view="pageBreakPreview" topLeftCell="Z1" zoomScaleNormal="100" zoomScaleSheetLayoutView="100" workbookViewId="0">
      <selection activeCell="AD4" sqref="AD4"/>
    </sheetView>
  </sheetViews>
  <sheetFormatPr baseColWidth="10" defaultColWidth="11.33203125" defaultRowHeight="12.75" x14ac:dyDescent="0.35"/>
  <cols>
    <col min="1" max="1" width="4.33203125" style="5" hidden="1" customWidth="1"/>
    <col min="2" max="2" width="18.06640625" hidden="1" customWidth="1"/>
    <col min="3" max="3" width="6.33203125" hidden="1" customWidth="1"/>
    <col min="4" max="21" width="5.73046875" hidden="1" customWidth="1"/>
    <col min="22" max="22" width="8.33203125" hidden="1" customWidth="1"/>
    <col min="23" max="23" width="6.73046875" hidden="1" customWidth="1"/>
    <col min="24" max="25" width="0" hidden="1" customWidth="1"/>
    <col min="26" max="26" width="4.33203125" customWidth="1"/>
    <col min="27" max="27" width="18.06640625" customWidth="1"/>
    <col min="28" max="28" width="6.33203125" customWidth="1"/>
    <col min="29" max="46" width="5.73046875" customWidth="1"/>
    <col min="47" max="47" width="8.33203125" customWidth="1"/>
    <col min="48" max="48" width="6.73046875" customWidth="1"/>
    <col min="49" max="50" width="11.33203125" customWidth="1"/>
    <col min="51" max="51" width="9.59765625" customWidth="1"/>
    <col min="52" max="52" width="11.33203125" customWidth="1"/>
    <col min="53" max="53" width="6.33203125" style="215" hidden="1" customWidth="1"/>
    <col min="54" max="54" width="5.33203125" style="215" hidden="1" customWidth="1"/>
    <col min="55" max="55" width="5.59765625" style="215" hidden="1" customWidth="1"/>
    <col min="56" max="56" width="6.265625" style="215" hidden="1" customWidth="1"/>
    <col min="57" max="57" width="5.33203125" style="215" hidden="1" customWidth="1"/>
    <col min="58" max="58" width="6" style="215" hidden="1" customWidth="1"/>
    <col min="59" max="59" width="8.33203125" style="215" hidden="1" customWidth="1"/>
    <col min="60" max="68" width="4.265625" style="215" hidden="1" customWidth="1"/>
    <col min="69" max="69" width="14.73046875" style="215" hidden="1" customWidth="1"/>
    <col min="70" max="70" width="5.265625" style="215" hidden="1" customWidth="1"/>
    <col min="71" max="71" width="9.33203125" style="215" hidden="1" customWidth="1"/>
    <col min="72" max="72" width="11" style="215" hidden="1" customWidth="1"/>
    <col min="73" max="73" width="17.265625" style="215" hidden="1" customWidth="1"/>
    <col min="74" max="75" width="5.265625" style="215" hidden="1" customWidth="1"/>
    <col min="76" max="76" width="7.73046875" style="215" hidden="1" customWidth="1"/>
    <col min="77" max="77" width="11.33203125" style="215" hidden="1" customWidth="1"/>
    <col min="78" max="78" width="5.265625" style="215" hidden="1" customWidth="1"/>
    <col min="79" max="99" width="11.33203125" customWidth="1"/>
  </cols>
  <sheetData>
    <row r="1" spans="1:78" ht="21" customHeight="1" x14ac:dyDescent="0.7">
      <c r="B1" s="44" t="str">
        <f>AA1</f>
        <v>Team-Nr.</v>
      </c>
      <c r="C1" s="45"/>
      <c r="D1" s="44" t="str">
        <f>AC1</f>
        <v>Liga:</v>
      </c>
      <c r="E1" s="47"/>
      <c r="F1" s="359" t="str">
        <f>AE1</f>
        <v>Bayernliga Frauen</v>
      </c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48"/>
      <c r="S1" s="49" t="s">
        <v>1794</v>
      </c>
      <c r="T1" s="50"/>
      <c r="U1" s="360" t="str">
        <f>AT1</f>
        <v>05.04./06.04.</v>
      </c>
      <c r="V1" s="361"/>
      <c r="W1" s="362"/>
      <c r="X1" s="363"/>
      <c r="Y1" s="364"/>
      <c r="Z1" s="364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60" t="str">
        <f>VLOOKUP(AS2,Spielorte!$A$1:$C$6,2)</f>
        <v>05.04./06.04.</v>
      </c>
      <c r="AU1" s="361"/>
      <c r="AV1" s="362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65">
      <c r="B2" s="53">
        <f>AA2</f>
        <v>1</v>
      </c>
      <c r="D2" s="46" t="s">
        <v>1793</v>
      </c>
      <c r="E2" s="54"/>
      <c r="F2" s="358" t="str">
        <f>AE2</f>
        <v>Schweinfurt Extreme Bowlingarena</v>
      </c>
      <c r="G2" s="358"/>
      <c r="H2" s="358"/>
      <c r="I2" s="358"/>
      <c r="J2" s="358"/>
      <c r="K2" s="358"/>
      <c r="L2" s="358"/>
      <c r="M2" s="358"/>
      <c r="N2" s="358"/>
      <c r="O2" s="358"/>
      <c r="P2" s="55"/>
      <c r="Q2" s="55"/>
      <c r="S2" s="49" t="s">
        <v>1791</v>
      </c>
      <c r="T2" s="56">
        <f>AS2</f>
        <v>6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Schweinfurt Extreme Bowlingarena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6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4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5" thickBot="1" x14ac:dyDescent="0.45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VLOOKUP(AA2,Schlüssel!$A$5:$DZ$14,113)</f>
        <v>4</v>
      </c>
      <c r="AE4" s="65" t="s">
        <v>10</v>
      </c>
      <c r="AF4" s="44">
        <f>VLOOKUP(AA2,Schlüssel!$A$5:$DZ$14,114)</f>
        <v>10</v>
      </c>
      <c r="AG4" s="65" t="s">
        <v>10</v>
      </c>
      <c r="AH4" s="44">
        <f>VLOOKUP(AA2,Schlüssel!$A$5:$DZ$14,115)</f>
        <v>6</v>
      </c>
      <c r="AI4" s="65" t="s">
        <v>10</v>
      </c>
      <c r="AJ4" s="44">
        <f>VLOOKUP(AA2,Schlüssel!$A$5:$DZ$14,116)</f>
        <v>7</v>
      </c>
      <c r="AK4" s="65" t="s">
        <v>10</v>
      </c>
      <c r="AL4" s="44">
        <f>VLOOKUP(AA2,Schlüssel!$A$5:$DZ$14,117)</f>
        <v>3</v>
      </c>
      <c r="AM4" s="65" t="s">
        <v>10</v>
      </c>
      <c r="AN4" s="44">
        <f>VLOOKUP(AA2,Schlüssel!$A$5:$DZ$14,118)</f>
        <v>1</v>
      </c>
      <c r="AO4" s="65" t="s">
        <v>10</v>
      </c>
      <c r="AP4" s="44">
        <f>VLOOKUP(AA2,Schlüssel!$A$5:$DZ$14,119)</f>
        <v>5</v>
      </c>
      <c r="AQ4" s="65" t="s">
        <v>10</v>
      </c>
      <c r="AR4" s="44">
        <f>VLOOKUP(AA2,Schlüssel!$A$5:$DZ$14,120)</f>
        <v>9</v>
      </c>
      <c r="AS4" s="65" t="s">
        <v>10</v>
      </c>
      <c r="AT4" s="44">
        <f>VLOOKUP(AA2,Schlüssel!$A$5:$DZ$14,121)</f>
        <v>2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35">
      <c r="B5" s="67" t="s">
        <v>1</v>
      </c>
      <c r="C5" s="68"/>
      <c r="D5" s="354" t="s">
        <v>1800</v>
      </c>
      <c r="E5" s="355"/>
      <c r="F5" s="354" t="s">
        <v>1801</v>
      </c>
      <c r="G5" s="355"/>
      <c r="H5" s="354" t="s">
        <v>1802</v>
      </c>
      <c r="I5" s="355"/>
      <c r="J5" s="354" t="s">
        <v>1803</v>
      </c>
      <c r="K5" s="355"/>
      <c r="L5" s="354" t="s">
        <v>1804</v>
      </c>
      <c r="M5" s="355"/>
      <c r="N5" s="354" t="s">
        <v>1805</v>
      </c>
      <c r="O5" s="355"/>
      <c r="P5" s="354" t="s">
        <v>1806</v>
      </c>
      <c r="Q5" s="355"/>
      <c r="R5" s="354" t="s">
        <v>1807</v>
      </c>
      <c r="S5" s="355"/>
      <c r="T5" s="354" t="s">
        <v>1808</v>
      </c>
      <c r="U5" s="355"/>
      <c r="V5" s="356" t="s">
        <v>1799</v>
      </c>
      <c r="W5" s="357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4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2" customHeight="1" x14ac:dyDescent="0.35">
      <c r="A7" s="367" t="s">
        <v>0</v>
      </c>
      <c r="B7" s="73" t="str">
        <f>IF(AA7=0,"",AA7)</f>
        <v/>
      </c>
      <c r="C7" s="74" t="str">
        <f>IF(AB7=0,"",AB7)</f>
        <v/>
      </c>
      <c r="D7" s="75" t="str">
        <f>IF(AC7=0,"",AC7)</f>
        <v/>
      </c>
      <c r="E7" s="348">
        <f>IF(AD7="","",AD7)</f>
        <v>0</v>
      </c>
      <c r="F7" s="75" t="str">
        <f t="shared" ref="F7:F20" si="0">IF(AE7=0,"",AE7)</f>
        <v/>
      </c>
      <c r="G7" s="348">
        <f>IF(AF7="","",AF7)</f>
        <v>0</v>
      </c>
      <c r="H7" s="75" t="str">
        <f t="shared" ref="H7:H20" si="1">IF(AG7=0,"",AG7)</f>
        <v/>
      </c>
      <c r="I7" s="348">
        <f>IF(AH7="","",AH7)</f>
        <v>0</v>
      </c>
      <c r="J7" s="75" t="str">
        <f t="shared" ref="J7:J20" si="2">IF(AI7=0,"",AI7)</f>
        <v/>
      </c>
      <c r="K7" s="348">
        <f>IF(AJ7="","",AJ7)</f>
        <v>0</v>
      </c>
      <c r="L7" s="75" t="str">
        <f t="shared" ref="L7:L20" si="3">IF(AK7=0,"",AK7)</f>
        <v/>
      </c>
      <c r="M7" s="348">
        <f>IF(AL7="","",AL7)</f>
        <v>0</v>
      </c>
      <c r="N7" s="75" t="str">
        <f>IF(AM7=0,"",AM7)</f>
        <v/>
      </c>
      <c r="O7" s="348">
        <f>IF(AN7="","",AN7)</f>
        <v>0</v>
      </c>
      <c r="P7" s="75" t="str">
        <f t="shared" ref="P7:P20" si="4">IF(AO7=0,"",AO7)</f>
        <v/>
      </c>
      <c r="Q7" s="348">
        <f>IF(AP7="","",AP7)</f>
        <v>0</v>
      </c>
      <c r="R7" s="75" t="str">
        <f t="shared" ref="R7:R20" si="5">IF(AQ7=0,"",AQ7)</f>
        <v/>
      </c>
      <c r="S7" s="348">
        <f>IF(AR7="","",AR7)</f>
        <v>0</v>
      </c>
      <c r="T7" s="75" t="str">
        <f t="shared" ref="T7:T20" si="6">IF(AS7=0,"",AS7)</f>
        <v/>
      </c>
      <c r="U7" s="348">
        <f>IF(AT7="","",AT7)</f>
        <v>0</v>
      </c>
      <c r="V7" s="75" t="str">
        <f t="shared" ref="V7:V20" si="7">IF(AU7=0,"",AU7)</f>
        <v/>
      </c>
      <c r="W7" s="348">
        <f>IF(AV7="","",AV7)</f>
        <v>0</v>
      </c>
      <c r="Z7" s="351" t="s">
        <v>0</v>
      </c>
      <c r="AA7" s="108" t="str">
        <f>IF(AB7=0,"",VLOOKUP(AB7,Starter!$A$1:$D$199,2,FALSE))</f>
        <v/>
      </c>
      <c r="AB7" s="99"/>
      <c r="AC7" s="185"/>
      <c r="AD7" s="109">
        <f>IF(SUM(AC7:AC9)+AC25=0,0,IF(SUM(AC7:AC9)=AC25,0.5,IF(SUM(AC7:AC9)&gt;AC25,1,0)))</f>
        <v>0</v>
      </c>
      <c r="AE7" s="185"/>
      <c r="AF7" s="109">
        <f>IF(SUM(AE7:AE9)+AE25=0,0,IF(SUM(AE7:AE9)=AE25,0.5,IF(SUM(AE7:AE9)&gt;AE25,1,0)))</f>
        <v>0</v>
      </c>
      <c r="AG7" s="185"/>
      <c r="AH7" s="109">
        <f>IF(SUM(AG7:AG9)+AG25=0,0,IF(SUM(AG7:AG9)=AG25,0.5,IF(SUM(AG7:AG9)&gt;AG25,1,0)))</f>
        <v>0</v>
      </c>
      <c r="AI7" s="185"/>
      <c r="AJ7" s="109">
        <f>IF(SUM(AI7:AI9)+AI25=0,0,IF(SUM(AI7:AI9)=AI25,0.5,IF(SUM(AI7:AI9)&gt;AI25,1,0)))</f>
        <v>0</v>
      </c>
      <c r="AK7" s="185"/>
      <c r="AL7" s="109">
        <f>IF(SUM(AK7:AK9)+AK25=0,0,IF(SUM(AK7:AK9)=AK25,0.5,IF(SUM(AK7:AK9)&gt;AK25,1,0)))</f>
        <v>0</v>
      </c>
      <c r="AM7" s="185"/>
      <c r="AN7" s="109">
        <f>IF(SUM(AM7:AM9)+AM25=0,0,IF(SUM(AM7:AM9)=AM25,0.5,IF(SUM(AM7:AM9)&gt;AM25,1,0)))</f>
        <v>0</v>
      </c>
      <c r="AO7" s="185"/>
      <c r="AP7" s="109">
        <f>IF(SUM(AO7:AO9)+AO25=0,0,IF(SUM(AO7:AO9)=AO25,0.5,IF(SUM(AO7:AO9)&gt;AO25,1,0)))</f>
        <v>0</v>
      </c>
      <c r="AQ7" s="185"/>
      <c r="AR7" s="109">
        <f>IF(SUM(AQ7:AQ9)+AQ25=0,0,IF(SUM(AQ7:AQ9)=AQ25,0.5,IF(SUM(AQ7:AQ9)&gt;AQ25,1,0)))</f>
        <v>0</v>
      </c>
      <c r="AS7" s="185"/>
      <c r="AT7" s="109">
        <f>IF(SUM(AS7:AS9)+AS25=0,0,IF(SUM(AS7:AS9)=AS25,0.5,IF(SUM(AS7:AS9)&gt;AS25,1,0)))</f>
        <v>0</v>
      </c>
      <c r="AU7" s="110">
        <f t="shared" ref="AU7:AU18" si="8">ABS(SUM(AC7:AC7))+ABS(SUM(AE7:AE7))+ABS(SUM(AG7:AG7))+ABS(SUM(AI7:AI7))+ABS(SUM(AK7:AK7))+ABS(SUM(AM7:AM7))+ABS(SUM(AO7:AO7))+ABS(SUM(AQ7:AQ7))+ABS(SUM(AS7:AS7))</f>
        <v>0</v>
      </c>
      <c r="AV7" s="111">
        <f>SUM(AD7+AF7+AH7+AJ7+AL7+AN7+AP7+AR7+AT7)</f>
        <v>0</v>
      </c>
      <c r="AW7" s="101"/>
      <c r="AX7" s="102"/>
      <c r="AZ7" s="63"/>
      <c r="BA7" s="212"/>
      <c r="BB7" s="213"/>
      <c r="BC7" s="214"/>
      <c r="BD7" s="217">
        <f>+AB7</f>
        <v>0</v>
      </c>
      <c r="BE7" s="213">
        <f>+AU7</f>
        <v>0</v>
      </c>
      <c r="BF7" s="215">
        <f>COUNT(BH7:BP7)</f>
        <v>0</v>
      </c>
      <c r="BG7" s="215">
        <f>COUNTIF(BH7:BP7,"&gt;0")</f>
        <v>0</v>
      </c>
      <c r="BH7" s="215" t="str">
        <f t="shared" ref="BH7:BH18" si="9">IF(AC7=0,"",AC7)</f>
        <v/>
      </c>
      <c r="BI7" s="215" t="str">
        <f t="shared" ref="BI7:BI18" si="10">IF(AE7=0,"",AE7)</f>
        <v/>
      </c>
      <c r="BJ7" s="215" t="str">
        <f t="shared" ref="BJ7:BJ18" si="11">IF(AG7=0,"",AG7)</f>
        <v/>
      </c>
      <c r="BK7" s="215" t="str">
        <f t="shared" ref="BK7:BK18" si="12">IF(AI7=0,"",AI7)</f>
        <v/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 t="str">
        <f t="shared" ref="BO7:BO18" si="16">IF(AQ7=0,"",AQ7)</f>
        <v/>
      </c>
      <c r="BP7" s="215" t="str">
        <f t="shared" ref="BP7:BP18" si="17">IF(AS7=0,"",AS7)</f>
        <v/>
      </c>
      <c r="BQ7" s="216"/>
      <c r="BR7" s="214"/>
      <c r="BS7" s="215">
        <f>MAX(BH7:BP7)</f>
        <v>0</v>
      </c>
      <c r="BT7" s="215">
        <f>IF(BS7&lt;MAX(BS:BS),0,BS7+ROW()/1000000000)</f>
        <v>6.9999999999999998E-9</v>
      </c>
      <c r="BU7" s="215" t="str">
        <f>+AA3</f>
        <v>Praetoria Regensburg</v>
      </c>
      <c r="BV7" s="214">
        <f>RANK(BT7,BT:BT)</f>
        <v>120</v>
      </c>
      <c r="BW7" s="215">
        <f>SUMIF(BH7:BP7,"&gt;0")</f>
        <v>0</v>
      </c>
      <c r="BX7" s="215">
        <f>IF(COUNTIF(BH7:BP7,"&gt;0")&lt;Spielorte!$A$23,0,BE7/Spielorte!$A$23)</f>
        <v>0</v>
      </c>
      <c r="BY7" s="215">
        <f>IF(BX7&lt;MAX(BX:BX),0,BX7+ROW()/1000000000)</f>
        <v>6.9999999999999998E-9</v>
      </c>
      <c r="BZ7" s="214">
        <f t="shared" ref="BZ7:BZ18" si="18">IF(BY7=0,0,RANK(BY7,BY:BY))</f>
        <v>120</v>
      </c>
    </row>
    <row r="8" spans="1:78" ht="17.2" customHeight="1" x14ac:dyDescent="0.35">
      <c r="A8" s="368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9"/>
      <c r="F8" s="78" t="str">
        <f t="shared" si="0"/>
        <v/>
      </c>
      <c r="G8" s="349"/>
      <c r="H8" s="78" t="str">
        <f t="shared" si="1"/>
        <v/>
      </c>
      <c r="I8" s="349"/>
      <c r="J8" s="78" t="str">
        <f t="shared" si="2"/>
        <v/>
      </c>
      <c r="K8" s="349"/>
      <c r="L8" s="78" t="str">
        <f t="shared" si="3"/>
        <v/>
      </c>
      <c r="M8" s="349"/>
      <c r="N8" s="78" t="str">
        <f t="shared" ref="N8:N20" si="20">IF(AM8=0,"",AM8)</f>
        <v/>
      </c>
      <c r="O8" s="349"/>
      <c r="P8" s="78" t="str">
        <f t="shared" si="4"/>
        <v/>
      </c>
      <c r="Q8" s="349"/>
      <c r="R8" s="78" t="str">
        <f t="shared" si="5"/>
        <v/>
      </c>
      <c r="S8" s="349"/>
      <c r="T8" s="78" t="str">
        <f t="shared" si="6"/>
        <v/>
      </c>
      <c r="U8" s="349"/>
      <c r="V8" s="78" t="str">
        <f t="shared" si="7"/>
        <v/>
      </c>
      <c r="W8" s="349"/>
      <c r="Z8" s="352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8.0000000000000005E-9</v>
      </c>
      <c r="BU8" s="215" t="str">
        <f t="shared" ref="BU8:BU18" si="27">+BU7</f>
        <v>Praetoria Regensburg</v>
      </c>
      <c r="BV8" s="214">
        <f t="shared" ref="BV8:BV18" si="28">RANK(BT8,BT:BT)</f>
        <v>119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8.0000000000000005E-9</v>
      </c>
      <c r="BZ8" s="214">
        <f t="shared" si="18"/>
        <v>119</v>
      </c>
    </row>
    <row r="9" spans="1:78" ht="17.2" customHeight="1" thickBot="1" x14ac:dyDescent="0.4">
      <c r="A9" s="369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50"/>
      <c r="F9" s="69" t="str">
        <f t="shared" si="0"/>
        <v/>
      </c>
      <c r="G9" s="350"/>
      <c r="H9" s="69" t="str">
        <f t="shared" si="1"/>
        <v/>
      </c>
      <c r="I9" s="350"/>
      <c r="J9" s="69" t="str">
        <f t="shared" si="2"/>
        <v/>
      </c>
      <c r="K9" s="350"/>
      <c r="L9" s="69" t="str">
        <f t="shared" si="3"/>
        <v/>
      </c>
      <c r="M9" s="350"/>
      <c r="N9" s="69" t="str">
        <f t="shared" si="20"/>
        <v/>
      </c>
      <c r="O9" s="350"/>
      <c r="P9" s="69" t="str">
        <f t="shared" si="4"/>
        <v/>
      </c>
      <c r="Q9" s="350"/>
      <c r="R9" s="69" t="str">
        <f t="shared" si="5"/>
        <v/>
      </c>
      <c r="S9" s="350"/>
      <c r="T9" s="69" t="str">
        <f t="shared" si="6"/>
        <v/>
      </c>
      <c r="U9" s="350"/>
      <c r="V9" s="69" t="str">
        <f t="shared" si="7"/>
        <v/>
      </c>
      <c r="W9" s="350"/>
      <c r="Z9" s="353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8.9999999999999995E-9</v>
      </c>
      <c r="BU9" s="215" t="str">
        <f t="shared" si="27"/>
        <v>Praetoria Regensburg</v>
      </c>
      <c r="BV9" s="214">
        <f t="shared" si="28"/>
        <v>118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8.9999999999999995E-9</v>
      </c>
      <c r="BZ9" s="214">
        <f t="shared" si="18"/>
        <v>118</v>
      </c>
    </row>
    <row r="10" spans="1:78" ht="17.2" customHeight="1" x14ac:dyDescent="0.35">
      <c r="A10" s="367" t="s">
        <v>2</v>
      </c>
      <c r="B10" s="73" t="str">
        <f t="shared" si="19"/>
        <v/>
      </c>
      <c r="C10" s="74" t="str">
        <f t="shared" si="19"/>
        <v/>
      </c>
      <c r="D10" s="75" t="str">
        <f t="shared" si="19"/>
        <v/>
      </c>
      <c r="E10" s="348">
        <f>IF(AD10="","",AD10)</f>
        <v>0</v>
      </c>
      <c r="F10" s="75" t="str">
        <f t="shared" si="0"/>
        <v/>
      </c>
      <c r="G10" s="348">
        <f>IF(AF10="","",AF10)</f>
        <v>0</v>
      </c>
      <c r="H10" s="75" t="str">
        <f t="shared" si="1"/>
        <v/>
      </c>
      <c r="I10" s="348">
        <f>IF(AH10="","",AH10)</f>
        <v>0</v>
      </c>
      <c r="J10" s="75" t="str">
        <f t="shared" si="2"/>
        <v/>
      </c>
      <c r="K10" s="348">
        <f>IF(AJ10="","",AJ10)</f>
        <v>0</v>
      </c>
      <c r="L10" s="75" t="str">
        <f t="shared" si="3"/>
        <v/>
      </c>
      <c r="M10" s="348">
        <f>IF(AL10="","",AL10)</f>
        <v>0</v>
      </c>
      <c r="N10" s="75" t="str">
        <f t="shared" si="20"/>
        <v/>
      </c>
      <c r="O10" s="348">
        <f>IF(AN10="","",AN10)</f>
        <v>0</v>
      </c>
      <c r="P10" s="75" t="str">
        <f t="shared" si="4"/>
        <v/>
      </c>
      <c r="Q10" s="348">
        <f>IF(AP10="","",AP10)</f>
        <v>0</v>
      </c>
      <c r="R10" s="75" t="str">
        <f t="shared" si="5"/>
        <v/>
      </c>
      <c r="S10" s="348">
        <f>IF(AR10="","",AR10)</f>
        <v>0</v>
      </c>
      <c r="T10" s="75" t="str">
        <f t="shared" si="6"/>
        <v/>
      </c>
      <c r="U10" s="348">
        <f>IF(AT10="","",AT10)</f>
        <v>0</v>
      </c>
      <c r="V10" s="75" t="str">
        <f t="shared" si="7"/>
        <v/>
      </c>
      <c r="W10" s="348">
        <f>IF(AV10="","",AV10)</f>
        <v>0</v>
      </c>
      <c r="Z10" s="351" t="s">
        <v>2</v>
      </c>
      <c r="AA10" s="108" t="str">
        <f>IF(AB10=0,"",VLOOKUP(AB10,Starter!$A$1:$D$199,2,FALSE))</f>
        <v/>
      </c>
      <c r="AB10" s="99"/>
      <c r="AC10" s="188"/>
      <c r="AD10" s="109">
        <f>IF(SUM(AC10:AC12)+AC26=0,0,IF(SUM(AC10:AC12)=AC26,0.5,IF(SUM(AC10:AC12)&gt;AC26,1,0)))</f>
        <v>0</v>
      </c>
      <c r="AE10" s="188"/>
      <c r="AF10" s="109">
        <f>IF(SUM(AE10:AE12)+AE26=0,0,IF(SUM(AE10:AE12)=AE26,0.5,IF(SUM(AE10:AE12)&gt;AE26,1,0)))</f>
        <v>0</v>
      </c>
      <c r="AG10" s="188"/>
      <c r="AH10" s="109">
        <f>IF(SUM(AG10:AG12)+AG26=0,0,IF(SUM(AG10:AG12)=AG26,0.5,IF(SUM(AG10:AG12)&gt;AG26,1,0)))</f>
        <v>0</v>
      </c>
      <c r="AI10" s="188"/>
      <c r="AJ10" s="109">
        <f>IF(SUM(AI10:AI12)+AI26=0,0,IF(SUM(AI10:AI12)=AI26,0.5,IF(SUM(AI10:AI12)&gt;AI26,1,0)))</f>
        <v>0</v>
      </c>
      <c r="AK10" s="188"/>
      <c r="AL10" s="109">
        <f>IF(SUM(AK10:AK12)+AK26=0,0,IF(SUM(AK10:AK12)=AK26,0.5,IF(SUM(AK10:AK12)&gt;AK26,1,0)))</f>
        <v>0</v>
      </c>
      <c r="AM10" s="188"/>
      <c r="AN10" s="109">
        <f>IF(SUM(AM10:AM12)+AM26=0,0,IF(SUM(AM10:AM12)=AM26,0.5,IF(SUM(AM10:AM12)&gt;AM26,1,0)))</f>
        <v>0</v>
      </c>
      <c r="AO10" s="188"/>
      <c r="AP10" s="109">
        <f>IF(SUM(AO10:AO12)+AO26=0,0,IF(SUM(AO10:AO12)=AO26,0.5,IF(SUM(AO10:AO12)&gt;AO26,1,0)))</f>
        <v>0</v>
      </c>
      <c r="AQ10" s="188"/>
      <c r="AR10" s="109">
        <f>IF(SUM(AQ10:AQ12)+AQ26=0,0,IF(SUM(AQ10:AQ12)=AQ26,0.5,IF(SUM(AQ10:AQ12)&gt;AQ26,1,0)))</f>
        <v>0</v>
      </c>
      <c r="AS10" s="188"/>
      <c r="AT10" s="109">
        <f>IF(SUM(AS10:AS12)+AS26=0,0,IF(SUM(AS10:AS12)=AS26,0.5,IF(SUM(AS10:AS12)&gt;AS26,1,0)))</f>
        <v>0</v>
      </c>
      <c r="AU10" s="110">
        <f t="shared" si="8"/>
        <v>0</v>
      </c>
      <c r="AV10" s="111">
        <f>SUM(AD10+AF10+AH10+AJ10+AL10+AN10+AP10+AR10+AT10)</f>
        <v>0</v>
      </c>
      <c r="AW10" s="101"/>
      <c r="AX10" s="102"/>
      <c r="AZ10" s="63"/>
      <c r="BA10" s="212"/>
      <c r="BB10" s="213"/>
      <c r="BC10" s="214"/>
      <c r="BD10" s="217">
        <f t="shared" si="21"/>
        <v>0</v>
      </c>
      <c r="BE10" s="213">
        <f t="shared" si="22"/>
        <v>0</v>
      </c>
      <c r="BF10" s="215">
        <f t="shared" si="23"/>
        <v>0</v>
      </c>
      <c r="BG10" s="215">
        <f t="shared" si="24"/>
        <v>0</v>
      </c>
      <c r="BH10" s="215" t="str">
        <f t="shared" si="9"/>
        <v/>
      </c>
      <c r="BI10" s="215" t="str">
        <f t="shared" si="10"/>
        <v/>
      </c>
      <c r="BJ10" s="215" t="str">
        <f t="shared" si="11"/>
        <v/>
      </c>
      <c r="BK10" s="215" t="str">
        <f t="shared" si="12"/>
        <v/>
      </c>
      <c r="BL10" s="215" t="str">
        <f t="shared" si="13"/>
        <v/>
      </c>
      <c r="BM10" s="215" t="str">
        <f t="shared" si="14"/>
        <v/>
      </c>
      <c r="BN10" s="215" t="str">
        <f t="shared" si="15"/>
        <v/>
      </c>
      <c r="BO10" s="215" t="str">
        <f t="shared" si="16"/>
        <v/>
      </c>
      <c r="BP10" s="215" t="str">
        <f t="shared" si="17"/>
        <v/>
      </c>
      <c r="BQ10" s="216"/>
      <c r="BR10" s="214"/>
      <c r="BS10" s="215">
        <f t="shared" si="25"/>
        <v>0</v>
      </c>
      <c r="BT10" s="215">
        <f t="shared" si="26"/>
        <v>1E-8</v>
      </c>
      <c r="BU10" s="215" t="str">
        <f t="shared" si="27"/>
        <v>Praetoria Regensburg</v>
      </c>
      <c r="BV10" s="214">
        <f t="shared" si="28"/>
        <v>117</v>
      </c>
      <c r="BW10" s="215">
        <f t="shared" si="29"/>
        <v>0</v>
      </c>
      <c r="BX10" s="215">
        <f>IF(COUNTIF(BH10:BP10,"&gt;0")&lt;Spielorte!$A$23,0,BE10/Spielorte!$A$23)</f>
        <v>0</v>
      </c>
      <c r="BY10" s="215">
        <f t="shared" si="30"/>
        <v>1E-8</v>
      </c>
      <c r="BZ10" s="214">
        <f t="shared" si="18"/>
        <v>117</v>
      </c>
    </row>
    <row r="11" spans="1:78" ht="17.2" customHeight="1" x14ac:dyDescent="0.35">
      <c r="A11" s="368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9"/>
      <c r="F11" s="78" t="str">
        <f t="shared" si="0"/>
        <v/>
      </c>
      <c r="G11" s="349"/>
      <c r="H11" s="78" t="str">
        <f t="shared" si="1"/>
        <v/>
      </c>
      <c r="I11" s="349"/>
      <c r="J11" s="78" t="str">
        <f t="shared" si="2"/>
        <v/>
      </c>
      <c r="K11" s="349"/>
      <c r="L11" s="78" t="str">
        <f t="shared" si="3"/>
        <v/>
      </c>
      <c r="M11" s="349"/>
      <c r="N11" s="78" t="str">
        <f t="shared" si="20"/>
        <v/>
      </c>
      <c r="O11" s="349"/>
      <c r="P11" s="78" t="str">
        <f t="shared" si="4"/>
        <v/>
      </c>
      <c r="Q11" s="349"/>
      <c r="R11" s="78" t="str">
        <f t="shared" si="5"/>
        <v/>
      </c>
      <c r="S11" s="349"/>
      <c r="T11" s="78" t="str">
        <f t="shared" si="6"/>
        <v/>
      </c>
      <c r="U11" s="349"/>
      <c r="V11" s="78" t="str">
        <f t="shared" si="7"/>
        <v/>
      </c>
      <c r="W11" s="349"/>
      <c r="Z11" s="352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1.0999999999999999E-8</v>
      </c>
      <c r="BU11" s="215" t="str">
        <f t="shared" si="27"/>
        <v>Praetoria Regensburg</v>
      </c>
      <c r="BV11" s="214">
        <f t="shared" si="28"/>
        <v>116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1.0999999999999999E-8</v>
      </c>
      <c r="BZ11" s="214">
        <f t="shared" si="18"/>
        <v>116</v>
      </c>
    </row>
    <row r="12" spans="1:78" ht="17.2" customHeight="1" thickBot="1" x14ac:dyDescent="0.4">
      <c r="A12" s="369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50"/>
      <c r="F12" s="69" t="str">
        <f t="shared" si="0"/>
        <v/>
      </c>
      <c r="G12" s="350"/>
      <c r="H12" s="69" t="str">
        <f t="shared" si="1"/>
        <v/>
      </c>
      <c r="I12" s="350"/>
      <c r="J12" s="69" t="str">
        <f t="shared" si="2"/>
        <v/>
      </c>
      <c r="K12" s="350"/>
      <c r="L12" s="69" t="str">
        <f t="shared" si="3"/>
        <v/>
      </c>
      <c r="M12" s="350"/>
      <c r="N12" s="69" t="str">
        <f t="shared" si="20"/>
        <v/>
      </c>
      <c r="O12" s="350"/>
      <c r="P12" s="69" t="str">
        <f t="shared" si="4"/>
        <v/>
      </c>
      <c r="Q12" s="350"/>
      <c r="R12" s="69" t="str">
        <f t="shared" si="5"/>
        <v/>
      </c>
      <c r="S12" s="350"/>
      <c r="T12" s="69" t="str">
        <f t="shared" si="6"/>
        <v/>
      </c>
      <c r="U12" s="350"/>
      <c r="V12" s="69" t="str">
        <f t="shared" si="7"/>
        <v/>
      </c>
      <c r="W12" s="350"/>
      <c r="Z12" s="353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1.2E-8</v>
      </c>
      <c r="BU12" s="215" t="str">
        <f t="shared" si="27"/>
        <v>Praetoria Regensburg</v>
      </c>
      <c r="BV12" s="214">
        <f t="shared" si="28"/>
        <v>115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1.2E-8</v>
      </c>
      <c r="BZ12" s="214">
        <f t="shared" si="18"/>
        <v>115</v>
      </c>
    </row>
    <row r="13" spans="1:78" ht="17.2" customHeight="1" x14ac:dyDescent="0.35">
      <c r="A13" s="367" t="s">
        <v>3</v>
      </c>
      <c r="B13" s="73" t="str">
        <f t="shared" si="19"/>
        <v/>
      </c>
      <c r="C13" s="74" t="str">
        <f t="shared" si="19"/>
        <v/>
      </c>
      <c r="D13" s="75" t="str">
        <f t="shared" si="19"/>
        <v/>
      </c>
      <c r="E13" s="348">
        <f>IF(AD13="","",AD13)</f>
        <v>0</v>
      </c>
      <c r="F13" s="75" t="str">
        <f t="shared" si="0"/>
        <v/>
      </c>
      <c r="G13" s="348">
        <f>IF(AF13="","",AF13)</f>
        <v>0</v>
      </c>
      <c r="H13" s="75" t="str">
        <f t="shared" si="1"/>
        <v/>
      </c>
      <c r="I13" s="348">
        <f>IF(AH13="","",AH13)</f>
        <v>0</v>
      </c>
      <c r="J13" s="75" t="str">
        <f t="shared" si="2"/>
        <v/>
      </c>
      <c r="K13" s="348">
        <f>IF(AJ13="","",AJ13)</f>
        <v>0</v>
      </c>
      <c r="L13" s="75" t="str">
        <f t="shared" si="3"/>
        <v/>
      </c>
      <c r="M13" s="348">
        <f>IF(AL13="","",AL13)</f>
        <v>0</v>
      </c>
      <c r="N13" s="75" t="str">
        <f t="shared" si="20"/>
        <v/>
      </c>
      <c r="O13" s="348">
        <f>IF(AN13="","",AN13)</f>
        <v>0</v>
      </c>
      <c r="P13" s="75" t="str">
        <f t="shared" si="4"/>
        <v/>
      </c>
      <c r="Q13" s="348">
        <f>IF(AP13="","",AP13)</f>
        <v>0</v>
      </c>
      <c r="R13" s="75" t="str">
        <f t="shared" si="5"/>
        <v/>
      </c>
      <c r="S13" s="348">
        <f>IF(AR13="","",AR13)</f>
        <v>0</v>
      </c>
      <c r="T13" s="75" t="str">
        <f t="shared" si="6"/>
        <v/>
      </c>
      <c r="U13" s="348">
        <f>IF(AT13="","",AT13)</f>
        <v>0</v>
      </c>
      <c r="V13" s="75" t="str">
        <f t="shared" si="7"/>
        <v/>
      </c>
      <c r="W13" s="348">
        <f>IF(AV13="","",AV13)</f>
        <v>0</v>
      </c>
      <c r="Z13" s="351" t="s">
        <v>3</v>
      </c>
      <c r="AA13" s="108" t="str">
        <f>IF(AB13=0,"",VLOOKUP(AB13,Starter!$A$1:$D$199,2,FALSE))</f>
        <v/>
      </c>
      <c r="AB13" s="99"/>
      <c r="AC13" s="188"/>
      <c r="AD13" s="109">
        <f>IF(SUM(AC13:AC15)+AC27=0,0,IF(SUM(AC13:AC15)=AC27,0.5,IF(SUM(AC13:AC15)&gt;AC27,1,0)))</f>
        <v>0</v>
      </c>
      <c r="AE13" s="188"/>
      <c r="AF13" s="109">
        <f>IF(SUM(AE13:AE15)+AE27=0,0,IF(SUM(AE13:AE15)=AE27,0.5,IF(SUM(AE13:AE15)&gt;AE27,1,0)))</f>
        <v>0</v>
      </c>
      <c r="AG13" s="188"/>
      <c r="AH13" s="109">
        <f>IF(SUM(AG13:AG15)+AG27=0,0,IF(SUM(AG13:AG15)=AG27,0.5,IF(SUM(AG13:AG15)&gt;AG27,1,0)))</f>
        <v>0</v>
      </c>
      <c r="AI13" s="188"/>
      <c r="AJ13" s="109">
        <f>IF(SUM(AI13:AI15)+AI27=0,0,IF(SUM(AI13:AI15)=AI27,0.5,IF(SUM(AI13:AI15)&gt;AI27,1,0)))</f>
        <v>0</v>
      </c>
      <c r="AK13" s="188"/>
      <c r="AL13" s="109">
        <f>IF(SUM(AK13:AK15)+AK27=0,0,IF(SUM(AK13:AK15)=AK27,0.5,IF(SUM(AK13:AK15)&gt;AK27,1,0)))</f>
        <v>0</v>
      </c>
      <c r="AM13" s="188"/>
      <c r="AN13" s="109">
        <f>IF(SUM(AM13:AM15)+AM27=0,0,IF(SUM(AM13:AM15)=AM27,0.5,IF(SUM(AM13:AM15)&gt;AM27,1,0)))</f>
        <v>0</v>
      </c>
      <c r="AO13" s="188"/>
      <c r="AP13" s="109">
        <f>IF(SUM(AO13:AO15)+AO27=0,0,IF(SUM(AO13:AO15)=AO27,0.5,IF(SUM(AO13:AO15)&gt;AO27,1,0)))</f>
        <v>0</v>
      </c>
      <c r="AQ13" s="188"/>
      <c r="AR13" s="109">
        <f>IF(SUM(AQ13:AQ15)+AQ27=0,0,IF(SUM(AQ13:AQ15)=AQ27,0.5,IF(SUM(AQ13:AQ15)&gt;AQ27,1,0)))</f>
        <v>0</v>
      </c>
      <c r="AS13" s="188"/>
      <c r="AT13" s="109">
        <f>IF(SUM(AS13:AS15)+AS27=0,0,IF(SUM(AS13:AS15)=AS27,0.5,IF(SUM(AS13:AS15)&gt;AS27,1,0)))</f>
        <v>0</v>
      </c>
      <c r="AU13" s="110">
        <f t="shared" si="8"/>
        <v>0</v>
      </c>
      <c r="AV13" s="111">
        <f>SUM(AD13+AF13+AH13+AJ13+AL13+AN13+AP13+AR13+AT13)</f>
        <v>0</v>
      </c>
      <c r="AW13" s="101"/>
      <c r="AX13" s="102"/>
      <c r="AZ13" s="63"/>
      <c r="BA13" s="212"/>
      <c r="BB13" s="213"/>
      <c r="BC13" s="214"/>
      <c r="BD13" s="217">
        <f t="shared" si="21"/>
        <v>0</v>
      </c>
      <c r="BE13" s="213">
        <f t="shared" si="22"/>
        <v>0</v>
      </c>
      <c r="BF13" s="215">
        <f t="shared" si="23"/>
        <v>0</v>
      </c>
      <c r="BG13" s="215">
        <f t="shared" si="24"/>
        <v>0</v>
      </c>
      <c r="BH13" s="215" t="str">
        <f t="shared" si="9"/>
        <v/>
      </c>
      <c r="BI13" s="215" t="str">
        <f t="shared" si="10"/>
        <v/>
      </c>
      <c r="BJ13" s="215" t="str">
        <f t="shared" si="11"/>
        <v/>
      </c>
      <c r="BK13" s="215" t="str">
        <f t="shared" si="12"/>
        <v/>
      </c>
      <c r="BL13" s="215" t="str">
        <f t="shared" si="13"/>
        <v/>
      </c>
      <c r="BM13" s="215" t="str">
        <f t="shared" si="14"/>
        <v/>
      </c>
      <c r="BN13" s="215" t="str">
        <f t="shared" si="15"/>
        <v/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0</v>
      </c>
      <c r="BT13" s="215">
        <f t="shared" si="26"/>
        <v>1.3000000000000001E-8</v>
      </c>
      <c r="BU13" s="215" t="str">
        <f t="shared" si="27"/>
        <v>Praetoria Regensburg</v>
      </c>
      <c r="BV13" s="214">
        <f t="shared" si="28"/>
        <v>114</v>
      </c>
      <c r="BW13" s="215">
        <f t="shared" si="29"/>
        <v>0</v>
      </c>
      <c r="BX13" s="215">
        <f>IF(COUNTIF(BH13:BP13,"&gt;0")&lt;Spielorte!$A$23,0,BE13/Spielorte!$A$23)</f>
        <v>0</v>
      </c>
      <c r="BY13" s="215">
        <f t="shared" si="30"/>
        <v>1.3000000000000001E-8</v>
      </c>
      <c r="BZ13" s="214">
        <f t="shared" si="18"/>
        <v>114</v>
      </c>
    </row>
    <row r="14" spans="1:78" ht="17.2" customHeight="1" x14ac:dyDescent="0.35">
      <c r="A14" s="368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9"/>
      <c r="F14" s="78" t="str">
        <f t="shared" si="0"/>
        <v/>
      </c>
      <c r="G14" s="349"/>
      <c r="H14" s="78" t="str">
        <f t="shared" si="1"/>
        <v/>
      </c>
      <c r="I14" s="349"/>
      <c r="J14" s="78" t="str">
        <f t="shared" si="2"/>
        <v/>
      </c>
      <c r="K14" s="349"/>
      <c r="L14" s="78" t="str">
        <f t="shared" si="3"/>
        <v/>
      </c>
      <c r="M14" s="349"/>
      <c r="N14" s="78" t="str">
        <f t="shared" si="20"/>
        <v/>
      </c>
      <c r="O14" s="349"/>
      <c r="P14" s="78" t="str">
        <f t="shared" si="4"/>
        <v/>
      </c>
      <c r="Q14" s="349"/>
      <c r="R14" s="78" t="str">
        <f t="shared" si="5"/>
        <v/>
      </c>
      <c r="S14" s="349"/>
      <c r="T14" s="78" t="str">
        <f t="shared" si="6"/>
        <v/>
      </c>
      <c r="U14" s="349"/>
      <c r="V14" s="78" t="str">
        <f t="shared" si="7"/>
        <v/>
      </c>
      <c r="W14" s="349"/>
      <c r="Z14" s="352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1.4E-8</v>
      </c>
      <c r="BU14" s="215" t="str">
        <f t="shared" si="27"/>
        <v>Praetoria Regensburg</v>
      </c>
      <c r="BV14" s="214">
        <f t="shared" si="28"/>
        <v>113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1.4E-8</v>
      </c>
      <c r="BZ14" s="214">
        <f t="shared" si="18"/>
        <v>113</v>
      </c>
    </row>
    <row r="15" spans="1:78" ht="17.2" customHeight="1" thickBot="1" x14ac:dyDescent="0.4">
      <c r="A15" s="369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50"/>
      <c r="F15" s="69" t="str">
        <f t="shared" si="0"/>
        <v/>
      </c>
      <c r="G15" s="350"/>
      <c r="H15" s="69" t="str">
        <f t="shared" si="1"/>
        <v/>
      </c>
      <c r="I15" s="350"/>
      <c r="J15" s="69" t="str">
        <f t="shared" si="2"/>
        <v/>
      </c>
      <c r="K15" s="350"/>
      <c r="L15" s="69" t="str">
        <f t="shared" si="3"/>
        <v/>
      </c>
      <c r="M15" s="350"/>
      <c r="N15" s="69" t="str">
        <f t="shared" si="20"/>
        <v/>
      </c>
      <c r="O15" s="350"/>
      <c r="P15" s="69" t="str">
        <f t="shared" si="4"/>
        <v/>
      </c>
      <c r="Q15" s="350"/>
      <c r="R15" s="69" t="str">
        <f t="shared" si="5"/>
        <v/>
      </c>
      <c r="S15" s="350"/>
      <c r="T15" s="69" t="str">
        <f t="shared" si="6"/>
        <v/>
      </c>
      <c r="U15" s="350"/>
      <c r="V15" s="69" t="str">
        <f t="shared" si="7"/>
        <v/>
      </c>
      <c r="W15" s="350"/>
      <c r="Z15" s="353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1.4999999999999999E-8</v>
      </c>
      <c r="BU15" s="215" t="str">
        <f t="shared" si="27"/>
        <v>Praetoria Regensburg</v>
      </c>
      <c r="BV15" s="214">
        <f t="shared" si="28"/>
        <v>112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1.4999999999999999E-8</v>
      </c>
      <c r="BZ15" s="214">
        <f t="shared" si="18"/>
        <v>112</v>
      </c>
    </row>
    <row r="16" spans="1:78" ht="17.2" customHeight="1" x14ac:dyDescent="0.35">
      <c r="A16" s="367" t="s">
        <v>11</v>
      </c>
      <c r="B16" s="73" t="str">
        <f>IF(AA16=0,"",AA16)</f>
        <v/>
      </c>
      <c r="C16" s="74" t="str">
        <f t="shared" si="19"/>
        <v/>
      </c>
      <c r="D16" s="75" t="str">
        <f t="shared" si="19"/>
        <v/>
      </c>
      <c r="E16" s="348">
        <f>IF(AD16="","",AD16)</f>
        <v>0</v>
      </c>
      <c r="F16" s="75" t="str">
        <f t="shared" si="0"/>
        <v/>
      </c>
      <c r="G16" s="348">
        <f>IF(AF16="","",AF16)</f>
        <v>0</v>
      </c>
      <c r="H16" s="75" t="str">
        <f t="shared" si="1"/>
        <v/>
      </c>
      <c r="I16" s="348">
        <f>IF(AH16="","",AH16)</f>
        <v>0</v>
      </c>
      <c r="J16" s="75" t="str">
        <f t="shared" si="2"/>
        <v/>
      </c>
      <c r="K16" s="348">
        <f>IF(AJ16="","",AJ16)</f>
        <v>0</v>
      </c>
      <c r="L16" s="75" t="str">
        <f t="shared" si="3"/>
        <v/>
      </c>
      <c r="M16" s="348">
        <f>IF(AL16="","",AL16)</f>
        <v>0</v>
      </c>
      <c r="N16" s="75" t="str">
        <f t="shared" si="20"/>
        <v/>
      </c>
      <c r="O16" s="348">
        <f>IF(AN16="","",AN16)</f>
        <v>0</v>
      </c>
      <c r="P16" s="75" t="str">
        <f t="shared" si="4"/>
        <v/>
      </c>
      <c r="Q16" s="348">
        <f>IF(AP16="","",AP16)</f>
        <v>0</v>
      </c>
      <c r="R16" s="75" t="str">
        <f t="shared" si="5"/>
        <v/>
      </c>
      <c r="S16" s="348">
        <f>IF(AR16="","",AR16)</f>
        <v>0</v>
      </c>
      <c r="T16" s="75" t="str">
        <f t="shared" si="6"/>
        <v/>
      </c>
      <c r="U16" s="348">
        <f>IF(AT16="","",AT16)</f>
        <v>0</v>
      </c>
      <c r="V16" s="75" t="str">
        <f t="shared" si="7"/>
        <v/>
      </c>
      <c r="W16" s="348">
        <f>IF(AV16="","",AV16)</f>
        <v>0</v>
      </c>
      <c r="Z16" s="351" t="s">
        <v>11</v>
      </c>
      <c r="AA16" s="108" t="str">
        <f>IF(AB16=0,"",VLOOKUP(AB16,Starter!$A$1:$D$199,2,FALSE))</f>
        <v/>
      </c>
      <c r="AB16" s="99"/>
      <c r="AC16" s="188"/>
      <c r="AD16" s="109">
        <f>IF(SUM(AC16:AC18)+AC28=0,0,IF(SUM(AC16:AC18)=AC28,0.5,IF(SUM(AC16:AC18)&gt;AC28,1,0)))</f>
        <v>0</v>
      </c>
      <c r="AE16" s="188"/>
      <c r="AF16" s="109">
        <f>IF(SUM(AE16:AE18)+AE28=0,0,IF(SUM(AE16:AE18)=AE28,0.5,IF(SUM(AE16:AE18)&gt;AE28,1,0)))</f>
        <v>0</v>
      </c>
      <c r="AG16" s="188"/>
      <c r="AH16" s="109">
        <f>IF(SUM(AG16:AG18)+AG28=0,0,IF(SUM(AG16:AG18)=AG28,0.5,IF(SUM(AG16:AG18)&gt;AG28,1,0)))</f>
        <v>0</v>
      </c>
      <c r="AI16" s="188"/>
      <c r="AJ16" s="109">
        <f>IF(SUM(AI16:AI18)+AI28=0,0,IF(SUM(AI16:AI18)=AI28,0.5,IF(SUM(AI16:AI18)&gt;AI28,1,0)))</f>
        <v>0</v>
      </c>
      <c r="AK16" s="188"/>
      <c r="AL16" s="109">
        <f>IF(SUM(AK16:AK18)+AK28=0,0,IF(SUM(AK16:AK18)=AK28,0.5,IF(SUM(AK16:AK18)&gt;AK28,1,0)))</f>
        <v>0</v>
      </c>
      <c r="AM16" s="188"/>
      <c r="AN16" s="109">
        <f>IF(SUM(AM16:AM18)+AM28=0,0,IF(SUM(AM16:AM18)=AM28,0.5,IF(SUM(AM16:AM18)&gt;AM28,1,0)))</f>
        <v>0</v>
      </c>
      <c r="AO16" s="188"/>
      <c r="AP16" s="109">
        <f>IF(SUM(AO16:AO18)+AO28=0,0,IF(SUM(AO16:AO18)=AO28,0.5,IF(SUM(AO16:AO18)&gt;AO28,1,0)))</f>
        <v>0</v>
      </c>
      <c r="AQ16" s="188"/>
      <c r="AR16" s="109">
        <f>IF(SUM(AQ16:AQ18)+AQ28=0,0,IF(SUM(AQ16:AQ18)=AQ28,0.5,IF(SUM(AQ16:AQ18)&gt;AQ28,1,0)))</f>
        <v>0</v>
      </c>
      <c r="AS16" s="188"/>
      <c r="AT16" s="109">
        <f>IF(SUM(AS16:AS18)+AS28=0,0,IF(SUM(AS16:AS18)=AS28,0.5,IF(SUM(AS16:AS18)&gt;AS28,1,0)))</f>
        <v>0</v>
      </c>
      <c r="AU16" s="110">
        <f t="shared" si="8"/>
        <v>0</v>
      </c>
      <c r="AV16" s="111">
        <f>SUM(AD16+AF16+AH16+AJ16+AL16+AN16+AP16+AR16+AT16)</f>
        <v>0</v>
      </c>
      <c r="AW16" s="101"/>
      <c r="AX16" s="102"/>
      <c r="AZ16" s="63"/>
      <c r="BA16" s="212"/>
      <c r="BB16" s="213"/>
      <c r="BC16" s="214"/>
      <c r="BD16" s="217">
        <f t="shared" si="21"/>
        <v>0</v>
      </c>
      <c r="BE16" s="213">
        <f t="shared" si="22"/>
        <v>0</v>
      </c>
      <c r="BF16" s="215">
        <f t="shared" si="23"/>
        <v>0</v>
      </c>
      <c r="BG16" s="215">
        <f t="shared" si="24"/>
        <v>0</v>
      </c>
      <c r="BH16" s="215" t="str">
        <f t="shared" si="9"/>
        <v/>
      </c>
      <c r="BI16" s="215" t="str">
        <f t="shared" si="10"/>
        <v/>
      </c>
      <c r="BJ16" s="215" t="str">
        <f t="shared" si="11"/>
        <v/>
      </c>
      <c r="BK16" s="215" t="str">
        <f t="shared" si="12"/>
        <v/>
      </c>
      <c r="BL16" s="215" t="str">
        <f t="shared" si="13"/>
        <v/>
      </c>
      <c r="BM16" s="215" t="str">
        <f t="shared" si="14"/>
        <v/>
      </c>
      <c r="BN16" s="215" t="str">
        <f t="shared" si="15"/>
        <v/>
      </c>
      <c r="BO16" s="215" t="str">
        <f t="shared" si="16"/>
        <v/>
      </c>
      <c r="BP16" s="215" t="str">
        <f t="shared" si="17"/>
        <v/>
      </c>
      <c r="BQ16" s="216"/>
      <c r="BR16" s="214"/>
      <c r="BS16" s="215">
        <f t="shared" si="25"/>
        <v>0</v>
      </c>
      <c r="BT16" s="215">
        <f t="shared" si="26"/>
        <v>1.6000000000000001E-8</v>
      </c>
      <c r="BU16" s="215" t="str">
        <f t="shared" si="27"/>
        <v>Praetoria Regensburg</v>
      </c>
      <c r="BV16" s="214">
        <f t="shared" si="28"/>
        <v>111</v>
      </c>
      <c r="BW16" s="215">
        <f t="shared" si="29"/>
        <v>0</v>
      </c>
      <c r="BX16" s="215">
        <f>IF(COUNTIF(BH16:BP16,"&gt;0")&lt;Spielorte!$A$23,0,BE16/Spielorte!$A$23)</f>
        <v>0</v>
      </c>
      <c r="BY16" s="215">
        <f t="shared" si="30"/>
        <v>1.6000000000000001E-8</v>
      </c>
      <c r="BZ16" s="214">
        <f t="shared" si="18"/>
        <v>111</v>
      </c>
    </row>
    <row r="17" spans="1:78" ht="17.2" customHeight="1" x14ac:dyDescent="0.35">
      <c r="A17" s="368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9"/>
      <c r="F17" s="78" t="str">
        <f t="shared" si="0"/>
        <v/>
      </c>
      <c r="G17" s="349"/>
      <c r="H17" s="78" t="str">
        <f t="shared" si="1"/>
        <v/>
      </c>
      <c r="I17" s="349"/>
      <c r="J17" s="78" t="str">
        <f t="shared" si="2"/>
        <v/>
      </c>
      <c r="K17" s="349"/>
      <c r="L17" s="78" t="str">
        <f t="shared" si="3"/>
        <v/>
      </c>
      <c r="M17" s="349"/>
      <c r="N17" s="78" t="str">
        <f t="shared" si="20"/>
        <v/>
      </c>
      <c r="O17" s="349"/>
      <c r="P17" s="78" t="str">
        <f t="shared" si="4"/>
        <v/>
      </c>
      <c r="Q17" s="349"/>
      <c r="R17" s="78" t="str">
        <f t="shared" si="5"/>
        <v/>
      </c>
      <c r="S17" s="349"/>
      <c r="T17" s="78" t="str">
        <f t="shared" si="6"/>
        <v/>
      </c>
      <c r="U17" s="349"/>
      <c r="V17" s="78" t="str">
        <f t="shared" si="7"/>
        <v/>
      </c>
      <c r="W17" s="349"/>
      <c r="Z17" s="352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1.7E-8</v>
      </c>
      <c r="BU17" s="215" t="str">
        <f t="shared" si="27"/>
        <v>Praetoria Regensburg</v>
      </c>
      <c r="BV17" s="214">
        <f t="shared" si="28"/>
        <v>110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1.7E-8</v>
      </c>
      <c r="BZ17" s="214">
        <f t="shared" si="18"/>
        <v>110</v>
      </c>
    </row>
    <row r="18" spans="1:78" ht="17.2" customHeight="1" thickBot="1" x14ac:dyDescent="0.4">
      <c r="A18" s="369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50"/>
      <c r="F18" s="69" t="str">
        <f t="shared" si="0"/>
        <v/>
      </c>
      <c r="G18" s="350"/>
      <c r="H18" s="69" t="str">
        <f t="shared" si="1"/>
        <v/>
      </c>
      <c r="I18" s="350"/>
      <c r="J18" s="69" t="str">
        <f t="shared" si="2"/>
        <v/>
      </c>
      <c r="K18" s="350"/>
      <c r="L18" s="69" t="str">
        <f t="shared" si="3"/>
        <v/>
      </c>
      <c r="M18" s="350"/>
      <c r="N18" s="69" t="str">
        <f t="shared" si="20"/>
        <v/>
      </c>
      <c r="O18" s="350"/>
      <c r="P18" s="69" t="str">
        <f t="shared" si="4"/>
        <v/>
      </c>
      <c r="Q18" s="350"/>
      <c r="R18" s="69" t="str">
        <f t="shared" si="5"/>
        <v/>
      </c>
      <c r="S18" s="350"/>
      <c r="T18" s="69" t="str">
        <f t="shared" si="6"/>
        <v/>
      </c>
      <c r="U18" s="350"/>
      <c r="V18" s="69" t="str">
        <f t="shared" si="7"/>
        <v/>
      </c>
      <c r="W18" s="350"/>
      <c r="Z18" s="353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1.7999999999999999E-8</v>
      </c>
      <c r="BU18" s="215" t="str">
        <f t="shared" si="27"/>
        <v>Praetoria Regensburg</v>
      </c>
      <c r="BV18" s="214">
        <f t="shared" si="28"/>
        <v>109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1.7999999999999999E-8</v>
      </c>
      <c r="BZ18" s="214">
        <f t="shared" si="18"/>
        <v>109</v>
      </c>
    </row>
    <row r="19" spans="1:78" ht="27.75" customHeight="1" thickBot="1" x14ac:dyDescent="0.4">
      <c r="B19" s="81" t="str">
        <f>IF(AA19=0,"",AA19)</f>
        <v>Gesamt</v>
      </c>
      <c r="C19" s="82" t="str">
        <f t="shared" si="19"/>
        <v/>
      </c>
      <c r="D19" s="83" t="str">
        <f t="shared" si="19"/>
        <v/>
      </c>
      <c r="E19" s="84">
        <f>IF(AD19="","",AD19)</f>
        <v>0</v>
      </c>
      <c r="F19" s="83" t="str">
        <f t="shared" si="0"/>
        <v/>
      </c>
      <c r="G19" s="84">
        <f>IF(AF19="","",AF19)</f>
        <v>0</v>
      </c>
      <c r="H19" s="83" t="str">
        <f t="shared" si="1"/>
        <v/>
      </c>
      <c r="I19" s="84">
        <f>IF(AH19="","",AH19)</f>
        <v>0</v>
      </c>
      <c r="J19" s="83" t="str">
        <f t="shared" si="2"/>
        <v/>
      </c>
      <c r="K19" s="84">
        <f>IF(AJ19="","",AJ19)</f>
        <v>0</v>
      </c>
      <c r="L19" s="83" t="str">
        <f t="shared" si="3"/>
        <v/>
      </c>
      <c r="M19" s="84">
        <f>IF(AL19="","",AL19)</f>
        <v>0</v>
      </c>
      <c r="N19" s="83" t="str">
        <f t="shared" si="20"/>
        <v/>
      </c>
      <c r="O19" s="84">
        <f>IF(AN19="","",AN19)</f>
        <v>0</v>
      </c>
      <c r="P19" s="83" t="str">
        <f t="shared" si="4"/>
        <v/>
      </c>
      <c r="Q19" s="84">
        <f>IF(AP19="","",AP19)</f>
        <v>0</v>
      </c>
      <c r="R19" s="83" t="str">
        <f t="shared" si="5"/>
        <v/>
      </c>
      <c r="S19" s="84">
        <f>IF(AR19="","",AR19)</f>
        <v>0</v>
      </c>
      <c r="T19" s="83" t="str">
        <f t="shared" si="6"/>
        <v/>
      </c>
      <c r="U19" s="84">
        <f>IF(AT19="","",AT19)</f>
        <v>0</v>
      </c>
      <c r="V19" s="83" t="str">
        <f t="shared" si="7"/>
        <v/>
      </c>
      <c r="W19" s="84">
        <f>IF(AV19="","",AV19)</f>
        <v>0</v>
      </c>
      <c r="AA19" s="81" t="s">
        <v>1799</v>
      </c>
      <c r="AB19" s="120"/>
      <c r="AC19" s="211">
        <f>ABS(SUM(AC7:AC9))+ABS(SUM(AC10:AC12))+ABS(SUM(AC13:AC15))+ABS(SUM(AC16:AC18))</f>
        <v>0</v>
      </c>
      <c r="AD19" s="121">
        <f>IF(AC19+AC29=0,0,IF(AC19=AC29,1,IF(AC19&gt;AC29,2,0)))</f>
        <v>0</v>
      </c>
      <c r="AE19" s="211">
        <f>ABS(SUM(AE7:AE9))+ABS(SUM(AE10:AE12))+ABS(SUM(AE13:AE15))+ABS(SUM(AE16:AE18))</f>
        <v>0</v>
      </c>
      <c r="AF19" s="121">
        <f>IF(AE19+AE29=0,0,IF(AE19=AE29,1,IF(AE19&gt;AE29,2,0)))</f>
        <v>0</v>
      </c>
      <c r="AG19" s="211">
        <f>ABS(SUM(AG7:AG9))+ABS(SUM(AG10:AG12))+ABS(SUM(AG13:AG15))+ABS(SUM(AG16:AG18))</f>
        <v>0</v>
      </c>
      <c r="AH19" s="121">
        <f>IF(AG19+AG29=0,0,IF(AG19=AG29,1,IF(AG19&gt;AG29,2,0)))</f>
        <v>0</v>
      </c>
      <c r="AI19" s="211">
        <f>ABS(SUM(AI7:AI9))+ABS(SUM(AI10:AI12))+ABS(SUM(AI13:AI15))+ABS(SUM(AI16:AI18))</f>
        <v>0</v>
      </c>
      <c r="AJ19" s="121">
        <f>IF(AI19+AI29=0,0,IF(AI19=AI29,1,IF(AI19&gt;AI29,2,0)))</f>
        <v>0</v>
      </c>
      <c r="AK19" s="211">
        <f>ABS(SUM(AK7:AK9))+ABS(SUM(AK10:AK12))+ABS(SUM(AK13:AK15))+ABS(SUM(AK16:AK18))</f>
        <v>0</v>
      </c>
      <c r="AL19" s="121">
        <f>IF(AK19+AK29=0,0,IF(AK19=AK29,1,IF(AK19&gt;AK29,2,0)))</f>
        <v>0</v>
      </c>
      <c r="AM19" s="211">
        <f>ABS(SUM(AM7:AM9))+ABS(SUM(AM10:AM12))+ABS(SUM(AM13:AM15))+ABS(SUM(AM16:AM18))</f>
        <v>0</v>
      </c>
      <c r="AN19" s="121">
        <f>IF(AM19+AM29=0,0,IF(AM19=AM29,1,IF(AM19&gt;AM29,2,0)))</f>
        <v>0</v>
      </c>
      <c r="AO19" s="211">
        <f>ABS(SUM(AO7:AO9))+ABS(SUM(AO10:AO12))+ABS(SUM(AO13:AO15))+ABS(SUM(AO16:AO18))</f>
        <v>0</v>
      </c>
      <c r="AP19" s="121">
        <f>IF(AO19+AO29=0,0,IF(AO19=AO29,1,IF(AO19&gt;AO29,2,0)))</f>
        <v>0</v>
      </c>
      <c r="AQ19" s="211">
        <f>ABS(SUM(AQ7:AQ9))+ABS(SUM(AQ10:AQ12))+ABS(SUM(AQ13:AQ15))+ABS(SUM(AQ16:AQ18))</f>
        <v>0</v>
      </c>
      <c r="AR19" s="121">
        <f>IF(AQ19+AQ29=0,0,IF(AQ19=AQ29,1,IF(AQ19&gt;AQ29,2,0)))</f>
        <v>0</v>
      </c>
      <c r="AS19" s="211">
        <f>ABS(SUM(AS7:AS9))+ABS(SUM(AS10:AS12))+ABS(SUM(AS13:AS15))+ABS(SUM(AS16:AS18))</f>
        <v>0</v>
      </c>
      <c r="AT19" s="121">
        <f>IF(AS19+AS29=0,0,IF(AS19=AS29,1,IF(AS19&gt;AS29,2,0)))</f>
        <v>0</v>
      </c>
      <c r="AU19" s="122">
        <f>SUM(AC19+AE19+AG19+AI19+AK19+AM19+AO19+AQ19+AS19)</f>
        <v>0</v>
      </c>
      <c r="AV19" s="123">
        <f>SUM(AD19+AF19+AH19+AJ19+AL19+AN19+AP19+AR19+AT19)</f>
        <v>0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4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0</v>
      </c>
      <c r="F20" s="86" t="str">
        <f t="shared" si="0"/>
        <v/>
      </c>
      <c r="G20" s="87">
        <f>IF(AF20="","",AF20)</f>
        <v>0</v>
      </c>
      <c r="H20" s="86" t="str">
        <f t="shared" si="1"/>
        <v/>
      </c>
      <c r="I20" s="87">
        <f>IF(AH20="","",AH20)</f>
        <v>0</v>
      </c>
      <c r="J20" s="86" t="str">
        <f t="shared" si="2"/>
        <v/>
      </c>
      <c r="K20" s="87">
        <f>IF(AJ20="","",AJ20)</f>
        <v>0</v>
      </c>
      <c r="L20" s="86" t="str">
        <f t="shared" si="3"/>
        <v/>
      </c>
      <c r="M20" s="87">
        <f>IF(AL20="","",AL20)</f>
        <v>0</v>
      </c>
      <c r="N20" s="86" t="str">
        <f t="shared" si="20"/>
        <v/>
      </c>
      <c r="O20" s="87">
        <f>IF(AN20="","",AN20)</f>
        <v>0</v>
      </c>
      <c r="P20" s="86" t="str">
        <f t="shared" si="4"/>
        <v/>
      </c>
      <c r="Q20" s="87">
        <f>IF(AP20="","",AP20)</f>
        <v>0</v>
      </c>
      <c r="R20" s="86" t="str">
        <f t="shared" si="5"/>
        <v/>
      </c>
      <c r="S20" s="87">
        <f>IF(AR20="","",AR20)</f>
        <v>0</v>
      </c>
      <c r="T20" s="86" t="str">
        <f t="shared" si="6"/>
        <v/>
      </c>
      <c r="U20" s="87">
        <f>IF(AT20="","",AT20)</f>
        <v>0</v>
      </c>
      <c r="V20" s="86" t="str">
        <f t="shared" si="7"/>
        <v/>
      </c>
      <c r="W20" s="87">
        <f>IF(AV20="","",AV20)</f>
        <v>0</v>
      </c>
      <c r="AA20" s="85" t="s">
        <v>1814</v>
      </c>
      <c r="AB20" s="86"/>
      <c r="AC20" s="86"/>
      <c r="AD20" s="124">
        <f>SUM(AD7:AD19)</f>
        <v>0</v>
      </c>
      <c r="AE20" s="86"/>
      <c r="AF20" s="124">
        <f>SUM(AF7:AF19)</f>
        <v>0</v>
      </c>
      <c r="AG20" s="86"/>
      <c r="AH20" s="124">
        <f>SUM(AH7:AH19)</f>
        <v>0</v>
      </c>
      <c r="AI20" s="86"/>
      <c r="AJ20" s="124">
        <f>SUM(AJ7:AJ19)</f>
        <v>0</v>
      </c>
      <c r="AK20" s="86"/>
      <c r="AL20" s="124">
        <f>SUM(AL7:AL19)</f>
        <v>0</v>
      </c>
      <c r="AM20" s="86"/>
      <c r="AN20" s="124">
        <f>SUM(AN7:AN19)</f>
        <v>0</v>
      </c>
      <c r="AO20" s="86"/>
      <c r="AP20" s="124">
        <f>SUM(AP7:AP19)</f>
        <v>0</v>
      </c>
      <c r="AQ20" s="86"/>
      <c r="AR20" s="124">
        <f>SUM(AR7:AR19)</f>
        <v>0</v>
      </c>
      <c r="AS20" s="86"/>
      <c r="AT20" s="124">
        <f>SUM(AT7:AT19)</f>
        <v>0</v>
      </c>
      <c r="AU20" s="86"/>
      <c r="AV20" s="125">
        <f>SUM(AV7:AV19)</f>
        <v>0</v>
      </c>
      <c r="AW20" s="101"/>
      <c r="AX20" s="102"/>
      <c r="BA20" s="212">
        <f>+AV20</f>
        <v>0</v>
      </c>
      <c r="BB20" s="213">
        <f>+AU19</f>
        <v>0</v>
      </c>
      <c r="BC20" s="214">
        <f>+AA2</f>
        <v>1</v>
      </c>
      <c r="BF20" s="215">
        <f>SUM(BF1:BF19)</f>
        <v>0</v>
      </c>
      <c r="BQ20" s="212">
        <f>+BB20/1000000+BA20</f>
        <v>0</v>
      </c>
      <c r="BR20" s="214">
        <f>RANK(BQ20,BQ:BQ)</f>
        <v>1</v>
      </c>
      <c r="BV20" s="214"/>
      <c r="BZ20" s="214"/>
    </row>
    <row r="21" spans="1:78" ht="11.25" customHeight="1" x14ac:dyDescent="0.3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35">
      <c r="B22" s="88" t="str">
        <f t="shared" ref="B22:K24" si="31">IF(AA22=0,"",AA22)</f>
        <v>Gegner-Nr.:</v>
      </c>
      <c r="C22" s="89" t="str">
        <f t="shared" si="31"/>
        <v>&gt;&gt;&gt;&gt;</v>
      </c>
      <c r="D22" s="346">
        <f t="shared" si="31"/>
        <v>7</v>
      </c>
      <c r="E22" s="346" t="str">
        <f t="shared" si="31"/>
        <v/>
      </c>
      <c r="F22" s="346">
        <f t="shared" si="31"/>
        <v>8</v>
      </c>
      <c r="G22" s="346" t="str">
        <f t="shared" si="31"/>
        <v/>
      </c>
      <c r="H22" s="346">
        <f t="shared" si="31"/>
        <v>5</v>
      </c>
      <c r="I22" s="346" t="str">
        <f t="shared" si="31"/>
        <v/>
      </c>
      <c r="J22" s="346">
        <f t="shared" si="31"/>
        <v>3</v>
      </c>
      <c r="K22" s="346" t="str">
        <f t="shared" si="31"/>
        <v/>
      </c>
      <c r="L22" s="346">
        <f t="shared" ref="L22:U24" si="32">IF(AK22=0,"",AK22)</f>
        <v>4</v>
      </c>
      <c r="M22" s="346" t="str">
        <f t="shared" si="32"/>
        <v/>
      </c>
      <c r="N22" s="346">
        <f t="shared" si="32"/>
        <v>9</v>
      </c>
      <c r="O22" s="346" t="str">
        <f t="shared" si="32"/>
        <v/>
      </c>
      <c r="P22" s="346">
        <f t="shared" si="32"/>
        <v>10</v>
      </c>
      <c r="Q22" s="346" t="str">
        <f t="shared" si="32"/>
        <v/>
      </c>
      <c r="R22" s="346">
        <f t="shared" si="32"/>
        <v>6</v>
      </c>
      <c r="S22" s="346" t="str">
        <f t="shared" si="32"/>
        <v/>
      </c>
      <c r="T22" s="346">
        <f t="shared" si="32"/>
        <v>2</v>
      </c>
      <c r="U22" s="346" t="str">
        <f t="shared" si="32"/>
        <v/>
      </c>
      <c r="V22" s="347"/>
      <c r="W22" s="347"/>
      <c r="AA22" s="88" t="s">
        <v>1797</v>
      </c>
      <c r="AB22" s="89" t="s">
        <v>1798</v>
      </c>
      <c r="AC22" s="370">
        <f>VLOOKUP($AA2,Schlüssel!$A$5:$DG$14,103)</f>
        <v>7</v>
      </c>
      <c r="AD22" s="371"/>
      <c r="AE22" s="370">
        <f>VLOOKUP($AA2,Schlüssel!$A$5:$EK$14,104)</f>
        <v>8</v>
      </c>
      <c r="AF22" s="371"/>
      <c r="AG22" s="370">
        <f>VLOOKUP($AA2,Schlüssel!$A$5:$EK$14,105)</f>
        <v>5</v>
      </c>
      <c r="AH22" s="371"/>
      <c r="AI22" s="370">
        <f>VLOOKUP($AA2,Schlüssel!$A$5:$EK$14,106)</f>
        <v>3</v>
      </c>
      <c r="AJ22" s="371"/>
      <c r="AK22" s="370">
        <f>VLOOKUP($AA2,Schlüssel!$A$5:$EK$14,107)</f>
        <v>4</v>
      </c>
      <c r="AL22" s="371"/>
      <c r="AM22" s="370">
        <f>VLOOKUP($AA2,Schlüssel!$A$5:$EK$14,108)</f>
        <v>9</v>
      </c>
      <c r="AN22" s="371"/>
      <c r="AO22" s="370">
        <f>VLOOKUP($AA2,Schlüssel!$A$5:$EK$14,109)</f>
        <v>10</v>
      </c>
      <c r="AP22" s="371"/>
      <c r="AQ22" s="370">
        <f>VLOOKUP($AA2,Schlüssel!$A$5:$EK$14,110)</f>
        <v>6</v>
      </c>
      <c r="AR22" s="371"/>
      <c r="AS22" s="370">
        <f>VLOOKUP($AA2,Schlüssel!$A$5:$EK$14,111)</f>
        <v>2</v>
      </c>
      <c r="AT22" s="371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35">
      <c r="B23" s="90" t="str">
        <f t="shared" si="31"/>
        <v/>
      </c>
      <c r="C23" s="86" t="str">
        <f t="shared" si="31"/>
        <v/>
      </c>
      <c r="D23" s="343" t="str">
        <f t="shared" si="31"/>
        <v>Frankenpower Nürnberg</v>
      </c>
      <c r="E23" s="344" t="str">
        <f t="shared" si="31"/>
        <v/>
      </c>
      <c r="F23" s="343" t="str">
        <f t="shared" si="31"/>
        <v>EPA München 1</v>
      </c>
      <c r="G23" s="344" t="str">
        <f t="shared" si="31"/>
        <v/>
      </c>
      <c r="H23" s="343" t="str">
        <f t="shared" si="31"/>
        <v xml:space="preserve">Weiß Blau Unterföhring </v>
      </c>
      <c r="I23" s="344" t="str">
        <f t="shared" si="31"/>
        <v/>
      </c>
      <c r="J23" s="343" t="str">
        <f t="shared" si="31"/>
        <v>Highroller Rosenheim</v>
      </c>
      <c r="K23" s="344" t="str">
        <f t="shared" si="31"/>
        <v/>
      </c>
      <c r="L23" s="343" t="str">
        <f t="shared" si="32"/>
        <v>BK München 3</v>
      </c>
      <c r="M23" s="344" t="str">
        <f t="shared" si="32"/>
        <v/>
      </c>
      <c r="N23" s="343" t="str">
        <f t="shared" si="32"/>
        <v>RW Lichtenhof 69 Stein 2</v>
      </c>
      <c r="O23" s="344" t="str">
        <f t="shared" si="32"/>
        <v/>
      </c>
      <c r="P23" s="343" t="str">
        <f t="shared" si="32"/>
        <v>BK München 4</v>
      </c>
      <c r="Q23" s="344" t="str">
        <f t="shared" si="32"/>
        <v/>
      </c>
      <c r="R23" s="343" t="str">
        <f t="shared" si="32"/>
        <v>Phönix 03 Lauf</v>
      </c>
      <c r="S23" s="344" t="str">
        <f t="shared" si="32"/>
        <v/>
      </c>
      <c r="T23" s="343" t="str">
        <f t="shared" si="32"/>
        <v>BK München 2</v>
      </c>
      <c r="U23" s="344" t="str">
        <f t="shared" si="32"/>
        <v/>
      </c>
      <c r="V23" s="345"/>
      <c r="W23" s="345"/>
      <c r="AA23" s="90"/>
      <c r="AB23" s="86"/>
      <c r="AC23" s="343" t="str">
        <f>VLOOKUP(AC22,Schlüssel!$A$5:$K$14,2)</f>
        <v>Frankenpower Nürnberg</v>
      </c>
      <c r="AD23" s="344"/>
      <c r="AE23" s="343" t="str">
        <f>VLOOKUP(AE22,Schlüssel!$A$5:$K$14,2)</f>
        <v>EPA München 1</v>
      </c>
      <c r="AF23" s="344"/>
      <c r="AG23" s="343" t="str">
        <f>VLOOKUP(AG22,Schlüssel!$A$5:$K$14,2)</f>
        <v xml:space="preserve">Weiß Blau Unterföhring </v>
      </c>
      <c r="AH23" s="344"/>
      <c r="AI23" s="343" t="str">
        <f>VLOOKUP(AI22,Schlüssel!$A$5:$K$14,2)</f>
        <v>Highroller Rosenheim</v>
      </c>
      <c r="AJ23" s="344"/>
      <c r="AK23" s="343" t="str">
        <f>VLOOKUP(AK22,Schlüssel!$A$5:$K$14,2)</f>
        <v>BK München 3</v>
      </c>
      <c r="AL23" s="344"/>
      <c r="AM23" s="343" t="str">
        <f>VLOOKUP(AM22,Schlüssel!$A$5:$K$14,2)</f>
        <v>RW Lichtenhof 69 Stein 2</v>
      </c>
      <c r="AN23" s="344"/>
      <c r="AO23" s="343" t="str">
        <f>VLOOKUP(AO22,Schlüssel!$A$5:$K$14,2)</f>
        <v>BK München 4</v>
      </c>
      <c r="AP23" s="344"/>
      <c r="AQ23" s="343" t="str">
        <f>VLOOKUP(AQ22,Schlüssel!$A$5:$K$14,2)</f>
        <v>Phönix 03 Lauf</v>
      </c>
      <c r="AR23" s="344"/>
      <c r="AS23" s="343" t="str">
        <f>VLOOKUP(AS22,Schlüssel!$A$5:$K$14,2)</f>
        <v>BK München 2</v>
      </c>
      <c r="AT23" s="344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35">
      <c r="B24" s="90" t="str">
        <f t="shared" si="31"/>
        <v/>
      </c>
      <c r="C24" s="86" t="str">
        <f t="shared" si="31"/>
        <v/>
      </c>
      <c r="D24" s="341" t="str">
        <f t="shared" si="31"/>
        <v/>
      </c>
      <c r="E24" s="341" t="str">
        <f t="shared" si="31"/>
        <v/>
      </c>
      <c r="F24" s="341" t="str">
        <f t="shared" si="31"/>
        <v/>
      </c>
      <c r="G24" s="341" t="str">
        <f t="shared" si="31"/>
        <v/>
      </c>
      <c r="H24" s="341" t="str">
        <f t="shared" si="31"/>
        <v/>
      </c>
      <c r="I24" s="341" t="str">
        <f t="shared" si="31"/>
        <v/>
      </c>
      <c r="J24" s="341" t="str">
        <f t="shared" si="31"/>
        <v/>
      </c>
      <c r="K24" s="341" t="str">
        <f t="shared" si="31"/>
        <v/>
      </c>
      <c r="L24" s="341" t="str">
        <f t="shared" si="32"/>
        <v/>
      </c>
      <c r="M24" s="341" t="str">
        <f t="shared" si="32"/>
        <v/>
      </c>
      <c r="N24" s="341" t="str">
        <f t="shared" si="32"/>
        <v/>
      </c>
      <c r="O24" s="341" t="str">
        <f t="shared" si="32"/>
        <v/>
      </c>
      <c r="P24" s="341" t="str">
        <f t="shared" si="32"/>
        <v/>
      </c>
      <c r="Q24" s="341" t="str">
        <f t="shared" si="32"/>
        <v/>
      </c>
      <c r="R24" s="341" t="str">
        <f t="shared" si="32"/>
        <v/>
      </c>
      <c r="S24" s="341" t="str">
        <f t="shared" si="32"/>
        <v/>
      </c>
      <c r="T24" s="341" t="str">
        <f t="shared" si="32"/>
        <v/>
      </c>
      <c r="U24" s="342" t="str">
        <f t="shared" si="32"/>
        <v/>
      </c>
      <c r="V24" s="301"/>
      <c r="W24" s="301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6.05" customHeight="1" x14ac:dyDescent="0.35">
      <c r="B25" s="365" t="str">
        <f t="shared" ref="B25:C29" si="33">IF(AA25=0,"",AA25)</f>
        <v>Spieler 1</v>
      </c>
      <c r="C25" s="366" t="str">
        <f t="shared" si="33"/>
        <v/>
      </c>
      <c r="D25" s="339">
        <f>IF(AC25=301,"",AC25)</f>
        <v>0</v>
      </c>
      <c r="E25" s="339" t="str">
        <f>IF(AD25=0,"",AD25)</f>
        <v/>
      </c>
      <c r="F25" s="339">
        <f>IF(AE25=301,"",AE25)</f>
        <v>0</v>
      </c>
      <c r="G25" s="339" t="str">
        <f>IF(AF25=0,"",AF25)</f>
        <v/>
      </c>
      <c r="H25" s="339">
        <f>IF(AG25=301,"",AG25)</f>
        <v>0</v>
      </c>
      <c r="I25" s="339" t="str">
        <f>IF(AH25=0,"",AH25)</f>
        <v/>
      </c>
      <c r="J25" s="339">
        <f>IF(AI25=301,"",AI25)</f>
        <v>0</v>
      </c>
      <c r="K25" s="339" t="str">
        <f>IF(AJ25=0,"",AJ25)</f>
        <v/>
      </c>
      <c r="L25" s="339">
        <f>IF(AK25=301,"",AK25)</f>
        <v>0</v>
      </c>
      <c r="M25" s="339" t="str">
        <f>IF(AL25=0,"",AL25)</f>
        <v/>
      </c>
      <c r="N25" s="339">
        <f>IF(AM25=301,"",AM25)</f>
        <v>0</v>
      </c>
      <c r="O25" s="339" t="str">
        <f>IF(AN25=0,"",AN25)</f>
        <v/>
      </c>
      <c r="P25" s="339">
        <f>IF(AO25=301,"",AO25)</f>
        <v>0</v>
      </c>
      <c r="Q25" s="339" t="str">
        <f>IF(AP25=0,"",AP25)</f>
        <v/>
      </c>
      <c r="R25" s="339">
        <f>IF(AQ25=301,"",AQ25)</f>
        <v>0</v>
      </c>
      <c r="S25" s="339" t="str">
        <f>IF(AR25=0,"",AR25)</f>
        <v/>
      </c>
      <c r="T25" s="339">
        <f>IF(AS25=301,"",AS25)</f>
        <v>0</v>
      </c>
      <c r="U25" s="339" t="str">
        <f>IF(AT25=0,"",AT25)</f>
        <v/>
      </c>
      <c r="V25" s="340"/>
      <c r="W25" s="340"/>
      <c r="AA25" s="91" t="s">
        <v>0</v>
      </c>
      <c r="AB25" s="92"/>
      <c r="AC25" s="372">
        <f>ABS(INDEX(AC:AC,MATCH(AC22,$AA:$AA,0)+5)+INDEX(AC:AC,MATCH(AC22,$AA:$AA,0)+6)+INDEX(AC:AC,MATCH(AC22,$AA:$AA,0)+7))</f>
        <v>0</v>
      </c>
      <c r="AD25" s="373"/>
      <c r="AE25" s="372">
        <f>ABS(INDEX(AE:AE,MATCH(AE22,$AA:$AA,0)+5)+INDEX(AE:AE,MATCH(AE22,$AA:$AA,0)+6)+INDEX(AE:AE,MATCH(AE22,$AA:$AA,0)+7))</f>
        <v>0</v>
      </c>
      <c r="AF25" s="373"/>
      <c r="AG25" s="372">
        <f>ABS(INDEX(AG:AG,MATCH(AG22,$AA:$AA,0)+5)+INDEX(AG:AG,MATCH(AG22,$AA:$AA,0)+6)+INDEX(AG:AG,MATCH(AG22,$AA:$AA,0)+7))</f>
        <v>0</v>
      </c>
      <c r="AH25" s="373"/>
      <c r="AI25" s="372">
        <f>ABS(INDEX(AI:AI,MATCH(AI22,$AA:$AA,0)+5)+INDEX(AI:AI,MATCH(AI22,$AA:$AA,0)+6)+INDEX(AI:AI,MATCH(AI22,$AA:$AA,0)+7))</f>
        <v>0</v>
      </c>
      <c r="AJ25" s="373"/>
      <c r="AK25" s="372">
        <f>ABS(INDEX(AK:AK,MATCH(AK22,$AA:$AA,0)+5)+INDEX(AK:AK,MATCH(AK22,$AA:$AA,0)+6)+INDEX(AK:AK,MATCH(AK22,$AA:$AA,0)+7))</f>
        <v>0</v>
      </c>
      <c r="AL25" s="373"/>
      <c r="AM25" s="372">
        <f>ABS(INDEX(AM:AM,MATCH(AM22,$AA:$AA,0)+5)+INDEX(AM:AM,MATCH(AM22,$AA:$AA,0)+6)+INDEX(AM:AM,MATCH(AM22,$AA:$AA,0)+7))</f>
        <v>0</v>
      </c>
      <c r="AN25" s="373"/>
      <c r="AO25" s="372">
        <f>ABS(INDEX(AO:AO,MATCH(AO22,$AA:$AA,0)+5)+INDEX(AO:AO,MATCH(AO22,$AA:$AA,0)+6)+INDEX(AO:AO,MATCH(AO22,$AA:$AA,0)+7))</f>
        <v>0</v>
      </c>
      <c r="AP25" s="373"/>
      <c r="AQ25" s="372">
        <f>ABS(INDEX(AQ:AQ,MATCH(AQ22,$AA:$AA,0)+5)+INDEX(AQ:AQ,MATCH(AQ22,$AA:$AA,0)+6)+INDEX(AQ:AQ,MATCH(AQ22,$AA:$AA,0)+7))</f>
        <v>0</v>
      </c>
      <c r="AR25" s="373"/>
      <c r="AS25" s="372">
        <f>ABS(INDEX(AS:AS,MATCH(AS22,$AA:$AA,0)+5)+INDEX(AS:AS,MATCH(AS22,$AA:$AA,0)+6)+INDEX(AS:AS,MATCH(AS22,$AA:$AA,0)+7))</f>
        <v>0</v>
      </c>
      <c r="AT25" s="373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6.05" customHeight="1" x14ac:dyDescent="0.35">
      <c r="B26" s="365" t="str">
        <f t="shared" si="33"/>
        <v>Spieler 2</v>
      </c>
      <c r="C26" s="366" t="str">
        <f t="shared" si="33"/>
        <v/>
      </c>
      <c r="D26" s="339">
        <f>IF(AC26=301,"",AC26)</f>
        <v>0</v>
      </c>
      <c r="E26" s="339" t="str">
        <f>IF(AD26=0,"",AD26)</f>
        <v/>
      </c>
      <c r="F26" s="339">
        <f>IF(AE26=301,"",AE26)</f>
        <v>0</v>
      </c>
      <c r="G26" s="339" t="str">
        <f>IF(AF26=0,"",AF26)</f>
        <v/>
      </c>
      <c r="H26" s="339">
        <f>IF(AG26=301,"",AG26)</f>
        <v>0</v>
      </c>
      <c r="I26" s="339" t="str">
        <f>IF(AH26=0,"",AH26)</f>
        <v/>
      </c>
      <c r="J26" s="339">
        <f>IF(AI26=301,"",AI26)</f>
        <v>0</v>
      </c>
      <c r="K26" s="339" t="str">
        <f>IF(AJ26=0,"",AJ26)</f>
        <v/>
      </c>
      <c r="L26" s="339">
        <f>IF(AK26=301,"",AK26)</f>
        <v>0</v>
      </c>
      <c r="M26" s="339" t="str">
        <f>IF(AL26=0,"",AL26)</f>
        <v/>
      </c>
      <c r="N26" s="339">
        <f>IF(AM26=301,"",AM26)</f>
        <v>0</v>
      </c>
      <c r="O26" s="339" t="str">
        <f>IF(AN26=0,"",AN26)</f>
        <v/>
      </c>
      <c r="P26" s="339">
        <f>IF(AO26=301,"",AO26)</f>
        <v>0</v>
      </c>
      <c r="Q26" s="339" t="str">
        <f>IF(AP26=0,"",AP26)</f>
        <v/>
      </c>
      <c r="R26" s="339">
        <f>IF(AQ26=301,"",AQ26)</f>
        <v>0</v>
      </c>
      <c r="S26" s="339" t="str">
        <f>IF(AR26=0,"",AR26)</f>
        <v/>
      </c>
      <c r="T26" s="339">
        <f>IF(AS26=301,"",AS26)</f>
        <v>0</v>
      </c>
      <c r="U26" s="339" t="str">
        <f>IF(AT26=0,"",AT26)</f>
        <v/>
      </c>
      <c r="V26" s="340"/>
      <c r="W26" s="340"/>
      <c r="AA26" s="91" t="s">
        <v>2</v>
      </c>
      <c r="AB26" s="92"/>
      <c r="AC26" s="374">
        <f>ABS(INDEX(AC:AC,MATCH(AC22,$AA:$AA,0)+8)+INDEX(AC:AC,MATCH(AC22,$AA:$AA,0)+9)+INDEX(AC:AC,MATCH(AC22,$AA:$AA,0)+10))</f>
        <v>0</v>
      </c>
      <c r="AD26" s="375"/>
      <c r="AE26" s="374">
        <f>ABS(INDEX(AE:AE,MATCH(AE22,$AA:$AA,0)+8)+INDEX(AE:AE,MATCH(AE22,$AA:$AA,0)+9)+INDEX(AE:AE,MATCH(AE22,$AA:$AA,0)+10))</f>
        <v>0</v>
      </c>
      <c r="AF26" s="375"/>
      <c r="AG26" s="374">
        <f>ABS(INDEX(AG:AG,MATCH(AG22,$AA:$AA,0)+8)+INDEX(AG:AG,MATCH(AG22,$AA:$AA,0)+9)+INDEX(AG:AG,MATCH(AG22,$AA:$AA,0)+10))</f>
        <v>0</v>
      </c>
      <c r="AH26" s="375"/>
      <c r="AI26" s="374">
        <f>ABS(INDEX(AI:AI,MATCH(AI22,$AA:$AA,0)+8)+INDEX(AI:AI,MATCH(AI22,$AA:$AA,0)+9)+INDEX(AI:AI,MATCH(AI22,$AA:$AA,0)+10))</f>
        <v>0</v>
      </c>
      <c r="AJ26" s="375"/>
      <c r="AK26" s="374">
        <f>ABS(INDEX(AK:AK,MATCH(AK22,$AA:$AA,0)+8)+INDEX(AK:AK,MATCH(AK22,$AA:$AA,0)+9)+INDEX(AK:AK,MATCH(AK22,$AA:$AA,0)+10))</f>
        <v>0</v>
      </c>
      <c r="AL26" s="375"/>
      <c r="AM26" s="374">
        <f>ABS(INDEX(AM:AM,MATCH(AM22,$AA:$AA,0)+8)+INDEX(AM:AM,MATCH(AM22,$AA:$AA,0)+9)+INDEX(AM:AM,MATCH(AM22,$AA:$AA,0)+10))</f>
        <v>0</v>
      </c>
      <c r="AN26" s="375"/>
      <c r="AO26" s="374">
        <f>ABS(INDEX(AO:AO,MATCH(AO22,$AA:$AA,0)+8)+INDEX(AO:AO,MATCH(AO22,$AA:$AA,0)+9)+INDEX(AO:AO,MATCH(AO22,$AA:$AA,0)+10))</f>
        <v>0</v>
      </c>
      <c r="AP26" s="375"/>
      <c r="AQ26" s="374">
        <f>ABS(INDEX(AQ:AQ,MATCH(AQ22,$AA:$AA,0)+8)+INDEX(AQ:AQ,MATCH(AQ22,$AA:$AA,0)+9)+INDEX(AQ:AQ,MATCH(AQ22,$AA:$AA,0)+10))</f>
        <v>0</v>
      </c>
      <c r="AR26" s="375"/>
      <c r="AS26" s="374">
        <f>ABS(INDEX(AS:AS,MATCH(AS22,$AA:$AA,0)+8)+INDEX(AS:AS,MATCH(AS22,$AA:$AA,0)+9)+INDEX(AS:AS,MATCH(AS22,$AA:$AA,0)+10))</f>
        <v>0</v>
      </c>
      <c r="AT26" s="375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6.05" customHeight="1" x14ac:dyDescent="0.35">
      <c r="B27" s="365" t="str">
        <f t="shared" si="33"/>
        <v>Spieler 3</v>
      </c>
      <c r="C27" s="366" t="str">
        <f t="shared" si="33"/>
        <v/>
      </c>
      <c r="D27" s="339">
        <f>IF(AC27=301,"",AC27)</f>
        <v>0</v>
      </c>
      <c r="E27" s="339" t="str">
        <f>IF(AD27=0,"",AD27)</f>
        <v/>
      </c>
      <c r="F27" s="339">
        <f>IF(AE27=301,"",AE27)</f>
        <v>0</v>
      </c>
      <c r="G27" s="339" t="str">
        <f>IF(AF27=0,"",AF27)</f>
        <v/>
      </c>
      <c r="H27" s="339">
        <f>IF(AG27=301,"",AG27)</f>
        <v>0</v>
      </c>
      <c r="I27" s="339" t="str">
        <f>IF(AH27=0,"",AH27)</f>
        <v/>
      </c>
      <c r="J27" s="339">
        <f>IF(AI27=301,"",AI27)</f>
        <v>0</v>
      </c>
      <c r="K27" s="339" t="str">
        <f>IF(AJ27=0,"",AJ27)</f>
        <v/>
      </c>
      <c r="L27" s="339">
        <f>IF(AK27=301,"",AK27)</f>
        <v>0</v>
      </c>
      <c r="M27" s="339" t="str">
        <f>IF(AL27=0,"",AL27)</f>
        <v/>
      </c>
      <c r="N27" s="339">
        <f>IF(AM27=301,"",AM27)</f>
        <v>0</v>
      </c>
      <c r="O27" s="339" t="str">
        <f>IF(AN27=0,"",AN27)</f>
        <v/>
      </c>
      <c r="P27" s="339">
        <f>IF(AO27=301,"",AO27)</f>
        <v>0</v>
      </c>
      <c r="Q27" s="339" t="str">
        <f>IF(AP27=0,"",AP27)</f>
        <v/>
      </c>
      <c r="R27" s="339">
        <f>IF(AQ27=301,"",AQ27)</f>
        <v>0</v>
      </c>
      <c r="S27" s="339" t="str">
        <f>IF(AR27=0,"",AR27)</f>
        <v/>
      </c>
      <c r="T27" s="339">
        <f>IF(AS27=301,"",AS27)</f>
        <v>0</v>
      </c>
      <c r="U27" s="339" t="str">
        <f>IF(AT27=0,"",AT27)</f>
        <v/>
      </c>
      <c r="V27" s="340"/>
      <c r="W27" s="340"/>
      <c r="AA27" s="91" t="s">
        <v>3</v>
      </c>
      <c r="AB27" s="92"/>
      <c r="AC27" s="374">
        <f>ABS(INDEX(AC:AC,MATCH(AC22,$AA:$AA,0)+11)+INDEX(AC:AC,MATCH(AC22,$AA:$AA,0)+12)+INDEX(AC:AC,MATCH(AC22,$AA:$AA,0)+13))</f>
        <v>0</v>
      </c>
      <c r="AD27" s="375"/>
      <c r="AE27" s="374">
        <f>ABS(INDEX(AE:AE,MATCH(AE22,$AA:$AA,0)+11)+INDEX(AE:AE,MATCH(AE22,$AA:$AA,0)+12)+INDEX(AE:AE,MATCH(AE22,$AA:$AA,0)+13))</f>
        <v>0</v>
      </c>
      <c r="AF27" s="375"/>
      <c r="AG27" s="374">
        <f>ABS(INDEX(AG:AG,MATCH(AG22,$AA:$AA,0)+11)+INDEX(AG:AG,MATCH(AG22,$AA:$AA,0)+12)+INDEX(AG:AG,MATCH(AG22,$AA:$AA,0)+13))</f>
        <v>0</v>
      </c>
      <c r="AH27" s="375"/>
      <c r="AI27" s="374">
        <f>ABS(INDEX(AI:AI,MATCH(AI22,$AA:$AA,0)+11)+INDEX(AI:AI,MATCH(AI22,$AA:$AA,0)+12)+INDEX(AI:AI,MATCH(AI22,$AA:$AA,0)+13))</f>
        <v>0</v>
      </c>
      <c r="AJ27" s="375"/>
      <c r="AK27" s="374">
        <f>ABS(INDEX(AK:AK,MATCH(AK22,$AA:$AA,0)+11)+INDEX(AK:AK,MATCH(AK22,$AA:$AA,0)+12)+INDEX(AK:AK,MATCH(AK22,$AA:$AA,0)+13))</f>
        <v>0</v>
      </c>
      <c r="AL27" s="375"/>
      <c r="AM27" s="374">
        <f>ABS(INDEX(AM:AM,MATCH(AM22,$AA:$AA,0)+11)+INDEX(AM:AM,MATCH(AM22,$AA:$AA,0)+12)+INDEX(AM:AM,MATCH(AM22,$AA:$AA,0)+13))</f>
        <v>0</v>
      </c>
      <c r="AN27" s="375"/>
      <c r="AO27" s="374">
        <f>ABS(INDEX(AO:AO,MATCH(AO22,$AA:$AA,0)+11)+INDEX(AO:AO,MATCH(AO22,$AA:$AA,0)+12)+INDEX(AO:AO,MATCH(AO22,$AA:$AA,0)+13))</f>
        <v>0</v>
      </c>
      <c r="AP27" s="375"/>
      <c r="AQ27" s="374">
        <f>ABS(INDEX(AQ:AQ,MATCH(AQ22,$AA:$AA,0)+11)+INDEX(AQ:AQ,MATCH(AQ22,$AA:$AA,0)+12)+INDEX(AQ:AQ,MATCH(AQ22,$AA:$AA,0)+13))</f>
        <v>0</v>
      </c>
      <c r="AR27" s="375"/>
      <c r="AS27" s="374">
        <f>ABS(INDEX(AS:AS,MATCH(AS22,$AA:$AA,0)+11)+INDEX(AS:AS,MATCH(AS22,$AA:$AA,0)+12)+INDEX(AS:AS,MATCH(AS22,$AA:$AA,0)+13))</f>
        <v>0</v>
      </c>
      <c r="AT27" s="375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6.05" customHeight="1" x14ac:dyDescent="0.35">
      <c r="B28" s="365" t="str">
        <f t="shared" si="33"/>
        <v>Spieler 4</v>
      </c>
      <c r="C28" s="366" t="str">
        <f t="shared" si="33"/>
        <v/>
      </c>
      <c r="D28" s="339">
        <f>IF(AC28=301,"",AC28)</f>
        <v>0</v>
      </c>
      <c r="E28" s="339" t="str">
        <f>IF(AD28=0,"",AD28)</f>
        <v/>
      </c>
      <c r="F28" s="339">
        <f>IF(AE28=301,"",AE28)</f>
        <v>0</v>
      </c>
      <c r="G28" s="339" t="str">
        <f>IF(AF28=0,"",AF28)</f>
        <v/>
      </c>
      <c r="H28" s="339">
        <f>IF(AG28=301,"",AG28)</f>
        <v>0</v>
      </c>
      <c r="I28" s="339" t="str">
        <f>IF(AH28=0,"",AH28)</f>
        <v/>
      </c>
      <c r="J28" s="339">
        <f>IF(AI28=301,"",AI28)</f>
        <v>0</v>
      </c>
      <c r="K28" s="339" t="str">
        <f>IF(AJ28=0,"",AJ28)</f>
        <v/>
      </c>
      <c r="L28" s="339">
        <f>IF(AK28=301,"",AK28)</f>
        <v>0</v>
      </c>
      <c r="M28" s="339" t="str">
        <f>IF(AL28=0,"",AL28)</f>
        <v/>
      </c>
      <c r="N28" s="339">
        <f>IF(AM28=301,"",AM28)</f>
        <v>0</v>
      </c>
      <c r="O28" s="339" t="str">
        <f>IF(AN28=0,"",AN28)</f>
        <v/>
      </c>
      <c r="P28" s="339">
        <f>IF(AO28=301,"",AO28)</f>
        <v>0</v>
      </c>
      <c r="Q28" s="339" t="str">
        <f>IF(AP28=0,"",AP28)</f>
        <v/>
      </c>
      <c r="R28" s="339">
        <f>IF(AQ28=301,"",AQ28)</f>
        <v>0</v>
      </c>
      <c r="S28" s="339" t="str">
        <f>IF(AR28=0,"",AR28)</f>
        <v/>
      </c>
      <c r="T28" s="339">
        <f>IF(AS28=301,"",AS28)</f>
        <v>0</v>
      </c>
      <c r="U28" s="339" t="str">
        <f>IF(AT28=0,"",AT28)</f>
        <v/>
      </c>
      <c r="V28" s="340"/>
      <c r="W28" s="340"/>
      <c r="AA28" s="91" t="s">
        <v>11</v>
      </c>
      <c r="AB28" s="92"/>
      <c r="AC28" s="374">
        <f>ABS(INDEX(AC:AC,MATCH(AC22,$AA:$AA,0)+14)+INDEX(AC:AC,MATCH(AC22,$AA:$AA,0)+15)+INDEX(AC:AC,MATCH(AC22,$AA:$AA,0)+16))</f>
        <v>0</v>
      </c>
      <c r="AD28" s="375"/>
      <c r="AE28" s="374">
        <f>ABS(INDEX(AE:AE,MATCH(AE22,$AA:$AA,0)+14)+INDEX(AE:AE,MATCH(AE22,$AA:$AA,0)+15)+INDEX(AE:AE,MATCH(AE22,$AA:$AA,0)+16))</f>
        <v>0</v>
      </c>
      <c r="AF28" s="375"/>
      <c r="AG28" s="374">
        <f>ABS(INDEX(AG:AG,MATCH(AG22,$AA:$AA,0)+14)+INDEX(AG:AG,MATCH(AG22,$AA:$AA,0)+15)+INDEX(AG:AG,MATCH(AG22,$AA:$AA,0)+16))</f>
        <v>0</v>
      </c>
      <c r="AH28" s="375"/>
      <c r="AI28" s="374">
        <f>ABS(INDEX(AI:AI,MATCH(AI22,$AA:$AA,0)+14)+INDEX(AI:AI,MATCH(AI22,$AA:$AA,0)+15)+INDEX(AI:AI,MATCH(AI22,$AA:$AA,0)+16))</f>
        <v>0</v>
      </c>
      <c r="AJ28" s="375"/>
      <c r="AK28" s="374">
        <f>ABS(INDEX(AK:AK,MATCH(AK22,$AA:$AA,0)+14)+INDEX(AK:AK,MATCH(AK22,$AA:$AA,0)+15)+INDEX(AK:AK,MATCH(AK22,$AA:$AA,0)+16))</f>
        <v>0</v>
      </c>
      <c r="AL28" s="375"/>
      <c r="AM28" s="374">
        <f>ABS(INDEX(AM:AM,MATCH(AM22,$AA:$AA,0)+14)+INDEX(AM:AM,MATCH(AM22,$AA:$AA,0)+15)+INDEX(AM:AM,MATCH(AM22,$AA:$AA,0)+16))</f>
        <v>0</v>
      </c>
      <c r="AN28" s="375"/>
      <c r="AO28" s="374">
        <f>ABS(INDEX(AO:AO,MATCH(AO22,$AA:$AA,0)+14)+INDEX(AO:AO,MATCH(AO22,$AA:$AA,0)+15)+INDEX(AO:AO,MATCH(AO22,$AA:$AA,0)+16))</f>
        <v>0</v>
      </c>
      <c r="AP28" s="375"/>
      <c r="AQ28" s="374">
        <f>ABS(INDEX(AQ:AQ,MATCH(AQ22,$AA:$AA,0)+14)+INDEX(AQ:AQ,MATCH(AQ22,$AA:$AA,0)+15)+INDEX(AQ:AQ,MATCH(AQ22,$AA:$AA,0)+16))</f>
        <v>0</v>
      </c>
      <c r="AR28" s="375"/>
      <c r="AS28" s="374">
        <f>ABS(INDEX(AS:AS,MATCH(AS22,$AA:$AA,0)+14)+INDEX(AS:AS,MATCH(AS22,$AA:$AA,0)+15)+INDEX(AS:AS,MATCH(AS22,$AA:$AA,0)+16))</f>
        <v>0</v>
      </c>
      <c r="AT28" s="375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6.05" customHeight="1" x14ac:dyDescent="0.35">
      <c r="B29" s="354" t="str">
        <f t="shared" si="33"/>
        <v>Gesamt</v>
      </c>
      <c r="C29" s="355" t="str">
        <f t="shared" si="33"/>
        <v/>
      </c>
      <c r="D29" s="338">
        <f>IF(AC29=1505,"",AC29)</f>
        <v>0</v>
      </c>
      <c r="E29" s="338" t="str">
        <f>IF(AD29=0,"",AD29)</f>
        <v/>
      </c>
      <c r="F29" s="338">
        <f>IF(AE29=1505,"",AE29)</f>
        <v>0</v>
      </c>
      <c r="G29" s="338" t="str">
        <f>IF(AF29=0,"",AF29)</f>
        <v/>
      </c>
      <c r="H29" s="338">
        <f>IF(AG29=1505,"",AG29)</f>
        <v>0</v>
      </c>
      <c r="I29" s="338" t="str">
        <f>IF(AH29=0,"",AH29)</f>
        <v/>
      </c>
      <c r="J29" s="338">
        <f>IF(AI29=1505,"",AI29)</f>
        <v>0</v>
      </c>
      <c r="K29" s="338" t="str">
        <f>IF(AJ29=0,"",AJ29)</f>
        <v/>
      </c>
      <c r="L29" s="338">
        <f>IF(AK29=1505,"",AK29)</f>
        <v>0</v>
      </c>
      <c r="M29" s="338" t="str">
        <f>IF(AL29=0,"",AL29)</f>
        <v/>
      </c>
      <c r="N29" s="338">
        <f>IF(AM29=1505,"",AM29)</f>
        <v>0</v>
      </c>
      <c r="O29" s="338" t="str">
        <f>IF(AN29=0,"",AN29)</f>
        <v/>
      </c>
      <c r="P29" s="338">
        <f>IF(AO29=1505,"",AO29)</f>
        <v>0</v>
      </c>
      <c r="Q29" s="338" t="str">
        <f>IF(AP29=0,"",AP29)</f>
        <v/>
      </c>
      <c r="R29" s="338">
        <f>IF(AQ29=1505,"",AQ29)</f>
        <v>0</v>
      </c>
      <c r="S29" s="338" t="str">
        <f>IF(AR29=0,"",AR29)</f>
        <v/>
      </c>
      <c r="T29" s="338">
        <f>IF(AS29=1505,"",AS29)</f>
        <v>0</v>
      </c>
      <c r="U29" s="338" t="str">
        <f>IF(AT29=0,"",AT29)</f>
        <v/>
      </c>
      <c r="V29" s="290"/>
      <c r="W29" s="290"/>
      <c r="AA29" s="93" t="s">
        <v>1799</v>
      </c>
      <c r="AB29" s="94"/>
      <c r="AC29" s="354">
        <f>SUM(AC25:AC28)</f>
        <v>0</v>
      </c>
      <c r="AD29" s="355"/>
      <c r="AE29" s="354">
        <f>SUM(AE25:AE28)</f>
        <v>0</v>
      </c>
      <c r="AF29" s="355"/>
      <c r="AG29" s="354">
        <f>SUM(AG25:AG28)</f>
        <v>0</v>
      </c>
      <c r="AH29" s="355"/>
      <c r="AI29" s="354">
        <f>SUM(AI25:AI28)</f>
        <v>0</v>
      </c>
      <c r="AJ29" s="355"/>
      <c r="AK29" s="354">
        <f>SUM(AK25:AK28)</f>
        <v>0</v>
      </c>
      <c r="AL29" s="355"/>
      <c r="AM29" s="354">
        <f>SUM(AM25:AM28)</f>
        <v>0</v>
      </c>
      <c r="AN29" s="355"/>
      <c r="AO29" s="354">
        <f>SUM(AO25:AO28)</f>
        <v>0</v>
      </c>
      <c r="AP29" s="355"/>
      <c r="AQ29" s="354">
        <f>SUM(AQ25:AQ28)</f>
        <v>0</v>
      </c>
      <c r="AR29" s="355"/>
      <c r="AS29" s="354">
        <f>SUM(AS25:AS28)</f>
        <v>0</v>
      </c>
      <c r="AT29" s="355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3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7">
      <c r="B31" s="44" t="str">
        <f>AA31</f>
        <v>Team-Nr.</v>
      </c>
      <c r="C31" s="45"/>
      <c r="D31" s="44" t="str">
        <f>AC31</f>
        <v>Liga:</v>
      </c>
      <c r="E31" s="47"/>
      <c r="F31" s="359" t="str">
        <f>AE31</f>
        <v>Bayernliga Frauen</v>
      </c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48"/>
      <c r="S31" s="49" t="s">
        <v>1794</v>
      </c>
      <c r="T31" s="50"/>
      <c r="U31" s="360" t="str">
        <f>AT31</f>
        <v>05.04./06.04.</v>
      </c>
      <c r="V31" s="361"/>
      <c r="W31" s="362"/>
      <c r="X31" s="363"/>
      <c r="Y31" s="364"/>
      <c r="Z31" s="364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60" t="str">
        <f>VLOOKUP(AS32,Spielorte!$A$1:$C$6,2)</f>
        <v>05.04./06.04.</v>
      </c>
      <c r="AU31" s="361"/>
      <c r="AV31" s="362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65">
      <c r="B32" s="53">
        <f>AA32</f>
        <v>2</v>
      </c>
      <c r="D32" s="46" t="s">
        <v>1793</v>
      </c>
      <c r="E32" s="54"/>
      <c r="F32" s="358" t="str">
        <f>AE32</f>
        <v>Schweinfurt Extreme Bowlingarena</v>
      </c>
      <c r="G32" s="358"/>
      <c r="H32" s="358"/>
      <c r="I32" s="358"/>
      <c r="J32" s="358"/>
      <c r="K32" s="358"/>
      <c r="L32" s="358"/>
      <c r="M32" s="358"/>
      <c r="N32" s="358"/>
      <c r="O32" s="358"/>
      <c r="P32" s="55"/>
      <c r="Q32" s="55"/>
      <c r="S32" s="49" t="s">
        <v>1791</v>
      </c>
      <c r="T32" s="56">
        <f>AS32</f>
        <v>6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Schweinfurt Extreme Bowlingarena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6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4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5" thickBot="1" x14ac:dyDescent="0.45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VLOOKUP(AA32,Schlüssel!$A$5:$DZ$14,113)</f>
        <v>9</v>
      </c>
      <c r="AE34" s="65" t="s">
        <v>10</v>
      </c>
      <c r="AF34" s="44">
        <f>VLOOKUP(AA32,Schlüssel!$A$5:$DZ$14,114)</f>
        <v>4</v>
      </c>
      <c r="AG34" s="65" t="s">
        <v>10</v>
      </c>
      <c r="AH34" s="44">
        <f>VLOOKUP(AA32,Schlüssel!$A$5:$DZ$14,115)</f>
        <v>7</v>
      </c>
      <c r="AI34" s="65" t="s">
        <v>10</v>
      </c>
      <c r="AJ34" s="44">
        <f>VLOOKUP(AA32,Schlüssel!$A$5:$DZ$14,116)</f>
        <v>5</v>
      </c>
      <c r="AK34" s="65" t="s">
        <v>10</v>
      </c>
      <c r="AL34" s="44">
        <f>VLOOKUP(AA32,Schlüssel!$A$5:$DZ$14,117)</f>
        <v>10</v>
      </c>
      <c r="AM34" s="65" t="s">
        <v>10</v>
      </c>
      <c r="AN34" s="44">
        <f>VLOOKUP(AA32,Schlüssel!$A$5:$DZ$14,118)</f>
        <v>8</v>
      </c>
      <c r="AO34" s="65" t="s">
        <v>10</v>
      </c>
      <c r="AP34" s="44">
        <f>VLOOKUP(AA32,Schlüssel!$A$5:$DZ$14,119)</f>
        <v>3</v>
      </c>
      <c r="AQ34" s="65" t="s">
        <v>10</v>
      </c>
      <c r="AR34" s="44">
        <f>VLOOKUP(AA32,Schlüssel!$A$5:$DZ$14,120)</f>
        <v>6</v>
      </c>
      <c r="AS34" s="65" t="s">
        <v>10</v>
      </c>
      <c r="AT34" s="44">
        <f>VLOOKUP(AA32,Schlüssel!$A$5:$DZ$14,121)</f>
        <v>1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35">
      <c r="B35" s="67" t="s">
        <v>1</v>
      </c>
      <c r="C35" s="68"/>
      <c r="D35" s="354" t="s">
        <v>1800</v>
      </c>
      <c r="E35" s="355"/>
      <c r="F35" s="354" t="s">
        <v>1801</v>
      </c>
      <c r="G35" s="355"/>
      <c r="H35" s="354" t="s">
        <v>1802</v>
      </c>
      <c r="I35" s="355"/>
      <c r="J35" s="354" t="s">
        <v>1803</v>
      </c>
      <c r="K35" s="355"/>
      <c r="L35" s="354" t="s">
        <v>1804</v>
      </c>
      <c r="M35" s="355"/>
      <c r="N35" s="354" t="s">
        <v>1805</v>
      </c>
      <c r="O35" s="355"/>
      <c r="P35" s="354" t="s">
        <v>1806</v>
      </c>
      <c r="Q35" s="355"/>
      <c r="R35" s="354" t="s">
        <v>1807</v>
      </c>
      <c r="S35" s="355"/>
      <c r="T35" s="354" t="s">
        <v>1808</v>
      </c>
      <c r="U35" s="355"/>
      <c r="V35" s="356" t="s">
        <v>1799</v>
      </c>
      <c r="W35" s="357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4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2" customHeight="1" x14ac:dyDescent="0.35">
      <c r="A37" s="367" t="s">
        <v>0</v>
      </c>
      <c r="B37" s="73" t="str">
        <f>IF(AA37=0,"",AA37)</f>
        <v/>
      </c>
      <c r="C37" s="74" t="str">
        <f>IF(AB37=0,"",AB37)</f>
        <v/>
      </c>
      <c r="D37" s="75" t="str">
        <f>IF(AC37=0,"",AC37)</f>
        <v/>
      </c>
      <c r="E37" s="348">
        <f>IF(AD37="","",AD37)</f>
        <v>0</v>
      </c>
      <c r="F37" s="75" t="str">
        <f t="shared" ref="F37:F50" si="34">IF(AE37=0,"",AE37)</f>
        <v/>
      </c>
      <c r="G37" s="348">
        <f>IF(AF37="","",AF37)</f>
        <v>0</v>
      </c>
      <c r="H37" s="75" t="str">
        <f t="shared" ref="H37:H50" si="35">IF(AG37=0,"",AG37)</f>
        <v/>
      </c>
      <c r="I37" s="348">
        <f>IF(AH37="","",AH37)</f>
        <v>0</v>
      </c>
      <c r="J37" s="75" t="str">
        <f t="shared" ref="J37:J50" si="36">IF(AI37=0,"",AI37)</f>
        <v/>
      </c>
      <c r="K37" s="348">
        <f>IF(AJ37="","",AJ37)</f>
        <v>0</v>
      </c>
      <c r="L37" s="75" t="str">
        <f t="shared" ref="L37:L50" si="37">IF(AK37=0,"",AK37)</f>
        <v/>
      </c>
      <c r="M37" s="348">
        <f>IF(AL37="","",AL37)</f>
        <v>0</v>
      </c>
      <c r="N37" s="75" t="str">
        <f>IF(AM37=0,"",AM37)</f>
        <v/>
      </c>
      <c r="O37" s="348">
        <f>IF(AN37="","",AN37)</f>
        <v>0</v>
      </c>
      <c r="P37" s="75" t="str">
        <f t="shared" ref="P37:P50" si="38">IF(AO37=0,"",AO37)</f>
        <v/>
      </c>
      <c r="Q37" s="348">
        <f>IF(AP37="","",AP37)</f>
        <v>0</v>
      </c>
      <c r="R37" s="75" t="str">
        <f t="shared" ref="R37:R50" si="39">IF(AQ37=0,"",AQ37)</f>
        <v/>
      </c>
      <c r="S37" s="348">
        <f>IF(AR37="","",AR37)</f>
        <v>0</v>
      </c>
      <c r="T37" s="75" t="str">
        <f t="shared" ref="T37:T50" si="40">IF(AS37=0,"",AS37)</f>
        <v/>
      </c>
      <c r="U37" s="348">
        <f>IF(AT37="","",AT37)</f>
        <v>0</v>
      </c>
      <c r="V37" s="75" t="str">
        <f t="shared" ref="V37:V50" si="41">IF(AU37=0,"",AU37)</f>
        <v/>
      </c>
      <c r="W37" s="348">
        <f>IF(AV37="","",AV37)</f>
        <v>0</v>
      </c>
      <c r="Z37" s="351" t="s">
        <v>0</v>
      </c>
      <c r="AA37" s="108" t="str">
        <f>IF(AB37=0,"",VLOOKUP(AB37,Starter!$A$1:$D$199,2,FALSE))</f>
        <v/>
      </c>
      <c r="AB37" s="99"/>
      <c r="AC37" s="185"/>
      <c r="AD37" s="109">
        <f>IF(SUM(AC37:AC39)+AC55=0,0,IF(SUM(AC37:AC39)=AC55,0.5,IF(SUM(AC37:AC39)&gt;AC55,1,0)))</f>
        <v>0</v>
      </c>
      <c r="AE37" s="185"/>
      <c r="AF37" s="109">
        <f>IF(SUM(AE37:AE39)+AE55=0,0,IF(SUM(AE37:AE39)=AE55,0.5,IF(SUM(AE37:AE39)&gt;AE55,1,0)))</f>
        <v>0</v>
      </c>
      <c r="AG37" s="185"/>
      <c r="AH37" s="109">
        <f>IF(SUM(AG37:AG39)+AG55=0,0,IF(SUM(AG37:AG39)=AG55,0.5,IF(SUM(AG37:AG39)&gt;AG55,1,0)))</f>
        <v>0</v>
      </c>
      <c r="AI37" s="185"/>
      <c r="AJ37" s="109">
        <f>IF(SUM(AI37:AI39)+AI55=0,0,IF(SUM(AI37:AI39)=AI55,0.5,IF(SUM(AI37:AI39)&gt;AI55,1,0)))</f>
        <v>0</v>
      </c>
      <c r="AK37" s="185"/>
      <c r="AL37" s="109">
        <f>IF(SUM(AK37:AK39)+AK55=0,0,IF(SUM(AK37:AK39)=AK55,0.5,IF(SUM(AK37:AK39)&gt;AK55,1,0)))</f>
        <v>0</v>
      </c>
      <c r="AM37" s="185"/>
      <c r="AN37" s="109">
        <f>IF(SUM(AM37:AM39)+AM55=0,0,IF(SUM(AM37:AM39)=AM55,0.5,IF(SUM(AM37:AM39)&gt;AM55,1,0)))</f>
        <v>0</v>
      </c>
      <c r="AO37" s="185"/>
      <c r="AP37" s="109">
        <f>IF(SUM(AO37:AO39)+AO55=0,0,IF(SUM(AO37:AO39)=AO55,0.5,IF(SUM(AO37:AO39)&gt;AO55,1,0)))</f>
        <v>0</v>
      </c>
      <c r="AQ37" s="185"/>
      <c r="AR37" s="109">
        <f>IF(SUM(AQ37:AQ39)+AQ55=0,0,IF(SUM(AQ37:AQ39)=AQ55,0.5,IF(SUM(AQ37:AQ39)&gt;AQ55,1,0)))</f>
        <v>0</v>
      </c>
      <c r="AS37" s="185"/>
      <c r="AT37" s="109">
        <f>IF(SUM(AS37:AS39)+AS55=0,0,IF(SUM(AS37:AS39)=AS55,0.5,IF(SUM(AS37:AS39)&gt;AS55,1,0)))</f>
        <v>0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0</v>
      </c>
      <c r="AV37" s="111">
        <f>SUM(AD37+AF37+AH37+AJ37+AL37+AN37+AP37+AR37+AT37)</f>
        <v>0</v>
      </c>
      <c r="AW37" s="101"/>
      <c r="AX37" s="102"/>
      <c r="AZ37" s="63"/>
      <c r="BA37" s="212"/>
      <c r="BB37" s="213"/>
      <c r="BC37" s="214"/>
      <c r="BD37" s="217">
        <f>+AB37</f>
        <v>0</v>
      </c>
      <c r="BE37" s="213">
        <f>+AU37</f>
        <v>0</v>
      </c>
      <c r="BF37" s="215">
        <f>COUNT(BH37:BP37)</f>
        <v>0</v>
      </c>
      <c r="BG37" s="215">
        <f>COUNTIF(BH37:BP37,"&gt;0")</f>
        <v>0</v>
      </c>
      <c r="BH37" s="215" t="str">
        <f t="shared" ref="BH37:BH48" si="43">IF(AC37=0,"",AC37)</f>
        <v/>
      </c>
      <c r="BI37" s="215" t="str">
        <f t="shared" ref="BI37:BI48" si="44">IF(AE37=0,"",AE37)</f>
        <v/>
      </c>
      <c r="BJ37" s="215" t="str">
        <f t="shared" ref="BJ37:BJ48" si="45">IF(AG37=0,"",AG37)</f>
        <v/>
      </c>
      <c r="BK37" s="215" t="str">
        <f t="shared" ref="BK37:BK48" si="46">IF(AI37=0,"",AI37)</f>
        <v/>
      </c>
      <c r="BL37" s="215" t="str">
        <f t="shared" ref="BL37:BL48" si="47">IF(AK37=0,"",AK37)</f>
        <v/>
      </c>
      <c r="BM37" s="215" t="str">
        <f t="shared" ref="BM37:BM48" si="48">IF(AM37=0,"",AM37)</f>
        <v/>
      </c>
      <c r="BN37" s="215" t="str">
        <f t="shared" ref="BN37:BN48" si="49">IF(AO37=0,"",AO37)</f>
        <v/>
      </c>
      <c r="BO37" s="215" t="str">
        <f t="shared" ref="BO37:BO48" si="50">IF(AQ37=0,"",AQ37)</f>
        <v/>
      </c>
      <c r="BP37" s="215" t="str">
        <f t="shared" ref="BP37:BP48" si="51">IF(AS37=0,"",AS37)</f>
        <v/>
      </c>
      <c r="BQ37" s="216"/>
      <c r="BR37" s="214"/>
      <c r="BS37" s="215">
        <f>MAX(BH37:BP37)</f>
        <v>0</v>
      </c>
      <c r="BT37" s="215">
        <f>IF(BS37&lt;MAX(BS:BS),0,BS37+ROW()/1000000000)</f>
        <v>3.7E-8</v>
      </c>
      <c r="BU37" s="215" t="str">
        <f>+AA33</f>
        <v>BK München 2</v>
      </c>
      <c r="BV37" s="214">
        <f>RANK(BT37,BT:BT)</f>
        <v>108</v>
      </c>
      <c r="BW37" s="215">
        <f>SUMIF(BH37:BP37,"&gt;0")</f>
        <v>0</v>
      </c>
      <c r="BX37" s="215">
        <f>IF(COUNTIF(BH37:BP37,"&gt;0")&lt;Spielorte!$A$23,0,BE37/Spielorte!$A$23)</f>
        <v>0</v>
      </c>
      <c r="BY37" s="215">
        <f>IF(BX37&lt;MAX(BX:BX),0,BX37+ROW()/1000000000)</f>
        <v>3.7E-8</v>
      </c>
      <c r="BZ37" s="214">
        <f t="shared" ref="BZ37:BZ48" si="52">IF(BY37=0,0,RANK(BY37,BY:BY))</f>
        <v>108</v>
      </c>
    </row>
    <row r="38" spans="1:78" ht="17.2" customHeight="1" x14ac:dyDescent="0.35">
      <c r="A38" s="368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49"/>
      <c r="F38" s="78" t="str">
        <f t="shared" si="34"/>
        <v/>
      </c>
      <c r="G38" s="349"/>
      <c r="H38" s="78" t="str">
        <f t="shared" si="35"/>
        <v/>
      </c>
      <c r="I38" s="349"/>
      <c r="J38" s="78" t="str">
        <f t="shared" si="36"/>
        <v/>
      </c>
      <c r="K38" s="349"/>
      <c r="L38" s="78" t="str">
        <f t="shared" si="37"/>
        <v/>
      </c>
      <c r="M38" s="349"/>
      <c r="N38" s="78" t="str">
        <f t="shared" ref="N38:N50" si="54">IF(AM38=0,"",AM38)</f>
        <v/>
      </c>
      <c r="O38" s="349"/>
      <c r="P38" s="78" t="str">
        <f t="shared" si="38"/>
        <v/>
      </c>
      <c r="Q38" s="349"/>
      <c r="R38" s="78" t="str">
        <f t="shared" si="39"/>
        <v/>
      </c>
      <c r="S38" s="349"/>
      <c r="T38" s="78" t="str">
        <f t="shared" si="40"/>
        <v/>
      </c>
      <c r="U38" s="349"/>
      <c r="V38" s="78" t="str">
        <f t="shared" si="41"/>
        <v/>
      </c>
      <c r="W38" s="349"/>
      <c r="Z38" s="352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3.8000000000000003E-8</v>
      </c>
      <c r="BU38" s="215" t="str">
        <f t="shared" ref="BU38:BU48" si="61">+BU37</f>
        <v>BK München 2</v>
      </c>
      <c r="BV38" s="214">
        <f t="shared" ref="BV38:BV48" si="62">RANK(BT38,BT:BT)</f>
        <v>107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3.8000000000000003E-8</v>
      </c>
      <c r="BZ38" s="214">
        <f t="shared" si="52"/>
        <v>107</v>
      </c>
    </row>
    <row r="39" spans="1:78" ht="17.2" customHeight="1" thickBot="1" x14ac:dyDescent="0.4">
      <c r="A39" s="369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50"/>
      <c r="F39" s="69" t="str">
        <f t="shared" si="34"/>
        <v/>
      </c>
      <c r="G39" s="350"/>
      <c r="H39" s="69" t="str">
        <f t="shared" si="35"/>
        <v/>
      </c>
      <c r="I39" s="350"/>
      <c r="J39" s="69" t="str">
        <f t="shared" si="36"/>
        <v/>
      </c>
      <c r="K39" s="350"/>
      <c r="L39" s="69" t="str">
        <f t="shared" si="37"/>
        <v/>
      </c>
      <c r="M39" s="350"/>
      <c r="N39" s="69" t="str">
        <f t="shared" si="54"/>
        <v/>
      </c>
      <c r="O39" s="350"/>
      <c r="P39" s="69" t="str">
        <f t="shared" si="38"/>
        <v/>
      </c>
      <c r="Q39" s="350"/>
      <c r="R39" s="69" t="str">
        <f t="shared" si="39"/>
        <v/>
      </c>
      <c r="S39" s="350"/>
      <c r="T39" s="69" t="str">
        <f t="shared" si="40"/>
        <v/>
      </c>
      <c r="U39" s="350"/>
      <c r="V39" s="69" t="str">
        <f t="shared" si="41"/>
        <v/>
      </c>
      <c r="W39" s="350"/>
      <c r="Z39" s="353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3.8999999999999998E-8</v>
      </c>
      <c r="BU39" s="215" t="str">
        <f t="shared" si="61"/>
        <v>BK München 2</v>
      </c>
      <c r="BV39" s="214">
        <f t="shared" si="62"/>
        <v>106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3.8999999999999998E-8</v>
      </c>
      <c r="BZ39" s="214">
        <f t="shared" si="52"/>
        <v>106</v>
      </c>
    </row>
    <row r="40" spans="1:78" ht="17.2" customHeight="1" x14ac:dyDescent="0.35">
      <c r="A40" s="367" t="s">
        <v>2</v>
      </c>
      <c r="B40" s="73" t="str">
        <f t="shared" si="53"/>
        <v/>
      </c>
      <c r="C40" s="74" t="str">
        <f t="shared" si="53"/>
        <v/>
      </c>
      <c r="D40" s="75" t="str">
        <f t="shared" si="53"/>
        <v/>
      </c>
      <c r="E40" s="348">
        <f>IF(AD40="","",AD40)</f>
        <v>0</v>
      </c>
      <c r="F40" s="75" t="str">
        <f t="shared" si="34"/>
        <v/>
      </c>
      <c r="G40" s="348">
        <f>IF(AF40="","",AF40)</f>
        <v>0</v>
      </c>
      <c r="H40" s="75" t="str">
        <f t="shared" si="35"/>
        <v/>
      </c>
      <c r="I40" s="348">
        <f>IF(AH40="","",AH40)</f>
        <v>0</v>
      </c>
      <c r="J40" s="75" t="str">
        <f t="shared" si="36"/>
        <v/>
      </c>
      <c r="K40" s="348">
        <f>IF(AJ40="","",AJ40)</f>
        <v>0</v>
      </c>
      <c r="L40" s="75" t="str">
        <f t="shared" si="37"/>
        <v/>
      </c>
      <c r="M40" s="348">
        <f>IF(AL40="","",AL40)</f>
        <v>0</v>
      </c>
      <c r="N40" s="75" t="str">
        <f t="shared" si="54"/>
        <v/>
      </c>
      <c r="O40" s="348">
        <f>IF(AN40="","",AN40)</f>
        <v>0</v>
      </c>
      <c r="P40" s="75" t="str">
        <f t="shared" si="38"/>
        <v/>
      </c>
      <c r="Q40" s="348">
        <f>IF(AP40="","",AP40)</f>
        <v>0</v>
      </c>
      <c r="R40" s="75" t="str">
        <f t="shared" si="39"/>
        <v/>
      </c>
      <c r="S40" s="348">
        <f>IF(AR40="","",AR40)</f>
        <v>0</v>
      </c>
      <c r="T40" s="75" t="str">
        <f t="shared" si="40"/>
        <v/>
      </c>
      <c r="U40" s="348">
        <f>IF(AT40="","",AT40)</f>
        <v>0</v>
      </c>
      <c r="V40" s="75" t="str">
        <f t="shared" si="41"/>
        <v/>
      </c>
      <c r="W40" s="348">
        <f>IF(AV40="","",AV40)</f>
        <v>0</v>
      </c>
      <c r="Z40" s="351" t="s">
        <v>2</v>
      </c>
      <c r="AA40" s="108" t="str">
        <f>IF(AB40=0,"",VLOOKUP(AB40,Starter!$A$1:$D$199,2,FALSE))</f>
        <v/>
      </c>
      <c r="AB40" s="99"/>
      <c r="AC40" s="188"/>
      <c r="AD40" s="109">
        <f>IF(SUM(AC40:AC42)+AC56=0,0,IF(SUM(AC40:AC42)=AC56,0.5,IF(SUM(AC40:AC42)&gt;AC56,1,0)))</f>
        <v>0</v>
      </c>
      <c r="AE40" s="188"/>
      <c r="AF40" s="109">
        <f>IF(SUM(AE40:AE42)+AE56=0,0,IF(SUM(AE40:AE42)=AE56,0.5,IF(SUM(AE40:AE42)&gt;AE56,1,0)))</f>
        <v>0</v>
      </c>
      <c r="AG40" s="188"/>
      <c r="AH40" s="109">
        <f>IF(SUM(AG40:AG42)+AG56=0,0,IF(SUM(AG40:AG42)=AG56,0.5,IF(SUM(AG40:AG42)&gt;AG56,1,0)))</f>
        <v>0</v>
      </c>
      <c r="AI40" s="188"/>
      <c r="AJ40" s="109">
        <f>IF(SUM(AI40:AI42)+AI56=0,0,IF(SUM(AI40:AI42)=AI56,0.5,IF(SUM(AI40:AI42)&gt;AI56,1,0)))</f>
        <v>0</v>
      </c>
      <c r="AK40" s="188"/>
      <c r="AL40" s="109">
        <f>IF(SUM(AK40:AK42)+AK56=0,0,IF(SUM(AK40:AK42)=AK56,0.5,IF(SUM(AK40:AK42)&gt;AK56,1,0)))</f>
        <v>0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0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2"/>
        <v>0</v>
      </c>
      <c r="AV40" s="111">
        <f>SUM(AD40+AF40+AH40+AJ40+AL40+AN40+AP40+AR40+AT40)</f>
        <v>0</v>
      </c>
      <c r="AW40" s="101"/>
      <c r="AX40" s="102"/>
      <c r="AZ40" s="63"/>
      <c r="BA40" s="212"/>
      <c r="BB40" s="213"/>
      <c r="BC40" s="214"/>
      <c r="BD40" s="217">
        <f t="shared" si="55"/>
        <v>0</v>
      </c>
      <c r="BE40" s="213">
        <f t="shared" si="56"/>
        <v>0</v>
      </c>
      <c r="BF40" s="215">
        <f t="shared" si="57"/>
        <v>0</v>
      </c>
      <c r="BG40" s="215">
        <f t="shared" si="58"/>
        <v>0</v>
      </c>
      <c r="BH40" s="215" t="str">
        <f t="shared" si="43"/>
        <v/>
      </c>
      <c r="BI40" s="215" t="str">
        <f t="shared" si="44"/>
        <v/>
      </c>
      <c r="BJ40" s="215" t="str">
        <f t="shared" si="45"/>
        <v/>
      </c>
      <c r="BK40" s="215" t="str">
        <f t="shared" si="46"/>
        <v/>
      </c>
      <c r="BL40" s="215" t="str">
        <f t="shared" si="47"/>
        <v/>
      </c>
      <c r="BM40" s="215" t="str">
        <f t="shared" si="48"/>
        <v/>
      </c>
      <c r="BN40" s="215" t="str">
        <f t="shared" si="49"/>
        <v/>
      </c>
      <c r="BO40" s="215" t="str">
        <f t="shared" si="50"/>
        <v/>
      </c>
      <c r="BP40" s="215" t="str">
        <f t="shared" si="51"/>
        <v/>
      </c>
      <c r="BQ40" s="216"/>
      <c r="BR40" s="214"/>
      <c r="BS40" s="215">
        <f t="shared" si="59"/>
        <v>0</v>
      </c>
      <c r="BT40" s="215">
        <f t="shared" si="60"/>
        <v>4.0000000000000001E-8</v>
      </c>
      <c r="BU40" s="215" t="str">
        <f t="shared" si="61"/>
        <v>BK München 2</v>
      </c>
      <c r="BV40" s="214">
        <f t="shared" si="62"/>
        <v>105</v>
      </c>
      <c r="BW40" s="215">
        <f t="shared" si="63"/>
        <v>0</v>
      </c>
      <c r="BX40" s="215">
        <f>IF(COUNTIF(BH40:BP40,"&gt;0")&lt;Spielorte!$A$23,0,BE40/Spielorte!$A$23)</f>
        <v>0</v>
      </c>
      <c r="BY40" s="215">
        <f t="shared" si="64"/>
        <v>4.0000000000000001E-8</v>
      </c>
      <c r="BZ40" s="214">
        <f t="shared" si="52"/>
        <v>105</v>
      </c>
    </row>
    <row r="41" spans="1:78" ht="17.2" customHeight="1" x14ac:dyDescent="0.35">
      <c r="A41" s="368"/>
      <c r="B41" s="76" t="str">
        <f t="shared" si="53"/>
        <v/>
      </c>
      <c r="C41" s="77" t="str">
        <f t="shared" si="53"/>
        <v/>
      </c>
      <c r="D41" s="78" t="str">
        <f t="shared" si="53"/>
        <v/>
      </c>
      <c r="E41" s="349"/>
      <c r="F41" s="78" t="str">
        <f t="shared" si="34"/>
        <v/>
      </c>
      <c r="G41" s="349"/>
      <c r="H41" s="78" t="str">
        <f t="shared" si="35"/>
        <v/>
      </c>
      <c r="I41" s="349"/>
      <c r="J41" s="78" t="str">
        <f t="shared" si="36"/>
        <v/>
      </c>
      <c r="K41" s="349"/>
      <c r="L41" s="78" t="str">
        <f t="shared" si="37"/>
        <v/>
      </c>
      <c r="M41" s="349"/>
      <c r="N41" s="78" t="str">
        <f t="shared" si="54"/>
        <v/>
      </c>
      <c r="O41" s="349"/>
      <c r="P41" s="78" t="str">
        <f t="shared" si="38"/>
        <v/>
      </c>
      <c r="Q41" s="349"/>
      <c r="R41" s="78" t="str">
        <f t="shared" si="39"/>
        <v/>
      </c>
      <c r="S41" s="349"/>
      <c r="T41" s="78" t="str">
        <f t="shared" si="40"/>
        <v/>
      </c>
      <c r="U41" s="349"/>
      <c r="V41" s="78" t="str">
        <f t="shared" si="41"/>
        <v/>
      </c>
      <c r="W41" s="349"/>
      <c r="Z41" s="352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2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0</v>
      </c>
      <c r="BE41" s="213">
        <f t="shared" si="56"/>
        <v>0</v>
      </c>
      <c r="BF41" s="215">
        <f t="shared" si="57"/>
        <v>0</v>
      </c>
      <c r="BG41" s="215">
        <f t="shared" si="58"/>
        <v>0</v>
      </c>
      <c r="BH41" s="215" t="str">
        <f t="shared" si="43"/>
        <v/>
      </c>
      <c r="BI41" s="215" t="str">
        <f t="shared" si="44"/>
        <v/>
      </c>
      <c r="BJ41" s="215" t="str">
        <f t="shared" si="45"/>
        <v/>
      </c>
      <c r="BK41" s="215" t="str">
        <f t="shared" si="46"/>
        <v/>
      </c>
      <c r="BL41" s="215" t="str">
        <f t="shared" si="47"/>
        <v/>
      </c>
      <c r="BM41" s="215" t="str">
        <f t="shared" si="48"/>
        <v/>
      </c>
      <c r="BN41" s="215" t="str">
        <f t="shared" si="49"/>
        <v/>
      </c>
      <c r="BO41" s="215" t="str">
        <f t="shared" si="50"/>
        <v/>
      </c>
      <c r="BP41" s="215" t="str">
        <f t="shared" si="51"/>
        <v/>
      </c>
      <c r="BQ41" s="216"/>
      <c r="BR41" s="214"/>
      <c r="BS41" s="215">
        <f t="shared" si="59"/>
        <v>0</v>
      </c>
      <c r="BT41" s="215">
        <f t="shared" si="60"/>
        <v>4.1000000000000003E-8</v>
      </c>
      <c r="BU41" s="215" t="str">
        <f t="shared" si="61"/>
        <v>BK München 2</v>
      </c>
      <c r="BV41" s="214">
        <f t="shared" si="62"/>
        <v>104</v>
      </c>
      <c r="BW41" s="215">
        <f t="shared" si="63"/>
        <v>0</v>
      </c>
      <c r="BX41" s="215">
        <f>IF(COUNTIF(BH41:BP41,"&gt;0")&lt;Spielorte!$A$23,0,BE41/Spielorte!$A$23)</f>
        <v>0</v>
      </c>
      <c r="BY41" s="215">
        <f t="shared" si="64"/>
        <v>4.1000000000000003E-8</v>
      </c>
      <c r="BZ41" s="214">
        <f t="shared" si="52"/>
        <v>104</v>
      </c>
    </row>
    <row r="42" spans="1:78" ht="17.2" customHeight="1" thickBot="1" x14ac:dyDescent="0.4">
      <c r="A42" s="369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50"/>
      <c r="F42" s="69" t="str">
        <f t="shared" si="34"/>
        <v/>
      </c>
      <c r="G42" s="350"/>
      <c r="H42" s="69" t="str">
        <f t="shared" si="35"/>
        <v/>
      </c>
      <c r="I42" s="350"/>
      <c r="J42" s="69" t="str">
        <f t="shared" si="36"/>
        <v/>
      </c>
      <c r="K42" s="350"/>
      <c r="L42" s="69" t="str">
        <f t="shared" si="37"/>
        <v/>
      </c>
      <c r="M42" s="350"/>
      <c r="N42" s="69" t="str">
        <f t="shared" si="54"/>
        <v/>
      </c>
      <c r="O42" s="350"/>
      <c r="P42" s="69" t="str">
        <f t="shared" si="38"/>
        <v/>
      </c>
      <c r="Q42" s="350"/>
      <c r="R42" s="69" t="str">
        <f t="shared" si="39"/>
        <v/>
      </c>
      <c r="S42" s="350"/>
      <c r="T42" s="69" t="str">
        <f t="shared" si="40"/>
        <v/>
      </c>
      <c r="U42" s="350"/>
      <c r="V42" s="69" t="str">
        <f t="shared" si="41"/>
        <v/>
      </c>
      <c r="W42" s="350"/>
      <c r="Z42" s="353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4.1999999999999999E-8</v>
      </c>
      <c r="BU42" s="215" t="str">
        <f t="shared" si="61"/>
        <v>BK München 2</v>
      </c>
      <c r="BV42" s="214">
        <f t="shared" si="62"/>
        <v>103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4.1999999999999999E-8</v>
      </c>
      <c r="BZ42" s="214">
        <f t="shared" si="52"/>
        <v>103</v>
      </c>
    </row>
    <row r="43" spans="1:78" ht="17.2" customHeight="1" x14ac:dyDescent="0.35">
      <c r="A43" s="367" t="s">
        <v>3</v>
      </c>
      <c r="B43" s="73" t="str">
        <f t="shared" si="53"/>
        <v/>
      </c>
      <c r="C43" s="74" t="str">
        <f t="shared" si="53"/>
        <v/>
      </c>
      <c r="D43" s="75" t="str">
        <f t="shared" si="53"/>
        <v/>
      </c>
      <c r="E43" s="348">
        <f>IF(AD43="","",AD43)</f>
        <v>0</v>
      </c>
      <c r="F43" s="75" t="str">
        <f t="shared" si="34"/>
        <v/>
      </c>
      <c r="G43" s="348">
        <f>IF(AF43="","",AF43)</f>
        <v>0</v>
      </c>
      <c r="H43" s="75" t="str">
        <f t="shared" si="35"/>
        <v/>
      </c>
      <c r="I43" s="348">
        <f>IF(AH43="","",AH43)</f>
        <v>0</v>
      </c>
      <c r="J43" s="75" t="str">
        <f t="shared" si="36"/>
        <v/>
      </c>
      <c r="K43" s="348">
        <f>IF(AJ43="","",AJ43)</f>
        <v>0</v>
      </c>
      <c r="L43" s="75" t="str">
        <f t="shared" si="37"/>
        <v/>
      </c>
      <c r="M43" s="348">
        <f>IF(AL43="","",AL43)</f>
        <v>0</v>
      </c>
      <c r="N43" s="75" t="str">
        <f t="shared" si="54"/>
        <v/>
      </c>
      <c r="O43" s="348">
        <f>IF(AN43="","",AN43)</f>
        <v>0</v>
      </c>
      <c r="P43" s="75" t="str">
        <f t="shared" si="38"/>
        <v/>
      </c>
      <c r="Q43" s="348">
        <f>IF(AP43="","",AP43)</f>
        <v>0</v>
      </c>
      <c r="R43" s="75" t="str">
        <f t="shared" si="39"/>
        <v/>
      </c>
      <c r="S43" s="348">
        <f>IF(AR43="","",AR43)</f>
        <v>0</v>
      </c>
      <c r="T43" s="75" t="str">
        <f t="shared" si="40"/>
        <v/>
      </c>
      <c r="U43" s="348">
        <f>IF(AT43="","",AT43)</f>
        <v>0</v>
      </c>
      <c r="V43" s="75" t="str">
        <f t="shared" si="41"/>
        <v/>
      </c>
      <c r="W43" s="348">
        <f>IF(AV43="","",AV43)</f>
        <v>0</v>
      </c>
      <c r="Z43" s="351" t="s">
        <v>3</v>
      </c>
      <c r="AA43" s="108" t="str">
        <f>IF(AB43=0,"",VLOOKUP(AB43,Starter!$A$1:$D$199,2,FALSE))</f>
        <v/>
      </c>
      <c r="AB43" s="99"/>
      <c r="AC43" s="188"/>
      <c r="AD43" s="109">
        <f>IF(SUM(AC43:AC45)+AC57=0,0,IF(SUM(AC43:AC45)=AC57,0.5,IF(SUM(AC43:AC45)&gt;AC57,1,0)))</f>
        <v>0</v>
      </c>
      <c r="AE43" s="188"/>
      <c r="AF43" s="109">
        <f>IF(SUM(AE43:AE45)+AE57=0,0,IF(SUM(AE43:AE45)=AE57,0.5,IF(SUM(AE43:AE45)&gt;AE57,1,0)))</f>
        <v>0</v>
      </c>
      <c r="AG43" s="188"/>
      <c r="AH43" s="109">
        <f>IF(SUM(AG43:AG45)+AG57=0,0,IF(SUM(AG43:AG45)=AG57,0.5,IF(SUM(AG43:AG45)&gt;AG57,1,0)))</f>
        <v>0</v>
      </c>
      <c r="AI43" s="188"/>
      <c r="AJ43" s="109">
        <f>IF(SUM(AI43:AI45)+AI57=0,0,IF(SUM(AI43:AI45)=AI57,0.5,IF(SUM(AI43:AI45)&gt;AI57,1,0)))</f>
        <v>0</v>
      </c>
      <c r="AK43" s="188"/>
      <c r="AL43" s="109">
        <f>IF(SUM(AK43:AK45)+AK57=0,0,IF(SUM(AK43:AK45)=AK57,0.5,IF(SUM(AK43:AK45)&gt;AK57,1,0)))</f>
        <v>0</v>
      </c>
      <c r="AM43" s="188"/>
      <c r="AN43" s="109">
        <f>IF(SUM(AM43:AM45)+AM57=0,0,IF(SUM(AM43:AM45)=AM57,0.5,IF(SUM(AM43:AM45)&gt;AM57,1,0)))</f>
        <v>0</v>
      </c>
      <c r="AO43" s="188"/>
      <c r="AP43" s="109">
        <f>IF(SUM(AO43:AO45)+AO57=0,0,IF(SUM(AO43:AO45)=AO57,0.5,IF(SUM(AO43:AO45)&gt;AO57,1,0)))</f>
        <v>0</v>
      </c>
      <c r="AQ43" s="188"/>
      <c r="AR43" s="109">
        <f>IF(SUM(AQ43:AQ45)+AQ57=0,0,IF(SUM(AQ43:AQ45)=AQ57,0.5,IF(SUM(AQ43:AQ45)&gt;AQ57,1,0)))</f>
        <v>0</v>
      </c>
      <c r="AS43" s="188"/>
      <c r="AT43" s="109">
        <f>IF(SUM(AS43:AS45)+AS57=0,0,IF(SUM(AS43:AS45)=AS57,0.5,IF(SUM(AS43:AS45)&gt;AS57,1,0)))</f>
        <v>0</v>
      </c>
      <c r="AU43" s="110">
        <f t="shared" si="42"/>
        <v>0</v>
      </c>
      <c r="AV43" s="111">
        <f>SUM(AD43+AF43+AH43+AJ43+AL43+AN43+AP43+AR43+AT43)</f>
        <v>0</v>
      </c>
      <c r="AW43" s="101"/>
      <c r="AX43" s="102"/>
      <c r="AZ43" s="63"/>
      <c r="BA43" s="212"/>
      <c r="BB43" s="213"/>
      <c r="BC43" s="214"/>
      <c r="BD43" s="217">
        <f t="shared" si="55"/>
        <v>0</v>
      </c>
      <c r="BE43" s="213">
        <f t="shared" si="56"/>
        <v>0</v>
      </c>
      <c r="BF43" s="215">
        <f t="shared" si="57"/>
        <v>0</v>
      </c>
      <c r="BG43" s="215">
        <f t="shared" si="58"/>
        <v>0</v>
      </c>
      <c r="BH43" s="215" t="str">
        <f t="shared" si="43"/>
        <v/>
      </c>
      <c r="BI43" s="215" t="str">
        <f t="shared" si="44"/>
        <v/>
      </c>
      <c r="BJ43" s="215" t="str">
        <f t="shared" si="45"/>
        <v/>
      </c>
      <c r="BK43" s="215" t="str">
        <f t="shared" si="46"/>
        <v/>
      </c>
      <c r="BL43" s="215" t="str">
        <f t="shared" si="47"/>
        <v/>
      </c>
      <c r="BM43" s="215" t="str">
        <f t="shared" si="48"/>
        <v/>
      </c>
      <c r="BN43" s="215" t="str">
        <f t="shared" si="49"/>
        <v/>
      </c>
      <c r="BO43" s="215" t="str">
        <f t="shared" si="50"/>
        <v/>
      </c>
      <c r="BP43" s="215" t="str">
        <f t="shared" si="51"/>
        <v/>
      </c>
      <c r="BQ43" s="216"/>
      <c r="BR43" s="214"/>
      <c r="BS43" s="215">
        <f t="shared" si="59"/>
        <v>0</v>
      </c>
      <c r="BT43" s="215">
        <f t="shared" si="60"/>
        <v>4.3000000000000001E-8</v>
      </c>
      <c r="BU43" s="215" t="str">
        <f t="shared" si="61"/>
        <v>BK München 2</v>
      </c>
      <c r="BV43" s="214">
        <f t="shared" si="62"/>
        <v>102</v>
      </c>
      <c r="BW43" s="215">
        <f t="shared" si="63"/>
        <v>0</v>
      </c>
      <c r="BX43" s="215">
        <f>IF(COUNTIF(BH43:BP43,"&gt;0")&lt;Spielorte!$A$23,0,BE43/Spielorte!$A$23)</f>
        <v>0</v>
      </c>
      <c r="BY43" s="215">
        <f t="shared" si="64"/>
        <v>4.3000000000000001E-8</v>
      </c>
      <c r="BZ43" s="214">
        <f t="shared" si="52"/>
        <v>102</v>
      </c>
    </row>
    <row r="44" spans="1:78" ht="17.2" customHeight="1" x14ac:dyDescent="0.35">
      <c r="A44" s="368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49"/>
      <c r="F44" s="78" t="str">
        <f t="shared" si="34"/>
        <v/>
      </c>
      <c r="G44" s="349"/>
      <c r="H44" s="78" t="str">
        <f t="shared" si="35"/>
        <v/>
      </c>
      <c r="I44" s="349"/>
      <c r="J44" s="78" t="str">
        <f t="shared" si="36"/>
        <v/>
      </c>
      <c r="K44" s="349"/>
      <c r="L44" s="78" t="str">
        <f t="shared" si="37"/>
        <v/>
      </c>
      <c r="M44" s="349"/>
      <c r="N44" s="78" t="str">
        <f t="shared" si="54"/>
        <v/>
      </c>
      <c r="O44" s="349"/>
      <c r="P44" s="78" t="str">
        <f t="shared" si="38"/>
        <v/>
      </c>
      <c r="Q44" s="349"/>
      <c r="R44" s="78" t="str">
        <f t="shared" si="39"/>
        <v/>
      </c>
      <c r="S44" s="349"/>
      <c r="T44" s="78" t="str">
        <f t="shared" si="40"/>
        <v/>
      </c>
      <c r="U44" s="349"/>
      <c r="V44" s="78" t="str">
        <f t="shared" si="41"/>
        <v/>
      </c>
      <c r="W44" s="349"/>
      <c r="Z44" s="352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4.3999999999999997E-8</v>
      </c>
      <c r="BU44" s="215" t="str">
        <f t="shared" si="61"/>
        <v>BK München 2</v>
      </c>
      <c r="BV44" s="214">
        <f t="shared" si="62"/>
        <v>101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4.3999999999999997E-8</v>
      </c>
      <c r="BZ44" s="214">
        <f t="shared" si="52"/>
        <v>101</v>
      </c>
    </row>
    <row r="45" spans="1:78" ht="17.2" customHeight="1" thickBot="1" x14ac:dyDescent="0.4">
      <c r="A45" s="369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50"/>
      <c r="F45" s="69" t="str">
        <f t="shared" si="34"/>
        <v/>
      </c>
      <c r="G45" s="350"/>
      <c r="H45" s="69" t="str">
        <f t="shared" si="35"/>
        <v/>
      </c>
      <c r="I45" s="350"/>
      <c r="J45" s="69" t="str">
        <f t="shared" si="36"/>
        <v/>
      </c>
      <c r="K45" s="350"/>
      <c r="L45" s="69" t="str">
        <f t="shared" si="37"/>
        <v/>
      </c>
      <c r="M45" s="350"/>
      <c r="N45" s="69" t="str">
        <f t="shared" si="54"/>
        <v/>
      </c>
      <c r="O45" s="350"/>
      <c r="P45" s="69" t="str">
        <f t="shared" si="38"/>
        <v/>
      </c>
      <c r="Q45" s="350"/>
      <c r="R45" s="69" t="str">
        <f t="shared" si="39"/>
        <v/>
      </c>
      <c r="S45" s="350"/>
      <c r="T45" s="69" t="str">
        <f t="shared" si="40"/>
        <v/>
      </c>
      <c r="U45" s="350"/>
      <c r="V45" s="69" t="str">
        <f t="shared" si="41"/>
        <v/>
      </c>
      <c r="W45" s="350"/>
      <c r="Z45" s="353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4.4999999999999999E-8</v>
      </c>
      <c r="BU45" s="215" t="str">
        <f t="shared" si="61"/>
        <v>BK München 2</v>
      </c>
      <c r="BV45" s="214">
        <f t="shared" si="62"/>
        <v>100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4.4999999999999999E-8</v>
      </c>
      <c r="BZ45" s="214">
        <f t="shared" si="52"/>
        <v>100</v>
      </c>
    </row>
    <row r="46" spans="1:78" ht="17.2" customHeight="1" x14ac:dyDescent="0.35">
      <c r="A46" s="367" t="s">
        <v>11</v>
      </c>
      <c r="B46" s="73" t="str">
        <f>IF(AA46=0,"",AA46)</f>
        <v/>
      </c>
      <c r="C46" s="74" t="str">
        <f t="shared" si="53"/>
        <v/>
      </c>
      <c r="D46" s="75" t="str">
        <f t="shared" si="53"/>
        <v/>
      </c>
      <c r="E46" s="348">
        <f>IF(AD46="","",AD46)</f>
        <v>0</v>
      </c>
      <c r="F46" s="75" t="str">
        <f t="shared" si="34"/>
        <v/>
      </c>
      <c r="G46" s="348">
        <f>IF(AF46="","",AF46)</f>
        <v>0</v>
      </c>
      <c r="H46" s="75" t="str">
        <f t="shared" si="35"/>
        <v/>
      </c>
      <c r="I46" s="348">
        <f>IF(AH46="","",AH46)</f>
        <v>0</v>
      </c>
      <c r="J46" s="75" t="str">
        <f t="shared" si="36"/>
        <v/>
      </c>
      <c r="K46" s="348">
        <f>IF(AJ46="","",AJ46)</f>
        <v>0</v>
      </c>
      <c r="L46" s="75" t="str">
        <f t="shared" si="37"/>
        <v/>
      </c>
      <c r="M46" s="348">
        <f>IF(AL46="","",AL46)</f>
        <v>0</v>
      </c>
      <c r="N46" s="75" t="str">
        <f t="shared" si="54"/>
        <v/>
      </c>
      <c r="O46" s="348">
        <f>IF(AN46="","",AN46)</f>
        <v>0</v>
      </c>
      <c r="P46" s="75" t="str">
        <f t="shared" si="38"/>
        <v/>
      </c>
      <c r="Q46" s="348">
        <f>IF(AP46="","",AP46)</f>
        <v>0</v>
      </c>
      <c r="R46" s="75" t="str">
        <f t="shared" si="39"/>
        <v/>
      </c>
      <c r="S46" s="348">
        <f>IF(AR46="","",AR46)</f>
        <v>0</v>
      </c>
      <c r="T46" s="75" t="str">
        <f t="shared" si="40"/>
        <v/>
      </c>
      <c r="U46" s="348">
        <f>IF(AT46="","",AT46)</f>
        <v>0</v>
      </c>
      <c r="V46" s="75" t="str">
        <f t="shared" si="41"/>
        <v/>
      </c>
      <c r="W46" s="348">
        <f>IF(AV46="","",AV46)</f>
        <v>0</v>
      </c>
      <c r="Z46" s="351" t="s">
        <v>11</v>
      </c>
      <c r="AA46" s="108" t="str">
        <f>IF(AB46=0,"",VLOOKUP(AB46,Starter!$A$1:$D$199,2,FALSE))</f>
        <v/>
      </c>
      <c r="AB46" s="99"/>
      <c r="AC46" s="188"/>
      <c r="AD46" s="109">
        <f>IF(SUM(AC46:AC48)+AC58=0,0,IF(SUM(AC46:AC48)=AC58,0.5,IF(SUM(AC46:AC48)&gt;AC58,1,0)))</f>
        <v>0</v>
      </c>
      <c r="AE46" s="188"/>
      <c r="AF46" s="109">
        <f>IF(SUM(AE46:AE48)+AE58=0,0,IF(SUM(AE46:AE48)=AE58,0.5,IF(SUM(AE46:AE48)&gt;AE58,1,0)))</f>
        <v>0</v>
      </c>
      <c r="AG46" s="188"/>
      <c r="AH46" s="109">
        <f>IF(SUM(AG46:AG48)+AG58=0,0,IF(SUM(AG46:AG48)=AG58,0.5,IF(SUM(AG46:AG48)&gt;AG58,1,0)))</f>
        <v>0</v>
      </c>
      <c r="AI46" s="188"/>
      <c r="AJ46" s="109">
        <f>IF(SUM(AI46:AI48)+AI58=0,0,IF(SUM(AI46:AI48)=AI58,0.5,IF(SUM(AI46:AI48)&gt;AI58,1,0)))</f>
        <v>0</v>
      </c>
      <c r="AK46" s="188"/>
      <c r="AL46" s="109">
        <f>IF(SUM(AK46:AK48)+AK58=0,0,IF(SUM(AK46:AK48)=AK58,0.5,IF(SUM(AK46:AK48)&gt;AK58,1,0)))</f>
        <v>0</v>
      </c>
      <c r="AM46" s="188"/>
      <c r="AN46" s="109">
        <f>IF(SUM(AM46:AM48)+AM58=0,0,IF(SUM(AM46:AM48)=AM58,0.5,IF(SUM(AM46:AM48)&gt;AM58,1,0)))</f>
        <v>0</v>
      </c>
      <c r="AO46" s="188"/>
      <c r="AP46" s="109">
        <f>IF(SUM(AO46:AO48)+AO58=0,0,IF(SUM(AO46:AO48)=AO58,0.5,IF(SUM(AO46:AO48)&gt;AO58,1,0)))</f>
        <v>0</v>
      </c>
      <c r="AQ46" s="188"/>
      <c r="AR46" s="109">
        <f>IF(SUM(AQ46:AQ48)+AQ58=0,0,IF(SUM(AQ46:AQ48)=AQ58,0.5,IF(SUM(AQ46:AQ48)&gt;AQ58,1,0)))</f>
        <v>0</v>
      </c>
      <c r="AS46" s="188"/>
      <c r="AT46" s="109">
        <f>IF(SUM(AS46:AS48)+AS58=0,0,IF(SUM(AS46:AS48)=AS58,0.5,IF(SUM(AS46:AS48)&gt;AS58,1,0)))</f>
        <v>0</v>
      </c>
      <c r="AU46" s="110">
        <f t="shared" si="42"/>
        <v>0</v>
      </c>
      <c r="AV46" s="111">
        <f>SUM(AD46+AF46+AH46+AJ46+AL46+AN46+AP46+AR46+AT46)</f>
        <v>0</v>
      </c>
      <c r="AW46" s="101"/>
      <c r="AX46" s="102"/>
      <c r="AZ46" s="63"/>
      <c r="BA46" s="212"/>
      <c r="BB46" s="213"/>
      <c r="BC46" s="214"/>
      <c r="BD46" s="217">
        <f t="shared" si="55"/>
        <v>0</v>
      </c>
      <c r="BE46" s="213">
        <f t="shared" si="56"/>
        <v>0</v>
      </c>
      <c r="BF46" s="215">
        <f t="shared" si="57"/>
        <v>0</v>
      </c>
      <c r="BG46" s="215">
        <f t="shared" si="58"/>
        <v>0</v>
      </c>
      <c r="BH46" s="215" t="str">
        <f t="shared" si="43"/>
        <v/>
      </c>
      <c r="BI46" s="215" t="str">
        <f t="shared" si="44"/>
        <v/>
      </c>
      <c r="BJ46" s="215" t="str">
        <f t="shared" si="45"/>
        <v/>
      </c>
      <c r="BK46" s="215" t="str">
        <f t="shared" si="46"/>
        <v/>
      </c>
      <c r="BL46" s="215" t="str">
        <f t="shared" si="47"/>
        <v/>
      </c>
      <c r="BM46" s="215" t="str">
        <f t="shared" si="48"/>
        <v/>
      </c>
      <c r="BN46" s="215" t="str">
        <f t="shared" si="49"/>
        <v/>
      </c>
      <c r="BO46" s="215" t="str">
        <f t="shared" si="50"/>
        <v/>
      </c>
      <c r="BP46" s="215" t="str">
        <f t="shared" si="51"/>
        <v/>
      </c>
      <c r="BQ46" s="216"/>
      <c r="BR46" s="214"/>
      <c r="BS46" s="215">
        <f t="shared" si="59"/>
        <v>0</v>
      </c>
      <c r="BT46" s="215">
        <f t="shared" si="60"/>
        <v>4.6000000000000002E-8</v>
      </c>
      <c r="BU46" s="215" t="str">
        <f t="shared" si="61"/>
        <v>BK München 2</v>
      </c>
      <c r="BV46" s="214">
        <f t="shared" si="62"/>
        <v>99</v>
      </c>
      <c r="BW46" s="215">
        <f t="shared" si="63"/>
        <v>0</v>
      </c>
      <c r="BX46" s="215">
        <f>IF(COUNTIF(BH46:BP46,"&gt;0")&lt;Spielorte!$A$23,0,BE46/Spielorte!$A$23)</f>
        <v>0</v>
      </c>
      <c r="BY46" s="215">
        <f t="shared" si="64"/>
        <v>4.6000000000000002E-8</v>
      </c>
      <c r="BZ46" s="214">
        <f t="shared" si="52"/>
        <v>99</v>
      </c>
    </row>
    <row r="47" spans="1:78" ht="17.2" customHeight="1" x14ac:dyDescent="0.35">
      <c r="A47" s="368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49"/>
      <c r="F47" s="78" t="str">
        <f t="shared" si="34"/>
        <v/>
      </c>
      <c r="G47" s="349"/>
      <c r="H47" s="78" t="str">
        <f t="shared" si="35"/>
        <v/>
      </c>
      <c r="I47" s="349"/>
      <c r="J47" s="78" t="str">
        <f t="shared" si="36"/>
        <v/>
      </c>
      <c r="K47" s="349"/>
      <c r="L47" s="78" t="str">
        <f t="shared" si="37"/>
        <v/>
      </c>
      <c r="M47" s="349"/>
      <c r="N47" s="78" t="str">
        <f t="shared" si="54"/>
        <v/>
      </c>
      <c r="O47" s="349"/>
      <c r="P47" s="78" t="str">
        <f t="shared" si="38"/>
        <v/>
      </c>
      <c r="Q47" s="349"/>
      <c r="R47" s="78" t="str">
        <f t="shared" si="39"/>
        <v/>
      </c>
      <c r="S47" s="349"/>
      <c r="T47" s="78" t="str">
        <f t="shared" si="40"/>
        <v/>
      </c>
      <c r="U47" s="349"/>
      <c r="V47" s="78" t="str">
        <f t="shared" si="41"/>
        <v/>
      </c>
      <c r="W47" s="349"/>
      <c r="Z47" s="352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4.6999999999999997E-8</v>
      </c>
      <c r="BU47" s="215" t="str">
        <f t="shared" si="61"/>
        <v>BK München 2</v>
      </c>
      <c r="BV47" s="214">
        <f t="shared" si="62"/>
        <v>98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4.6999999999999997E-8</v>
      </c>
      <c r="BZ47" s="214">
        <f t="shared" si="52"/>
        <v>98</v>
      </c>
    </row>
    <row r="48" spans="1:78" ht="17.2" customHeight="1" thickBot="1" x14ac:dyDescent="0.4">
      <c r="A48" s="369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50"/>
      <c r="F48" s="69" t="str">
        <f t="shared" si="34"/>
        <v/>
      </c>
      <c r="G48" s="350"/>
      <c r="H48" s="69" t="str">
        <f t="shared" si="35"/>
        <v/>
      </c>
      <c r="I48" s="350"/>
      <c r="J48" s="69" t="str">
        <f t="shared" si="36"/>
        <v/>
      </c>
      <c r="K48" s="350"/>
      <c r="L48" s="69" t="str">
        <f t="shared" si="37"/>
        <v/>
      </c>
      <c r="M48" s="350"/>
      <c r="N48" s="69" t="str">
        <f t="shared" si="54"/>
        <v/>
      </c>
      <c r="O48" s="350"/>
      <c r="P48" s="69" t="str">
        <f t="shared" si="38"/>
        <v/>
      </c>
      <c r="Q48" s="350"/>
      <c r="R48" s="69" t="str">
        <f t="shared" si="39"/>
        <v/>
      </c>
      <c r="S48" s="350"/>
      <c r="T48" s="69" t="str">
        <f t="shared" si="40"/>
        <v/>
      </c>
      <c r="U48" s="350"/>
      <c r="V48" s="69" t="str">
        <f t="shared" si="41"/>
        <v/>
      </c>
      <c r="W48" s="350"/>
      <c r="Z48" s="353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4.8E-8</v>
      </c>
      <c r="BU48" s="215" t="str">
        <f t="shared" si="61"/>
        <v>BK München 2</v>
      </c>
      <c r="BV48" s="214">
        <f t="shared" si="62"/>
        <v>97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4.8E-8</v>
      </c>
      <c r="BZ48" s="214">
        <f t="shared" si="52"/>
        <v>97</v>
      </c>
    </row>
    <row r="49" spans="1:78" ht="27.75" customHeight="1" thickBot="1" x14ac:dyDescent="0.4">
      <c r="B49" s="81" t="str">
        <f>IF(AA49=0,"",AA49)</f>
        <v>Gesamt</v>
      </c>
      <c r="C49" s="82" t="str">
        <f t="shared" si="53"/>
        <v/>
      </c>
      <c r="D49" s="83" t="str">
        <f t="shared" si="53"/>
        <v/>
      </c>
      <c r="E49" s="84">
        <f>IF(AD49="","",AD49)</f>
        <v>0</v>
      </c>
      <c r="F49" s="83" t="str">
        <f t="shared" si="34"/>
        <v/>
      </c>
      <c r="G49" s="84">
        <f>IF(AF49="","",AF49)</f>
        <v>0</v>
      </c>
      <c r="H49" s="83" t="str">
        <f t="shared" si="35"/>
        <v/>
      </c>
      <c r="I49" s="84">
        <f>IF(AH49="","",AH49)</f>
        <v>0</v>
      </c>
      <c r="J49" s="83" t="str">
        <f t="shared" si="36"/>
        <v/>
      </c>
      <c r="K49" s="84">
        <f>IF(AJ49="","",AJ49)</f>
        <v>0</v>
      </c>
      <c r="L49" s="83" t="str">
        <f t="shared" si="37"/>
        <v/>
      </c>
      <c r="M49" s="84">
        <f>IF(AL49="","",AL49)</f>
        <v>0</v>
      </c>
      <c r="N49" s="83" t="str">
        <f t="shared" si="54"/>
        <v/>
      </c>
      <c r="O49" s="84">
        <f>IF(AN49="","",AN49)</f>
        <v>0</v>
      </c>
      <c r="P49" s="83" t="str">
        <f t="shared" si="38"/>
        <v/>
      </c>
      <c r="Q49" s="84">
        <f>IF(AP49="","",AP49)</f>
        <v>0</v>
      </c>
      <c r="R49" s="83" t="str">
        <f t="shared" si="39"/>
        <v/>
      </c>
      <c r="S49" s="84">
        <f>IF(AR49="","",AR49)</f>
        <v>0</v>
      </c>
      <c r="T49" s="83" t="str">
        <f t="shared" si="40"/>
        <v/>
      </c>
      <c r="U49" s="84">
        <f>IF(AT49="","",AT49)</f>
        <v>0</v>
      </c>
      <c r="V49" s="83" t="str">
        <f t="shared" si="41"/>
        <v/>
      </c>
      <c r="W49" s="84">
        <f>IF(AV49="","",AV49)</f>
        <v>0</v>
      </c>
      <c r="AA49" s="81" t="s">
        <v>1799</v>
      </c>
      <c r="AB49" s="120"/>
      <c r="AC49" s="211">
        <f>ABS(SUM(AC37:AC39))+ABS(SUM(AC40:AC42))+ABS(SUM(AC43:AC45))+ABS(SUM(AC46:AC48))</f>
        <v>0</v>
      </c>
      <c r="AD49" s="121">
        <f>IF(AC49+AC59=0,0,IF(AC49=AC59,1,IF(AC49&gt;AC59,2,0)))</f>
        <v>0</v>
      </c>
      <c r="AE49" s="211">
        <f>ABS(SUM(AE37:AE39))+ABS(SUM(AE40:AE42))+ABS(SUM(AE43:AE45))+ABS(SUM(AE46:AE48))</f>
        <v>0</v>
      </c>
      <c r="AF49" s="121">
        <f>IF(AE49+AE59=0,0,IF(AE49=AE59,1,IF(AE49&gt;AE59,2,0)))</f>
        <v>0</v>
      </c>
      <c r="AG49" s="211">
        <f>ABS(SUM(AG37:AG39))+ABS(SUM(AG40:AG42))+ABS(SUM(AG43:AG45))+ABS(SUM(AG46:AG48))</f>
        <v>0</v>
      </c>
      <c r="AH49" s="121">
        <f>IF(AG49+AG59=0,0,IF(AG49=AG59,1,IF(AG49&gt;AG59,2,0)))</f>
        <v>0</v>
      </c>
      <c r="AI49" s="211">
        <f>ABS(SUM(AI37:AI39))+ABS(SUM(AI40:AI42))+ABS(SUM(AI43:AI45))+ABS(SUM(AI46:AI48))</f>
        <v>0</v>
      </c>
      <c r="AJ49" s="121">
        <f>IF(AI49+AI59=0,0,IF(AI49=AI59,1,IF(AI49&gt;AI59,2,0)))</f>
        <v>0</v>
      </c>
      <c r="AK49" s="211">
        <f>ABS(SUM(AK37:AK39))+ABS(SUM(AK40:AK42))+ABS(SUM(AK43:AK45))+ABS(SUM(AK46:AK48))</f>
        <v>0</v>
      </c>
      <c r="AL49" s="121">
        <f>IF(AK49+AK59=0,0,IF(AK49=AK59,1,IF(AK49&gt;AK59,2,0)))</f>
        <v>0</v>
      </c>
      <c r="AM49" s="211">
        <f>ABS(SUM(AM37:AM39))+ABS(SUM(AM40:AM42))+ABS(SUM(AM43:AM45))+ABS(SUM(AM46:AM48))</f>
        <v>0</v>
      </c>
      <c r="AN49" s="121">
        <f>IF(AM49+AM59=0,0,IF(AM49=AM59,1,IF(AM49&gt;AM59,2,0)))</f>
        <v>0</v>
      </c>
      <c r="AO49" s="211">
        <f>ABS(SUM(AO37:AO39))+ABS(SUM(AO40:AO42))+ABS(SUM(AO43:AO45))+ABS(SUM(AO46:AO48))</f>
        <v>0</v>
      </c>
      <c r="AP49" s="121">
        <f>IF(AO49+AO59=0,0,IF(AO49=AO59,1,IF(AO49&gt;AO59,2,0)))</f>
        <v>0</v>
      </c>
      <c r="AQ49" s="211">
        <f>ABS(SUM(AQ37:AQ39))+ABS(SUM(AQ40:AQ42))+ABS(SUM(AQ43:AQ45))+ABS(SUM(AQ46:AQ48))</f>
        <v>0</v>
      </c>
      <c r="AR49" s="121">
        <f>IF(AQ49+AQ59=0,0,IF(AQ49=AQ59,1,IF(AQ49&gt;AQ59,2,0)))</f>
        <v>0</v>
      </c>
      <c r="AS49" s="211">
        <f>ABS(SUM(AS37:AS39))+ABS(SUM(AS40:AS42))+ABS(SUM(AS43:AS45))+ABS(SUM(AS46:AS48))</f>
        <v>0</v>
      </c>
      <c r="AT49" s="121">
        <f>IF(AS49+AS59=0,0,IF(AS49=AS59,1,IF(AS49&gt;AS59,2,0)))</f>
        <v>0</v>
      </c>
      <c r="AU49" s="122">
        <f>SUM(AC49+AE49+AG49+AI49+AK49+AM49+AO49+AQ49+AS49)</f>
        <v>0</v>
      </c>
      <c r="AV49" s="123">
        <f>SUM(AD49+AF49+AH49+AJ49+AL49+AN49+AP49+AR49+AT49)</f>
        <v>0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4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0</v>
      </c>
      <c r="F50" s="86" t="str">
        <f t="shared" si="34"/>
        <v/>
      </c>
      <c r="G50" s="87">
        <f>IF(AF50="","",AF50)</f>
        <v>0</v>
      </c>
      <c r="H50" s="86" t="str">
        <f t="shared" si="35"/>
        <v/>
      </c>
      <c r="I50" s="87">
        <f>IF(AH50="","",AH50)</f>
        <v>0</v>
      </c>
      <c r="J50" s="86" t="str">
        <f t="shared" si="36"/>
        <v/>
      </c>
      <c r="K50" s="87">
        <f>IF(AJ50="","",AJ50)</f>
        <v>0</v>
      </c>
      <c r="L50" s="86" t="str">
        <f t="shared" si="37"/>
        <v/>
      </c>
      <c r="M50" s="87">
        <f>IF(AL50="","",AL50)</f>
        <v>0</v>
      </c>
      <c r="N50" s="86" t="str">
        <f t="shared" si="54"/>
        <v/>
      </c>
      <c r="O50" s="87">
        <f>IF(AN50="","",AN50)</f>
        <v>0</v>
      </c>
      <c r="P50" s="86" t="str">
        <f t="shared" si="38"/>
        <v/>
      </c>
      <c r="Q50" s="87">
        <f>IF(AP50="","",AP50)</f>
        <v>0</v>
      </c>
      <c r="R50" s="86" t="str">
        <f t="shared" si="39"/>
        <v/>
      </c>
      <c r="S50" s="87">
        <f>IF(AR50="","",AR50)</f>
        <v>0</v>
      </c>
      <c r="T50" s="86" t="str">
        <f t="shared" si="40"/>
        <v/>
      </c>
      <c r="U50" s="87">
        <f>IF(AT50="","",AT50)</f>
        <v>0</v>
      </c>
      <c r="V50" s="86" t="str">
        <f t="shared" si="41"/>
        <v/>
      </c>
      <c r="W50" s="87">
        <f>IF(AV50="","",AV50)</f>
        <v>0</v>
      </c>
      <c r="AA50" s="85" t="s">
        <v>1814</v>
      </c>
      <c r="AB50" s="86"/>
      <c r="AC50" s="86"/>
      <c r="AD50" s="124">
        <f>SUM(AD37:AD49)</f>
        <v>0</v>
      </c>
      <c r="AE50" s="86"/>
      <c r="AF50" s="124">
        <f>SUM(AF37:AF49)</f>
        <v>0</v>
      </c>
      <c r="AG50" s="86"/>
      <c r="AH50" s="124">
        <f>SUM(AH37:AH49)</f>
        <v>0</v>
      </c>
      <c r="AI50" s="86"/>
      <c r="AJ50" s="124">
        <f>SUM(AJ37:AJ49)</f>
        <v>0</v>
      </c>
      <c r="AK50" s="86"/>
      <c r="AL50" s="124">
        <f>SUM(AL37:AL49)</f>
        <v>0</v>
      </c>
      <c r="AM50" s="86"/>
      <c r="AN50" s="124">
        <f>SUM(AN37:AN49)</f>
        <v>0</v>
      </c>
      <c r="AO50" s="86"/>
      <c r="AP50" s="124">
        <f>SUM(AP37:AP49)</f>
        <v>0</v>
      </c>
      <c r="AQ50" s="86"/>
      <c r="AR50" s="124">
        <f>SUM(AR37:AR49)</f>
        <v>0</v>
      </c>
      <c r="AS50" s="86"/>
      <c r="AT50" s="124">
        <f>SUM(AT37:AT49)</f>
        <v>0</v>
      </c>
      <c r="AU50" s="86"/>
      <c r="AV50" s="125">
        <f>SUM(AV37:AV49)</f>
        <v>0</v>
      </c>
      <c r="AW50" s="101"/>
      <c r="AX50" s="102"/>
      <c r="BA50" s="212">
        <f>+AV50</f>
        <v>0</v>
      </c>
      <c r="BB50" s="213">
        <f>+AU49</f>
        <v>0</v>
      </c>
      <c r="BC50" s="214">
        <f>+AA32</f>
        <v>2</v>
      </c>
      <c r="BF50" s="215">
        <f>SUM(BF31:BF49)</f>
        <v>0</v>
      </c>
      <c r="BQ50" s="212">
        <f>+BB50/1000000+BA50</f>
        <v>0</v>
      </c>
      <c r="BR50" s="214">
        <f>RANK(BQ50,BQ:BQ)</f>
        <v>1</v>
      </c>
      <c r="BV50" s="214"/>
      <c r="BZ50" s="214"/>
    </row>
    <row r="51" spans="1:78" ht="11.25" customHeight="1" x14ac:dyDescent="0.3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35">
      <c r="B52" s="88" t="str">
        <f t="shared" ref="B52:Q52" si="65">IF(AA52=0,"",AA52)</f>
        <v>Gegner-Nr.:</v>
      </c>
      <c r="C52" s="89" t="str">
        <f t="shared" si="65"/>
        <v>&gt;&gt;&gt;&gt;</v>
      </c>
      <c r="D52" s="346">
        <f t="shared" si="65"/>
        <v>5</v>
      </c>
      <c r="E52" s="346" t="str">
        <f t="shared" si="65"/>
        <v/>
      </c>
      <c r="F52" s="346">
        <f t="shared" si="65"/>
        <v>4</v>
      </c>
      <c r="G52" s="346" t="str">
        <f t="shared" si="65"/>
        <v/>
      </c>
      <c r="H52" s="346">
        <f t="shared" si="65"/>
        <v>8</v>
      </c>
      <c r="I52" s="346" t="str">
        <f t="shared" si="65"/>
        <v/>
      </c>
      <c r="J52" s="346">
        <f t="shared" si="65"/>
        <v>7</v>
      </c>
      <c r="K52" s="346" t="str">
        <f t="shared" si="65"/>
        <v/>
      </c>
      <c r="L52" s="346">
        <f t="shared" si="65"/>
        <v>6</v>
      </c>
      <c r="M52" s="346" t="str">
        <f t="shared" si="65"/>
        <v/>
      </c>
      <c r="N52" s="346">
        <f t="shared" si="65"/>
        <v>10</v>
      </c>
      <c r="O52" s="346" t="str">
        <f t="shared" si="65"/>
        <v/>
      </c>
      <c r="P52" s="346">
        <f t="shared" si="65"/>
        <v>3</v>
      </c>
      <c r="Q52" s="346" t="str">
        <f t="shared" si="65"/>
        <v/>
      </c>
      <c r="R52" s="346">
        <f t="shared" ref="L52:U54" si="66">IF(AQ52=0,"",AQ52)</f>
        <v>9</v>
      </c>
      <c r="S52" s="346" t="str">
        <f t="shared" si="66"/>
        <v/>
      </c>
      <c r="T52" s="346">
        <f t="shared" si="66"/>
        <v>1</v>
      </c>
      <c r="U52" s="346" t="str">
        <f t="shared" si="66"/>
        <v/>
      </c>
      <c r="V52" s="347"/>
      <c r="W52" s="347"/>
      <c r="AA52" s="88" t="s">
        <v>1797</v>
      </c>
      <c r="AB52" s="89" t="s">
        <v>1798</v>
      </c>
      <c r="AC52" s="370">
        <f>VLOOKUP($AA32,Schlüssel!$A$5:$DG$14,103)</f>
        <v>5</v>
      </c>
      <c r="AD52" s="371"/>
      <c r="AE52" s="370">
        <f>VLOOKUP($AA32,Schlüssel!$A$5:$EK$14,104)</f>
        <v>4</v>
      </c>
      <c r="AF52" s="371"/>
      <c r="AG52" s="370">
        <f>VLOOKUP($AA32,Schlüssel!$A$5:$EK$14,105)</f>
        <v>8</v>
      </c>
      <c r="AH52" s="371"/>
      <c r="AI52" s="370">
        <f>VLOOKUP($AA32,Schlüssel!$A$5:$EK$14,106)</f>
        <v>7</v>
      </c>
      <c r="AJ52" s="371"/>
      <c r="AK52" s="370">
        <f>VLOOKUP($AA32,Schlüssel!$A$5:$EK$14,107)</f>
        <v>6</v>
      </c>
      <c r="AL52" s="371"/>
      <c r="AM52" s="370">
        <f>VLOOKUP($AA32,Schlüssel!$A$5:$EK$14,108)</f>
        <v>10</v>
      </c>
      <c r="AN52" s="371"/>
      <c r="AO52" s="370">
        <f>VLOOKUP($AA32,Schlüssel!$A$5:$EK$14,109)</f>
        <v>3</v>
      </c>
      <c r="AP52" s="371"/>
      <c r="AQ52" s="370">
        <f>VLOOKUP($AA32,Schlüssel!$A$5:$EK$14,110)</f>
        <v>9</v>
      </c>
      <c r="AR52" s="371"/>
      <c r="AS52" s="370">
        <f>VLOOKUP($AA32,Schlüssel!$A$5:$EK$14,111)</f>
        <v>1</v>
      </c>
      <c r="AT52" s="371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35">
      <c r="B53" s="90" t="str">
        <f t="shared" ref="B53:K54" si="67">IF(AA53=0,"",AA53)</f>
        <v/>
      </c>
      <c r="C53" s="86" t="str">
        <f t="shared" si="67"/>
        <v/>
      </c>
      <c r="D53" s="343" t="str">
        <f t="shared" si="67"/>
        <v xml:space="preserve">Weiß Blau Unterföhring </v>
      </c>
      <c r="E53" s="344" t="str">
        <f t="shared" si="67"/>
        <v/>
      </c>
      <c r="F53" s="343" t="str">
        <f t="shared" si="67"/>
        <v>BK München 3</v>
      </c>
      <c r="G53" s="344" t="str">
        <f t="shared" si="67"/>
        <v/>
      </c>
      <c r="H53" s="343" t="str">
        <f t="shared" si="67"/>
        <v>EPA München 1</v>
      </c>
      <c r="I53" s="344" t="str">
        <f t="shared" si="67"/>
        <v/>
      </c>
      <c r="J53" s="343" t="str">
        <f t="shared" si="67"/>
        <v>Frankenpower Nürnberg</v>
      </c>
      <c r="K53" s="344" t="str">
        <f t="shared" si="67"/>
        <v/>
      </c>
      <c r="L53" s="343" t="str">
        <f t="shared" si="66"/>
        <v>Phönix 03 Lauf</v>
      </c>
      <c r="M53" s="344" t="str">
        <f t="shared" si="66"/>
        <v/>
      </c>
      <c r="N53" s="343" t="str">
        <f t="shared" si="66"/>
        <v>BK München 4</v>
      </c>
      <c r="O53" s="344" t="str">
        <f t="shared" si="66"/>
        <v/>
      </c>
      <c r="P53" s="343" t="str">
        <f t="shared" si="66"/>
        <v>Highroller Rosenheim</v>
      </c>
      <c r="Q53" s="344" t="str">
        <f t="shared" si="66"/>
        <v/>
      </c>
      <c r="R53" s="343" t="str">
        <f t="shared" si="66"/>
        <v>RW Lichtenhof 69 Stein 2</v>
      </c>
      <c r="S53" s="344" t="str">
        <f t="shared" si="66"/>
        <v/>
      </c>
      <c r="T53" s="343" t="str">
        <f t="shared" si="66"/>
        <v>Praetoria Regensburg</v>
      </c>
      <c r="U53" s="344" t="str">
        <f t="shared" si="66"/>
        <v/>
      </c>
      <c r="V53" s="345"/>
      <c r="W53" s="345"/>
      <c r="AA53" s="90"/>
      <c r="AB53" s="86"/>
      <c r="AC53" s="343" t="str">
        <f>VLOOKUP(AC52,Schlüssel!$A$5:$K$14,2)</f>
        <v xml:space="preserve">Weiß Blau Unterföhring </v>
      </c>
      <c r="AD53" s="344"/>
      <c r="AE53" s="343" t="str">
        <f>VLOOKUP(AE52,Schlüssel!$A$5:$K$14,2)</f>
        <v>BK München 3</v>
      </c>
      <c r="AF53" s="344"/>
      <c r="AG53" s="343" t="str">
        <f>VLOOKUP(AG52,Schlüssel!$A$5:$K$14,2)</f>
        <v>EPA München 1</v>
      </c>
      <c r="AH53" s="344"/>
      <c r="AI53" s="343" t="str">
        <f>VLOOKUP(AI52,Schlüssel!$A$5:$K$14,2)</f>
        <v>Frankenpower Nürnberg</v>
      </c>
      <c r="AJ53" s="344"/>
      <c r="AK53" s="343" t="str">
        <f>VLOOKUP(AK52,Schlüssel!$A$5:$K$14,2)</f>
        <v>Phönix 03 Lauf</v>
      </c>
      <c r="AL53" s="344"/>
      <c r="AM53" s="343" t="str">
        <f>VLOOKUP(AM52,Schlüssel!$A$5:$K$14,2)</f>
        <v>BK München 4</v>
      </c>
      <c r="AN53" s="344"/>
      <c r="AO53" s="343" t="str">
        <f>VLOOKUP(AO52,Schlüssel!$A$5:$K$14,2)</f>
        <v>Highroller Rosenheim</v>
      </c>
      <c r="AP53" s="344"/>
      <c r="AQ53" s="343" t="str">
        <f>VLOOKUP(AQ52,Schlüssel!$A$5:$K$14,2)</f>
        <v>RW Lichtenhof 69 Stein 2</v>
      </c>
      <c r="AR53" s="344"/>
      <c r="AS53" s="343" t="str">
        <f>VLOOKUP(AS52,Schlüssel!$A$5:$K$14,2)</f>
        <v>Praetoria Regensburg</v>
      </c>
      <c r="AT53" s="344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35">
      <c r="B54" s="90" t="str">
        <f t="shared" si="67"/>
        <v/>
      </c>
      <c r="C54" s="86" t="str">
        <f t="shared" si="67"/>
        <v/>
      </c>
      <c r="D54" s="341" t="str">
        <f t="shared" si="67"/>
        <v/>
      </c>
      <c r="E54" s="341" t="str">
        <f t="shared" si="67"/>
        <v/>
      </c>
      <c r="F54" s="341" t="str">
        <f t="shared" si="67"/>
        <v/>
      </c>
      <c r="G54" s="341" t="str">
        <f t="shared" si="67"/>
        <v/>
      </c>
      <c r="H54" s="341" t="str">
        <f t="shared" si="67"/>
        <v/>
      </c>
      <c r="I54" s="341" t="str">
        <f t="shared" si="67"/>
        <v/>
      </c>
      <c r="J54" s="341" t="str">
        <f t="shared" si="67"/>
        <v/>
      </c>
      <c r="K54" s="341" t="str">
        <f t="shared" si="67"/>
        <v/>
      </c>
      <c r="L54" s="341" t="str">
        <f t="shared" si="66"/>
        <v/>
      </c>
      <c r="M54" s="341" t="str">
        <f t="shared" si="66"/>
        <v/>
      </c>
      <c r="N54" s="341" t="str">
        <f t="shared" si="66"/>
        <v/>
      </c>
      <c r="O54" s="341" t="str">
        <f t="shared" si="66"/>
        <v/>
      </c>
      <c r="P54" s="341" t="str">
        <f t="shared" si="66"/>
        <v/>
      </c>
      <c r="Q54" s="341" t="str">
        <f t="shared" si="66"/>
        <v/>
      </c>
      <c r="R54" s="341" t="str">
        <f t="shared" si="66"/>
        <v/>
      </c>
      <c r="S54" s="341" t="str">
        <f t="shared" si="66"/>
        <v/>
      </c>
      <c r="T54" s="341" t="str">
        <f t="shared" si="66"/>
        <v/>
      </c>
      <c r="U54" s="342" t="str">
        <f t="shared" si="66"/>
        <v/>
      </c>
      <c r="V54" s="301"/>
      <c r="W54" s="301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6.05" customHeight="1" x14ac:dyDescent="0.35">
      <c r="B55" s="365" t="str">
        <f t="shared" ref="B55:C59" si="68">IF(AA55=0,"",AA55)</f>
        <v>Spieler 1</v>
      </c>
      <c r="C55" s="366" t="str">
        <f t="shared" si="68"/>
        <v/>
      </c>
      <c r="D55" s="339">
        <f>IF(AC55=301,"",AC55)</f>
        <v>0</v>
      </c>
      <c r="E55" s="339" t="str">
        <f>IF(AD55=0,"",AD55)</f>
        <v/>
      </c>
      <c r="F55" s="339">
        <f>IF(AE55=301,"",AE55)</f>
        <v>0</v>
      </c>
      <c r="G55" s="339" t="str">
        <f>IF(AF55=0,"",AF55)</f>
        <v/>
      </c>
      <c r="H55" s="339">
        <f>IF(AG55=301,"",AG55)</f>
        <v>0</v>
      </c>
      <c r="I55" s="339" t="str">
        <f>IF(AH55=0,"",AH55)</f>
        <v/>
      </c>
      <c r="J55" s="339">
        <f>IF(AI55=301,"",AI55)</f>
        <v>0</v>
      </c>
      <c r="K55" s="339" t="str">
        <f>IF(AJ55=0,"",AJ55)</f>
        <v/>
      </c>
      <c r="L55" s="339">
        <f>IF(AK55=301,"",AK55)</f>
        <v>0</v>
      </c>
      <c r="M55" s="339" t="str">
        <f>IF(AL55=0,"",AL55)</f>
        <v/>
      </c>
      <c r="N55" s="339">
        <f>IF(AM55=301,"",AM55)</f>
        <v>0</v>
      </c>
      <c r="O55" s="339" t="str">
        <f>IF(AN55=0,"",AN55)</f>
        <v/>
      </c>
      <c r="P55" s="339">
        <f>IF(AO55=301,"",AO55)</f>
        <v>0</v>
      </c>
      <c r="Q55" s="339" t="str">
        <f>IF(AP55=0,"",AP55)</f>
        <v/>
      </c>
      <c r="R55" s="339">
        <f>IF(AQ55=301,"",AQ55)</f>
        <v>0</v>
      </c>
      <c r="S55" s="339" t="str">
        <f>IF(AR55=0,"",AR55)</f>
        <v/>
      </c>
      <c r="T55" s="339">
        <f>IF(AS55=301,"",AS55)</f>
        <v>0</v>
      </c>
      <c r="U55" s="339" t="str">
        <f>IF(AT55=0,"",AT55)</f>
        <v/>
      </c>
      <c r="V55" s="340"/>
      <c r="W55" s="340"/>
      <c r="AA55" s="91" t="s">
        <v>0</v>
      </c>
      <c r="AB55" s="92"/>
      <c r="AC55" s="372">
        <f>ABS(INDEX(AC:AC,MATCH(AC52,$AA:$AA,0)+5)+INDEX(AC:AC,MATCH(AC52,$AA:$AA,0)+6)+INDEX(AC:AC,MATCH(AC52,$AA:$AA,0)+7))</f>
        <v>0</v>
      </c>
      <c r="AD55" s="373"/>
      <c r="AE55" s="372">
        <f>ABS(INDEX(AE:AE,MATCH(AE52,$AA:$AA,0)+5)+INDEX(AE:AE,MATCH(AE52,$AA:$AA,0)+6)+INDEX(AE:AE,MATCH(AE52,$AA:$AA,0)+7))</f>
        <v>0</v>
      </c>
      <c r="AF55" s="373"/>
      <c r="AG55" s="372">
        <f>ABS(INDEX(AG:AG,MATCH(AG52,$AA:$AA,0)+5)+INDEX(AG:AG,MATCH(AG52,$AA:$AA,0)+6)+INDEX(AG:AG,MATCH(AG52,$AA:$AA,0)+7))</f>
        <v>0</v>
      </c>
      <c r="AH55" s="373"/>
      <c r="AI55" s="372">
        <f>ABS(INDEX(AI:AI,MATCH(AI52,$AA:$AA,0)+5)+INDEX(AI:AI,MATCH(AI52,$AA:$AA,0)+6)+INDEX(AI:AI,MATCH(AI52,$AA:$AA,0)+7))</f>
        <v>0</v>
      </c>
      <c r="AJ55" s="373"/>
      <c r="AK55" s="372">
        <f>ABS(INDEX(AK:AK,MATCH(AK52,$AA:$AA,0)+5)+INDEX(AK:AK,MATCH(AK52,$AA:$AA,0)+6)+INDEX(AK:AK,MATCH(AK52,$AA:$AA,0)+7))</f>
        <v>0</v>
      </c>
      <c r="AL55" s="373"/>
      <c r="AM55" s="372">
        <f>ABS(INDEX(AM:AM,MATCH(AM52,$AA:$AA,0)+5)+INDEX(AM:AM,MATCH(AM52,$AA:$AA,0)+6)+INDEX(AM:AM,MATCH(AM52,$AA:$AA,0)+7))</f>
        <v>0</v>
      </c>
      <c r="AN55" s="373"/>
      <c r="AO55" s="372">
        <f>ABS(INDEX(AO:AO,MATCH(AO52,$AA:$AA,0)+5)+INDEX(AO:AO,MATCH(AO52,$AA:$AA,0)+6)+INDEX(AO:AO,MATCH(AO52,$AA:$AA,0)+7))</f>
        <v>0</v>
      </c>
      <c r="AP55" s="373"/>
      <c r="AQ55" s="372">
        <f>ABS(INDEX(AQ:AQ,MATCH(AQ52,$AA:$AA,0)+5)+INDEX(AQ:AQ,MATCH(AQ52,$AA:$AA,0)+6)+INDEX(AQ:AQ,MATCH(AQ52,$AA:$AA,0)+7))</f>
        <v>0</v>
      </c>
      <c r="AR55" s="373"/>
      <c r="AS55" s="372">
        <f>ABS(INDEX(AS:AS,MATCH(AS52,$AA:$AA,0)+5)+INDEX(AS:AS,MATCH(AS52,$AA:$AA,0)+6)+INDEX(AS:AS,MATCH(AS52,$AA:$AA,0)+7))</f>
        <v>0</v>
      </c>
      <c r="AT55" s="373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6.05" customHeight="1" x14ac:dyDescent="0.35">
      <c r="B56" s="365" t="str">
        <f t="shared" si="68"/>
        <v>Spieler 2</v>
      </c>
      <c r="C56" s="366" t="str">
        <f t="shared" si="68"/>
        <v/>
      </c>
      <c r="D56" s="339">
        <f>IF(AC56=301,"",AC56)</f>
        <v>0</v>
      </c>
      <c r="E56" s="339" t="str">
        <f>IF(AD56=0,"",AD56)</f>
        <v/>
      </c>
      <c r="F56" s="339">
        <f>IF(AE56=301,"",AE56)</f>
        <v>0</v>
      </c>
      <c r="G56" s="339" t="str">
        <f>IF(AF56=0,"",AF56)</f>
        <v/>
      </c>
      <c r="H56" s="339">
        <f>IF(AG56=301,"",AG56)</f>
        <v>0</v>
      </c>
      <c r="I56" s="339" t="str">
        <f>IF(AH56=0,"",AH56)</f>
        <v/>
      </c>
      <c r="J56" s="339">
        <f>IF(AI56=301,"",AI56)</f>
        <v>0</v>
      </c>
      <c r="K56" s="339" t="str">
        <f>IF(AJ56=0,"",AJ56)</f>
        <v/>
      </c>
      <c r="L56" s="339">
        <f>IF(AK56=301,"",AK56)</f>
        <v>0</v>
      </c>
      <c r="M56" s="339" t="str">
        <f>IF(AL56=0,"",AL56)</f>
        <v/>
      </c>
      <c r="N56" s="339">
        <f>IF(AM56=301,"",AM56)</f>
        <v>0</v>
      </c>
      <c r="O56" s="339" t="str">
        <f>IF(AN56=0,"",AN56)</f>
        <v/>
      </c>
      <c r="P56" s="339">
        <f>IF(AO56=301,"",AO56)</f>
        <v>0</v>
      </c>
      <c r="Q56" s="339" t="str">
        <f>IF(AP56=0,"",AP56)</f>
        <v/>
      </c>
      <c r="R56" s="339">
        <f>IF(AQ56=301,"",AQ56)</f>
        <v>0</v>
      </c>
      <c r="S56" s="339" t="str">
        <f>IF(AR56=0,"",AR56)</f>
        <v/>
      </c>
      <c r="T56" s="339">
        <f>IF(AS56=301,"",AS56)</f>
        <v>0</v>
      </c>
      <c r="U56" s="339" t="str">
        <f>IF(AT56=0,"",AT56)</f>
        <v/>
      </c>
      <c r="V56" s="340"/>
      <c r="W56" s="340"/>
      <c r="AA56" s="91" t="s">
        <v>2</v>
      </c>
      <c r="AB56" s="92"/>
      <c r="AC56" s="374">
        <f>ABS(INDEX(AC:AC,MATCH(AC52,$AA:$AA,0)+8)+INDEX(AC:AC,MATCH(AC52,$AA:$AA,0)+9)+INDEX(AC:AC,MATCH(AC52,$AA:$AA,0)+10))</f>
        <v>0</v>
      </c>
      <c r="AD56" s="375"/>
      <c r="AE56" s="374">
        <f>ABS(INDEX(AE:AE,MATCH(AE52,$AA:$AA,0)+8)+INDEX(AE:AE,MATCH(AE52,$AA:$AA,0)+9)+INDEX(AE:AE,MATCH(AE52,$AA:$AA,0)+10))</f>
        <v>0</v>
      </c>
      <c r="AF56" s="375"/>
      <c r="AG56" s="374">
        <f>ABS(INDEX(AG:AG,MATCH(AG52,$AA:$AA,0)+8)+INDEX(AG:AG,MATCH(AG52,$AA:$AA,0)+9)+INDEX(AG:AG,MATCH(AG52,$AA:$AA,0)+10))</f>
        <v>0</v>
      </c>
      <c r="AH56" s="375"/>
      <c r="AI56" s="374">
        <f>ABS(INDEX(AI:AI,MATCH(AI52,$AA:$AA,0)+8)+INDEX(AI:AI,MATCH(AI52,$AA:$AA,0)+9)+INDEX(AI:AI,MATCH(AI52,$AA:$AA,0)+10))</f>
        <v>0</v>
      </c>
      <c r="AJ56" s="375"/>
      <c r="AK56" s="374">
        <f>ABS(INDEX(AK:AK,MATCH(AK52,$AA:$AA,0)+8)+INDEX(AK:AK,MATCH(AK52,$AA:$AA,0)+9)+INDEX(AK:AK,MATCH(AK52,$AA:$AA,0)+10))</f>
        <v>0</v>
      </c>
      <c r="AL56" s="375"/>
      <c r="AM56" s="374">
        <f>ABS(INDEX(AM:AM,MATCH(AM52,$AA:$AA,0)+8)+INDEX(AM:AM,MATCH(AM52,$AA:$AA,0)+9)+INDEX(AM:AM,MATCH(AM52,$AA:$AA,0)+10))</f>
        <v>0</v>
      </c>
      <c r="AN56" s="375"/>
      <c r="AO56" s="374">
        <f>ABS(INDEX(AO:AO,MATCH(AO52,$AA:$AA,0)+8)+INDEX(AO:AO,MATCH(AO52,$AA:$AA,0)+9)+INDEX(AO:AO,MATCH(AO52,$AA:$AA,0)+10))</f>
        <v>0</v>
      </c>
      <c r="AP56" s="375"/>
      <c r="AQ56" s="374">
        <f>ABS(INDEX(AQ:AQ,MATCH(AQ52,$AA:$AA,0)+8)+INDEX(AQ:AQ,MATCH(AQ52,$AA:$AA,0)+9)+INDEX(AQ:AQ,MATCH(AQ52,$AA:$AA,0)+10))</f>
        <v>0</v>
      </c>
      <c r="AR56" s="375"/>
      <c r="AS56" s="374">
        <f>ABS(INDEX(AS:AS,MATCH(AS52,$AA:$AA,0)+8)+INDEX(AS:AS,MATCH(AS52,$AA:$AA,0)+9)+INDEX(AS:AS,MATCH(AS52,$AA:$AA,0)+10))</f>
        <v>0</v>
      </c>
      <c r="AT56" s="375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6.05" customHeight="1" x14ac:dyDescent="0.35">
      <c r="B57" s="365" t="str">
        <f t="shared" si="68"/>
        <v>Spieler 3</v>
      </c>
      <c r="C57" s="366" t="str">
        <f t="shared" si="68"/>
        <v/>
      </c>
      <c r="D57" s="339">
        <f>IF(AC57=301,"",AC57)</f>
        <v>0</v>
      </c>
      <c r="E57" s="339" t="str">
        <f>IF(AD57=0,"",AD57)</f>
        <v/>
      </c>
      <c r="F57" s="339">
        <f>IF(AE57=301,"",AE57)</f>
        <v>0</v>
      </c>
      <c r="G57" s="339" t="str">
        <f>IF(AF57=0,"",AF57)</f>
        <v/>
      </c>
      <c r="H57" s="339">
        <f>IF(AG57=301,"",AG57)</f>
        <v>0</v>
      </c>
      <c r="I57" s="339" t="str">
        <f>IF(AH57=0,"",AH57)</f>
        <v/>
      </c>
      <c r="J57" s="339">
        <f>IF(AI57=301,"",AI57)</f>
        <v>0</v>
      </c>
      <c r="K57" s="339" t="str">
        <f>IF(AJ57=0,"",AJ57)</f>
        <v/>
      </c>
      <c r="L57" s="339">
        <f>IF(AK57=301,"",AK57)</f>
        <v>0</v>
      </c>
      <c r="M57" s="339" t="str">
        <f>IF(AL57=0,"",AL57)</f>
        <v/>
      </c>
      <c r="N57" s="339">
        <f>IF(AM57=301,"",AM57)</f>
        <v>0</v>
      </c>
      <c r="O57" s="339" t="str">
        <f>IF(AN57=0,"",AN57)</f>
        <v/>
      </c>
      <c r="P57" s="339">
        <f>IF(AO57=301,"",AO57)</f>
        <v>0</v>
      </c>
      <c r="Q57" s="339" t="str">
        <f>IF(AP57=0,"",AP57)</f>
        <v/>
      </c>
      <c r="R57" s="339">
        <f>IF(AQ57=301,"",AQ57)</f>
        <v>0</v>
      </c>
      <c r="S57" s="339" t="str">
        <f>IF(AR57=0,"",AR57)</f>
        <v/>
      </c>
      <c r="T57" s="339">
        <f>IF(AS57=301,"",AS57)</f>
        <v>0</v>
      </c>
      <c r="U57" s="339" t="str">
        <f>IF(AT57=0,"",AT57)</f>
        <v/>
      </c>
      <c r="V57" s="340"/>
      <c r="W57" s="340"/>
      <c r="AA57" s="91" t="s">
        <v>3</v>
      </c>
      <c r="AB57" s="92"/>
      <c r="AC57" s="374">
        <f>ABS(INDEX(AC:AC,MATCH(AC52,$AA:$AA,0)+11)+INDEX(AC:AC,MATCH(AC52,$AA:$AA,0)+12)+INDEX(AC:AC,MATCH(AC52,$AA:$AA,0)+13))</f>
        <v>0</v>
      </c>
      <c r="AD57" s="375"/>
      <c r="AE57" s="374">
        <f>ABS(INDEX(AE:AE,MATCH(AE52,$AA:$AA,0)+11)+INDEX(AE:AE,MATCH(AE52,$AA:$AA,0)+12)+INDEX(AE:AE,MATCH(AE52,$AA:$AA,0)+13))</f>
        <v>0</v>
      </c>
      <c r="AF57" s="375"/>
      <c r="AG57" s="374">
        <f>ABS(INDEX(AG:AG,MATCH(AG52,$AA:$AA,0)+11)+INDEX(AG:AG,MATCH(AG52,$AA:$AA,0)+12)+INDEX(AG:AG,MATCH(AG52,$AA:$AA,0)+13))</f>
        <v>0</v>
      </c>
      <c r="AH57" s="375"/>
      <c r="AI57" s="374">
        <f>ABS(INDEX(AI:AI,MATCH(AI52,$AA:$AA,0)+11)+INDEX(AI:AI,MATCH(AI52,$AA:$AA,0)+12)+INDEX(AI:AI,MATCH(AI52,$AA:$AA,0)+13))</f>
        <v>0</v>
      </c>
      <c r="AJ57" s="375"/>
      <c r="AK57" s="374">
        <f>ABS(INDEX(AK:AK,MATCH(AK52,$AA:$AA,0)+11)+INDEX(AK:AK,MATCH(AK52,$AA:$AA,0)+12)+INDEX(AK:AK,MATCH(AK52,$AA:$AA,0)+13))</f>
        <v>0</v>
      </c>
      <c r="AL57" s="375"/>
      <c r="AM57" s="374">
        <f>ABS(INDEX(AM:AM,MATCH(AM52,$AA:$AA,0)+11)+INDEX(AM:AM,MATCH(AM52,$AA:$AA,0)+12)+INDEX(AM:AM,MATCH(AM52,$AA:$AA,0)+13))</f>
        <v>0</v>
      </c>
      <c r="AN57" s="375"/>
      <c r="AO57" s="374">
        <f>ABS(INDEX(AO:AO,MATCH(AO52,$AA:$AA,0)+11)+INDEX(AO:AO,MATCH(AO52,$AA:$AA,0)+12)+INDEX(AO:AO,MATCH(AO52,$AA:$AA,0)+13))</f>
        <v>0</v>
      </c>
      <c r="AP57" s="375"/>
      <c r="AQ57" s="374">
        <f>ABS(INDEX(AQ:AQ,MATCH(AQ52,$AA:$AA,0)+11)+INDEX(AQ:AQ,MATCH(AQ52,$AA:$AA,0)+12)+INDEX(AQ:AQ,MATCH(AQ52,$AA:$AA,0)+13))</f>
        <v>0</v>
      </c>
      <c r="AR57" s="375"/>
      <c r="AS57" s="374">
        <f>ABS(INDEX(AS:AS,MATCH(AS52,$AA:$AA,0)+11)+INDEX(AS:AS,MATCH(AS52,$AA:$AA,0)+12)+INDEX(AS:AS,MATCH(AS52,$AA:$AA,0)+13))</f>
        <v>0</v>
      </c>
      <c r="AT57" s="375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6.05" customHeight="1" x14ac:dyDescent="0.35">
      <c r="B58" s="365" t="str">
        <f t="shared" si="68"/>
        <v>Spieler 4</v>
      </c>
      <c r="C58" s="366" t="str">
        <f t="shared" si="68"/>
        <v/>
      </c>
      <c r="D58" s="339">
        <f>IF(AC58=301,"",AC58)</f>
        <v>0</v>
      </c>
      <c r="E58" s="339" t="str">
        <f>IF(AD58=0,"",AD58)</f>
        <v/>
      </c>
      <c r="F58" s="339">
        <f>IF(AE58=301,"",AE58)</f>
        <v>0</v>
      </c>
      <c r="G58" s="339" t="str">
        <f>IF(AF58=0,"",AF58)</f>
        <v/>
      </c>
      <c r="H58" s="339">
        <f>IF(AG58=301,"",AG58)</f>
        <v>0</v>
      </c>
      <c r="I58" s="339" t="str">
        <f>IF(AH58=0,"",AH58)</f>
        <v/>
      </c>
      <c r="J58" s="339">
        <f>IF(AI58=301,"",AI58)</f>
        <v>0</v>
      </c>
      <c r="K58" s="339" t="str">
        <f>IF(AJ58=0,"",AJ58)</f>
        <v/>
      </c>
      <c r="L58" s="339">
        <f>IF(AK58=301,"",AK58)</f>
        <v>0</v>
      </c>
      <c r="M58" s="339" t="str">
        <f>IF(AL58=0,"",AL58)</f>
        <v/>
      </c>
      <c r="N58" s="339">
        <f>IF(AM58=301,"",AM58)</f>
        <v>0</v>
      </c>
      <c r="O58" s="339" t="str">
        <f>IF(AN58=0,"",AN58)</f>
        <v/>
      </c>
      <c r="P58" s="339">
        <f>IF(AO58=301,"",AO58)</f>
        <v>0</v>
      </c>
      <c r="Q58" s="339" t="str">
        <f>IF(AP58=0,"",AP58)</f>
        <v/>
      </c>
      <c r="R58" s="339">
        <f>IF(AQ58=301,"",AQ58)</f>
        <v>0</v>
      </c>
      <c r="S58" s="339" t="str">
        <f>IF(AR58=0,"",AR58)</f>
        <v/>
      </c>
      <c r="T58" s="339">
        <f>IF(AS58=301,"",AS58)</f>
        <v>0</v>
      </c>
      <c r="U58" s="339" t="str">
        <f>IF(AT58=0,"",AT58)</f>
        <v/>
      </c>
      <c r="V58" s="340"/>
      <c r="W58" s="340"/>
      <c r="AA58" s="91" t="s">
        <v>11</v>
      </c>
      <c r="AB58" s="92"/>
      <c r="AC58" s="374">
        <f>ABS(INDEX(AC:AC,MATCH(AC52,$AA:$AA,0)+14)+INDEX(AC:AC,MATCH(AC52,$AA:$AA,0)+15)+INDEX(AC:AC,MATCH(AC52,$AA:$AA,0)+16))</f>
        <v>0</v>
      </c>
      <c r="AD58" s="375"/>
      <c r="AE58" s="374">
        <f>ABS(INDEX(AE:AE,MATCH(AE52,$AA:$AA,0)+14)+INDEX(AE:AE,MATCH(AE52,$AA:$AA,0)+15)+INDEX(AE:AE,MATCH(AE52,$AA:$AA,0)+16))</f>
        <v>0</v>
      </c>
      <c r="AF58" s="375"/>
      <c r="AG58" s="374">
        <f>ABS(INDEX(AG:AG,MATCH(AG52,$AA:$AA,0)+14)+INDEX(AG:AG,MATCH(AG52,$AA:$AA,0)+15)+INDEX(AG:AG,MATCH(AG52,$AA:$AA,0)+16))</f>
        <v>0</v>
      </c>
      <c r="AH58" s="375"/>
      <c r="AI58" s="374">
        <f>ABS(INDEX(AI:AI,MATCH(AI52,$AA:$AA,0)+14)+INDEX(AI:AI,MATCH(AI52,$AA:$AA,0)+15)+INDEX(AI:AI,MATCH(AI52,$AA:$AA,0)+16))</f>
        <v>0</v>
      </c>
      <c r="AJ58" s="375"/>
      <c r="AK58" s="374">
        <f>ABS(INDEX(AK:AK,MATCH(AK52,$AA:$AA,0)+14)+INDEX(AK:AK,MATCH(AK52,$AA:$AA,0)+15)+INDEX(AK:AK,MATCH(AK52,$AA:$AA,0)+16))</f>
        <v>0</v>
      </c>
      <c r="AL58" s="375"/>
      <c r="AM58" s="374">
        <f>ABS(INDEX(AM:AM,MATCH(AM52,$AA:$AA,0)+14)+INDEX(AM:AM,MATCH(AM52,$AA:$AA,0)+15)+INDEX(AM:AM,MATCH(AM52,$AA:$AA,0)+16))</f>
        <v>0</v>
      </c>
      <c r="AN58" s="375"/>
      <c r="AO58" s="374">
        <f>ABS(INDEX(AO:AO,MATCH(AO52,$AA:$AA,0)+14)+INDEX(AO:AO,MATCH(AO52,$AA:$AA,0)+15)+INDEX(AO:AO,MATCH(AO52,$AA:$AA,0)+16))</f>
        <v>0</v>
      </c>
      <c r="AP58" s="375"/>
      <c r="AQ58" s="374">
        <f>ABS(INDEX(AQ:AQ,MATCH(AQ52,$AA:$AA,0)+14)+INDEX(AQ:AQ,MATCH(AQ52,$AA:$AA,0)+15)+INDEX(AQ:AQ,MATCH(AQ52,$AA:$AA,0)+16))</f>
        <v>0</v>
      </c>
      <c r="AR58" s="375"/>
      <c r="AS58" s="374">
        <f>ABS(INDEX(AS:AS,MATCH(AS52,$AA:$AA,0)+14)+INDEX(AS:AS,MATCH(AS52,$AA:$AA,0)+15)+INDEX(AS:AS,MATCH(AS52,$AA:$AA,0)+16))</f>
        <v>0</v>
      </c>
      <c r="AT58" s="375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6.05" customHeight="1" x14ac:dyDescent="0.35">
      <c r="B59" s="354" t="str">
        <f t="shared" si="68"/>
        <v>Gesamt</v>
      </c>
      <c r="C59" s="355" t="str">
        <f t="shared" si="68"/>
        <v/>
      </c>
      <c r="D59" s="338">
        <f>IF(AC59=1505,"",AC59)</f>
        <v>0</v>
      </c>
      <c r="E59" s="338" t="str">
        <f>IF(AD59=0,"",AD59)</f>
        <v/>
      </c>
      <c r="F59" s="338">
        <f>IF(AE59=1505,"",AE59)</f>
        <v>0</v>
      </c>
      <c r="G59" s="338" t="str">
        <f>IF(AF59=0,"",AF59)</f>
        <v/>
      </c>
      <c r="H59" s="338">
        <f>IF(AG59=1505,"",AG59)</f>
        <v>0</v>
      </c>
      <c r="I59" s="338" t="str">
        <f>IF(AH59=0,"",AH59)</f>
        <v/>
      </c>
      <c r="J59" s="338">
        <f>IF(AI59=1505,"",AI59)</f>
        <v>0</v>
      </c>
      <c r="K59" s="338" t="str">
        <f>IF(AJ59=0,"",AJ59)</f>
        <v/>
      </c>
      <c r="L59" s="338">
        <f>IF(AK59=1505,"",AK59)</f>
        <v>0</v>
      </c>
      <c r="M59" s="338" t="str">
        <f>IF(AL59=0,"",AL59)</f>
        <v/>
      </c>
      <c r="N59" s="338">
        <f>IF(AM59=1505,"",AM59)</f>
        <v>0</v>
      </c>
      <c r="O59" s="338" t="str">
        <f>IF(AN59=0,"",AN59)</f>
        <v/>
      </c>
      <c r="P59" s="338">
        <f>IF(AO59=1505,"",AO59)</f>
        <v>0</v>
      </c>
      <c r="Q59" s="338" t="str">
        <f>IF(AP59=0,"",AP59)</f>
        <v/>
      </c>
      <c r="R59" s="338">
        <f>IF(AQ59=1505,"",AQ59)</f>
        <v>0</v>
      </c>
      <c r="S59" s="338" t="str">
        <f>IF(AR59=0,"",AR59)</f>
        <v/>
      </c>
      <c r="T59" s="338">
        <f>IF(AS59=1505,"",AS59)</f>
        <v>0</v>
      </c>
      <c r="U59" s="338" t="str">
        <f>IF(AT59=0,"",AT59)</f>
        <v/>
      </c>
      <c r="V59" s="290"/>
      <c r="W59" s="290"/>
      <c r="AA59" s="93" t="s">
        <v>1799</v>
      </c>
      <c r="AB59" s="94"/>
      <c r="AC59" s="354">
        <f>SUM(AC55:AC58)</f>
        <v>0</v>
      </c>
      <c r="AD59" s="355"/>
      <c r="AE59" s="354">
        <f>SUM(AE55:AE58)</f>
        <v>0</v>
      </c>
      <c r="AF59" s="355"/>
      <c r="AG59" s="354">
        <f>SUM(AG55:AG58)</f>
        <v>0</v>
      </c>
      <c r="AH59" s="355"/>
      <c r="AI59" s="354">
        <f>SUM(AI55:AI58)</f>
        <v>0</v>
      </c>
      <c r="AJ59" s="355"/>
      <c r="AK59" s="354">
        <f>SUM(AK55:AK58)</f>
        <v>0</v>
      </c>
      <c r="AL59" s="355"/>
      <c r="AM59" s="354">
        <f>SUM(AM55:AM58)</f>
        <v>0</v>
      </c>
      <c r="AN59" s="355"/>
      <c r="AO59" s="354">
        <f>SUM(AO55:AO58)</f>
        <v>0</v>
      </c>
      <c r="AP59" s="355"/>
      <c r="AQ59" s="354">
        <f>SUM(AQ55:AQ58)</f>
        <v>0</v>
      </c>
      <c r="AR59" s="355"/>
      <c r="AS59" s="354">
        <f>SUM(AS55:AS58)</f>
        <v>0</v>
      </c>
      <c r="AT59" s="355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3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7">
      <c r="B61" s="44" t="str">
        <f>AA61</f>
        <v>Team-Nr.</v>
      </c>
      <c r="C61" s="45"/>
      <c r="D61" s="44" t="str">
        <f>AC61</f>
        <v>Liga:</v>
      </c>
      <c r="E61" s="47"/>
      <c r="F61" s="359" t="str">
        <f>AE61</f>
        <v>Bayernliga Frauen</v>
      </c>
      <c r="G61" s="359"/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48"/>
      <c r="S61" s="49" t="s">
        <v>1794</v>
      </c>
      <c r="T61" s="50"/>
      <c r="U61" s="360" t="str">
        <f>AT61</f>
        <v>05.04./06.04.</v>
      </c>
      <c r="V61" s="361"/>
      <c r="W61" s="362"/>
      <c r="X61" s="363"/>
      <c r="Y61" s="364"/>
      <c r="Z61" s="364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60" t="str">
        <f>VLOOKUP(AS62,Spielorte!$A$1:$C$6,2)</f>
        <v>05.04./06.04.</v>
      </c>
      <c r="AU61" s="361"/>
      <c r="AV61" s="362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65">
      <c r="B62" s="53">
        <f>AA62</f>
        <v>3</v>
      </c>
      <c r="D62" s="46" t="s">
        <v>1793</v>
      </c>
      <c r="E62" s="54"/>
      <c r="F62" s="358" t="str">
        <f>AE62</f>
        <v>Schweinfurt Extreme Bowlingarena</v>
      </c>
      <c r="G62" s="358"/>
      <c r="H62" s="358"/>
      <c r="I62" s="358"/>
      <c r="J62" s="358"/>
      <c r="K62" s="358"/>
      <c r="L62" s="358"/>
      <c r="M62" s="358"/>
      <c r="N62" s="358"/>
      <c r="O62" s="358"/>
      <c r="P62" s="55"/>
      <c r="Q62" s="55"/>
      <c r="S62" s="49" t="s">
        <v>1791</v>
      </c>
      <c r="T62" s="56">
        <f>AS62</f>
        <v>6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Schweinfurt Extreme Bowlingarena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6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4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5" thickBot="1" x14ac:dyDescent="0.45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VLOOKUP(AA62,Schlüssel!$A$5:$DZ$14,113)</f>
        <v>7</v>
      </c>
      <c r="AE64" s="65" t="s">
        <v>10</v>
      </c>
      <c r="AF64" s="44">
        <f>VLOOKUP(AA62,Schlüssel!$A$5:$DZ$14,114)</f>
        <v>2</v>
      </c>
      <c r="AG64" s="65" t="s">
        <v>10</v>
      </c>
      <c r="AH64" s="44">
        <f>VLOOKUP(AA62,Schlüssel!$A$5:$DZ$14,115)</f>
        <v>3</v>
      </c>
      <c r="AI64" s="65" t="s">
        <v>10</v>
      </c>
      <c r="AJ64" s="44">
        <f>VLOOKUP(AA62,Schlüssel!$A$5:$DZ$14,116)</f>
        <v>8</v>
      </c>
      <c r="AK64" s="65" t="s">
        <v>10</v>
      </c>
      <c r="AL64" s="44">
        <f>VLOOKUP(AA62,Schlüssel!$A$5:$DZ$14,117)</f>
        <v>6</v>
      </c>
      <c r="AM64" s="65" t="s">
        <v>10</v>
      </c>
      <c r="AN64" s="44">
        <f>VLOOKUP(AA62,Schlüssel!$A$5:$DZ$14,118)</f>
        <v>10</v>
      </c>
      <c r="AO64" s="65" t="s">
        <v>10</v>
      </c>
      <c r="AP64" s="44">
        <f>VLOOKUP(AA62,Schlüssel!$A$5:$DZ$14,119)</f>
        <v>4</v>
      </c>
      <c r="AQ64" s="65" t="s">
        <v>10</v>
      </c>
      <c r="AR64" s="44">
        <f>VLOOKUP(AA62,Schlüssel!$A$5:$DZ$14,120)</f>
        <v>1</v>
      </c>
      <c r="AS64" s="65" t="s">
        <v>10</v>
      </c>
      <c r="AT64" s="44">
        <f>VLOOKUP(AA62,Schlüssel!$A$5:$DZ$14,121)</f>
        <v>9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35">
      <c r="B65" s="67" t="s">
        <v>1</v>
      </c>
      <c r="C65" s="68"/>
      <c r="D65" s="354" t="s">
        <v>1800</v>
      </c>
      <c r="E65" s="355"/>
      <c r="F65" s="354" t="s">
        <v>1801</v>
      </c>
      <c r="G65" s="355"/>
      <c r="H65" s="354" t="s">
        <v>1802</v>
      </c>
      <c r="I65" s="355"/>
      <c r="J65" s="354" t="s">
        <v>1803</v>
      </c>
      <c r="K65" s="355"/>
      <c r="L65" s="354" t="s">
        <v>1804</v>
      </c>
      <c r="M65" s="355"/>
      <c r="N65" s="354" t="s">
        <v>1805</v>
      </c>
      <c r="O65" s="355"/>
      <c r="P65" s="354" t="s">
        <v>1806</v>
      </c>
      <c r="Q65" s="355"/>
      <c r="R65" s="354" t="s">
        <v>1807</v>
      </c>
      <c r="S65" s="355"/>
      <c r="T65" s="354" t="s">
        <v>1808</v>
      </c>
      <c r="U65" s="355"/>
      <c r="V65" s="356" t="s">
        <v>1799</v>
      </c>
      <c r="W65" s="357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4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2" customHeight="1" x14ac:dyDescent="0.35">
      <c r="A67" s="367" t="s">
        <v>0</v>
      </c>
      <c r="B67" s="73" t="str">
        <f>IF(AA67=0,"",AA67)</f>
        <v/>
      </c>
      <c r="C67" s="74" t="str">
        <f>IF(AB67=0,"",AB67)</f>
        <v/>
      </c>
      <c r="D67" s="75" t="str">
        <f>IF(AC67=0,"",AC67)</f>
        <v/>
      </c>
      <c r="E67" s="348">
        <f>IF(AD67="","",AD67)</f>
        <v>0</v>
      </c>
      <c r="F67" s="75" t="str">
        <f t="shared" ref="F67:F80" si="69">IF(AE67=0,"",AE67)</f>
        <v/>
      </c>
      <c r="G67" s="348">
        <f>IF(AF67="","",AF67)</f>
        <v>0</v>
      </c>
      <c r="H67" s="75" t="str">
        <f t="shared" ref="H67:H80" si="70">IF(AG67=0,"",AG67)</f>
        <v/>
      </c>
      <c r="I67" s="348">
        <f>IF(AH67="","",AH67)</f>
        <v>0</v>
      </c>
      <c r="J67" s="75" t="str">
        <f t="shared" ref="J67:J80" si="71">IF(AI67=0,"",AI67)</f>
        <v/>
      </c>
      <c r="K67" s="348">
        <f>IF(AJ67="","",AJ67)</f>
        <v>0</v>
      </c>
      <c r="L67" s="75" t="str">
        <f t="shared" ref="L67:L80" si="72">IF(AK67=0,"",AK67)</f>
        <v/>
      </c>
      <c r="M67" s="348">
        <f>IF(AL67="","",AL67)</f>
        <v>0</v>
      </c>
      <c r="N67" s="75" t="str">
        <f>IF(AM67=0,"",AM67)</f>
        <v/>
      </c>
      <c r="O67" s="348">
        <f>IF(AN67="","",AN67)</f>
        <v>0</v>
      </c>
      <c r="P67" s="75" t="str">
        <f t="shared" ref="P67:P80" si="73">IF(AO67=0,"",AO67)</f>
        <v/>
      </c>
      <c r="Q67" s="348">
        <f>IF(AP67="","",AP67)</f>
        <v>0</v>
      </c>
      <c r="R67" s="75" t="str">
        <f t="shared" ref="R67:R80" si="74">IF(AQ67=0,"",AQ67)</f>
        <v/>
      </c>
      <c r="S67" s="348">
        <f>IF(AR67="","",AR67)</f>
        <v>0</v>
      </c>
      <c r="T67" s="75" t="str">
        <f t="shared" ref="T67:T80" si="75">IF(AS67=0,"",AS67)</f>
        <v/>
      </c>
      <c r="U67" s="348">
        <f>IF(AT67="","",AT67)</f>
        <v>0</v>
      </c>
      <c r="V67" s="75" t="str">
        <f t="shared" ref="V67:V80" si="76">IF(AU67=0,"",AU67)</f>
        <v/>
      </c>
      <c r="W67" s="348">
        <f>IF(AV67="","",AV67)</f>
        <v>0</v>
      </c>
      <c r="Z67" s="351" t="s">
        <v>0</v>
      </c>
      <c r="AA67" s="108" t="str">
        <f>IF(AB67=0,"",VLOOKUP(AB67,Starter!$A$1:$D$199,2,FALSE))</f>
        <v/>
      </c>
      <c r="AB67" s="99"/>
      <c r="AC67" s="185"/>
      <c r="AD67" s="109">
        <f>IF(SUM(AC67:AC69)+AC85=0,0,IF(SUM(AC67:AC69)=AC85,0.5,IF(SUM(AC67:AC69)&gt;AC85,1,0)))</f>
        <v>0</v>
      </c>
      <c r="AE67" s="185"/>
      <c r="AF67" s="109">
        <f>IF(SUM(AE67:AE69)+AE85=0,0,IF(SUM(AE67:AE69)=AE85,0.5,IF(SUM(AE67:AE69)&gt;AE85,1,0)))</f>
        <v>0</v>
      </c>
      <c r="AG67" s="185"/>
      <c r="AH67" s="109">
        <f>IF(SUM(AG67:AG69)+AG85=0,0,IF(SUM(AG67:AG69)=AG85,0.5,IF(SUM(AG67:AG69)&gt;AG85,1,0)))</f>
        <v>0</v>
      </c>
      <c r="AI67" s="185"/>
      <c r="AJ67" s="109">
        <f>IF(SUM(AI67:AI69)+AI85=0,0,IF(SUM(AI67:AI69)=AI85,0.5,IF(SUM(AI67:AI69)&gt;AI85,1,0)))</f>
        <v>0</v>
      </c>
      <c r="AK67" s="185"/>
      <c r="AL67" s="109">
        <f>IF(SUM(AK67:AK69)+AK85=0,0,IF(SUM(AK67:AK69)=AK85,0.5,IF(SUM(AK67:AK69)&gt;AK85,1,0)))</f>
        <v>0</v>
      </c>
      <c r="AM67" s="185"/>
      <c r="AN67" s="109">
        <f>IF(SUM(AM67:AM69)+AM85=0,0,IF(SUM(AM67:AM69)=AM85,0.5,IF(SUM(AM67:AM69)&gt;AM85,1,0)))</f>
        <v>0</v>
      </c>
      <c r="AO67" s="185"/>
      <c r="AP67" s="109">
        <f>IF(SUM(AO67:AO69)+AO85=0,0,IF(SUM(AO67:AO69)=AO85,0.5,IF(SUM(AO67:AO69)&gt;AO85,1,0)))</f>
        <v>0</v>
      </c>
      <c r="AQ67" s="185"/>
      <c r="AR67" s="109">
        <f>IF(SUM(AQ67:AQ69)+AQ85=0,0,IF(SUM(AQ67:AQ69)=AQ85,0.5,IF(SUM(AQ67:AQ69)&gt;AQ85,1,0)))</f>
        <v>0</v>
      </c>
      <c r="AS67" s="185"/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0</v>
      </c>
      <c r="AV67" s="111">
        <f>SUM(AD67+AF67+AH67+AJ67+AL67+AN67+AP67+AR67+AT67)</f>
        <v>0</v>
      </c>
      <c r="AW67" s="101"/>
      <c r="AX67" s="102"/>
      <c r="AZ67" s="63"/>
      <c r="BA67" s="212"/>
      <c r="BB67" s="213"/>
      <c r="BC67" s="214"/>
      <c r="BD67" s="217">
        <f>+AB67</f>
        <v>0</v>
      </c>
      <c r="BE67" s="213">
        <f>+AU67</f>
        <v>0</v>
      </c>
      <c r="BF67" s="215">
        <f>COUNT(BH67:BP67)</f>
        <v>0</v>
      </c>
      <c r="BG67" s="215">
        <f>COUNTIF(BH67:BP67,"&gt;0")</f>
        <v>0</v>
      </c>
      <c r="BH67" s="215" t="str">
        <f t="shared" ref="BH67:BH78" si="78">IF(AC67=0,"",AC67)</f>
        <v/>
      </c>
      <c r="BI67" s="215" t="str">
        <f t="shared" ref="BI67:BI78" si="79">IF(AE67=0,"",AE67)</f>
        <v/>
      </c>
      <c r="BJ67" s="215" t="str">
        <f t="shared" ref="BJ67:BJ78" si="80">IF(AG67=0,"",AG67)</f>
        <v/>
      </c>
      <c r="BK67" s="215" t="str">
        <f t="shared" ref="BK67:BK78" si="81">IF(AI67=0,"",AI67)</f>
        <v/>
      </c>
      <c r="BL67" s="215" t="str">
        <f t="shared" ref="BL67:BL78" si="82">IF(AK67=0,"",AK67)</f>
        <v/>
      </c>
      <c r="BM67" s="215" t="str">
        <f t="shared" ref="BM67:BM78" si="83">IF(AM67=0,"",AM67)</f>
        <v/>
      </c>
      <c r="BN67" s="215" t="str">
        <f t="shared" ref="BN67:BN78" si="84">IF(AO67=0,"",AO67)</f>
        <v/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0</v>
      </c>
      <c r="BT67" s="215">
        <f>IF(BS67&lt;MAX(BS:BS),0,BS67+ROW()/1000000000)</f>
        <v>6.7000000000000004E-8</v>
      </c>
      <c r="BU67" s="215" t="str">
        <f>+AA63</f>
        <v>Highroller Rosenheim</v>
      </c>
      <c r="BV67" s="214">
        <f>RANK(BT67,BT:BT)</f>
        <v>96</v>
      </c>
      <c r="BW67" s="215">
        <f>SUMIF(BH67:BP67,"&gt;0")</f>
        <v>0</v>
      </c>
      <c r="BX67" s="215">
        <f>IF(COUNTIF(BH67:BP67,"&gt;0")&lt;Spielorte!$A$23,0,BE67/Spielorte!$A$23)</f>
        <v>0</v>
      </c>
      <c r="BY67" s="215">
        <f>IF(BX67&lt;MAX(BX:BX),0,BX67+ROW()/1000000000)</f>
        <v>6.7000000000000004E-8</v>
      </c>
      <c r="BZ67" s="214">
        <f t="shared" ref="BZ67:BZ78" si="87">IF(BY67=0,0,RANK(BY67,BY:BY))</f>
        <v>96</v>
      </c>
    </row>
    <row r="68" spans="1:78" ht="17.2" customHeight="1" x14ac:dyDescent="0.35">
      <c r="A68" s="368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9"/>
      <c r="F68" s="78" t="str">
        <f t="shared" si="69"/>
        <v/>
      </c>
      <c r="G68" s="349"/>
      <c r="H68" s="78" t="str">
        <f t="shared" si="70"/>
        <v/>
      </c>
      <c r="I68" s="349"/>
      <c r="J68" s="78" t="str">
        <f t="shared" si="71"/>
        <v/>
      </c>
      <c r="K68" s="349"/>
      <c r="L68" s="78" t="str">
        <f t="shared" si="72"/>
        <v/>
      </c>
      <c r="M68" s="349"/>
      <c r="N68" s="78" t="str">
        <f t="shared" ref="N68:N80" si="89">IF(AM68=0,"",AM68)</f>
        <v/>
      </c>
      <c r="O68" s="349"/>
      <c r="P68" s="78" t="str">
        <f t="shared" si="73"/>
        <v/>
      </c>
      <c r="Q68" s="349"/>
      <c r="R68" s="78" t="str">
        <f t="shared" si="74"/>
        <v/>
      </c>
      <c r="S68" s="349"/>
      <c r="T68" s="78" t="str">
        <f t="shared" si="75"/>
        <v/>
      </c>
      <c r="U68" s="349"/>
      <c r="V68" s="78" t="str">
        <f t="shared" si="76"/>
        <v/>
      </c>
      <c r="W68" s="349"/>
      <c r="Z68" s="352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6.8E-8</v>
      </c>
      <c r="BU68" s="215" t="str">
        <f t="shared" ref="BU68:BU78" si="96">+BU67</f>
        <v>Highroller Rosenheim</v>
      </c>
      <c r="BV68" s="214">
        <f t="shared" ref="BV68:BV78" si="97">RANK(BT68,BT:BT)</f>
        <v>95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6.8E-8</v>
      </c>
      <c r="BZ68" s="214">
        <f t="shared" si="87"/>
        <v>95</v>
      </c>
    </row>
    <row r="69" spans="1:78" ht="17.2" customHeight="1" thickBot="1" x14ac:dyDescent="0.4">
      <c r="A69" s="369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50"/>
      <c r="F69" s="69" t="str">
        <f t="shared" si="69"/>
        <v/>
      </c>
      <c r="G69" s="350"/>
      <c r="H69" s="69" t="str">
        <f t="shared" si="70"/>
        <v/>
      </c>
      <c r="I69" s="350"/>
      <c r="J69" s="69" t="str">
        <f t="shared" si="71"/>
        <v/>
      </c>
      <c r="K69" s="350"/>
      <c r="L69" s="69" t="str">
        <f t="shared" si="72"/>
        <v/>
      </c>
      <c r="M69" s="350"/>
      <c r="N69" s="69" t="str">
        <f t="shared" si="89"/>
        <v/>
      </c>
      <c r="O69" s="350"/>
      <c r="P69" s="69" t="str">
        <f t="shared" si="73"/>
        <v/>
      </c>
      <c r="Q69" s="350"/>
      <c r="R69" s="69" t="str">
        <f t="shared" si="74"/>
        <v/>
      </c>
      <c r="S69" s="350"/>
      <c r="T69" s="69" t="str">
        <f t="shared" si="75"/>
        <v/>
      </c>
      <c r="U69" s="350"/>
      <c r="V69" s="69" t="str">
        <f t="shared" si="76"/>
        <v/>
      </c>
      <c r="W69" s="350"/>
      <c r="Z69" s="353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6.8999999999999996E-8</v>
      </c>
      <c r="BU69" s="215" t="str">
        <f t="shared" si="96"/>
        <v>Highroller Rosenheim</v>
      </c>
      <c r="BV69" s="214">
        <f t="shared" si="97"/>
        <v>94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6.8999999999999996E-8</v>
      </c>
      <c r="BZ69" s="214">
        <f t="shared" si="87"/>
        <v>94</v>
      </c>
    </row>
    <row r="70" spans="1:78" ht="17.2" customHeight="1" x14ac:dyDescent="0.35">
      <c r="A70" s="367" t="s">
        <v>2</v>
      </c>
      <c r="B70" s="73" t="str">
        <f t="shared" si="88"/>
        <v/>
      </c>
      <c r="C70" s="74" t="str">
        <f t="shared" si="88"/>
        <v/>
      </c>
      <c r="D70" s="75" t="str">
        <f t="shared" si="88"/>
        <v/>
      </c>
      <c r="E70" s="348">
        <f>IF(AD70="","",AD70)</f>
        <v>0</v>
      </c>
      <c r="F70" s="75" t="str">
        <f t="shared" si="69"/>
        <v/>
      </c>
      <c r="G70" s="348">
        <f>IF(AF70="","",AF70)</f>
        <v>0</v>
      </c>
      <c r="H70" s="75" t="str">
        <f t="shared" si="70"/>
        <v/>
      </c>
      <c r="I70" s="348">
        <f>IF(AH70="","",AH70)</f>
        <v>0</v>
      </c>
      <c r="J70" s="75" t="str">
        <f t="shared" si="71"/>
        <v/>
      </c>
      <c r="K70" s="348">
        <f>IF(AJ70="","",AJ70)</f>
        <v>0</v>
      </c>
      <c r="L70" s="75" t="str">
        <f t="shared" si="72"/>
        <v/>
      </c>
      <c r="M70" s="348">
        <f>IF(AL70="","",AL70)</f>
        <v>0</v>
      </c>
      <c r="N70" s="75" t="str">
        <f t="shared" si="89"/>
        <v/>
      </c>
      <c r="O70" s="348">
        <f>IF(AN70="","",AN70)</f>
        <v>0</v>
      </c>
      <c r="P70" s="75" t="str">
        <f t="shared" si="73"/>
        <v/>
      </c>
      <c r="Q70" s="348">
        <f>IF(AP70="","",AP70)</f>
        <v>0</v>
      </c>
      <c r="R70" s="75" t="str">
        <f t="shared" si="74"/>
        <v/>
      </c>
      <c r="S70" s="348">
        <f>IF(AR70="","",AR70)</f>
        <v>0</v>
      </c>
      <c r="T70" s="75" t="str">
        <f t="shared" si="75"/>
        <v/>
      </c>
      <c r="U70" s="348">
        <f>IF(AT70="","",AT70)</f>
        <v>0</v>
      </c>
      <c r="V70" s="75" t="str">
        <f t="shared" si="76"/>
        <v/>
      </c>
      <c r="W70" s="348">
        <f>IF(AV70="","",AV70)</f>
        <v>0</v>
      </c>
      <c r="Z70" s="351" t="s">
        <v>2</v>
      </c>
      <c r="AA70" s="108" t="str">
        <f>IF(AB70=0,"",VLOOKUP(AB70,Starter!$A$1:$D$199,2,FALSE))</f>
        <v/>
      </c>
      <c r="AB70" s="99"/>
      <c r="AC70" s="188"/>
      <c r="AD70" s="109">
        <f>IF(SUM(AC70:AC72)+AC86=0,0,IF(SUM(AC70:AC72)=AC86,0.5,IF(SUM(AC70:AC72)&gt;AC86,1,0)))</f>
        <v>0</v>
      </c>
      <c r="AE70" s="188"/>
      <c r="AF70" s="109">
        <f>IF(SUM(AE70:AE72)+AE86=0,0,IF(SUM(AE70:AE72)=AE86,0.5,IF(SUM(AE70:AE72)&gt;AE86,1,0)))</f>
        <v>0</v>
      </c>
      <c r="AG70" s="188"/>
      <c r="AH70" s="109">
        <f>IF(SUM(AG70:AG72)+AG86=0,0,IF(SUM(AG70:AG72)=AG86,0.5,IF(SUM(AG70:AG72)&gt;AG86,1,0)))</f>
        <v>0</v>
      </c>
      <c r="AI70" s="188"/>
      <c r="AJ70" s="109">
        <f>IF(SUM(AI70:AI72)+AI86=0,0,IF(SUM(AI70:AI72)=AI86,0.5,IF(SUM(AI70:AI72)&gt;AI86,1,0)))</f>
        <v>0</v>
      </c>
      <c r="AK70" s="188"/>
      <c r="AL70" s="109">
        <f>IF(SUM(AK70:AK72)+AK86=0,0,IF(SUM(AK70:AK72)=AK86,0.5,IF(SUM(AK70:AK72)&gt;AK86,1,0)))</f>
        <v>0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0</v>
      </c>
      <c r="AQ70" s="188"/>
      <c r="AR70" s="109">
        <f>IF(SUM(AQ70:AQ72)+AQ86=0,0,IF(SUM(AQ70:AQ72)=AQ86,0.5,IF(SUM(AQ70:AQ72)&gt;AQ86,1,0)))</f>
        <v>0</v>
      </c>
      <c r="AS70" s="188"/>
      <c r="AT70" s="109">
        <f>IF(SUM(AS70:AS72)+AS86=0,0,IF(SUM(AS70:AS72)=AS86,0.5,IF(SUM(AS70:AS72)&gt;AS86,1,0)))</f>
        <v>0</v>
      </c>
      <c r="AU70" s="110">
        <f t="shared" si="77"/>
        <v>0</v>
      </c>
      <c r="AV70" s="111">
        <f>SUM(AD70+AF70+AH70+AJ70+AL70+AN70+AP70+AR70+AT70)</f>
        <v>0</v>
      </c>
      <c r="AW70" s="101"/>
      <c r="AX70" s="102"/>
      <c r="AZ70" s="63"/>
      <c r="BA70" s="212"/>
      <c r="BB70" s="213"/>
      <c r="BC70" s="214"/>
      <c r="BD70" s="217">
        <f t="shared" si="90"/>
        <v>0</v>
      </c>
      <c r="BE70" s="213">
        <f t="shared" si="91"/>
        <v>0</v>
      </c>
      <c r="BF70" s="215">
        <f t="shared" si="92"/>
        <v>0</v>
      </c>
      <c r="BG70" s="215">
        <f t="shared" si="93"/>
        <v>0</v>
      </c>
      <c r="BH70" s="215" t="str">
        <f t="shared" si="78"/>
        <v/>
      </c>
      <c r="BI70" s="215" t="str">
        <f t="shared" si="79"/>
        <v/>
      </c>
      <c r="BJ70" s="215" t="str">
        <f t="shared" si="80"/>
        <v/>
      </c>
      <c r="BK70" s="215" t="str">
        <f t="shared" si="81"/>
        <v/>
      </c>
      <c r="BL70" s="215" t="str">
        <f t="shared" si="82"/>
        <v/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0</v>
      </c>
      <c r="BT70" s="215">
        <f t="shared" si="95"/>
        <v>7.0000000000000005E-8</v>
      </c>
      <c r="BU70" s="215" t="str">
        <f t="shared" si="96"/>
        <v>Highroller Rosenheim</v>
      </c>
      <c r="BV70" s="214">
        <f t="shared" si="97"/>
        <v>93</v>
      </c>
      <c r="BW70" s="215">
        <f t="shared" si="98"/>
        <v>0</v>
      </c>
      <c r="BX70" s="215">
        <f>IF(COUNTIF(BH70:BP70,"&gt;0")&lt;Spielorte!$A$23,0,BE70/Spielorte!$A$23)</f>
        <v>0</v>
      </c>
      <c r="BY70" s="215">
        <f t="shared" si="99"/>
        <v>7.0000000000000005E-8</v>
      </c>
      <c r="BZ70" s="214">
        <f t="shared" si="87"/>
        <v>93</v>
      </c>
    </row>
    <row r="71" spans="1:78" ht="17.2" customHeight="1" x14ac:dyDescent="0.35">
      <c r="A71" s="368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9"/>
      <c r="F71" s="78" t="str">
        <f t="shared" si="69"/>
        <v/>
      </c>
      <c r="G71" s="349"/>
      <c r="H71" s="78" t="str">
        <f t="shared" si="70"/>
        <v/>
      </c>
      <c r="I71" s="349"/>
      <c r="J71" s="78" t="str">
        <f t="shared" si="71"/>
        <v/>
      </c>
      <c r="K71" s="349"/>
      <c r="L71" s="78" t="str">
        <f t="shared" si="72"/>
        <v/>
      </c>
      <c r="M71" s="349"/>
      <c r="N71" s="78" t="str">
        <f t="shared" si="89"/>
        <v/>
      </c>
      <c r="O71" s="349"/>
      <c r="P71" s="78" t="str">
        <f t="shared" si="73"/>
        <v/>
      </c>
      <c r="Q71" s="349"/>
      <c r="R71" s="78" t="str">
        <f t="shared" si="74"/>
        <v/>
      </c>
      <c r="S71" s="349"/>
      <c r="T71" s="78" t="str">
        <f t="shared" si="75"/>
        <v/>
      </c>
      <c r="U71" s="349"/>
      <c r="V71" s="78" t="str">
        <f t="shared" si="76"/>
        <v/>
      </c>
      <c r="W71" s="349"/>
      <c r="Z71" s="352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7.1E-8</v>
      </c>
      <c r="BU71" s="215" t="str">
        <f t="shared" si="96"/>
        <v>Highroller Rosenheim</v>
      </c>
      <c r="BV71" s="214">
        <f t="shared" si="97"/>
        <v>92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7.1E-8</v>
      </c>
      <c r="BZ71" s="214">
        <f t="shared" si="87"/>
        <v>92</v>
      </c>
    </row>
    <row r="72" spans="1:78" ht="17.2" customHeight="1" thickBot="1" x14ac:dyDescent="0.4">
      <c r="A72" s="369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50"/>
      <c r="F72" s="69" t="str">
        <f t="shared" si="69"/>
        <v/>
      </c>
      <c r="G72" s="350"/>
      <c r="H72" s="69" t="str">
        <f t="shared" si="70"/>
        <v/>
      </c>
      <c r="I72" s="350"/>
      <c r="J72" s="69" t="str">
        <f t="shared" si="71"/>
        <v/>
      </c>
      <c r="K72" s="350"/>
      <c r="L72" s="69" t="str">
        <f t="shared" si="72"/>
        <v/>
      </c>
      <c r="M72" s="350"/>
      <c r="N72" s="69" t="str">
        <f t="shared" si="89"/>
        <v/>
      </c>
      <c r="O72" s="350"/>
      <c r="P72" s="69" t="str">
        <f t="shared" si="73"/>
        <v/>
      </c>
      <c r="Q72" s="350"/>
      <c r="R72" s="69" t="str">
        <f t="shared" si="74"/>
        <v/>
      </c>
      <c r="S72" s="350"/>
      <c r="T72" s="69" t="str">
        <f t="shared" si="75"/>
        <v/>
      </c>
      <c r="U72" s="350"/>
      <c r="V72" s="69" t="str">
        <f t="shared" si="76"/>
        <v/>
      </c>
      <c r="W72" s="350"/>
      <c r="Z72" s="353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7.1999999999999996E-8</v>
      </c>
      <c r="BU72" s="215" t="str">
        <f t="shared" si="96"/>
        <v>Highroller Rosenheim</v>
      </c>
      <c r="BV72" s="214">
        <f t="shared" si="97"/>
        <v>91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7.1999999999999996E-8</v>
      </c>
      <c r="BZ72" s="214">
        <f t="shared" si="87"/>
        <v>91</v>
      </c>
    </row>
    <row r="73" spans="1:78" ht="17.2" customHeight="1" x14ac:dyDescent="0.35">
      <c r="A73" s="367" t="s">
        <v>3</v>
      </c>
      <c r="B73" s="73" t="str">
        <f t="shared" si="88"/>
        <v/>
      </c>
      <c r="C73" s="74" t="str">
        <f t="shared" si="88"/>
        <v/>
      </c>
      <c r="D73" s="75" t="str">
        <f t="shared" si="88"/>
        <v/>
      </c>
      <c r="E73" s="348">
        <f>IF(AD73="","",AD73)</f>
        <v>0</v>
      </c>
      <c r="F73" s="75" t="str">
        <f t="shared" si="69"/>
        <v/>
      </c>
      <c r="G73" s="348">
        <f>IF(AF73="","",AF73)</f>
        <v>0</v>
      </c>
      <c r="H73" s="75" t="str">
        <f t="shared" si="70"/>
        <v/>
      </c>
      <c r="I73" s="348">
        <f>IF(AH73="","",AH73)</f>
        <v>0</v>
      </c>
      <c r="J73" s="75" t="str">
        <f t="shared" si="71"/>
        <v/>
      </c>
      <c r="K73" s="348">
        <f>IF(AJ73="","",AJ73)</f>
        <v>0</v>
      </c>
      <c r="L73" s="75" t="str">
        <f t="shared" si="72"/>
        <v/>
      </c>
      <c r="M73" s="348">
        <f>IF(AL73="","",AL73)</f>
        <v>0</v>
      </c>
      <c r="N73" s="75" t="str">
        <f t="shared" si="89"/>
        <v/>
      </c>
      <c r="O73" s="348">
        <f>IF(AN73="","",AN73)</f>
        <v>0</v>
      </c>
      <c r="P73" s="75" t="str">
        <f t="shared" si="73"/>
        <v/>
      </c>
      <c r="Q73" s="348">
        <f>IF(AP73="","",AP73)</f>
        <v>0</v>
      </c>
      <c r="R73" s="75" t="str">
        <f t="shared" si="74"/>
        <v/>
      </c>
      <c r="S73" s="348">
        <f>IF(AR73="","",AR73)</f>
        <v>0</v>
      </c>
      <c r="T73" s="75" t="str">
        <f t="shared" si="75"/>
        <v/>
      </c>
      <c r="U73" s="348">
        <f>IF(AT73="","",AT73)</f>
        <v>0</v>
      </c>
      <c r="V73" s="75" t="str">
        <f t="shared" si="76"/>
        <v/>
      </c>
      <c r="W73" s="348">
        <f>IF(AV73="","",AV73)</f>
        <v>0</v>
      </c>
      <c r="Z73" s="351" t="s">
        <v>3</v>
      </c>
      <c r="AA73" s="108" t="str">
        <f>IF(AB73=0,"",VLOOKUP(AB73,Starter!$A$1:$D$199,2,FALSE))</f>
        <v/>
      </c>
      <c r="AB73" s="99"/>
      <c r="AC73" s="188"/>
      <c r="AD73" s="109">
        <f>IF(SUM(AC73:AC75)+AC87=0,0,IF(SUM(AC73:AC75)=AC87,0.5,IF(SUM(AC73:AC75)&gt;AC87,1,0)))</f>
        <v>0</v>
      </c>
      <c r="AE73" s="188"/>
      <c r="AF73" s="109">
        <f>IF(SUM(AE73:AE75)+AE87=0,0,IF(SUM(AE73:AE75)=AE87,0.5,IF(SUM(AE73:AE75)&gt;AE87,1,0)))</f>
        <v>0</v>
      </c>
      <c r="AG73" s="188"/>
      <c r="AH73" s="109">
        <f>IF(SUM(AG73:AG75)+AG87=0,0,IF(SUM(AG73:AG75)=AG87,0.5,IF(SUM(AG73:AG75)&gt;AG87,1,0)))</f>
        <v>0</v>
      </c>
      <c r="AI73" s="188"/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0</v>
      </c>
      <c r="AM73" s="188"/>
      <c r="AN73" s="109">
        <f>IF(SUM(AM73:AM75)+AM87=0,0,IF(SUM(AM73:AM75)=AM87,0.5,IF(SUM(AM73:AM75)&gt;AM87,1,0)))</f>
        <v>0</v>
      </c>
      <c r="AO73" s="188"/>
      <c r="AP73" s="109">
        <f>IF(SUM(AO73:AO75)+AO87=0,0,IF(SUM(AO73:AO75)=AO87,0.5,IF(SUM(AO73:AO75)&gt;AO87,1,0)))</f>
        <v>0</v>
      </c>
      <c r="AQ73" s="188"/>
      <c r="AR73" s="109">
        <f>IF(SUM(AQ73:AQ75)+AQ87=0,0,IF(SUM(AQ73:AQ75)=AQ87,0.5,IF(SUM(AQ73:AQ75)&gt;AQ87,1,0)))</f>
        <v>0</v>
      </c>
      <c r="AS73" s="188"/>
      <c r="AT73" s="109">
        <f>IF(SUM(AS73:AS75)+AS87=0,0,IF(SUM(AS73:AS75)=AS87,0.5,IF(SUM(AS73:AS75)&gt;AS87,1,0)))</f>
        <v>0</v>
      </c>
      <c r="AU73" s="110">
        <f t="shared" si="77"/>
        <v>0</v>
      </c>
      <c r="AV73" s="111">
        <f>SUM(AD73+AF73+AH73+AJ73+AL73+AN73+AP73+AR73+AT73)</f>
        <v>0</v>
      </c>
      <c r="AW73" s="101"/>
      <c r="AX73" s="102"/>
      <c r="AZ73" s="63"/>
      <c r="BA73" s="212"/>
      <c r="BB73" s="213"/>
      <c r="BC73" s="214"/>
      <c r="BD73" s="217">
        <f t="shared" si="90"/>
        <v>0</v>
      </c>
      <c r="BE73" s="213">
        <f t="shared" si="91"/>
        <v>0</v>
      </c>
      <c r="BF73" s="215">
        <f t="shared" si="92"/>
        <v>0</v>
      </c>
      <c r="BG73" s="215">
        <f t="shared" si="93"/>
        <v>0</v>
      </c>
      <c r="BH73" s="215" t="str">
        <f t="shared" si="78"/>
        <v/>
      </c>
      <c r="BI73" s="215" t="str">
        <f t="shared" si="79"/>
        <v/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0</v>
      </c>
      <c r="BT73" s="215">
        <f t="shared" si="95"/>
        <v>7.3000000000000005E-8</v>
      </c>
      <c r="BU73" s="215" t="str">
        <f t="shared" si="96"/>
        <v>Highroller Rosenheim</v>
      </c>
      <c r="BV73" s="214">
        <f t="shared" si="97"/>
        <v>90</v>
      </c>
      <c r="BW73" s="215">
        <f t="shared" si="98"/>
        <v>0</v>
      </c>
      <c r="BX73" s="215">
        <f>IF(COUNTIF(BH73:BP73,"&gt;0")&lt;Spielorte!$A$23,0,BE73/Spielorte!$A$23)</f>
        <v>0</v>
      </c>
      <c r="BY73" s="215">
        <f t="shared" si="99"/>
        <v>7.3000000000000005E-8</v>
      </c>
      <c r="BZ73" s="214">
        <f t="shared" si="87"/>
        <v>90</v>
      </c>
    </row>
    <row r="74" spans="1:78" ht="17.2" customHeight="1" x14ac:dyDescent="0.35">
      <c r="A74" s="368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49"/>
      <c r="F74" s="78" t="str">
        <f t="shared" si="69"/>
        <v/>
      </c>
      <c r="G74" s="349"/>
      <c r="H74" s="78" t="str">
        <f t="shared" si="70"/>
        <v/>
      </c>
      <c r="I74" s="349"/>
      <c r="J74" s="78" t="str">
        <f t="shared" si="71"/>
        <v/>
      </c>
      <c r="K74" s="349"/>
      <c r="L74" s="78" t="str">
        <f t="shared" si="72"/>
        <v/>
      </c>
      <c r="M74" s="349"/>
      <c r="N74" s="78" t="str">
        <f t="shared" si="89"/>
        <v/>
      </c>
      <c r="O74" s="349"/>
      <c r="P74" s="78" t="str">
        <f t="shared" si="73"/>
        <v/>
      </c>
      <c r="Q74" s="349"/>
      <c r="R74" s="78" t="str">
        <f t="shared" si="74"/>
        <v/>
      </c>
      <c r="S74" s="349"/>
      <c r="T74" s="78" t="str">
        <f t="shared" si="75"/>
        <v/>
      </c>
      <c r="U74" s="349"/>
      <c r="V74" s="78" t="str">
        <f t="shared" si="76"/>
        <v/>
      </c>
      <c r="W74" s="349"/>
      <c r="Z74" s="352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7.4000000000000001E-8</v>
      </c>
      <c r="BU74" s="215" t="str">
        <f t="shared" si="96"/>
        <v>Highroller Rosenheim</v>
      </c>
      <c r="BV74" s="214">
        <f t="shared" si="97"/>
        <v>89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7.4000000000000001E-8</v>
      </c>
      <c r="BZ74" s="214">
        <f t="shared" si="87"/>
        <v>89</v>
      </c>
    </row>
    <row r="75" spans="1:78" ht="17.2" customHeight="1" thickBot="1" x14ac:dyDescent="0.4">
      <c r="A75" s="369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50"/>
      <c r="F75" s="69" t="str">
        <f t="shared" si="69"/>
        <v/>
      </c>
      <c r="G75" s="350"/>
      <c r="H75" s="69" t="str">
        <f t="shared" si="70"/>
        <v/>
      </c>
      <c r="I75" s="350"/>
      <c r="J75" s="69" t="str">
        <f t="shared" si="71"/>
        <v/>
      </c>
      <c r="K75" s="350"/>
      <c r="L75" s="69" t="str">
        <f t="shared" si="72"/>
        <v/>
      </c>
      <c r="M75" s="350"/>
      <c r="N75" s="69" t="str">
        <f t="shared" si="89"/>
        <v/>
      </c>
      <c r="O75" s="350"/>
      <c r="P75" s="69" t="str">
        <f t="shared" si="73"/>
        <v/>
      </c>
      <c r="Q75" s="350"/>
      <c r="R75" s="69" t="str">
        <f t="shared" si="74"/>
        <v/>
      </c>
      <c r="S75" s="350"/>
      <c r="T75" s="69" t="str">
        <f t="shared" si="75"/>
        <v/>
      </c>
      <c r="U75" s="350"/>
      <c r="V75" s="69" t="str">
        <f t="shared" si="76"/>
        <v/>
      </c>
      <c r="W75" s="350"/>
      <c r="Z75" s="353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7.4999999999999997E-8</v>
      </c>
      <c r="BU75" s="215" t="str">
        <f t="shared" si="96"/>
        <v>Highroller Rosenheim</v>
      </c>
      <c r="BV75" s="214">
        <f t="shared" si="97"/>
        <v>88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7.4999999999999997E-8</v>
      </c>
      <c r="BZ75" s="214">
        <f t="shared" si="87"/>
        <v>88</v>
      </c>
    </row>
    <row r="76" spans="1:78" ht="17.2" customHeight="1" x14ac:dyDescent="0.35">
      <c r="A76" s="367" t="s">
        <v>11</v>
      </c>
      <c r="B76" s="73" t="str">
        <f>IF(AA76=0,"",AA76)</f>
        <v/>
      </c>
      <c r="C76" s="74" t="str">
        <f t="shared" si="88"/>
        <v/>
      </c>
      <c r="D76" s="75" t="str">
        <f t="shared" si="88"/>
        <v/>
      </c>
      <c r="E76" s="348">
        <f>IF(AD76="","",AD76)</f>
        <v>0</v>
      </c>
      <c r="F76" s="75" t="str">
        <f t="shared" si="69"/>
        <v/>
      </c>
      <c r="G76" s="348">
        <f>IF(AF76="","",AF76)</f>
        <v>0</v>
      </c>
      <c r="H76" s="75" t="str">
        <f t="shared" si="70"/>
        <v/>
      </c>
      <c r="I76" s="348">
        <f>IF(AH76="","",AH76)</f>
        <v>0</v>
      </c>
      <c r="J76" s="75" t="str">
        <f t="shared" si="71"/>
        <v/>
      </c>
      <c r="K76" s="348">
        <f>IF(AJ76="","",AJ76)</f>
        <v>0</v>
      </c>
      <c r="L76" s="75" t="str">
        <f t="shared" si="72"/>
        <v/>
      </c>
      <c r="M76" s="348">
        <f>IF(AL76="","",AL76)</f>
        <v>0</v>
      </c>
      <c r="N76" s="75" t="str">
        <f t="shared" si="89"/>
        <v/>
      </c>
      <c r="O76" s="348">
        <f>IF(AN76="","",AN76)</f>
        <v>0</v>
      </c>
      <c r="P76" s="75" t="str">
        <f t="shared" si="73"/>
        <v/>
      </c>
      <c r="Q76" s="348">
        <f>IF(AP76="","",AP76)</f>
        <v>0</v>
      </c>
      <c r="R76" s="75" t="str">
        <f t="shared" si="74"/>
        <v/>
      </c>
      <c r="S76" s="348">
        <f>IF(AR76="","",AR76)</f>
        <v>0</v>
      </c>
      <c r="T76" s="75" t="str">
        <f t="shared" si="75"/>
        <v/>
      </c>
      <c r="U76" s="348">
        <f>IF(AT76="","",AT76)</f>
        <v>0</v>
      </c>
      <c r="V76" s="75" t="str">
        <f t="shared" si="76"/>
        <v/>
      </c>
      <c r="W76" s="348">
        <f>IF(AV76="","",AV76)</f>
        <v>0</v>
      </c>
      <c r="Z76" s="351" t="s">
        <v>11</v>
      </c>
      <c r="AA76" s="108" t="str">
        <f>IF(AB76=0,"",VLOOKUP(AB76,Starter!$A$1:$D$199,2,FALSE))</f>
        <v/>
      </c>
      <c r="AB76" s="99"/>
      <c r="AC76" s="188"/>
      <c r="AD76" s="109">
        <f>IF(SUM(AC76:AC78)+AC88=0,0,IF(SUM(AC76:AC78)=AC88,0.5,IF(SUM(AC76:AC78)&gt;AC88,1,0)))</f>
        <v>0</v>
      </c>
      <c r="AE76" s="188"/>
      <c r="AF76" s="109">
        <f>IF(SUM(AE76:AE78)+AE88=0,0,IF(SUM(AE76:AE78)=AE88,0.5,IF(SUM(AE76:AE78)&gt;AE88,1,0)))</f>
        <v>0</v>
      </c>
      <c r="AG76" s="188"/>
      <c r="AH76" s="109">
        <f>IF(SUM(AG76:AG78)+AG88=0,0,IF(SUM(AG76:AG78)=AG88,0.5,IF(SUM(AG76:AG78)&gt;AG88,1,0)))</f>
        <v>0</v>
      </c>
      <c r="AI76" s="188"/>
      <c r="AJ76" s="109">
        <f>IF(SUM(AI76:AI78)+AI88=0,0,IF(SUM(AI76:AI78)=AI88,0.5,IF(SUM(AI76:AI78)&gt;AI88,1,0)))</f>
        <v>0</v>
      </c>
      <c r="AK76" s="188"/>
      <c r="AL76" s="109">
        <f>IF(SUM(AK76:AK78)+AK88=0,0,IF(SUM(AK76:AK78)=AK88,0.5,IF(SUM(AK76:AK78)&gt;AK88,1,0)))</f>
        <v>0</v>
      </c>
      <c r="AM76" s="188"/>
      <c r="AN76" s="109">
        <f>IF(SUM(AM76:AM78)+AM88=0,0,IF(SUM(AM76:AM78)=AM88,0.5,IF(SUM(AM76:AM78)&gt;AM88,1,0)))</f>
        <v>0</v>
      </c>
      <c r="AO76" s="188"/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0</v>
      </c>
      <c r="AU76" s="110">
        <f t="shared" si="77"/>
        <v>0</v>
      </c>
      <c r="AV76" s="111">
        <f>SUM(AD76+AF76+AH76+AJ76+AL76+AN76+AP76+AR76+AT76)</f>
        <v>0</v>
      </c>
      <c r="AW76" s="101"/>
      <c r="AX76" s="102"/>
      <c r="AZ76" s="63"/>
      <c r="BA76" s="212"/>
      <c r="BB76" s="213"/>
      <c r="BC76" s="214"/>
      <c r="BD76" s="217">
        <f t="shared" si="90"/>
        <v>0</v>
      </c>
      <c r="BE76" s="213">
        <f t="shared" si="91"/>
        <v>0</v>
      </c>
      <c r="BF76" s="215">
        <f t="shared" si="92"/>
        <v>0</v>
      </c>
      <c r="BG76" s="215">
        <f t="shared" si="93"/>
        <v>0</v>
      </c>
      <c r="BH76" s="215" t="str">
        <f t="shared" si="78"/>
        <v/>
      </c>
      <c r="BI76" s="215" t="str">
        <f t="shared" si="79"/>
        <v/>
      </c>
      <c r="BJ76" s="215" t="str">
        <f t="shared" si="80"/>
        <v/>
      </c>
      <c r="BK76" s="215" t="str">
        <f t="shared" si="81"/>
        <v/>
      </c>
      <c r="BL76" s="215" t="str">
        <f t="shared" si="82"/>
        <v/>
      </c>
      <c r="BM76" s="215" t="str">
        <f t="shared" si="83"/>
        <v/>
      </c>
      <c r="BN76" s="215" t="str">
        <f t="shared" si="84"/>
        <v/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0</v>
      </c>
      <c r="BT76" s="215">
        <f t="shared" si="95"/>
        <v>7.6000000000000006E-8</v>
      </c>
      <c r="BU76" s="215" t="str">
        <f t="shared" si="96"/>
        <v>Highroller Rosenheim</v>
      </c>
      <c r="BV76" s="214">
        <f t="shared" si="97"/>
        <v>87</v>
      </c>
      <c r="BW76" s="215">
        <f t="shared" si="98"/>
        <v>0</v>
      </c>
      <c r="BX76" s="215">
        <f>IF(COUNTIF(BH76:BP76,"&gt;0")&lt;Spielorte!$A$23,0,BE76/Spielorte!$A$23)</f>
        <v>0</v>
      </c>
      <c r="BY76" s="215">
        <f t="shared" si="99"/>
        <v>7.6000000000000006E-8</v>
      </c>
      <c r="BZ76" s="214">
        <f t="shared" si="87"/>
        <v>87</v>
      </c>
    </row>
    <row r="77" spans="1:78" ht="17.2" customHeight="1" x14ac:dyDescent="0.35">
      <c r="A77" s="368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9"/>
      <c r="F77" s="78" t="str">
        <f t="shared" si="69"/>
        <v/>
      </c>
      <c r="G77" s="349"/>
      <c r="H77" s="78" t="str">
        <f t="shared" si="70"/>
        <v/>
      </c>
      <c r="I77" s="349"/>
      <c r="J77" s="78" t="str">
        <f t="shared" si="71"/>
        <v/>
      </c>
      <c r="K77" s="349"/>
      <c r="L77" s="78" t="str">
        <f t="shared" si="72"/>
        <v/>
      </c>
      <c r="M77" s="349"/>
      <c r="N77" s="78" t="str">
        <f t="shared" si="89"/>
        <v/>
      </c>
      <c r="O77" s="349"/>
      <c r="P77" s="78" t="str">
        <f t="shared" si="73"/>
        <v/>
      </c>
      <c r="Q77" s="349"/>
      <c r="R77" s="78" t="str">
        <f t="shared" si="74"/>
        <v/>
      </c>
      <c r="S77" s="349"/>
      <c r="T77" s="78" t="str">
        <f t="shared" si="75"/>
        <v/>
      </c>
      <c r="U77" s="349"/>
      <c r="V77" s="78" t="str">
        <f t="shared" si="76"/>
        <v/>
      </c>
      <c r="W77" s="349"/>
      <c r="Z77" s="352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7.7000000000000001E-8</v>
      </c>
      <c r="BU77" s="215" t="str">
        <f t="shared" si="96"/>
        <v>Highroller Rosenheim</v>
      </c>
      <c r="BV77" s="214">
        <f t="shared" si="97"/>
        <v>86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7.7000000000000001E-8</v>
      </c>
      <c r="BZ77" s="214">
        <f t="shared" si="87"/>
        <v>86</v>
      </c>
    </row>
    <row r="78" spans="1:78" ht="17.2" customHeight="1" thickBot="1" x14ac:dyDescent="0.4">
      <c r="A78" s="369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50"/>
      <c r="F78" s="69" t="str">
        <f t="shared" si="69"/>
        <v/>
      </c>
      <c r="G78" s="350"/>
      <c r="H78" s="69" t="str">
        <f t="shared" si="70"/>
        <v/>
      </c>
      <c r="I78" s="350"/>
      <c r="J78" s="69" t="str">
        <f t="shared" si="71"/>
        <v/>
      </c>
      <c r="K78" s="350"/>
      <c r="L78" s="69" t="str">
        <f t="shared" si="72"/>
        <v/>
      </c>
      <c r="M78" s="350"/>
      <c r="N78" s="69" t="str">
        <f t="shared" si="89"/>
        <v/>
      </c>
      <c r="O78" s="350"/>
      <c r="P78" s="69" t="str">
        <f t="shared" si="73"/>
        <v/>
      </c>
      <c r="Q78" s="350"/>
      <c r="R78" s="69" t="str">
        <f t="shared" si="74"/>
        <v/>
      </c>
      <c r="S78" s="350"/>
      <c r="T78" s="69" t="str">
        <f t="shared" si="75"/>
        <v/>
      </c>
      <c r="U78" s="350"/>
      <c r="V78" s="69" t="str">
        <f t="shared" si="76"/>
        <v/>
      </c>
      <c r="W78" s="350"/>
      <c r="Z78" s="353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7.7999999999999997E-8</v>
      </c>
      <c r="BU78" s="215" t="str">
        <f t="shared" si="96"/>
        <v>Highroller Rosenheim</v>
      </c>
      <c r="BV78" s="214">
        <f t="shared" si="97"/>
        <v>85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7.7999999999999997E-8</v>
      </c>
      <c r="BZ78" s="214">
        <f t="shared" si="87"/>
        <v>85</v>
      </c>
    </row>
    <row r="79" spans="1:78" ht="27.75" customHeight="1" thickBot="1" x14ac:dyDescent="0.4">
      <c r="B79" s="81" t="str">
        <f>IF(AA79=0,"",AA79)</f>
        <v>Gesamt</v>
      </c>
      <c r="C79" s="82" t="str">
        <f t="shared" si="88"/>
        <v/>
      </c>
      <c r="D79" s="83" t="str">
        <f t="shared" si="88"/>
        <v/>
      </c>
      <c r="E79" s="84">
        <f>IF(AD79="","",AD79)</f>
        <v>0</v>
      </c>
      <c r="F79" s="83" t="str">
        <f t="shared" si="69"/>
        <v/>
      </c>
      <c r="G79" s="84">
        <f>IF(AF79="","",AF79)</f>
        <v>0</v>
      </c>
      <c r="H79" s="83" t="str">
        <f t="shared" si="70"/>
        <v/>
      </c>
      <c r="I79" s="84">
        <f>IF(AH79="","",AH79)</f>
        <v>0</v>
      </c>
      <c r="J79" s="83" t="str">
        <f t="shared" si="71"/>
        <v/>
      </c>
      <c r="K79" s="84">
        <f>IF(AJ79="","",AJ79)</f>
        <v>0</v>
      </c>
      <c r="L79" s="83" t="str">
        <f t="shared" si="72"/>
        <v/>
      </c>
      <c r="M79" s="84">
        <f>IF(AL79="","",AL79)</f>
        <v>0</v>
      </c>
      <c r="N79" s="83" t="str">
        <f t="shared" si="89"/>
        <v/>
      </c>
      <c r="O79" s="84">
        <f>IF(AN79="","",AN79)</f>
        <v>0</v>
      </c>
      <c r="P79" s="83" t="str">
        <f t="shared" si="73"/>
        <v/>
      </c>
      <c r="Q79" s="84">
        <f>IF(AP79="","",AP79)</f>
        <v>0</v>
      </c>
      <c r="R79" s="83" t="str">
        <f t="shared" si="74"/>
        <v/>
      </c>
      <c r="S79" s="84">
        <f>IF(AR79="","",AR79)</f>
        <v>0</v>
      </c>
      <c r="T79" s="83" t="str">
        <f t="shared" si="75"/>
        <v/>
      </c>
      <c r="U79" s="84">
        <f>IF(AT79="","",AT79)</f>
        <v>0</v>
      </c>
      <c r="V79" s="83" t="str">
        <f t="shared" si="76"/>
        <v/>
      </c>
      <c r="W79" s="84">
        <f>IF(AV79="","",AV79)</f>
        <v>0</v>
      </c>
      <c r="AA79" s="81" t="s">
        <v>1799</v>
      </c>
      <c r="AB79" s="120"/>
      <c r="AC79" s="211">
        <f>ABS(SUM(AC67:AC69))+ABS(SUM(AC70:AC72))+ABS(SUM(AC73:AC75))+ABS(SUM(AC76:AC78))</f>
        <v>0</v>
      </c>
      <c r="AD79" s="121">
        <f>IF(AC79+AC89=0,0,IF(AC79=AC89,1,IF(AC79&gt;AC89,2,0)))</f>
        <v>0</v>
      </c>
      <c r="AE79" s="211">
        <f>ABS(SUM(AE67:AE69))+ABS(SUM(AE70:AE72))+ABS(SUM(AE73:AE75))+ABS(SUM(AE76:AE78))</f>
        <v>0</v>
      </c>
      <c r="AF79" s="121">
        <f>IF(AE79+AE89=0,0,IF(AE79=AE89,1,IF(AE79&gt;AE89,2,0)))</f>
        <v>0</v>
      </c>
      <c r="AG79" s="211">
        <f>ABS(SUM(AG67:AG69))+ABS(SUM(AG70:AG72))+ABS(SUM(AG73:AG75))+ABS(SUM(AG76:AG78))</f>
        <v>0</v>
      </c>
      <c r="AH79" s="121">
        <f>IF(AG79+AG89=0,0,IF(AG79=AG89,1,IF(AG79&gt;AG89,2,0)))</f>
        <v>0</v>
      </c>
      <c r="AI79" s="211">
        <f>ABS(SUM(AI67:AI69))+ABS(SUM(AI70:AI72))+ABS(SUM(AI73:AI75))+ABS(SUM(AI76:AI78))</f>
        <v>0</v>
      </c>
      <c r="AJ79" s="121">
        <f>IF(AI79+AI89=0,0,IF(AI79=AI89,1,IF(AI79&gt;AI89,2,0)))</f>
        <v>0</v>
      </c>
      <c r="AK79" s="211">
        <f>ABS(SUM(AK67:AK69))+ABS(SUM(AK70:AK72))+ABS(SUM(AK73:AK75))+ABS(SUM(AK76:AK78))</f>
        <v>0</v>
      </c>
      <c r="AL79" s="121">
        <f>IF(AK79+AK89=0,0,IF(AK79=AK89,1,IF(AK79&gt;AK89,2,0)))</f>
        <v>0</v>
      </c>
      <c r="AM79" s="211">
        <f>ABS(SUM(AM67:AM69))+ABS(SUM(AM70:AM72))+ABS(SUM(AM73:AM75))+ABS(SUM(AM76:AM78))</f>
        <v>0</v>
      </c>
      <c r="AN79" s="121">
        <f>IF(AM79+AM89=0,0,IF(AM79=AM89,1,IF(AM79&gt;AM89,2,0)))</f>
        <v>0</v>
      </c>
      <c r="AO79" s="211">
        <f>ABS(SUM(AO67:AO69))+ABS(SUM(AO70:AO72))+ABS(SUM(AO73:AO75))+ABS(SUM(AO76:AO78))</f>
        <v>0</v>
      </c>
      <c r="AP79" s="121">
        <f>IF(AO79+AO89=0,0,IF(AO79=AO89,1,IF(AO79&gt;AO89,2,0)))</f>
        <v>0</v>
      </c>
      <c r="AQ79" s="211">
        <f>ABS(SUM(AQ67:AQ69))+ABS(SUM(AQ70:AQ72))+ABS(SUM(AQ73:AQ75))+ABS(SUM(AQ76:AQ78))</f>
        <v>0</v>
      </c>
      <c r="AR79" s="121">
        <f>IF(AQ79+AQ89=0,0,IF(AQ79=AQ89,1,IF(AQ79&gt;AQ89,2,0)))</f>
        <v>0</v>
      </c>
      <c r="AS79" s="211">
        <f>ABS(SUM(AS67:AS69))+ABS(SUM(AS70:AS72))+ABS(SUM(AS73:AS75))+ABS(SUM(AS76:AS78))</f>
        <v>0</v>
      </c>
      <c r="AT79" s="121">
        <f>IF(AS79+AS89=0,0,IF(AS79=AS89,1,IF(AS79&gt;AS89,2,0)))</f>
        <v>0</v>
      </c>
      <c r="AU79" s="122">
        <f>SUM(AC79+AE79+AG79+AI79+AK79+AM79+AO79+AQ79+AS79)</f>
        <v>0</v>
      </c>
      <c r="AV79" s="123">
        <f>SUM(AD79+AF79+AH79+AJ79+AL79+AN79+AP79+AR79+AT79)</f>
        <v>0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4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0</v>
      </c>
      <c r="F80" s="86" t="str">
        <f t="shared" si="69"/>
        <v/>
      </c>
      <c r="G80" s="87">
        <f>IF(AF80="","",AF80)</f>
        <v>0</v>
      </c>
      <c r="H80" s="86" t="str">
        <f t="shared" si="70"/>
        <v/>
      </c>
      <c r="I80" s="87">
        <f>IF(AH80="","",AH80)</f>
        <v>0</v>
      </c>
      <c r="J80" s="86" t="str">
        <f t="shared" si="71"/>
        <v/>
      </c>
      <c r="K80" s="87">
        <f>IF(AJ80="","",AJ80)</f>
        <v>0</v>
      </c>
      <c r="L80" s="86" t="str">
        <f t="shared" si="72"/>
        <v/>
      </c>
      <c r="M80" s="87">
        <f>IF(AL80="","",AL80)</f>
        <v>0</v>
      </c>
      <c r="N80" s="86" t="str">
        <f t="shared" si="89"/>
        <v/>
      </c>
      <c r="O80" s="87">
        <f>IF(AN80="","",AN80)</f>
        <v>0</v>
      </c>
      <c r="P80" s="86" t="str">
        <f t="shared" si="73"/>
        <v/>
      </c>
      <c r="Q80" s="87">
        <f>IF(AP80="","",AP80)</f>
        <v>0</v>
      </c>
      <c r="R80" s="86" t="str">
        <f t="shared" si="74"/>
        <v/>
      </c>
      <c r="S80" s="87">
        <f>IF(AR80="","",AR80)</f>
        <v>0</v>
      </c>
      <c r="T80" s="86" t="str">
        <f t="shared" si="75"/>
        <v/>
      </c>
      <c r="U80" s="87">
        <f>IF(AT80="","",AT80)</f>
        <v>0</v>
      </c>
      <c r="V80" s="86" t="str">
        <f t="shared" si="76"/>
        <v/>
      </c>
      <c r="W80" s="87">
        <f>IF(AV80="","",AV80)</f>
        <v>0</v>
      </c>
      <c r="AA80" s="85" t="s">
        <v>1814</v>
      </c>
      <c r="AB80" s="86"/>
      <c r="AC80" s="86"/>
      <c r="AD80" s="124">
        <f>SUM(AD67:AD79)</f>
        <v>0</v>
      </c>
      <c r="AE80" s="86"/>
      <c r="AF80" s="124">
        <f>SUM(AF67:AF79)</f>
        <v>0</v>
      </c>
      <c r="AG80" s="86"/>
      <c r="AH80" s="124">
        <f>SUM(AH67:AH79)</f>
        <v>0</v>
      </c>
      <c r="AI80" s="86"/>
      <c r="AJ80" s="124">
        <f>SUM(AJ67:AJ79)</f>
        <v>0</v>
      </c>
      <c r="AK80" s="86"/>
      <c r="AL80" s="124">
        <f>SUM(AL67:AL79)</f>
        <v>0</v>
      </c>
      <c r="AM80" s="86"/>
      <c r="AN80" s="124">
        <f>SUM(AN67:AN79)</f>
        <v>0</v>
      </c>
      <c r="AO80" s="86"/>
      <c r="AP80" s="124">
        <f>SUM(AP67:AP79)</f>
        <v>0</v>
      </c>
      <c r="AQ80" s="86"/>
      <c r="AR80" s="124">
        <f>SUM(AR67:AR79)</f>
        <v>0</v>
      </c>
      <c r="AS80" s="86"/>
      <c r="AT80" s="124">
        <f>SUM(AT67:AT79)</f>
        <v>0</v>
      </c>
      <c r="AU80" s="86"/>
      <c r="AV80" s="125">
        <f>SUM(AV67:AV79)</f>
        <v>0</v>
      </c>
      <c r="AW80" s="101"/>
      <c r="AX80" s="102"/>
      <c r="BA80" s="212">
        <f>+AV80</f>
        <v>0</v>
      </c>
      <c r="BB80" s="213">
        <f>+AU79</f>
        <v>0</v>
      </c>
      <c r="BC80" s="214">
        <f>+AA62</f>
        <v>3</v>
      </c>
      <c r="BF80" s="215">
        <f>SUM(BF61:BF79)</f>
        <v>0</v>
      </c>
      <c r="BQ80" s="212">
        <f>+BB80/1000000+BA80</f>
        <v>0</v>
      </c>
      <c r="BR80" s="214">
        <f>RANK(BQ80,BQ:BQ)</f>
        <v>1</v>
      </c>
      <c r="BV80" s="214"/>
      <c r="BZ80" s="214"/>
    </row>
    <row r="81" spans="1:78" ht="11.25" customHeight="1" x14ac:dyDescent="0.3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35">
      <c r="B82" s="88" t="str">
        <f t="shared" ref="B82:Q82" si="100">IF(AA82=0,"",AA82)</f>
        <v>Gegner-Nr.:</v>
      </c>
      <c r="C82" s="89" t="str">
        <f t="shared" si="100"/>
        <v>&gt;&gt;&gt;&gt;</v>
      </c>
      <c r="D82" s="346">
        <f t="shared" si="100"/>
        <v>6</v>
      </c>
      <c r="E82" s="346" t="str">
        <f t="shared" si="100"/>
        <v/>
      </c>
      <c r="F82" s="346">
        <f t="shared" si="100"/>
        <v>9</v>
      </c>
      <c r="G82" s="346" t="str">
        <f t="shared" si="100"/>
        <v/>
      </c>
      <c r="H82" s="346">
        <f t="shared" si="100"/>
        <v>10</v>
      </c>
      <c r="I82" s="346" t="str">
        <f t="shared" si="100"/>
        <v/>
      </c>
      <c r="J82" s="346">
        <f t="shared" si="100"/>
        <v>1</v>
      </c>
      <c r="K82" s="346" t="str">
        <f t="shared" si="100"/>
        <v/>
      </c>
      <c r="L82" s="346">
        <f t="shared" si="100"/>
        <v>8</v>
      </c>
      <c r="M82" s="346" t="str">
        <f t="shared" si="100"/>
        <v/>
      </c>
      <c r="N82" s="346">
        <f t="shared" si="100"/>
        <v>5</v>
      </c>
      <c r="O82" s="346" t="str">
        <f t="shared" si="100"/>
        <v/>
      </c>
      <c r="P82" s="346">
        <f t="shared" si="100"/>
        <v>2</v>
      </c>
      <c r="Q82" s="346" t="str">
        <f t="shared" si="100"/>
        <v/>
      </c>
      <c r="R82" s="346">
        <f t="shared" ref="L82:U84" si="101">IF(AQ82=0,"",AQ82)</f>
        <v>7</v>
      </c>
      <c r="S82" s="346" t="str">
        <f t="shared" si="101"/>
        <v/>
      </c>
      <c r="T82" s="346">
        <f t="shared" si="101"/>
        <v>4</v>
      </c>
      <c r="U82" s="346" t="str">
        <f t="shared" si="101"/>
        <v/>
      </c>
      <c r="V82" s="347"/>
      <c r="W82" s="347"/>
      <c r="AA82" s="88" t="s">
        <v>1797</v>
      </c>
      <c r="AB82" s="89" t="s">
        <v>1798</v>
      </c>
      <c r="AC82" s="370">
        <f>VLOOKUP($AA62,Schlüssel!$A$5:$DG$14,103)</f>
        <v>6</v>
      </c>
      <c r="AD82" s="371"/>
      <c r="AE82" s="370">
        <f>VLOOKUP($AA62,Schlüssel!$A$5:$EK$14,104)</f>
        <v>9</v>
      </c>
      <c r="AF82" s="371"/>
      <c r="AG82" s="370">
        <f>VLOOKUP($AA62,Schlüssel!$A$5:$EK$14,105)</f>
        <v>10</v>
      </c>
      <c r="AH82" s="371"/>
      <c r="AI82" s="370">
        <f>VLOOKUP($AA62,Schlüssel!$A$5:$EK$14,106)</f>
        <v>1</v>
      </c>
      <c r="AJ82" s="371"/>
      <c r="AK82" s="370">
        <f>VLOOKUP($AA62,Schlüssel!$A$5:$EK$14,107)</f>
        <v>8</v>
      </c>
      <c r="AL82" s="371"/>
      <c r="AM82" s="370">
        <f>VLOOKUP($AA62,Schlüssel!$A$5:$EK$14,108)</f>
        <v>5</v>
      </c>
      <c r="AN82" s="371"/>
      <c r="AO82" s="370">
        <f>VLOOKUP($AA62,Schlüssel!$A$5:$EK$14,109)</f>
        <v>2</v>
      </c>
      <c r="AP82" s="371"/>
      <c r="AQ82" s="370">
        <f>VLOOKUP($AA62,Schlüssel!$A$5:$EK$14,110)</f>
        <v>7</v>
      </c>
      <c r="AR82" s="371"/>
      <c r="AS82" s="370">
        <f>VLOOKUP($AA62,Schlüssel!$A$5:$EK$14,111)</f>
        <v>4</v>
      </c>
      <c r="AT82" s="371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35">
      <c r="B83" s="90" t="str">
        <f t="shared" ref="B83:K84" si="102">IF(AA83=0,"",AA83)</f>
        <v/>
      </c>
      <c r="C83" s="86" t="str">
        <f t="shared" si="102"/>
        <v/>
      </c>
      <c r="D83" s="343" t="str">
        <f t="shared" si="102"/>
        <v>Phönix 03 Lauf</v>
      </c>
      <c r="E83" s="344" t="str">
        <f t="shared" si="102"/>
        <v/>
      </c>
      <c r="F83" s="343" t="str">
        <f t="shared" si="102"/>
        <v>RW Lichtenhof 69 Stein 2</v>
      </c>
      <c r="G83" s="344" t="str">
        <f t="shared" si="102"/>
        <v/>
      </c>
      <c r="H83" s="343" t="str">
        <f t="shared" si="102"/>
        <v>BK München 4</v>
      </c>
      <c r="I83" s="344" t="str">
        <f t="shared" si="102"/>
        <v/>
      </c>
      <c r="J83" s="343" t="str">
        <f t="shared" si="102"/>
        <v>Praetoria Regensburg</v>
      </c>
      <c r="K83" s="344" t="str">
        <f t="shared" si="102"/>
        <v/>
      </c>
      <c r="L83" s="343" t="str">
        <f t="shared" si="101"/>
        <v>EPA München 1</v>
      </c>
      <c r="M83" s="344" t="str">
        <f t="shared" si="101"/>
        <v/>
      </c>
      <c r="N83" s="343" t="str">
        <f t="shared" si="101"/>
        <v xml:space="preserve">Weiß Blau Unterföhring </v>
      </c>
      <c r="O83" s="344" t="str">
        <f t="shared" si="101"/>
        <v/>
      </c>
      <c r="P83" s="343" t="str">
        <f t="shared" si="101"/>
        <v>BK München 2</v>
      </c>
      <c r="Q83" s="344" t="str">
        <f t="shared" si="101"/>
        <v/>
      </c>
      <c r="R83" s="343" t="str">
        <f t="shared" si="101"/>
        <v>Frankenpower Nürnberg</v>
      </c>
      <c r="S83" s="344" t="str">
        <f t="shared" si="101"/>
        <v/>
      </c>
      <c r="T83" s="343" t="str">
        <f t="shared" si="101"/>
        <v>BK München 3</v>
      </c>
      <c r="U83" s="344" t="str">
        <f t="shared" si="101"/>
        <v/>
      </c>
      <c r="V83" s="345"/>
      <c r="W83" s="345"/>
      <c r="AA83" s="90"/>
      <c r="AB83" s="86"/>
      <c r="AC83" s="343" t="str">
        <f>VLOOKUP(AC82,Schlüssel!$A$5:$K$14,2)</f>
        <v>Phönix 03 Lauf</v>
      </c>
      <c r="AD83" s="344"/>
      <c r="AE83" s="343" t="str">
        <f>VLOOKUP(AE82,Schlüssel!$A$5:$K$14,2)</f>
        <v>RW Lichtenhof 69 Stein 2</v>
      </c>
      <c r="AF83" s="344"/>
      <c r="AG83" s="343" t="str">
        <f>VLOOKUP(AG82,Schlüssel!$A$5:$K$14,2)</f>
        <v>BK München 4</v>
      </c>
      <c r="AH83" s="344"/>
      <c r="AI83" s="343" t="str">
        <f>VLOOKUP(AI82,Schlüssel!$A$5:$K$14,2)</f>
        <v>Praetoria Regensburg</v>
      </c>
      <c r="AJ83" s="344"/>
      <c r="AK83" s="343" t="str">
        <f>VLOOKUP(AK82,Schlüssel!$A$5:$K$14,2)</f>
        <v>EPA München 1</v>
      </c>
      <c r="AL83" s="344"/>
      <c r="AM83" s="343" t="str">
        <f>VLOOKUP(AM82,Schlüssel!$A$5:$K$14,2)</f>
        <v xml:space="preserve">Weiß Blau Unterföhring </v>
      </c>
      <c r="AN83" s="344"/>
      <c r="AO83" s="343" t="str">
        <f>VLOOKUP(AO82,Schlüssel!$A$5:$K$14,2)</f>
        <v>BK München 2</v>
      </c>
      <c r="AP83" s="344"/>
      <c r="AQ83" s="343" t="str">
        <f>VLOOKUP(AQ82,Schlüssel!$A$5:$K$14,2)</f>
        <v>Frankenpower Nürnberg</v>
      </c>
      <c r="AR83" s="344"/>
      <c r="AS83" s="343" t="str">
        <f>VLOOKUP(AS82,Schlüssel!$A$5:$K$14,2)</f>
        <v>BK München 3</v>
      </c>
      <c r="AT83" s="344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35">
      <c r="B84" s="90" t="str">
        <f t="shared" si="102"/>
        <v/>
      </c>
      <c r="C84" s="86" t="str">
        <f t="shared" si="102"/>
        <v/>
      </c>
      <c r="D84" s="341" t="str">
        <f t="shared" si="102"/>
        <v/>
      </c>
      <c r="E84" s="341" t="str">
        <f t="shared" si="102"/>
        <v/>
      </c>
      <c r="F84" s="341" t="str">
        <f t="shared" si="102"/>
        <v/>
      </c>
      <c r="G84" s="341" t="str">
        <f t="shared" si="102"/>
        <v/>
      </c>
      <c r="H84" s="341" t="str">
        <f t="shared" si="102"/>
        <v/>
      </c>
      <c r="I84" s="341" t="str">
        <f t="shared" si="102"/>
        <v/>
      </c>
      <c r="J84" s="341" t="str">
        <f t="shared" si="102"/>
        <v/>
      </c>
      <c r="K84" s="341" t="str">
        <f t="shared" si="102"/>
        <v/>
      </c>
      <c r="L84" s="341" t="str">
        <f t="shared" si="101"/>
        <v/>
      </c>
      <c r="M84" s="341" t="str">
        <f t="shared" si="101"/>
        <v/>
      </c>
      <c r="N84" s="341" t="str">
        <f t="shared" si="101"/>
        <v/>
      </c>
      <c r="O84" s="341" t="str">
        <f t="shared" si="101"/>
        <v/>
      </c>
      <c r="P84" s="341" t="str">
        <f t="shared" si="101"/>
        <v/>
      </c>
      <c r="Q84" s="341" t="str">
        <f t="shared" si="101"/>
        <v/>
      </c>
      <c r="R84" s="341" t="str">
        <f t="shared" si="101"/>
        <v/>
      </c>
      <c r="S84" s="341" t="str">
        <f t="shared" si="101"/>
        <v/>
      </c>
      <c r="T84" s="341" t="str">
        <f t="shared" si="101"/>
        <v/>
      </c>
      <c r="U84" s="342" t="str">
        <f t="shared" si="101"/>
        <v/>
      </c>
      <c r="V84" s="301"/>
      <c r="W84" s="301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6.05" customHeight="1" x14ac:dyDescent="0.35">
      <c r="B85" s="365" t="str">
        <f t="shared" ref="B85:C89" si="103">IF(AA85=0,"",AA85)</f>
        <v>Spieler 1</v>
      </c>
      <c r="C85" s="366" t="str">
        <f t="shared" si="103"/>
        <v/>
      </c>
      <c r="D85" s="339">
        <f>IF(AC85=301,"",AC85)</f>
        <v>0</v>
      </c>
      <c r="E85" s="339" t="str">
        <f>IF(AD85=0,"",AD85)</f>
        <v/>
      </c>
      <c r="F85" s="339">
        <f>IF(AE85=301,"",AE85)</f>
        <v>0</v>
      </c>
      <c r="G85" s="339" t="str">
        <f>IF(AF85=0,"",AF85)</f>
        <v/>
      </c>
      <c r="H85" s="339">
        <f>IF(AG85=301,"",AG85)</f>
        <v>0</v>
      </c>
      <c r="I85" s="339" t="str">
        <f>IF(AH85=0,"",AH85)</f>
        <v/>
      </c>
      <c r="J85" s="339">
        <f>IF(AI85=301,"",AI85)</f>
        <v>0</v>
      </c>
      <c r="K85" s="339" t="str">
        <f>IF(AJ85=0,"",AJ85)</f>
        <v/>
      </c>
      <c r="L85" s="339">
        <f>IF(AK85=301,"",AK85)</f>
        <v>0</v>
      </c>
      <c r="M85" s="339" t="str">
        <f>IF(AL85=0,"",AL85)</f>
        <v/>
      </c>
      <c r="N85" s="339">
        <f>IF(AM85=301,"",AM85)</f>
        <v>0</v>
      </c>
      <c r="O85" s="339" t="str">
        <f>IF(AN85=0,"",AN85)</f>
        <v/>
      </c>
      <c r="P85" s="339">
        <f>IF(AO85=301,"",AO85)</f>
        <v>0</v>
      </c>
      <c r="Q85" s="339" t="str">
        <f>IF(AP85=0,"",AP85)</f>
        <v/>
      </c>
      <c r="R85" s="339">
        <f>IF(AQ85=301,"",AQ85)</f>
        <v>0</v>
      </c>
      <c r="S85" s="339" t="str">
        <f>IF(AR85=0,"",AR85)</f>
        <v/>
      </c>
      <c r="T85" s="339">
        <f>IF(AS85=301,"",AS85)</f>
        <v>0</v>
      </c>
      <c r="U85" s="339" t="str">
        <f>IF(AT85=0,"",AT85)</f>
        <v/>
      </c>
      <c r="V85" s="340"/>
      <c r="W85" s="340"/>
      <c r="AA85" s="91" t="s">
        <v>0</v>
      </c>
      <c r="AB85" s="92"/>
      <c r="AC85" s="372">
        <f>ABS(INDEX(AC:AC,MATCH(AC82,$AA:$AA,0)+5)+INDEX(AC:AC,MATCH(AC82,$AA:$AA,0)+6)+INDEX(AC:AC,MATCH(AC82,$AA:$AA,0)+7))</f>
        <v>0</v>
      </c>
      <c r="AD85" s="373"/>
      <c r="AE85" s="372">
        <f>ABS(INDEX(AE:AE,MATCH(AE82,$AA:$AA,0)+5)+INDEX(AE:AE,MATCH(AE82,$AA:$AA,0)+6)+INDEX(AE:AE,MATCH(AE82,$AA:$AA,0)+7))</f>
        <v>0</v>
      </c>
      <c r="AF85" s="373"/>
      <c r="AG85" s="372">
        <f>ABS(INDEX(AG:AG,MATCH(AG82,$AA:$AA,0)+5)+INDEX(AG:AG,MATCH(AG82,$AA:$AA,0)+6)+INDEX(AG:AG,MATCH(AG82,$AA:$AA,0)+7))</f>
        <v>0</v>
      </c>
      <c r="AH85" s="373"/>
      <c r="AI85" s="372">
        <f>ABS(INDEX(AI:AI,MATCH(AI82,$AA:$AA,0)+5)+INDEX(AI:AI,MATCH(AI82,$AA:$AA,0)+6)+INDEX(AI:AI,MATCH(AI82,$AA:$AA,0)+7))</f>
        <v>0</v>
      </c>
      <c r="AJ85" s="373"/>
      <c r="AK85" s="372">
        <f>ABS(INDEX(AK:AK,MATCH(AK82,$AA:$AA,0)+5)+INDEX(AK:AK,MATCH(AK82,$AA:$AA,0)+6)+INDEX(AK:AK,MATCH(AK82,$AA:$AA,0)+7))</f>
        <v>0</v>
      </c>
      <c r="AL85" s="373"/>
      <c r="AM85" s="372">
        <f>ABS(INDEX(AM:AM,MATCH(AM82,$AA:$AA,0)+5)+INDEX(AM:AM,MATCH(AM82,$AA:$AA,0)+6)+INDEX(AM:AM,MATCH(AM82,$AA:$AA,0)+7))</f>
        <v>0</v>
      </c>
      <c r="AN85" s="373"/>
      <c r="AO85" s="372">
        <f>ABS(INDEX(AO:AO,MATCH(AO82,$AA:$AA,0)+5)+INDEX(AO:AO,MATCH(AO82,$AA:$AA,0)+6)+INDEX(AO:AO,MATCH(AO82,$AA:$AA,0)+7))</f>
        <v>0</v>
      </c>
      <c r="AP85" s="373"/>
      <c r="AQ85" s="372">
        <f>ABS(INDEX(AQ:AQ,MATCH(AQ82,$AA:$AA,0)+5)+INDEX(AQ:AQ,MATCH(AQ82,$AA:$AA,0)+6)+INDEX(AQ:AQ,MATCH(AQ82,$AA:$AA,0)+7))</f>
        <v>0</v>
      </c>
      <c r="AR85" s="373"/>
      <c r="AS85" s="372">
        <f>ABS(INDEX(AS:AS,MATCH(AS82,$AA:$AA,0)+5)+INDEX(AS:AS,MATCH(AS82,$AA:$AA,0)+6)+INDEX(AS:AS,MATCH(AS82,$AA:$AA,0)+7))</f>
        <v>0</v>
      </c>
      <c r="AT85" s="373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6.05" customHeight="1" x14ac:dyDescent="0.35">
      <c r="B86" s="365" t="str">
        <f t="shared" si="103"/>
        <v>Spieler 2</v>
      </c>
      <c r="C86" s="366" t="str">
        <f t="shared" si="103"/>
        <v/>
      </c>
      <c r="D86" s="339">
        <f>IF(AC86=301,"",AC86)</f>
        <v>0</v>
      </c>
      <c r="E86" s="339" t="str">
        <f>IF(AD86=0,"",AD86)</f>
        <v/>
      </c>
      <c r="F86" s="339">
        <f>IF(AE86=301,"",AE86)</f>
        <v>0</v>
      </c>
      <c r="G86" s="339" t="str">
        <f>IF(AF86=0,"",AF86)</f>
        <v/>
      </c>
      <c r="H86" s="339">
        <f>IF(AG86=301,"",AG86)</f>
        <v>0</v>
      </c>
      <c r="I86" s="339" t="str">
        <f>IF(AH86=0,"",AH86)</f>
        <v/>
      </c>
      <c r="J86" s="339">
        <f>IF(AI86=301,"",AI86)</f>
        <v>0</v>
      </c>
      <c r="K86" s="339" t="str">
        <f>IF(AJ86=0,"",AJ86)</f>
        <v/>
      </c>
      <c r="L86" s="339">
        <f>IF(AK86=301,"",AK86)</f>
        <v>0</v>
      </c>
      <c r="M86" s="339" t="str">
        <f>IF(AL86=0,"",AL86)</f>
        <v/>
      </c>
      <c r="N86" s="339">
        <f>IF(AM86=301,"",AM86)</f>
        <v>0</v>
      </c>
      <c r="O86" s="339" t="str">
        <f>IF(AN86=0,"",AN86)</f>
        <v/>
      </c>
      <c r="P86" s="339">
        <f>IF(AO86=301,"",AO86)</f>
        <v>0</v>
      </c>
      <c r="Q86" s="339" t="str">
        <f>IF(AP86=0,"",AP86)</f>
        <v/>
      </c>
      <c r="R86" s="339">
        <f>IF(AQ86=301,"",AQ86)</f>
        <v>0</v>
      </c>
      <c r="S86" s="339" t="str">
        <f>IF(AR86=0,"",AR86)</f>
        <v/>
      </c>
      <c r="T86" s="339">
        <f>IF(AS86=301,"",AS86)</f>
        <v>0</v>
      </c>
      <c r="U86" s="339" t="str">
        <f>IF(AT86=0,"",AT86)</f>
        <v/>
      </c>
      <c r="V86" s="340"/>
      <c r="W86" s="340"/>
      <c r="AA86" s="91" t="s">
        <v>2</v>
      </c>
      <c r="AB86" s="92"/>
      <c r="AC86" s="374">
        <f>ABS(INDEX(AC:AC,MATCH(AC82,$AA:$AA,0)+8)+INDEX(AC:AC,MATCH(AC82,$AA:$AA,0)+9)+INDEX(AC:AC,MATCH(AC82,$AA:$AA,0)+10))</f>
        <v>0</v>
      </c>
      <c r="AD86" s="375"/>
      <c r="AE86" s="374">
        <f>ABS(INDEX(AE:AE,MATCH(AE82,$AA:$AA,0)+8)+INDEX(AE:AE,MATCH(AE82,$AA:$AA,0)+9)+INDEX(AE:AE,MATCH(AE82,$AA:$AA,0)+10))</f>
        <v>0</v>
      </c>
      <c r="AF86" s="375"/>
      <c r="AG86" s="374">
        <f>ABS(INDEX(AG:AG,MATCH(AG82,$AA:$AA,0)+8)+INDEX(AG:AG,MATCH(AG82,$AA:$AA,0)+9)+INDEX(AG:AG,MATCH(AG82,$AA:$AA,0)+10))</f>
        <v>0</v>
      </c>
      <c r="AH86" s="375"/>
      <c r="AI86" s="374">
        <f>ABS(INDEX(AI:AI,MATCH(AI82,$AA:$AA,0)+8)+INDEX(AI:AI,MATCH(AI82,$AA:$AA,0)+9)+INDEX(AI:AI,MATCH(AI82,$AA:$AA,0)+10))</f>
        <v>0</v>
      </c>
      <c r="AJ86" s="375"/>
      <c r="AK86" s="374">
        <f>ABS(INDEX(AK:AK,MATCH(AK82,$AA:$AA,0)+8)+INDEX(AK:AK,MATCH(AK82,$AA:$AA,0)+9)+INDEX(AK:AK,MATCH(AK82,$AA:$AA,0)+10))</f>
        <v>0</v>
      </c>
      <c r="AL86" s="375"/>
      <c r="AM86" s="374">
        <f>ABS(INDEX(AM:AM,MATCH(AM82,$AA:$AA,0)+8)+INDEX(AM:AM,MATCH(AM82,$AA:$AA,0)+9)+INDEX(AM:AM,MATCH(AM82,$AA:$AA,0)+10))</f>
        <v>0</v>
      </c>
      <c r="AN86" s="375"/>
      <c r="AO86" s="374">
        <f>ABS(INDEX(AO:AO,MATCH(AO82,$AA:$AA,0)+8)+INDEX(AO:AO,MATCH(AO82,$AA:$AA,0)+9)+INDEX(AO:AO,MATCH(AO82,$AA:$AA,0)+10))</f>
        <v>0</v>
      </c>
      <c r="AP86" s="375"/>
      <c r="AQ86" s="374">
        <f>ABS(INDEX(AQ:AQ,MATCH(AQ82,$AA:$AA,0)+8)+INDEX(AQ:AQ,MATCH(AQ82,$AA:$AA,0)+9)+INDEX(AQ:AQ,MATCH(AQ82,$AA:$AA,0)+10))</f>
        <v>0</v>
      </c>
      <c r="AR86" s="375"/>
      <c r="AS86" s="374">
        <f>ABS(INDEX(AS:AS,MATCH(AS82,$AA:$AA,0)+8)+INDEX(AS:AS,MATCH(AS82,$AA:$AA,0)+9)+INDEX(AS:AS,MATCH(AS82,$AA:$AA,0)+10))</f>
        <v>0</v>
      </c>
      <c r="AT86" s="375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6.05" customHeight="1" x14ac:dyDescent="0.35">
      <c r="B87" s="365" t="str">
        <f t="shared" si="103"/>
        <v>Spieler 3</v>
      </c>
      <c r="C87" s="366" t="str">
        <f t="shared" si="103"/>
        <v/>
      </c>
      <c r="D87" s="339">
        <f>IF(AC87=301,"",AC87)</f>
        <v>0</v>
      </c>
      <c r="E87" s="339" t="str">
        <f>IF(AD87=0,"",AD87)</f>
        <v/>
      </c>
      <c r="F87" s="339">
        <f>IF(AE87=301,"",AE87)</f>
        <v>0</v>
      </c>
      <c r="G87" s="339" t="str">
        <f>IF(AF87=0,"",AF87)</f>
        <v/>
      </c>
      <c r="H87" s="339">
        <f>IF(AG87=301,"",AG87)</f>
        <v>0</v>
      </c>
      <c r="I87" s="339" t="str">
        <f>IF(AH87=0,"",AH87)</f>
        <v/>
      </c>
      <c r="J87" s="339">
        <f>IF(AI87=301,"",AI87)</f>
        <v>0</v>
      </c>
      <c r="K87" s="339" t="str">
        <f>IF(AJ87=0,"",AJ87)</f>
        <v/>
      </c>
      <c r="L87" s="339">
        <f>IF(AK87=301,"",AK87)</f>
        <v>0</v>
      </c>
      <c r="M87" s="339" t="str">
        <f>IF(AL87=0,"",AL87)</f>
        <v/>
      </c>
      <c r="N87" s="339">
        <f>IF(AM87=301,"",AM87)</f>
        <v>0</v>
      </c>
      <c r="O87" s="339" t="str">
        <f>IF(AN87=0,"",AN87)</f>
        <v/>
      </c>
      <c r="P87" s="339">
        <f>IF(AO87=301,"",AO87)</f>
        <v>0</v>
      </c>
      <c r="Q87" s="339" t="str">
        <f>IF(AP87=0,"",AP87)</f>
        <v/>
      </c>
      <c r="R87" s="339">
        <f>IF(AQ87=301,"",AQ87)</f>
        <v>0</v>
      </c>
      <c r="S87" s="339" t="str">
        <f>IF(AR87=0,"",AR87)</f>
        <v/>
      </c>
      <c r="T87" s="339">
        <f>IF(AS87=301,"",AS87)</f>
        <v>0</v>
      </c>
      <c r="U87" s="339" t="str">
        <f>IF(AT87=0,"",AT87)</f>
        <v/>
      </c>
      <c r="V87" s="340"/>
      <c r="W87" s="340"/>
      <c r="AA87" s="91" t="s">
        <v>3</v>
      </c>
      <c r="AB87" s="92"/>
      <c r="AC87" s="374">
        <f>ABS(INDEX(AC:AC,MATCH(AC82,$AA:$AA,0)+11)+INDEX(AC:AC,MATCH(AC82,$AA:$AA,0)+12)+INDEX(AC:AC,MATCH(AC82,$AA:$AA,0)+13))</f>
        <v>0</v>
      </c>
      <c r="AD87" s="375"/>
      <c r="AE87" s="374">
        <f>ABS(INDEX(AE:AE,MATCH(AE82,$AA:$AA,0)+11)+INDEX(AE:AE,MATCH(AE82,$AA:$AA,0)+12)+INDEX(AE:AE,MATCH(AE82,$AA:$AA,0)+13))</f>
        <v>0</v>
      </c>
      <c r="AF87" s="375"/>
      <c r="AG87" s="374">
        <f>ABS(INDEX(AG:AG,MATCH(AG82,$AA:$AA,0)+11)+INDEX(AG:AG,MATCH(AG82,$AA:$AA,0)+12)+INDEX(AG:AG,MATCH(AG82,$AA:$AA,0)+13))</f>
        <v>0</v>
      </c>
      <c r="AH87" s="375"/>
      <c r="AI87" s="374">
        <f>ABS(INDEX(AI:AI,MATCH(AI82,$AA:$AA,0)+11)+INDEX(AI:AI,MATCH(AI82,$AA:$AA,0)+12)+INDEX(AI:AI,MATCH(AI82,$AA:$AA,0)+13))</f>
        <v>0</v>
      </c>
      <c r="AJ87" s="375"/>
      <c r="AK87" s="374">
        <f>ABS(INDEX(AK:AK,MATCH(AK82,$AA:$AA,0)+11)+INDEX(AK:AK,MATCH(AK82,$AA:$AA,0)+12)+INDEX(AK:AK,MATCH(AK82,$AA:$AA,0)+13))</f>
        <v>0</v>
      </c>
      <c r="AL87" s="375"/>
      <c r="AM87" s="374">
        <f>ABS(INDEX(AM:AM,MATCH(AM82,$AA:$AA,0)+11)+INDEX(AM:AM,MATCH(AM82,$AA:$AA,0)+12)+INDEX(AM:AM,MATCH(AM82,$AA:$AA,0)+13))</f>
        <v>0</v>
      </c>
      <c r="AN87" s="375"/>
      <c r="AO87" s="374">
        <f>ABS(INDEX(AO:AO,MATCH(AO82,$AA:$AA,0)+11)+INDEX(AO:AO,MATCH(AO82,$AA:$AA,0)+12)+INDEX(AO:AO,MATCH(AO82,$AA:$AA,0)+13))</f>
        <v>0</v>
      </c>
      <c r="AP87" s="375"/>
      <c r="AQ87" s="374">
        <f>ABS(INDEX(AQ:AQ,MATCH(AQ82,$AA:$AA,0)+11)+INDEX(AQ:AQ,MATCH(AQ82,$AA:$AA,0)+12)+INDEX(AQ:AQ,MATCH(AQ82,$AA:$AA,0)+13))</f>
        <v>0</v>
      </c>
      <c r="AR87" s="375"/>
      <c r="AS87" s="374">
        <f>ABS(INDEX(AS:AS,MATCH(AS82,$AA:$AA,0)+11)+INDEX(AS:AS,MATCH(AS82,$AA:$AA,0)+12)+INDEX(AS:AS,MATCH(AS82,$AA:$AA,0)+13))</f>
        <v>0</v>
      </c>
      <c r="AT87" s="375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6.05" customHeight="1" x14ac:dyDescent="0.35">
      <c r="B88" s="365" t="str">
        <f t="shared" si="103"/>
        <v>Spieler 4</v>
      </c>
      <c r="C88" s="366" t="str">
        <f t="shared" si="103"/>
        <v/>
      </c>
      <c r="D88" s="339">
        <f>IF(AC88=301,"",AC88)</f>
        <v>0</v>
      </c>
      <c r="E88" s="339" t="str">
        <f>IF(AD88=0,"",AD88)</f>
        <v/>
      </c>
      <c r="F88" s="339">
        <f>IF(AE88=301,"",AE88)</f>
        <v>0</v>
      </c>
      <c r="G88" s="339" t="str">
        <f>IF(AF88=0,"",AF88)</f>
        <v/>
      </c>
      <c r="H88" s="339">
        <f>IF(AG88=301,"",AG88)</f>
        <v>0</v>
      </c>
      <c r="I88" s="339" t="str">
        <f>IF(AH88=0,"",AH88)</f>
        <v/>
      </c>
      <c r="J88" s="339">
        <f>IF(AI88=301,"",AI88)</f>
        <v>0</v>
      </c>
      <c r="K88" s="339" t="str">
        <f>IF(AJ88=0,"",AJ88)</f>
        <v/>
      </c>
      <c r="L88" s="339">
        <f>IF(AK88=301,"",AK88)</f>
        <v>0</v>
      </c>
      <c r="M88" s="339" t="str">
        <f>IF(AL88=0,"",AL88)</f>
        <v/>
      </c>
      <c r="N88" s="339">
        <f>IF(AM88=301,"",AM88)</f>
        <v>0</v>
      </c>
      <c r="O88" s="339" t="str">
        <f>IF(AN88=0,"",AN88)</f>
        <v/>
      </c>
      <c r="P88" s="339">
        <f>IF(AO88=301,"",AO88)</f>
        <v>0</v>
      </c>
      <c r="Q88" s="339" t="str">
        <f>IF(AP88=0,"",AP88)</f>
        <v/>
      </c>
      <c r="R88" s="339">
        <f>IF(AQ88=301,"",AQ88)</f>
        <v>0</v>
      </c>
      <c r="S88" s="339" t="str">
        <f>IF(AR88=0,"",AR88)</f>
        <v/>
      </c>
      <c r="T88" s="339">
        <f>IF(AS88=301,"",AS88)</f>
        <v>0</v>
      </c>
      <c r="U88" s="339" t="str">
        <f>IF(AT88=0,"",AT88)</f>
        <v/>
      </c>
      <c r="V88" s="340"/>
      <c r="W88" s="340"/>
      <c r="AA88" s="91" t="s">
        <v>11</v>
      </c>
      <c r="AB88" s="92"/>
      <c r="AC88" s="374">
        <f>ABS(INDEX(AC:AC,MATCH(AC82,$AA:$AA,0)+14)+INDEX(AC:AC,MATCH(AC82,$AA:$AA,0)+15)+INDEX(AC:AC,MATCH(AC82,$AA:$AA,0)+16))</f>
        <v>0</v>
      </c>
      <c r="AD88" s="375"/>
      <c r="AE88" s="374">
        <f>ABS(INDEX(AE:AE,MATCH(AE82,$AA:$AA,0)+14)+INDEX(AE:AE,MATCH(AE82,$AA:$AA,0)+15)+INDEX(AE:AE,MATCH(AE82,$AA:$AA,0)+16))</f>
        <v>0</v>
      </c>
      <c r="AF88" s="375"/>
      <c r="AG88" s="374">
        <f>ABS(INDEX(AG:AG,MATCH(AG82,$AA:$AA,0)+14)+INDEX(AG:AG,MATCH(AG82,$AA:$AA,0)+15)+INDEX(AG:AG,MATCH(AG82,$AA:$AA,0)+16))</f>
        <v>0</v>
      </c>
      <c r="AH88" s="375"/>
      <c r="AI88" s="374">
        <f>ABS(INDEX(AI:AI,MATCH(AI82,$AA:$AA,0)+14)+INDEX(AI:AI,MATCH(AI82,$AA:$AA,0)+15)+INDEX(AI:AI,MATCH(AI82,$AA:$AA,0)+16))</f>
        <v>0</v>
      </c>
      <c r="AJ88" s="375"/>
      <c r="AK88" s="374">
        <f>ABS(INDEX(AK:AK,MATCH(AK82,$AA:$AA,0)+14)+INDEX(AK:AK,MATCH(AK82,$AA:$AA,0)+15)+INDEX(AK:AK,MATCH(AK82,$AA:$AA,0)+16))</f>
        <v>0</v>
      </c>
      <c r="AL88" s="375"/>
      <c r="AM88" s="374">
        <f>ABS(INDEX(AM:AM,MATCH(AM82,$AA:$AA,0)+14)+INDEX(AM:AM,MATCH(AM82,$AA:$AA,0)+15)+INDEX(AM:AM,MATCH(AM82,$AA:$AA,0)+16))</f>
        <v>0</v>
      </c>
      <c r="AN88" s="375"/>
      <c r="AO88" s="374">
        <f>ABS(INDEX(AO:AO,MATCH(AO82,$AA:$AA,0)+14)+INDEX(AO:AO,MATCH(AO82,$AA:$AA,0)+15)+INDEX(AO:AO,MATCH(AO82,$AA:$AA,0)+16))</f>
        <v>0</v>
      </c>
      <c r="AP88" s="375"/>
      <c r="AQ88" s="374">
        <f>ABS(INDEX(AQ:AQ,MATCH(AQ82,$AA:$AA,0)+14)+INDEX(AQ:AQ,MATCH(AQ82,$AA:$AA,0)+15)+INDEX(AQ:AQ,MATCH(AQ82,$AA:$AA,0)+16))</f>
        <v>0</v>
      </c>
      <c r="AR88" s="375"/>
      <c r="AS88" s="374">
        <f>ABS(INDEX(AS:AS,MATCH(AS82,$AA:$AA,0)+14)+INDEX(AS:AS,MATCH(AS82,$AA:$AA,0)+15)+INDEX(AS:AS,MATCH(AS82,$AA:$AA,0)+16))</f>
        <v>0</v>
      </c>
      <c r="AT88" s="375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6.05" customHeight="1" x14ac:dyDescent="0.35">
      <c r="B89" s="354" t="str">
        <f t="shared" si="103"/>
        <v>Gesamt</v>
      </c>
      <c r="C89" s="355" t="str">
        <f t="shared" si="103"/>
        <v/>
      </c>
      <c r="D89" s="338">
        <f>IF(AC89=1505,"",AC89)</f>
        <v>0</v>
      </c>
      <c r="E89" s="338" t="str">
        <f>IF(AD89=0,"",AD89)</f>
        <v/>
      </c>
      <c r="F89" s="338">
        <f>IF(AE89=1505,"",AE89)</f>
        <v>0</v>
      </c>
      <c r="G89" s="338" t="str">
        <f>IF(AF89=0,"",AF89)</f>
        <v/>
      </c>
      <c r="H89" s="338">
        <f>IF(AG89=1505,"",AG89)</f>
        <v>0</v>
      </c>
      <c r="I89" s="338" t="str">
        <f>IF(AH89=0,"",AH89)</f>
        <v/>
      </c>
      <c r="J89" s="338">
        <f>IF(AI89=1505,"",AI89)</f>
        <v>0</v>
      </c>
      <c r="K89" s="338" t="str">
        <f>IF(AJ89=0,"",AJ89)</f>
        <v/>
      </c>
      <c r="L89" s="338">
        <f>IF(AK89=1505,"",AK89)</f>
        <v>0</v>
      </c>
      <c r="M89" s="338" t="str">
        <f>IF(AL89=0,"",AL89)</f>
        <v/>
      </c>
      <c r="N89" s="338">
        <f>IF(AM89=1505,"",AM89)</f>
        <v>0</v>
      </c>
      <c r="O89" s="338" t="str">
        <f>IF(AN89=0,"",AN89)</f>
        <v/>
      </c>
      <c r="P89" s="338">
        <f>IF(AO89=1505,"",AO89)</f>
        <v>0</v>
      </c>
      <c r="Q89" s="338" t="str">
        <f>IF(AP89=0,"",AP89)</f>
        <v/>
      </c>
      <c r="R89" s="338">
        <f>IF(AQ89=1505,"",AQ89)</f>
        <v>0</v>
      </c>
      <c r="S89" s="338" t="str">
        <f>IF(AR89=0,"",AR89)</f>
        <v/>
      </c>
      <c r="T89" s="338">
        <f>IF(AS89=1505,"",AS89)</f>
        <v>0</v>
      </c>
      <c r="U89" s="338" t="str">
        <f>IF(AT89=0,"",AT89)</f>
        <v/>
      </c>
      <c r="V89" s="290"/>
      <c r="W89" s="290"/>
      <c r="AA89" s="93" t="s">
        <v>1799</v>
      </c>
      <c r="AB89" s="94"/>
      <c r="AC89" s="354">
        <f>SUM(AC85:AC88)</f>
        <v>0</v>
      </c>
      <c r="AD89" s="355"/>
      <c r="AE89" s="354">
        <f>SUM(AE85:AE88)</f>
        <v>0</v>
      </c>
      <c r="AF89" s="355"/>
      <c r="AG89" s="354">
        <f>SUM(AG85:AG88)</f>
        <v>0</v>
      </c>
      <c r="AH89" s="355"/>
      <c r="AI89" s="354">
        <f>SUM(AI85:AI88)</f>
        <v>0</v>
      </c>
      <c r="AJ89" s="355"/>
      <c r="AK89" s="354">
        <f>SUM(AK85:AK88)</f>
        <v>0</v>
      </c>
      <c r="AL89" s="355"/>
      <c r="AM89" s="354">
        <f>SUM(AM85:AM88)</f>
        <v>0</v>
      </c>
      <c r="AN89" s="355"/>
      <c r="AO89" s="354">
        <f>SUM(AO85:AO88)</f>
        <v>0</v>
      </c>
      <c r="AP89" s="355"/>
      <c r="AQ89" s="354">
        <f>SUM(AQ85:AQ88)</f>
        <v>0</v>
      </c>
      <c r="AR89" s="355"/>
      <c r="AS89" s="354">
        <f>SUM(AS85:AS88)</f>
        <v>0</v>
      </c>
      <c r="AT89" s="355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3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7">
      <c r="B91" s="44" t="str">
        <f>AA91</f>
        <v>Team-Nr.</v>
      </c>
      <c r="C91" s="45"/>
      <c r="D91" s="44" t="str">
        <f>AC91</f>
        <v>Liga:</v>
      </c>
      <c r="E91" s="47"/>
      <c r="F91" s="359" t="str">
        <f>AE91</f>
        <v>Bayernliga Frauen</v>
      </c>
      <c r="G91" s="359"/>
      <c r="H91" s="359"/>
      <c r="I91" s="359"/>
      <c r="J91" s="359"/>
      <c r="K91" s="359"/>
      <c r="L91" s="359"/>
      <c r="M91" s="359"/>
      <c r="N91" s="359"/>
      <c r="O91" s="359"/>
      <c r="P91" s="359"/>
      <c r="Q91" s="359"/>
      <c r="R91" s="48"/>
      <c r="S91" s="49" t="s">
        <v>1794</v>
      </c>
      <c r="T91" s="50"/>
      <c r="U91" s="360" t="str">
        <f>AT91</f>
        <v>05.04./06.04.</v>
      </c>
      <c r="V91" s="361"/>
      <c r="W91" s="362"/>
      <c r="X91" s="363"/>
      <c r="Y91" s="364"/>
      <c r="Z91" s="364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60" t="str">
        <f>VLOOKUP(AS92,Spielorte!$A$1:$C$6,2)</f>
        <v>05.04./06.04.</v>
      </c>
      <c r="AU91" s="361"/>
      <c r="AV91" s="362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65">
      <c r="B92" s="53">
        <f>AA92</f>
        <v>4</v>
      </c>
      <c r="D92" s="46" t="s">
        <v>1793</v>
      </c>
      <c r="E92" s="54"/>
      <c r="F92" s="358" t="str">
        <f>AE92</f>
        <v>Schweinfurt Extreme Bowlingarena</v>
      </c>
      <c r="G92" s="358"/>
      <c r="H92" s="358"/>
      <c r="I92" s="358"/>
      <c r="J92" s="358"/>
      <c r="K92" s="358"/>
      <c r="L92" s="358"/>
      <c r="M92" s="358"/>
      <c r="N92" s="358"/>
      <c r="O92" s="358"/>
      <c r="P92" s="55"/>
      <c r="Q92" s="55"/>
      <c r="S92" s="49" t="s">
        <v>1791</v>
      </c>
      <c r="T92" s="56">
        <f>AS92</f>
        <v>6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Schweinfurt Extreme Bowlingarena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6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4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5" thickBot="1" x14ac:dyDescent="0.45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VLOOKUP(AA92,Schlüssel!$A$5:$DZ$14,113)</f>
        <v>5</v>
      </c>
      <c r="AE94" s="65" t="s">
        <v>10</v>
      </c>
      <c r="AF94" s="44">
        <f>VLOOKUP(AA92,Schlüssel!$A$5:$DZ$14,114)</f>
        <v>3</v>
      </c>
      <c r="AG94" s="65" t="s">
        <v>10</v>
      </c>
      <c r="AH94" s="44">
        <f>VLOOKUP(AA92,Schlüssel!$A$5:$DZ$14,115)</f>
        <v>1</v>
      </c>
      <c r="AI94" s="65" t="s">
        <v>10</v>
      </c>
      <c r="AJ94" s="44">
        <f>VLOOKUP(AA92,Schlüssel!$A$5:$DZ$14,116)</f>
        <v>9</v>
      </c>
      <c r="AK94" s="65" t="s">
        <v>10</v>
      </c>
      <c r="AL94" s="44">
        <f>VLOOKUP(AA92,Schlüssel!$A$5:$DZ$14,117)</f>
        <v>4</v>
      </c>
      <c r="AM94" s="65" t="s">
        <v>10</v>
      </c>
      <c r="AN94" s="44">
        <f>VLOOKUP(AA92,Schlüssel!$A$5:$DZ$14,118)</f>
        <v>6</v>
      </c>
      <c r="AO94" s="65" t="s">
        <v>10</v>
      </c>
      <c r="AP94" s="44">
        <f>VLOOKUP(AA92,Schlüssel!$A$5:$DZ$14,119)</f>
        <v>2</v>
      </c>
      <c r="AQ94" s="65" t="s">
        <v>10</v>
      </c>
      <c r="AR94" s="44">
        <f>VLOOKUP(AA92,Schlüssel!$A$5:$DZ$14,120)</f>
        <v>8</v>
      </c>
      <c r="AS94" s="65" t="s">
        <v>10</v>
      </c>
      <c r="AT94" s="44">
        <f>VLOOKUP(AA92,Schlüssel!$A$5:$DZ$14,121)</f>
        <v>10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35">
      <c r="B95" s="67" t="s">
        <v>1</v>
      </c>
      <c r="C95" s="68"/>
      <c r="D95" s="354" t="s">
        <v>1800</v>
      </c>
      <c r="E95" s="355"/>
      <c r="F95" s="354" t="s">
        <v>1801</v>
      </c>
      <c r="G95" s="355"/>
      <c r="H95" s="354" t="s">
        <v>1802</v>
      </c>
      <c r="I95" s="355"/>
      <c r="J95" s="354" t="s">
        <v>1803</v>
      </c>
      <c r="K95" s="355"/>
      <c r="L95" s="354" t="s">
        <v>1804</v>
      </c>
      <c r="M95" s="355"/>
      <c r="N95" s="354" t="s">
        <v>1805</v>
      </c>
      <c r="O95" s="355"/>
      <c r="P95" s="354" t="s">
        <v>1806</v>
      </c>
      <c r="Q95" s="355"/>
      <c r="R95" s="354" t="s">
        <v>1807</v>
      </c>
      <c r="S95" s="355"/>
      <c r="T95" s="354" t="s">
        <v>1808</v>
      </c>
      <c r="U95" s="355"/>
      <c r="V95" s="356" t="s">
        <v>1799</v>
      </c>
      <c r="W95" s="357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4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2" customHeight="1" x14ac:dyDescent="0.35">
      <c r="A97" s="367" t="s">
        <v>0</v>
      </c>
      <c r="B97" s="73" t="str">
        <f>IF(AA97=0,"",AA97)</f>
        <v/>
      </c>
      <c r="C97" s="74" t="str">
        <f>IF(AB97=0,"",AB97)</f>
        <v/>
      </c>
      <c r="D97" s="75" t="str">
        <f>IF(AC97=0,"",AC97)</f>
        <v/>
      </c>
      <c r="E97" s="348">
        <f>IF(AD97="","",AD97)</f>
        <v>0</v>
      </c>
      <c r="F97" s="75" t="str">
        <f t="shared" ref="F97:F110" si="104">IF(AE97=0,"",AE97)</f>
        <v/>
      </c>
      <c r="G97" s="348">
        <f>IF(AF97="","",AF97)</f>
        <v>0</v>
      </c>
      <c r="H97" s="75" t="str">
        <f t="shared" ref="H97:H110" si="105">IF(AG97=0,"",AG97)</f>
        <v/>
      </c>
      <c r="I97" s="348">
        <f>IF(AH97="","",AH97)</f>
        <v>0</v>
      </c>
      <c r="J97" s="75" t="str">
        <f t="shared" ref="J97:J110" si="106">IF(AI97=0,"",AI97)</f>
        <v/>
      </c>
      <c r="K97" s="348">
        <f>IF(AJ97="","",AJ97)</f>
        <v>0</v>
      </c>
      <c r="L97" s="75" t="str">
        <f t="shared" ref="L97:L110" si="107">IF(AK97=0,"",AK97)</f>
        <v/>
      </c>
      <c r="M97" s="348">
        <f>IF(AL97="","",AL97)</f>
        <v>0</v>
      </c>
      <c r="N97" s="75" t="str">
        <f>IF(AM97=0,"",AM97)</f>
        <v/>
      </c>
      <c r="O97" s="348">
        <f>IF(AN97="","",AN97)</f>
        <v>0</v>
      </c>
      <c r="P97" s="75" t="str">
        <f t="shared" ref="P97:P110" si="108">IF(AO97=0,"",AO97)</f>
        <v/>
      </c>
      <c r="Q97" s="348">
        <f>IF(AP97="","",AP97)</f>
        <v>0</v>
      </c>
      <c r="R97" s="75" t="str">
        <f t="shared" ref="R97:R110" si="109">IF(AQ97=0,"",AQ97)</f>
        <v/>
      </c>
      <c r="S97" s="348">
        <f>IF(AR97="","",AR97)</f>
        <v>0</v>
      </c>
      <c r="T97" s="75" t="str">
        <f t="shared" ref="T97:T110" si="110">IF(AS97=0,"",AS97)</f>
        <v/>
      </c>
      <c r="U97" s="348">
        <f>IF(AT97="","",AT97)</f>
        <v>0</v>
      </c>
      <c r="V97" s="75" t="str">
        <f t="shared" ref="V97:V110" si="111">IF(AU97=0,"",AU97)</f>
        <v/>
      </c>
      <c r="W97" s="348">
        <f>IF(AV97="","",AV97)</f>
        <v>0</v>
      </c>
      <c r="Z97" s="351" t="s">
        <v>0</v>
      </c>
      <c r="AA97" s="108" t="str">
        <f>IF(AB97=0,"",VLOOKUP(AB97,Starter!$A$1:$D$199,2,FALSE))</f>
        <v/>
      </c>
      <c r="AB97" s="99"/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0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3">IF(AC97=0,"",AC97)</f>
        <v/>
      </c>
      <c r="BI97" s="215" t="str">
        <f t="shared" ref="BI97:BI108" si="114">IF(AE97=0,"",AE97)</f>
        <v/>
      </c>
      <c r="BJ97" s="215" t="str">
        <f t="shared" ref="BJ97:BJ108" si="115">IF(AG97=0,"",AG97)</f>
        <v/>
      </c>
      <c r="BK97" s="215" t="str">
        <f t="shared" ref="BK97:BK108" si="116">IF(AI97=0,"",AI97)</f>
        <v/>
      </c>
      <c r="BL97" s="215" t="str">
        <f t="shared" ref="BL97:BL108" si="117">IF(AK97=0,"",AK97)</f>
        <v/>
      </c>
      <c r="BM97" s="215" t="str">
        <f t="shared" ref="BM97:BM108" si="118">IF(AM97=0,"",AM97)</f>
        <v/>
      </c>
      <c r="BN97" s="215" t="str">
        <f t="shared" ref="BN97:BN108" si="119">IF(AO97=0,"",AO97)</f>
        <v/>
      </c>
      <c r="BO97" s="215" t="str">
        <f t="shared" ref="BO97:BO108" si="120">IF(AQ97=0,"",AQ97)</f>
        <v/>
      </c>
      <c r="BP97" s="215" t="str">
        <f t="shared" ref="BP97:BP108" si="121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9.6999999999999995E-8</v>
      </c>
      <c r="BU97" s="215" t="str">
        <f>+AA93</f>
        <v>BK München 3</v>
      </c>
      <c r="BV97" s="214">
        <f>RANK(BT97,BT:BT)</f>
        <v>84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9.6999999999999995E-8</v>
      </c>
      <c r="BZ97" s="214">
        <f t="shared" ref="BZ97:BZ108" si="122">IF(BY97=0,0,RANK(BY97,BY:BY))</f>
        <v>84</v>
      </c>
    </row>
    <row r="98" spans="1:78" ht="17.2" customHeight="1" x14ac:dyDescent="0.35">
      <c r="A98" s="368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49"/>
      <c r="F98" s="78" t="str">
        <f t="shared" si="104"/>
        <v/>
      </c>
      <c r="G98" s="349"/>
      <c r="H98" s="78" t="str">
        <f t="shared" si="105"/>
        <v/>
      </c>
      <c r="I98" s="349"/>
      <c r="J98" s="78" t="str">
        <f t="shared" si="106"/>
        <v/>
      </c>
      <c r="K98" s="349"/>
      <c r="L98" s="78" t="str">
        <f t="shared" si="107"/>
        <v/>
      </c>
      <c r="M98" s="349"/>
      <c r="N98" s="78" t="str">
        <f t="shared" ref="N98:N110" si="124">IF(AM98=0,"",AM98)</f>
        <v/>
      </c>
      <c r="O98" s="349"/>
      <c r="P98" s="78" t="str">
        <f t="shared" si="108"/>
        <v/>
      </c>
      <c r="Q98" s="349"/>
      <c r="R98" s="78" t="str">
        <f t="shared" si="109"/>
        <v/>
      </c>
      <c r="S98" s="349"/>
      <c r="T98" s="78" t="str">
        <f t="shared" si="110"/>
        <v/>
      </c>
      <c r="U98" s="349"/>
      <c r="V98" s="78" t="str">
        <f t="shared" si="111"/>
        <v/>
      </c>
      <c r="W98" s="349"/>
      <c r="Z98" s="352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9.8000000000000004E-8</v>
      </c>
      <c r="BU98" s="215" t="str">
        <f t="shared" ref="BU98:BU108" si="131">+BU97</f>
        <v>BK München 3</v>
      </c>
      <c r="BV98" s="214">
        <f t="shared" ref="BV98:BV108" si="132">RANK(BT98,BT:BT)</f>
        <v>83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9.8000000000000004E-8</v>
      </c>
      <c r="BZ98" s="214">
        <f t="shared" si="122"/>
        <v>83</v>
      </c>
    </row>
    <row r="99" spans="1:78" ht="17.2" customHeight="1" thickBot="1" x14ac:dyDescent="0.4">
      <c r="A99" s="369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50"/>
      <c r="F99" s="69" t="str">
        <f t="shared" si="104"/>
        <v/>
      </c>
      <c r="G99" s="350"/>
      <c r="H99" s="69" t="str">
        <f t="shared" si="105"/>
        <v/>
      </c>
      <c r="I99" s="350"/>
      <c r="J99" s="69" t="str">
        <f t="shared" si="106"/>
        <v/>
      </c>
      <c r="K99" s="350"/>
      <c r="L99" s="69" t="str">
        <f t="shared" si="107"/>
        <v/>
      </c>
      <c r="M99" s="350"/>
      <c r="N99" s="69" t="str">
        <f t="shared" si="124"/>
        <v/>
      </c>
      <c r="O99" s="350"/>
      <c r="P99" s="69" t="str">
        <f t="shared" si="108"/>
        <v/>
      </c>
      <c r="Q99" s="350"/>
      <c r="R99" s="69" t="str">
        <f t="shared" si="109"/>
        <v/>
      </c>
      <c r="S99" s="350"/>
      <c r="T99" s="69" t="str">
        <f t="shared" si="110"/>
        <v/>
      </c>
      <c r="U99" s="350"/>
      <c r="V99" s="69" t="str">
        <f t="shared" si="111"/>
        <v/>
      </c>
      <c r="W99" s="350"/>
      <c r="Z99" s="353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9.9E-8</v>
      </c>
      <c r="BU99" s="215" t="str">
        <f t="shared" si="131"/>
        <v>BK München 3</v>
      </c>
      <c r="BV99" s="214">
        <f t="shared" si="132"/>
        <v>82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9.9E-8</v>
      </c>
      <c r="BZ99" s="214">
        <f t="shared" si="122"/>
        <v>82</v>
      </c>
    </row>
    <row r="100" spans="1:78" ht="17.2" customHeight="1" x14ac:dyDescent="0.35">
      <c r="A100" s="367" t="s">
        <v>2</v>
      </c>
      <c r="B100" s="73" t="str">
        <f t="shared" si="123"/>
        <v/>
      </c>
      <c r="C100" s="74" t="str">
        <f t="shared" si="123"/>
        <v/>
      </c>
      <c r="D100" s="75" t="str">
        <f t="shared" si="123"/>
        <v/>
      </c>
      <c r="E100" s="348">
        <f>IF(AD100="","",AD100)</f>
        <v>0</v>
      </c>
      <c r="F100" s="75" t="str">
        <f t="shared" si="104"/>
        <v/>
      </c>
      <c r="G100" s="348">
        <f>IF(AF100="","",AF100)</f>
        <v>0</v>
      </c>
      <c r="H100" s="75" t="str">
        <f t="shared" si="105"/>
        <v/>
      </c>
      <c r="I100" s="348">
        <f>IF(AH100="","",AH100)</f>
        <v>0</v>
      </c>
      <c r="J100" s="75" t="str">
        <f t="shared" si="106"/>
        <v/>
      </c>
      <c r="K100" s="348">
        <f>IF(AJ100="","",AJ100)</f>
        <v>0</v>
      </c>
      <c r="L100" s="75" t="str">
        <f t="shared" si="107"/>
        <v/>
      </c>
      <c r="M100" s="348">
        <f>IF(AL100="","",AL100)</f>
        <v>0</v>
      </c>
      <c r="N100" s="75" t="str">
        <f t="shared" si="124"/>
        <v/>
      </c>
      <c r="O100" s="348">
        <f>IF(AN100="","",AN100)</f>
        <v>0</v>
      </c>
      <c r="P100" s="75" t="str">
        <f t="shared" si="108"/>
        <v/>
      </c>
      <c r="Q100" s="348">
        <f>IF(AP100="","",AP100)</f>
        <v>0</v>
      </c>
      <c r="R100" s="75" t="str">
        <f t="shared" si="109"/>
        <v/>
      </c>
      <c r="S100" s="348">
        <f>IF(AR100="","",AR100)</f>
        <v>0</v>
      </c>
      <c r="T100" s="75" t="str">
        <f t="shared" si="110"/>
        <v/>
      </c>
      <c r="U100" s="348">
        <f>IF(AT100="","",AT100)</f>
        <v>0</v>
      </c>
      <c r="V100" s="75" t="str">
        <f t="shared" si="111"/>
        <v/>
      </c>
      <c r="W100" s="348">
        <f>IF(AV100="","",AV100)</f>
        <v>0</v>
      </c>
      <c r="Z100" s="351" t="s">
        <v>2</v>
      </c>
      <c r="AA100" s="108" t="str">
        <f>IF(AB100=0,"",VLOOKUP(AB100,Starter!$A$1:$D$199,2,FALSE))</f>
        <v/>
      </c>
      <c r="AB100" s="99"/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2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5"/>
        <v>0</v>
      </c>
      <c r="BE100" s="213">
        <f t="shared" si="126"/>
        <v>0</v>
      </c>
      <c r="BF100" s="215">
        <f t="shared" si="127"/>
        <v>0</v>
      </c>
      <c r="BG100" s="215">
        <f t="shared" si="128"/>
        <v>0</v>
      </c>
      <c r="BH100" s="215" t="str">
        <f t="shared" si="113"/>
        <v/>
      </c>
      <c r="BI100" s="215" t="str">
        <f t="shared" si="114"/>
        <v/>
      </c>
      <c r="BJ100" s="215" t="str">
        <f t="shared" si="115"/>
        <v/>
      </c>
      <c r="BK100" s="215" t="str">
        <f t="shared" si="116"/>
        <v/>
      </c>
      <c r="BL100" s="215" t="str">
        <f t="shared" si="117"/>
        <v/>
      </c>
      <c r="BM100" s="215" t="str">
        <f t="shared" si="118"/>
        <v/>
      </c>
      <c r="BN100" s="215" t="str">
        <f t="shared" si="119"/>
        <v/>
      </c>
      <c r="BO100" s="215" t="str">
        <f t="shared" si="120"/>
        <v/>
      </c>
      <c r="BP100" s="215" t="str">
        <f t="shared" si="121"/>
        <v/>
      </c>
      <c r="BQ100" s="216"/>
      <c r="BR100" s="214"/>
      <c r="BS100" s="215">
        <f t="shared" si="129"/>
        <v>0</v>
      </c>
      <c r="BT100" s="215">
        <f t="shared" si="130"/>
        <v>9.9999999999999995E-8</v>
      </c>
      <c r="BU100" s="215" t="str">
        <f t="shared" si="131"/>
        <v>BK München 3</v>
      </c>
      <c r="BV100" s="214">
        <f t="shared" si="132"/>
        <v>81</v>
      </c>
      <c r="BW100" s="215">
        <f t="shared" si="133"/>
        <v>0</v>
      </c>
      <c r="BX100" s="215">
        <f>IF(COUNTIF(BH100:BP100,"&gt;0")&lt;Spielorte!$A$23,0,BE100/Spielorte!$A$23)</f>
        <v>0</v>
      </c>
      <c r="BY100" s="215">
        <f t="shared" si="134"/>
        <v>9.9999999999999995E-8</v>
      </c>
      <c r="BZ100" s="214">
        <f t="shared" si="122"/>
        <v>81</v>
      </c>
    </row>
    <row r="101" spans="1:78" ht="17.2" customHeight="1" x14ac:dyDescent="0.35">
      <c r="A101" s="368"/>
      <c r="B101" s="76" t="str">
        <f t="shared" si="123"/>
        <v/>
      </c>
      <c r="C101" s="77" t="str">
        <f t="shared" si="123"/>
        <v/>
      </c>
      <c r="D101" s="78" t="str">
        <f t="shared" si="123"/>
        <v/>
      </c>
      <c r="E101" s="349"/>
      <c r="F101" s="78" t="str">
        <f t="shared" si="104"/>
        <v/>
      </c>
      <c r="G101" s="349"/>
      <c r="H101" s="78" t="str">
        <f t="shared" si="105"/>
        <v/>
      </c>
      <c r="I101" s="349"/>
      <c r="J101" s="78" t="str">
        <f t="shared" si="106"/>
        <v/>
      </c>
      <c r="K101" s="349"/>
      <c r="L101" s="78" t="str">
        <f t="shared" si="107"/>
        <v/>
      </c>
      <c r="M101" s="349"/>
      <c r="N101" s="78" t="str">
        <f t="shared" si="124"/>
        <v/>
      </c>
      <c r="O101" s="349"/>
      <c r="P101" s="78" t="str">
        <f t="shared" si="108"/>
        <v/>
      </c>
      <c r="Q101" s="349"/>
      <c r="R101" s="78" t="str">
        <f t="shared" si="109"/>
        <v/>
      </c>
      <c r="S101" s="349"/>
      <c r="T101" s="78" t="str">
        <f t="shared" si="110"/>
        <v/>
      </c>
      <c r="U101" s="349"/>
      <c r="V101" s="78" t="str">
        <f t="shared" si="111"/>
        <v/>
      </c>
      <c r="W101" s="349"/>
      <c r="Z101" s="352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0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1.01E-7</v>
      </c>
      <c r="BU101" s="215" t="str">
        <f t="shared" si="131"/>
        <v>BK München 3</v>
      </c>
      <c r="BV101" s="214">
        <f t="shared" si="132"/>
        <v>80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1.01E-7</v>
      </c>
      <c r="BZ101" s="214">
        <f t="shared" si="122"/>
        <v>80</v>
      </c>
    </row>
    <row r="102" spans="1:78" ht="17.2" customHeight="1" thickBot="1" x14ac:dyDescent="0.4">
      <c r="A102" s="369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50"/>
      <c r="F102" s="69" t="str">
        <f t="shared" si="104"/>
        <v/>
      </c>
      <c r="G102" s="350"/>
      <c r="H102" s="69" t="str">
        <f t="shared" si="105"/>
        <v/>
      </c>
      <c r="I102" s="350"/>
      <c r="J102" s="69" t="str">
        <f t="shared" si="106"/>
        <v/>
      </c>
      <c r="K102" s="350"/>
      <c r="L102" s="69" t="str">
        <f t="shared" si="107"/>
        <v/>
      </c>
      <c r="M102" s="350"/>
      <c r="N102" s="69" t="str">
        <f t="shared" si="124"/>
        <v/>
      </c>
      <c r="O102" s="350"/>
      <c r="P102" s="69" t="str">
        <f t="shared" si="108"/>
        <v/>
      </c>
      <c r="Q102" s="350"/>
      <c r="R102" s="69" t="str">
        <f t="shared" si="109"/>
        <v/>
      </c>
      <c r="S102" s="350"/>
      <c r="T102" s="69" t="str">
        <f t="shared" si="110"/>
        <v/>
      </c>
      <c r="U102" s="350"/>
      <c r="V102" s="69" t="str">
        <f t="shared" si="111"/>
        <v/>
      </c>
      <c r="W102" s="350"/>
      <c r="Z102" s="353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1.02E-7</v>
      </c>
      <c r="BU102" s="215" t="str">
        <f t="shared" si="131"/>
        <v>BK München 3</v>
      </c>
      <c r="BV102" s="214">
        <f t="shared" si="132"/>
        <v>79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1.02E-7</v>
      </c>
      <c r="BZ102" s="214">
        <f t="shared" si="122"/>
        <v>79</v>
      </c>
    </row>
    <row r="103" spans="1:78" ht="17.2" customHeight="1" x14ac:dyDescent="0.35">
      <c r="A103" s="367" t="s">
        <v>3</v>
      </c>
      <c r="B103" s="73" t="str">
        <f t="shared" si="123"/>
        <v/>
      </c>
      <c r="C103" s="74" t="str">
        <f t="shared" si="123"/>
        <v/>
      </c>
      <c r="D103" s="75" t="str">
        <f t="shared" si="123"/>
        <v/>
      </c>
      <c r="E103" s="348">
        <f>IF(AD103="","",AD103)</f>
        <v>0</v>
      </c>
      <c r="F103" s="75" t="str">
        <f t="shared" si="104"/>
        <v/>
      </c>
      <c r="G103" s="348">
        <f>IF(AF103="","",AF103)</f>
        <v>0</v>
      </c>
      <c r="H103" s="75" t="str">
        <f t="shared" si="105"/>
        <v/>
      </c>
      <c r="I103" s="348">
        <f>IF(AH103="","",AH103)</f>
        <v>0</v>
      </c>
      <c r="J103" s="75" t="str">
        <f t="shared" si="106"/>
        <v/>
      </c>
      <c r="K103" s="348">
        <f>IF(AJ103="","",AJ103)</f>
        <v>0</v>
      </c>
      <c r="L103" s="75" t="str">
        <f t="shared" si="107"/>
        <v/>
      </c>
      <c r="M103" s="348">
        <f>IF(AL103="","",AL103)</f>
        <v>0</v>
      </c>
      <c r="N103" s="75" t="str">
        <f t="shared" si="124"/>
        <v/>
      </c>
      <c r="O103" s="348">
        <f>IF(AN103="","",AN103)</f>
        <v>0</v>
      </c>
      <c r="P103" s="75" t="str">
        <f t="shared" si="108"/>
        <v/>
      </c>
      <c r="Q103" s="348">
        <f>IF(AP103="","",AP103)</f>
        <v>0</v>
      </c>
      <c r="R103" s="75" t="str">
        <f t="shared" si="109"/>
        <v/>
      </c>
      <c r="S103" s="348">
        <f>IF(AR103="","",AR103)</f>
        <v>0</v>
      </c>
      <c r="T103" s="75" t="str">
        <f t="shared" si="110"/>
        <v/>
      </c>
      <c r="U103" s="348">
        <f>IF(AT103="","",AT103)</f>
        <v>0</v>
      </c>
      <c r="V103" s="75" t="str">
        <f t="shared" si="111"/>
        <v/>
      </c>
      <c r="W103" s="348">
        <f>IF(AV103="","",AV103)</f>
        <v>0</v>
      </c>
      <c r="Z103" s="351" t="s">
        <v>3</v>
      </c>
      <c r="AA103" s="108" t="str">
        <f>IF(AB103=0,"",VLOOKUP(AB103,Starter!$A$1:$D$199,2,FALSE))</f>
        <v/>
      </c>
      <c r="AB103" s="99"/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2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5"/>
        <v>0</v>
      </c>
      <c r="BE103" s="213">
        <f t="shared" si="126"/>
        <v>0</v>
      </c>
      <c r="BF103" s="215">
        <f t="shared" si="127"/>
        <v>0</v>
      </c>
      <c r="BG103" s="215">
        <f t="shared" si="128"/>
        <v>0</v>
      </c>
      <c r="BH103" s="215" t="str">
        <f t="shared" si="113"/>
        <v/>
      </c>
      <c r="BI103" s="215" t="str">
        <f t="shared" si="114"/>
        <v/>
      </c>
      <c r="BJ103" s="215" t="str">
        <f t="shared" si="115"/>
        <v/>
      </c>
      <c r="BK103" s="215" t="str">
        <f t="shared" si="116"/>
        <v/>
      </c>
      <c r="BL103" s="215" t="str">
        <f t="shared" si="117"/>
        <v/>
      </c>
      <c r="BM103" s="215" t="str">
        <f t="shared" si="118"/>
        <v/>
      </c>
      <c r="BN103" s="215" t="str">
        <f t="shared" si="119"/>
        <v/>
      </c>
      <c r="BO103" s="215" t="str">
        <f t="shared" si="120"/>
        <v/>
      </c>
      <c r="BP103" s="215" t="str">
        <f t="shared" si="121"/>
        <v/>
      </c>
      <c r="BQ103" s="216"/>
      <c r="BR103" s="214"/>
      <c r="BS103" s="215">
        <f t="shared" si="129"/>
        <v>0</v>
      </c>
      <c r="BT103" s="215">
        <f t="shared" si="130"/>
        <v>1.03E-7</v>
      </c>
      <c r="BU103" s="215" t="str">
        <f t="shared" si="131"/>
        <v>BK München 3</v>
      </c>
      <c r="BV103" s="214">
        <f t="shared" si="132"/>
        <v>78</v>
      </c>
      <c r="BW103" s="215">
        <f t="shared" si="133"/>
        <v>0</v>
      </c>
      <c r="BX103" s="215">
        <f>IF(COUNTIF(BH103:BP103,"&gt;0")&lt;Spielorte!$A$23,0,BE103/Spielorte!$A$23)</f>
        <v>0</v>
      </c>
      <c r="BY103" s="215">
        <f t="shared" si="134"/>
        <v>1.03E-7</v>
      </c>
      <c r="BZ103" s="214">
        <f t="shared" si="122"/>
        <v>78</v>
      </c>
    </row>
    <row r="104" spans="1:78" ht="17.2" customHeight="1" x14ac:dyDescent="0.35">
      <c r="A104" s="368"/>
      <c r="B104" s="76" t="str">
        <f t="shared" si="123"/>
        <v/>
      </c>
      <c r="C104" s="77" t="str">
        <f t="shared" si="123"/>
        <v/>
      </c>
      <c r="D104" s="78" t="str">
        <f t="shared" si="123"/>
        <v/>
      </c>
      <c r="E104" s="349"/>
      <c r="F104" s="78" t="str">
        <f t="shared" si="104"/>
        <v/>
      </c>
      <c r="G104" s="349"/>
      <c r="H104" s="78" t="str">
        <f t="shared" si="105"/>
        <v/>
      </c>
      <c r="I104" s="349"/>
      <c r="J104" s="78" t="str">
        <f t="shared" si="106"/>
        <v/>
      </c>
      <c r="K104" s="349"/>
      <c r="L104" s="78" t="str">
        <f t="shared" si="107"/>
        <v/>
      </c>
      <c r="M104" s="349"/>
      <c r="N104" s="78" t="str">
        <f t="shared" si="124"/>
        <v/>
      </c>
      <c r="O104" s="349"/>
      <c r="P104" s="78" t="str">
        <f t="shared" si="108"/>
        <v/>
      </c>
      <c r="Q104" s="349"/>
      <c r="R104" s="78" t="str">
        <f t="shared" si="109"/>
        <v/>
      </c>
      <c r="S104" s="349"/>
      <c r="T104" s="78" t="str">
        <f t="shared" si="110"/>
        <v/>
      </c>
      <c r="U104" s="349"/>
      <c r="V104" s="78" t="str">
        <f t="shared" si="111"/>
        <v/>
      </c>
      <c r="W104" s="349"/>
      <c r="Z104" s="352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0</v>
      </c>
      <c r="BE104" s="213">
        <f t="shared" si="126"/>
        <v>0</v>
      </c>
      <c r="BF104" s="215">
        <f t="shared" si="127"/>
        <v>0</v>
      </c>
      <c r="BG104" s="215">
        <f t="shared" si="128"/>
        <v>0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0</v>
      </c>
      <c r="BT104" s="215">
        <f t="shared" si="130"/>
        <v>1.04E-7</v>
      </c>
      <c r="BU104" s="215" t="str">
        <f t="shared" si="131"/>
        <v>BK München 3</v>
      </c>
      <c r="BV104" s="214">
        <f t="shared" si="132"/>
        <v>77</v>
      </c>
      <c r="BW104" s="215">
        <f t="shared" si="133"/>
        <v>0</v>
      </c>
      <c r="BX104" s="215">
        <f>IF(COUNTIF(BH104:BP104,"&gt;0")&lt;Spielorte!$A$23,0,BE104/Spielorte!$A$23)</f>
        <v>0</v>
      </c>
      <c r="BY104" s="215">
        <f t="shared" si="134"/>
        <v>1.04E-7</v>
      </c>
      <c r="BZ104" s="214">
        <f t="shared" si="122"/>
        <v>77</v>
      </c>
    </row>
    <row r="105" spans="1:78" ht="17.2" customHeight="1" thickBot="1" x14ac:dyDescent="0.4">
      <c r="A105" s="369"/>
      <c r="B105" s="79" t="str">
        <f t="shared" si="123"/>
        <v/>
      </c>
      <c r="C105" s="80" t="str">
        <f t="shared" si="123"/>
        <v/>
      </c>
      <c r="D105" s="69" t="str">
        <f t="shared" si="123"/>
        <v/>
      </c>
      <c r="E105" s="350"/>
      <c r="F105" s="69" t="str">
        <f t="shared" si="104"/>
        <v/>
      </c>
      <c r="G105" s="350"/>
      <c r="H105" s="69" t="str">
        <f t="shared" si="105"/>
        <v/>
      </c>
      <c r="I105" s="350"/>
      <c r="J105" s="69" t="str">
        <f t="shared" si="106"/>
        <v/>
      </c>
      <c r="K105" s="350"/>
      <c r="L105" s="69" t="str">
        <f t="shared" si="107"/>
        <v/>
      </c>
      <c r="M105" s="350"/>
      <c r="N105" s="69" t="str">
        <f t="shared" si="124"/>
        <v/>
      </c>
      <c r="O105" s="350"/>
      <c r="P105" s="69" t="str">
        <f t="shared" si="108"/>
        <v/>
      </c>
      <c r="Q105" s="350"/>
      <c r="R105" s="69" t="str">
        <f t="shared" si="109"/>
        <v/>
      </c>
      <c r="S105" s="350"/>
      <c r="T105" s="69" t="str">
        <f t="shared" si="110"/>
        <v/>
      </c>
      <c r="U105" s="350"/>
      <c r="V105" s="69" t="str">
        <f t="shared" si="111"/>
        <v/>
      </c>
      <c r="W105" s="350"/>
      <c r="Z105" s="353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0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1.05E-7</v>
      </c>
      <c r="BU105" s="215" t="str">
        <f t="shared" si="131"/>
        <v>BK München 3</v>
      </c>
      <c r="BV105" s="214">
        <f t="shared" si="132"/>
        <v>76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1.05E-7</v>
      </c>
      <c r="BZ105" s="214">
        <f t="shared" si="122"/>
        <v>76</v>
      </c>
    </row>
    <row r="106" spans="1:78" ht="17.2" customHeight="1" x14ac:dyDescent="0.35">
      <c r="A106" s="367" t="s">
        <v>11</v>
      </c>
      <c r="B106" s="73" t="str">
        <f>IF(AA106=0,"",AA106)</f>
        <v/>
      </c>
      <c r="C106" s="74" t="str">
        <f t="shared" si="123"/>
        <v/>
      </c>
      <c r="D106" s="75" t="str">
        <f t="shared" si="123"/>
        <v/>
      </c>
      <c r="E106" s="348">
        <f>IF(AD106="","",AD106)</f>
        <v>0</v>
      </c>
      <c r="F106" s="75" t="str">
        <f t="shared" si="104"/>
        <v/>
      </c>
      <c r="G106" s="348">
        <f>IF(AF106="","",AF106)</f>
        <v>0</v>
      </c>
      <c r="H106" s="75" t="str">
        <f t="shared" si="105"/>
        <v/>
      </c>
      <c r="I106" s="348">
        <f>IF(AH106="","",AH106)</f>
        <v>0</v>
      </c>
      <c r="J106" s="75" t="str">
        <f t="shared" si="106"/>
        <v/>
      </c>
      <c r="K106" s="348">
        <f>IF(AJ106="","",AJ106)</f>
        <v>0</v>
      </c>
      <c r="L106" s="75" t="str">
        <f t="shared" si="107"/>
        <v/>
      </c>
      <c r="M106" s="348">
        <f>IF(AL106="","",AL106)</f>
        <v>0</v>
      </c>
      <c r="N106" s="75" t="str">
        <f t="shared" si="124"/>
        <v/>
      </c>
      <c r="O106" s="348">
        <f>IF(AN106="","",AN106)</f>
        <v>0</v>
      </c>
      <c r="P106" s="75" t="str">
        <f t="shared" si="108"/>
        <v/>
      </c>
      <c r="Q106" s="348">
        <f>IF(AP106="","",AP106)</f>
        <v>0</v>
      </c>
      <c r="R106" s="75" t="str">
        <f t="shared" si="109"/>
        <v/>
      </c>
      <c r="S106" s="348">
        <f>IF(AR106="","",AR106)</f>
        <v>0</v>
      </c>
      <c r="T106" s="75" t="str">
        <f t="shared" si="110"/>
        <v/>
      </c>
      <c r="U106" s="348">
        <f>IF(AT106="","",AT106)</f>
        <v>0</v>
      </c>
      <c r="V106" s="75" t="str">
        <f t="shared" si="111"/>
        <v/>
      </c>
      <c r="W106" s="348">
        <f>IF(AV106="","",AV106)</f>
        <v>0</v>
      </c>
      <c r="Z106" s="351" t="s">
        <v>11</v>
      </c>
      <c r="AA106" s="108" t="str">
        <f>IF(AB106=0,"",VLOOKUP(AB106,Starter!$A$1:$D$199,2,FALSE))</f>
        <v/>
      </c>
      <c r="AB106" s="99"/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2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5"/>
        <v>0</v>
      </c>
      <c r="BE106" s="213">
        <f t="shared" si="126"/>
        <v>0</v>
      </c>
      <c r="BF106" s="215">
        <f t="shared" si="127"/>
        <v>0</v>
      </c>
      <c r="BG106" s="215">
        <f t="shared" si="128"/>
        <v>0</v>
      </c>
      <c r="BH106" s="215" t="str">
        <f t="shared" si="113"/>
        <v/>
      </c>
      <c r="BI106" s="215" t="str">
        <f t="shared" si="114"/>
        <v/>
      </c>
      <c r="BJ106" s="215" t="str">
        <f t="shared" si="115"/>
        <v/>
      </c>
      <c r="BK106" s="215" t="str">
        <f t="shared" si="116"/>
        <v/>
      </c>
      <c r="BL106" s="215" t="str">
        <f t="shared" si="117"/>
        <v/>
      </c>
      <c r="BM106" s="215" t="str">
        <f t="shared" si="118"/>
        <v/>
      </c>
      <c r="BN106" s="215" t="str">
        <f t="shared" si="119"/>
        <v/>
      </c>
      <c r="BO106" s="215" t="str">
        <f t="shared" si="120"/>
        <v/>
      </c>
      <c r="BP106" s="215" t="str">
        <f t="shared" si="121"/>
        <v/>
      </c>
      <c r="BQ106" s="216"/>
      <c r="BR106" s="214"/>
      <c r="BS106" s="215">
        <f t="shared" si="129"/>
        <v>0</v>
      </c>
      <c r="BT106" s="215">
        <f t="shared" si="130"/>
        <v>1.06E-7</v>
      </c>
      <c r="BU106" s="215" t="str">
        <f t="shared" si="131"/>
        <v>BK München 3</v>
      </c>
      <c r="BV106" s="214">
        <f t="shared" si="132"/>
        <v>75</v>
      </c>
      <c r="BW106" s="215">
        <f t="shared" si="133"/>
        <v>0</v>
      </c>
      <c r="BX106" s="215">
        <f>IF(COUNTIF(BH106:BP106,"&gt;0")&lt;Spielorte!$A$23,0,BE106/Spielorte!$A$23)</f>
        <v>0</v>
      </c>
      <c r="BY106" s="215">
        <f t="shared" si="134"/>
        <v>1.06E-7</v>
      </c>
      <c r="BZ106" s="214">
        <f t="shared" si="122"/>
        <v>75</v>
      </c>
    </row>
    <row r="107" spans="1:78" ht="17.2" customHeight="1" x14ac:dyDescent="0.35">
      <c r="A107" s="368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49"/>
      <c r="F107" s="78" t="str">
        <f t="shared" si="104"/>
        <v/>
      </c>
      <c r="G107" s="349"/>
      <c r="H107" s="78" t="str">
        <f t="shared" si="105"/>
        <v/>
      </c>
      <c r="I107" s="349"/>
      <c r="J107" s="78" t="str">
        <f t="shared" si="106"/>
        <v/>
      </c>
      <c r="K107" s="349"/>
      <c r="L107" s="78" t="str">
        <f t="shared" si="107"/>
        <v/>
      </c>
      <c r="M107" s="349"/>
      <c r="N107" s="78" t="str">
        <f t="shared" si="124"/>
        <v/>
      </c>
      <c r="O107" s="349"/>
      <c r="P107" s="78" t="str">
        <f t="shared" si="108"/>
        <v/>
      </c>
      <c r="Q107" s="349"/>
      <c r="R107" s="78" t="str">
        <f t="shared" si="109"/>
        <v/>
      </c>
      <c r="S107" s="349"/>
      <c r="T107" s="78" t="str">
        <f t="shared" si="110"/>
        <v/>
      </c>
      <c r="U107" s="349"/>
      <c r="V107" s="78" t="str">
        <f t="shared" si="111"/>
        <v/>
      </c>
      <c r="W107" s="349"/>
      <c r="Z107" s="352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1.0700000000000001E-7</v>
      </c>
      <c r="BU107" s="215" t="str">
        <f t="shared" si="131"/>
        <v>BK München 3</v>
      </c>
      <c r="BV107" s="214">
        <f t="shared" si="132"/>
        <v>74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1.0700000000000001E-7</v>
      </c>
      <c r="BZ107" s="214">
        <f t="shared" si="122"/>
        <v>74</v>
      </c>
    </row>
    <row r="108" spans="1:78" ht="17.2" customHeight="1" thickBot="1" x14ac:dyDescent="0.4">
      <c r="A108" s="369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50"/>
      <c r="F108" s="69" t="str">
        <f t="shared" si="104"/>
        <v/>
      </c>
      <c r="G108" s="350"/>
      <c r="H108" s="69" t="str">
        <f t="shared" si="105"/>
        <v/>
      </c>
      <c r="I108" s="350"/>
      <c r="J108" s="69" t="str">
        <f t="shared" si="106"/>
        <v/>
      </c>
      <c r="K108" s="350"/>
      <c r="L108" s="69" t="str">
        <f t="shared" si="107"/>
        <v/>
      </c>
      <c r="M108" s="350"/>
      <c r="N108" s="69" t="str">
        <f t="shared" si="124"/>
        <v/>
      </c>
      <c r="O108" s="350"/>
      <c r="P108" s="69" t="str">
        <f t="shared" si="108"/>
        <v/>
      </c>
      <c r="Q108" s="350"/>
      <c r="R108" s="69" t="str">
        <f t="shared" si="109"/>
        <v/>
      </c>
      <c r="S108" s="350"/>
      <c r="T108" s="69" t="str">
        <f t="shared" si="110"/>
        <v/>
      </c>
      <c r="U108" s="350"/>
      <c r="V108" s="69" t="str">
        <f t="shared" si="111"/>
        <v/>
      </c>
      <c r="W108" s="350"/>
      <c r="Z108" s="353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1.08E-7</v>
      </c>
      <c r="BU108" s="215" t="str">
        <f t="shared" si="131"/>
        <v>BK München 3</v>
      </c>
      <c r="BV108" s="214">
        <f t="shared" si="132"/>
        <v>73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1.08E-7</v>
      </c>
      <c r="BZ108" s="214">
        <f t="shared" si="122"/>
        <v>73</v>
      </c>
    </row>
    <row r="109" spans="1:78" ht="27.75" customHeight="1" thickBot="1" x14ac:dyDescent="0.4">
      <c r="B109" s="81" t="str">
        <f>IF(AA109=0,"",AA109)</f>
        <v>Gesamt</v>
      </c>
      <c r="C109" s="82" t="str">
        <f t="shared" si="123"/>
        <v/>
      </c>
      <c r="D109" s="83" t="str">
        <f t="shared" si="123"/>
        <v/>
      </c>
      <c r="E109" s="84">
        <f>IF(AD109="","",AD109)</f>
        <v>0</v>
      </c>
      <c r="F109" s="83" t="str">
        <f t="shared" si="104"/>
        <v/>
      </c>
      <c r="G109" s="84">
        <f>IF(AF109="","",AF109)</f>
        <v>0</v>
      </c>
      <c r="H109" s="83" t="str">
        <f t="shared" si="105"/>
        <v/>
      </c>
      <c r="I109" s="84">
        <f>IF(AH109="","",AH109)</f>
        <v>0</v>
      </c>
      <c r="J109" s="83" t="str">
        <f t="shared" si="106"/>
        <v/>
      </c>
      <c r="K109" s="84">
        <f>IF(AJ109="","",AJ109)</f>
        <v>0</v>
      </c>
      <c r="L109" s="83" t="str">
        <f t="shared" si="107"/>
        <v/>
      </c>
      <c r="M109" s="84">
        <f>IF(AL109="","",AL109)</f>
        <v>0</v>
      </c>
      <c r="N109" s="83" t="str">
        <f t="shared" si="124"/>
        <v/>
      </c>
      <c r="O109" s="84">
        <f>IF(AN109="","",AN109)</f>
        <v>0</v>
      </c>
      <c r="P109" s="83" t="str">
        <f t="shared" si="108"/>
        <v/>
      </c>
      <c r="Q109" s="84">
        <f>IF(AP109="","",AP109)</f>
        <v>0</v>
      </c>
      <c r="R109" s="83" t="str">
        <f t="shared" si="109"/>
        <v/>
      </c>
      <c r="S109" s="84">
        <f>IF(AR109="","",AR109)</f>
        <v>0</v>
      </c>
      <c r="T109" s="83" t="str">
        <f t="shared" si="110"/>
        <v/>
      </c>
      <c r="U109" s="84">
        <f>IF(AT109="","",AT109)</f>
        <v>0</v>
      </c>
      <c r="V109" s="83" t="str">
        <f t="shared" si="111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4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0</v>
      </c>
      <c r="F110" s="86" t="str">
        <f t="shared" si="104"/>
        <v/>
      </c>
      <c r="G110" s="87">
        <f>IF(AF110="","",AF110)</f>
        <v>0</v>
      </c>
      <c r="H110" s="86" t="str">
        <f t="shared" si="105"/>
        <v/>
      </c>
      <c r="I110" s="87">
        <f>IF(AH110="","",AH110)</f>
        <v>0</v>
      </c>
      <c r="J110" s="86" t="str">
        <f t="shared" si="106"/>
        <v/>
      </c>
      <c r="K110" s="87">
        <f>IF(AJ110="","",AJ110)</f>
        <v>0</v>
      </c>
      <c r="L110" s="86" t="str">
        <f t="shared" si="107"/>
        <v/>
      </c>
      <c r="M110" s="87">
        <f>IF(AL110="","",AL110)</f>
        <v>0</v>
      </c>
      <c r="N110" s="86" t="str">
        <f t="shared" si="124"/>
        <v/>
      </c>
      <c r="O110" s="87">
        <f>IF(AN110="","",AN110)</f>
        <v>0</v>
      </c>
      <c r="P110" s="86" t="str">
        <f t="shared" si="108"/>
        <v/>
      </c>
      <c r="Q110" s="87">
        <f>IF(AP110="","",AP110)</f>
        <v>0</v>
      </c>
      <c r="R110" s="86" t="str">
        <f t="shared" si="109"/>
        <v/>
      </c>
      <c r="S110" s="87">
        <f>IF(AR110="","",AR110)</f>
        <v>0</v>
      </c>
      <c r="T110" s="86" t="str">
        <f t="shared" si="110"/>
        <v/>
      </c>
      <c r="U110" s="87">
        <f>IF(AT110="","",AT110)</f>
        <v>0</v>
      </c>
      <c r="V110" s="86" t="str">
        <f t="shared" si="111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</v>
      </c>
      <c r="BV110" s="214"/>
      <c r="BZ110" s="214"/>
    </row>
    <row r="111" spans="1:78" ht="11.25" customHeight="1" x14ac:dyDescent="0.3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3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46">
        <f t="shared" si="135"/>
        <v>9</v>
      </c>
      <c r="E112" s="346" t="str">
        <f t="shared" si="135"/>
        <v/>
      </c>
      <c r="F112" s="346">
        <f t="shared" si="135"/>
        <v>2</v>
      </c>
      <c r="G112" s="346" t="str">
        <f t="shared" si="135"/>
        <v/>
      </c>
      <c r="H112" s="346">
        <f t="shared" si="135"/>
        <v>6</v>
      </c>
      <c r="I112" s="346" t="str">
        <f t="shared" si="135"/>
        <v/>
      </c>
      <c r="J112" s="346">
        <f t="shared" si="135"/>
        <v>10</v>
      </c>
      <c r="K112" s="346" t="str">
        <f t="shared" si="135"/>
        <v/>
      </c>
      <c r="L112" s="346">
        <f t="shared" si="135"/>
        <v>1</v>
      </c>
      <c r="M112" s="346" t="str">
        <f t="shared" si="135"/>
        <v/>
      </c>
      <c r="N112" s="346">
        <f t="shared" si="135"/>
        <v>7</v>
      </c>
      <c r="O112" s="346" t="str">
        <f t="shared" si="135"/>
        <v/>
      </c>
      <c r="P112" s="346">
        <f t="shared" si="135"/>
        <v>5</v>
      </c>
      <c r="Q112" s="346" t="str">
        <f t="shared" si="135"/>
        <v/>
      </c>
      <c r="R112" s="346">
        <f t="shared" ref="L112:U114" si="136">IF(AQ112=0,"",AQ112)</f>
        <v>8</v>
      </c>
      <c r="S112" s="346" t="str">
        <f t="shared" si="136"/>
        <v/>
      </c>
      <c r="T112" s="346">
        <f t="shared" si="136"/>
        <v>3</v>
      </c>
      <c r="U112" s="346" t="str">
        <f t="shared" si="136"/>
        <v/>
      </c>
      <c r="V112" s="347"/>
      <c r="W112" s="347"/>
      <c r="AA112" s="88" t="s">
        <v>1797</v>
      </c>
      <c r="AB112" s="89" t="s">
        <v>1798</v>
      </c>
      <c r="AC112" s="370">
        <f>VLOOKUP($AA92,Schlüssel!$A$5:$DG$14,103)</f>
        <v>9</v>
      </c>
      <c r="AD112" s="371"/>
      <c r="AE112" s="370">
        <f>VLOOKUP($AA92,Schlüssel!$A$5:$EK$14,104)</f>
        <v>2</v>
      </c>
      <c r="AF112" s="371"/>
      <c r="AG112" s="370">
        <f>VLOOKUP($AA92,Schlüssel!$A$5:$EK$14,105)</f>
        <v>6</v>
      </c>
      <c r="AH112" s="371"/>
      <c r="AI112" s="370">
        <f>VLOOKUP($AA92,Schlüssel!$A$5:$EK$14,106)</f>
        <v>10</v>
      </c>
      <c r="AJ112" s="371"/>
      <c r="AK112" s="370">
        <f>VLOOKUP($AA92,Schlüssel!$A$5:$EK$14,107)</f>
        <v>1</v>
      </c>
      <c r="AL112" s="371"/>
      <c r="AM112" s="370">
        <f>VLOOKUP($AA92,Schlüssel!$A$5:$EK$14,108)</f>
        <v>7</v>
      </c>
      <c r="AN112" s="371"/>
      <c r="AO112" s="370">
        <f>VLOOKUP($AA92,Schlüssel!$A$5:$EK$14,109)</f>
        <v>5</v>
      </c>
      <c r="AP112" s="371"/>
      <c r="AQ112" s="370">
        <f>VLOOKUP($AA92,Schlüssel!$A$5:$EK$14,110)</f>
        <v>8</v>
      </c>
      <c r="AR112" s="371"/>
      <c r="AS112" s="370">
        <f>VLOOKUP($AA92,Schlüssel!$A$5:$EK$14,111)</f>
        <v>3</v>
      </c>
      <c r="AT112" s="371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35">
      <c r="B113" s="90" t="str">
        <f t="shared" ref="B113:K114" si="137">IF(AA113=0,"",AA113)</f>
        <v/>
      </c>
      <c r="C113" s="86" t="str">
        <f t="shared" si="137"/>
        <v/>
      </c>
      <c r="D113" s="343" t="str">
        <f t="shared" si="137"/>
        <v>RW Lichtenhof 69 Stein 2</v>
      </c>
      <c r="E113" s="344" t="str">
        <f t="shared" si="137"/>
        <v/>
      </c>
      <c r="F113" s="343" t="str">
        <f t="shared" si="137"/>
        <v>BK München 2</v>
      </c>
      <c r="G113" s="344" t="str">
        <f t="shared" si="137"/>
        <v/>
      </c>
      <c r="H113" s="343" t="str">
        <f t="shared" si="137"/>
        <v>Phönix 03 Lauf</v>
      </c>
      <c r="I113" s="344" t="str">
        <f t="shared" si="137"/>
        <v/>
      </c>
      <c r="J113" s="343" t="str">
        <f t="shared" si="137"/>
        <v>BK München 4</v>
      </c>
      <c r="K113" s="344" t="str">
        <f t="shared" si="137"/>
        <v/>
      </c>
      <c r="L113" s="343" t="str">
        <f t="shared" si="136"/>
        <v>Praetoria Regensburg</v>
      </c>
      <c r="M113" s="344" t="str">
        <f t="shared" si="136"/>
        <v/>
      </c>
      <c r="N113" s="343" t="str">
        <f t="shared" si="136"/>
        <v>Frankenpower Nürnberg</v>
      </c>
      <c r="O113" s="344" t="str">
        <f t="shared" si="136"/>
        <v/>
      </c>
      <c r="P113" s="343" t="str">
        <f t="shared" si="136"/>
        <v xml:space="preserve">Weiß Blau Unterföhring </v>
      </c>
      <c r="Q113" s="344" t="str">
        <f t="shared" si="136"/>
        <v/>
      </c>
      <c r="R113" s="343" t="str">
        <f t="shared" si="136"/>
        <v>EPA München 1</v>
      </c>
      <c r="S113" s="344" t="str">
        <f t="shared" si="136"/>
        <v/>
      </c>
      <c r="T113" s="343" t="str">
        <f t="shared" si="136"/>
        <v>Highroller Rosenheim</v>
      </c>
      <c r="U113" s="344" t="str">
        <f t="shared" si="136"/>
        <v/>
      </c>
      <c r="V113" s="345"/>
      <c r="W113" s="345"/>
      <c r="AA113" s="90"/>
      <c r="AB113" s="86"/>
      <c r="AC113" s="343" t="str">
        <f>VLOOKUP(AC112,Schlüssel!$A$5:$K$14,2)</f>
        <v>RW Lichtenhof 69 Stein 2</v>
      </c>
      <c r="AD113" s="344"/>
      <c r="AE113" s="343" t="str">
        <f>VLOOKUP(AE112,Schlüssel!$A$5:$K$14,2)</f>
        <v>BK München 2</v>
      </c>
      <c r="AF113" s="344"/>
      <c r="AG113" s="343" t="str">
        <f>VLOOKUP(AG112,Schlüssel!$A$5:$K$14,2)</f>
        <v>Phönix 03 Lauf</v>
      </c>
      <c r="AH113" s="344"/>
      <c r="AI113" s="343" t="str">
        <f>VLOOKUP(AI112,Schlüssel!$A$5:$K$14,2)</f>
        <v>BK München 4</v>
      </c>
      <c r="AJ113" s="344"/>
      <c r="AK113" s="343" t="str">
        <f>VLOOKUP(AK112,Schlüssel!$A$5:$K$14,2)</f>
        <v>Praetoria Regensburg</v>
      </c>
      <c r="AL113" s="344"/>
      <c r="AM113" s="343" t="str">
        <f>VLOOKUP(AM112,Schlüssel!$A$5:$K$14,2)</f>
        <v>Frankenpower Nürnberg</v>
      </c>
      <c r="AN113" s="344"/>
      <c r="AO113" s="343" t="str">
        <f>VLOOKUP(AO112,Schlüssel!$A$5:$K$14,2)</f>
        <v xml:space="preserve">Weiß Blau Unterföhring </v>
      </c>
      <c r="AP113" s="344"/>
      <c r="AQ113" s="343" t="str">
        <f>VLOOKUP(AQ112,Schlüssel!$A$5:$K$14,2)</f>
        <v>EPA München 1</v>
      </c>
      <c r="AR113" s="344"/>
      <c r="AS113" s="343" t="str">
        <f>VLOOKUP(AS112,Schlüssel!$A$5:$K$14,2)</f>
        <v>Highroller Rosenheim</v>
      </c>
      <c r="AT113" s="344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35">
      <c r="B114" s="90" t="str">
        <f t="shared" si="137"/>
        <v/>
      </c>
      <c r="C114" s="86" t="str">
        <f t="shared" si="137"/>
        <v/>
      </c>
      <c r="D114" s="341" t="str">
        <f t="shared" si="137"/>
        <v/>
      </c>
      <c r="E114" s="341" t="str">
        <f t="shared" si="137"/>
        <v/>
      </c>
      <c r="F114" s="341" t="str">
        <f t="shared" si="137"/>
        <v/>
      </c>
      <c r="G114" s="341" t="str">
        <f t="shared" si="137"/>
        <v/>
      </c>
      <c r="H114" s="341" t="str">
        <f t="shared" si="137"/>
        <v/>
      </c>
      <c r="I114" s="341" t="str">
        <f t="shared" si="137"/>
        <v/>
      </c>
      <c r="J114" s="341" t="str">
        <f t="shared" si="137"/>
        <v/>
      </c>
      <c r="K114" s="341" t="str">
        <f t="shared" si="137"/>
        <v/>
      </c>
      <c r="L114" s="341" t="str">
        <f t="shared" si="136"/>
        <v/>
      </c>
      <c r="M114" s="341" t="str">
        <f t="shared" si="136"/>
        <v/>
      </c>
      <c r="N114" s="341" t="str">
        <f t="shared" si="136"/>
        <v/>
      </c>
      <c r="O114" s="341" t="str">
        <f t="shared" si="136"/>
        <v/>
      </c>
      <c r="P114" s="341" t="str">
        <f t="shared" si="136"/>
        <v/>
      </c>
      <c r="Q114" s="341" t="str">
        <f t="shared" si="136"/>
        <v/>
      </c>
      <c r="R114" s="341" t="str">
        <f t="shared" si="136"/>
        <v/>
      </c>
      <c r="S114" s="341" t="str">
        <f t="shared" si="136"/>
        <v/>
      </c>
      <c r="T114" s="341" t="str">
        <f t="shared" si="136"/>
        <v/>
      </c>
      <c r="U114" s="342" t="str">
        <f t="shared" si="136"/>
        <v/>
      </c>
      <c r="V114" s="301"/>
      <c r="W114" s="301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6.05" customHeight="1" x14ac:dyDescent="0.35">
      <c r="B115" s="365" t="str">
        <f t="shared" ref="B115:C119" si="138">IF(AA115=0,"",AA115)</f>
        <v>Spieler 1</v>
      </c>
      <c r="C115" s="366" t="str">
        <f t="shared" si="138"/>
        <v/>
      </c>
      <c r="D115" s="339">
        <f>IF(AC115=301,"",AC115)</f>
        <v>0</v>
      </c>
      <c r="E115" s="339" t="str">
        <f>IF(AD115=0,"",AD115)</f>
        <v/>
      </c>
      <c r="F115" s="339">
        <f>IF(AE115=301,"",AE115)</f>
        <v>0</v>
      </c>
      <c r="G115" s="339" t="str">
        <f>IF(AF115=0,"",AF115)</f>
        <v/>
      </c>
      <c r="H115" s="339">
        <f>IF(AG115=301,"",AG115)</f>
        <v>0</v>
      </c>
      <c r="I115" s="339" t="str">
        <f>IF(AH115=0,"",AH115)</f>
        <v/>
      </c>
      <c r="J115" s="339">
        <f>IF(AI115=301,"",AI115)</f>
        <v>0</v>
      </c>
      <c r="K115" s="339" t="str">
        <f>IF(AJ115=0,"",AJ115)</f>
        <v/>
      </c>
      <c r="L115" s="339">
        <f>IF(AK115=301,"",AK115)</f>
        <v>0</v>
      </c>
      <c r="M115" s="339" t="str">
        <f>IF(AL115=0,"",AL115)</f>
        <v/>
      </c>
      <c r="N115" s="339">
        <f>IF(AM115=301,"",AM115)</f>
        <v>0</v>
      </c>
      <c r="O115" s="339" t="str">
        <f>IF(AN115=0,"",AN115)</f>
        <v/>
      </c>
      <c r="P115" s="339">
        <f>IF(AO115=301,"",AO115)</f>
        <v>0</v>
      </c>
      <c r="Q115" s="339" t="str">
        <f>IF(AP115=0,"",AP115)</f>
        <v/>
      </c>
      <c r="R115" s="339">
        <f>IF(AQ115=301,"",AQ115)</f>
        <v>0</v>
      </c>
      <c r="S115" s="339" t="str">
        <f>IF(AR115=0,"",AR115)</f>
        <v/>
      </c>
      <c r="T115" s="339">
        <f>IF(AS115=301,"",AS115)</f>
        <v>0</v>
      </c>
      <c r="U115" s="339" t="str">
        <f>IF(AT115=0,"",AT115)</f>
        <v/>
      </c>
      <c r="V115" s="340"/>
      <c r="W115" s="340"/>
      <c r="AA115" s="91" t="s">
        <v>0</v>
      </c>
      <c r="AB115" s="92"/>
      <c r="AC115" s="372">
        <f>ABS(INDEX(AC:AC,MATCH(AC112,$AA:$AA,0)+5)+INDEX(AC:AC,MATCH(AC112,$AA:$AA,0)+6)+INDEX(AC:AC,MATCH(AC112,$AA:$AA,0)+7))</f>
        <v>0</v>
      </c>
      <c r="AD115" s="373"/>
      <c r="AE115" s="372">
        <f>ABS(INDEX(AE:AE,MATCH(AE112,$AA:$AA,0)+5)+INDEX(AE:AE,MATCH(AE112,$AA:$AA,0)+6)+INDEX(AE:AE,MATCH(AE112,$AA:$AA,0)+7))</f>
        <v>0</v>
      </c>
      <c r="AF115" s="373"/>
      <c r="AG115" s="372">
        <f>ABS(INDEX(AG:AG,MATCH(AG112,$AA:$AA,0)+5)+INDEX(AG:AG,MATCH(AG112,$AA:$AA,0)+6)+INDEX(AG:AG,MATCH(AG112,$AA:$AA,0)+7))</f>
        <v>0</v>
      </c>
      <c r="AH115" s="373"/>
      <c r="AI115" s="372">
        <f>ABS(INDEX(AI:AI,MATCH(AI112,$AA:$AA,0)+5)+INDEX(AI:AI,MATCH(AI112,$AA:$AA,0)+6)+INDEX(AI:AI,MATCH(AI112,$AA:$AA,0)+7))</f>
        <v>0</v>
      </c>
      <c r="AJ115" s="373"/>
      <c r="AK115" s="372">
        <f>ABS(INDEX(AK:AK,MATCH(AK112,$AA:$AA,0)+5)+INDEX(AK:AK,MATCH(AK112,$AA:$AA,0)+6)+INDEX(AK:AK,MATCH(AK112,$AA:$AA,0)+7))</f>
        <v>0</v>
      </c>
      <c r="AL115" s="373"/>
      <c r="AM115" s="372">
        <f>ABS(INDEX(AM:AM,MATCH(AM112,$AA:$AA,0)+5)+INDEX(AM:AM,MATCH(AM112,$AA:$AA,0)+6)+INDEX(AM:AM,MATCH(AM112,$AA:$AA,0)+7))</f>
        <v>0</v>
      </c>
      <c r="AN115" s="373"/>
      <c r="AO115" s="372">
        <f>ABS(INDEX(AO:AO,MATCH(AO112,$AA:$AA,0)+5)+INDEX(AO:AO,MATCH(AO112,$AA:$AA,0)+6)+INDEX(AO:AO,MATCH(AO112,$AA:$AA,0)+7))</f>
        <v>0</v>
      </c>
      <c r="AP115" s="373"/>
      <c r="AQ115" s="372">
        <f>ABS(INDEX(AQ:AQ,MATCH(AQ112,$AA:$AA,0)+5)+INDEX(AQ:AQ,MATCH(AQ112,$AA:$AA,0)+6)+INDEX(AQ:AQ,MATCH(AQ112,$AA:$AA,0)+7))</f>
        <v>0</v>
      </c>
      <c r="AR115" s="373"/>
      <c r="AS115" s="372">
        <f>ABS(INDEX(AS:AS,MATCH(AS112,$AA:$AA,0)+5)+INDEX(AS:AS,MATCH(AS112,$AA:$AA,0)+6)+INDEX(AS:AS,MATCH(AS112,$AA:$AA,0)+7))</f>
        <v>0</v>
      </c>
      <c r="AT115" s="373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6.05" customHeight="1" x14ac:dyDescent="0.35">
      <c r="B116" s="365" t="str">
        <f t="shared" si="138"/>
        <v>Spieler 2</v>
      </c>
      <c r="C116" s="366" t="str">
        <f t="shared" si="138"/>
        <v/>
      </c>
      <c r="D116" s="339">
        <f>IF(AC116=301,"",AC116)</f>
        <v>0</v>
      </c>
      <c r="E116" s="339" t="str">
        <f>IF(AD116=0,"",AD116)</f>
        <v/>
      </c>
      <c r="F116" s="339">
        <f>IF(AE116=301,"",AE116)</f>
        <v>0</v>
      </c>
      <c r="G116" s="339" t="str">
        <f>IF(AF116=0,"",AF116)</f>
        <v/>
      </c>
      <c r="H116" s="339">
        <f>IF(AG116=301,"",AG116)</f>
        <v>0</v>
      </c>
      <c r="I116" s="339" t="str">
        <f>IF(AH116=0,"",AH116)</f>
        <v/>
      </c>
      <c r="J116" s="339">
        <f>IF(AI116=301,"",AI116)</f>
        <v>0</v>
      </c>
      <c r="K116" s="339" t="str">
        <f>IF(AJ116=0,"",AJ116)</f>
        <v/>
      </c>
      <c r="L116" s="339">
        <f>IF(AK116=301,"",AK116)</f>
        <v>0</v>
      </c>
      <c r="M116" s="339" t="str">
        <f>IF(AL116=0,"",AL116)</f>
        <v/>
      </c>
      <c r="N116" s="339">
        <f>IF(AM116=301,"",AM116)</f>
        <v>0</v>
      </c>
      <c r="O116" s="339" t="str">
        <f>IF(AN116=0,"",AN116)</f>
        <v/>
      </c>
      <c r="P116" s="339">
        <f>IF(AO116=301,"",AO116)</f>
        <v>0</v>
      </c>
      <c r="Q116" s="339" t="str">
        <f>IF(AP116=0,"",AP116)</f>
        <v/>
      </c>
      <c r="R116" s="339">
        <f>IF(AQ116=301,"",AQ116)</f>
        <v>0</v>
      </c>
      <c r="S116" s="339" t="str">
        <f>IF(AR116=0,"",AR116)</f>
        <v/>
      </c>
      <c r="T116" s="339">
        <f>IF(AS116=301,"",AS116)</f>
        <v>0</v>
      </c>
      <c r="U116" s="339" t="str">
        <f>IF(AT116=0,"",AT116)</f>
        <v/>
      </c>
      <c r="V116" s="340"/>
      <c r="W116" s="340"/>
      <c r="AA116" s="91" t="s">
        <v>2</v>
      </c>
      <c r="AB116" s="92"/>
      <c r="AC116" s="374">
        <f>ABS(INDEX(AC:AC,MATCH(AC112,$AA:$AA,0)+8)+INDEX(AC:AC,MATCH(AC112,$AA:$AA,0)+9)+INDEX(AC:AC,MATCH(AC112,$AA:$AA,0)+10))</f>
        <v>0</v>
      </c>
      <c r="AD116" s="375"/>
      <c r="AE116" s="374">
        <f>ABS(INDEX(AE:AE,MATCH(AE112,$AA:$AA,0)+8)+INDEX(AE:AE,MATCH(AE112,$AA:$AA,0)+9)+INDEX(AE:AE,MATCH(AE112,$AA:$AA,0)+10))</f>
        <v>0</v>
      </c>
      <c r="AF116" s="375"/>
      <c r="AG116" s="374">
        <f>ABS(INDEX(AG:AG,MATCH(AG112,$AA:$AA,0)+8)+INDEX(AG:AG,MATCH(AG112,$AA:$AA,0)+9)+INDEX(AG:AG,MATCH(AG112,$AA:$AA,0)+10))</f>
        <v>0</v>
      </c>
      <c r="AH116" s="375"/>
      <c r="AI116" s="374">
        <f>ABS(INDEX(AI:AI,MATCH(AI112,$AA:$AA,0)+8)+INDEX(AI:AI,MATCH(AI112,$AA:$AA,0)+9)+INDEX(AI:AI,MATCH(AI112,$AA:$AA,0)+10))</f>
        <v>0</v>
      </c>
      <c r="AJ116" s="375"/>
      <c r="AK116" s="374">
        <f>ABS(INDEX(AK:AK,MATCH(AK112,$AA:$AA,0)+8)+INDEX(AK:AK,MATCH(AK112,$AA:$AA,0)+9)+INDEX(AK:AK,MATCH(AK112,$AA:$AA,0)+10))</f>
        <v>0</v>
      </c>
      <c r="AL116" s="375"/>
      <c r="AM116" s="374">
        <f>ABS(INDEX(AM:AM,MATCH(AM112,$AA:$AA,0)+8)+INDEX(AM:AM,MATCH(AM112,$AA:$AA,0)+9)+INDEX(AM:AM,MATCH(AM112,$AA:$AA,0)+10))</f>
        <v>0</v>
      </c>
      <c r="AN116" s="375"/>
      <c r="AO116" s="374">
        <f>ABS(INDEX(AO:AO,MATCH(AO112,$AA:$AA,0)+8)+INDEX(AO:AO,MATCH(AO112,$AA:$AA,0)+9)+INDEX(AO:AO,MATCH(AO112,$AA:$AA,0)+10))</f>
        <v>0</v>
      </c>
      <c r="AP116" s="375"/>
      <c r="AQ116" s="374">
        <f>ABS(INDEX(AQ:AQ,MATCH(AQ112,$AA:$AA,0)+8)+INDEX(AQ:AQ,MATCH(AQ112,$AA:$AA,0)+9)+INDEX(AQ:AQ,MATCH(AQ112,$AA:$AA,0)+10))</f>
        <v>0</v>
      </c>
      <c r="AR116" s="375"/>
      <c r="AS116" s="374">
        <f>ABS(INDEX(AS:AS,MATCH(AS112,$AA:$AA,0)+8)+INDEX(AS:AS,MATCH(AS112,$AA:$AA,0)+9)+INDEX(AS:AS,MATCH(AS112,$AA:$AA,0)+10))</f>
        <v>0</v>
      </c>
      <c r="AT116" s="375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6.05" customHeight="1" x14ac:dyDescent="0.35">
      <c r="B117" s="365" t="str">
        <f t="shared" si="138"/>
        <v>Spieler 3</v>
      </c>
      <c r="C117" s="366" t="str">
        <f t="shared" si="138"/>
        <v/>
      </c>
      <c r="D117" s="339">
        <f>IF(AC117=301,"",AC117)</f>
        <v>0</v>
      </c>
      <c r="E117" s="339" t="str">
        <f>IF(AD117=0,"",AD117)</f>
        <v/>
      </c>
      <c r="F117" s="339">
        <f>IF(AE117=301,"",AE117)</f>
        <v>0</v>
      </c>
      <c r="G117" s="339" t="str">
        <f>IF(AF117=0,"",AF117)</f>
        <v/>
      </c>
      <c r="H117" s="339">
        <f>IF(AG117=301,"",AG117)</f>
        <v>0</v>
      </c>
      <c r="I117" s="339" t="str">
        <f>IF(AH117=0,"",AH117)</f>
        <v/>
      </c>
      <c r="J117" s="339">
        <f>IF(AI117=301,"",AI117)</f>
        <v>0</v>
      </c>
      <c r="K117" s="339" t="str">
        <f>IF(AJ117=0,"",AJ117)</f>
        <v/>
      </c>
      <c r="L117" s="339">
        <f>IF(AK117=301,"",AK117)</f>
        <v>0</v>
      </c>
      <c r="M117" s="339" t="str">
        <f>IF(AL117=0,"",AL117)</f>
        <v/>
      </c>
      <c r="N117" s="339">
        <f>IF(AM117=301,"",AM117)</f>
        <v>0</v>
      </c>
      <c r="O117" s="339" t="str">
        <f>IF(AN117=0,"",AN117)</f>
        <v/>
      </c>
      <c r="P117" s="339">
        <f>IF(AO117=301,"",AO117)</f>
        <v>0</v>
      </c>
      <c r="Q117" s="339" t="str">
        <f>IF(AP117=0,"",AP117)</f>
        <v/>
      </c>
      <c r="R117" s="339">
        <f>IF(AQ117=301,"",AQ117)</f>
        <v>0</v>
      </c>
      <c r="S117" s="339" t="str">
        <f>IF(AR117=0,"",AR117)</f>
        <v/>
      </c>
      <c r="T117" s="339">
        <f>IF(AS117=301,"",AS117)</f>
        <v>0</v>
      </c>
      <c r="U117" s="339" t="str">
        <f>IF(AT117=0,"",AT117)</f>
        <v/>
      </c>
      <c r="V117" s="340"/>
      <c r="W117" s="340"/>
      <c r="AA117" s="91" t="s">
        <v>3</v>
      </c>
      <c r="AB117" s="92"/>
      <c r="AC117" s="374">
        <f>ABS(INDEX(AC:AC,MATCH(AC112,$AA:$AA,0)+11)+INDEX(AC:AC,MATCH(AC112,$AA:$AA,0)+12)+INDEX(AC:AC,MATCH(AC112,$AA:$AA,0)+13))</f>
        <v>0</v>
      </c>
      <c r="AD117" s="375"/>
      <c r="AE117" s="374">
        <f>ABS(INDEX(AE:AE,MATCH(AE112,$AA:$AA,0)+11)+INDEX(AE:AE,MATCH(AE112,$AA:$AA,0)+12)+INDEX(AE:AE,MATCH(AE112,$AA:$AA,0)+13))</f>
        <v>0</v>
      </c>
      <c r="AF117" s="375"/>
      <c r="AG117" s="374">
        <f>ABS(INDEX(AG:AG,MATCH(AG112,$AA:$AA,0)+11)+INDEX(AG:AG,MATCH(AG112,$AA:$AA,0)+12)+INDEX(AG:AG,MATCH(AG112,$AA:$AA,0)+13))</f>
        <v>0</v>
      </c>
      <c r="AH117" s="375"/>
      <c r="AI117" s="374">
        <f>ABS(INDEX(AI:AI,MATCH(AI112,$AA:$AA,0)+11)+INDEX(AI:AI,MATCH(AI112,$AA:$AA,0)+12)+INDEX(AI:AI,MATCH(AI112,$AA:$AA,0)+13))</f>
        <v>0</v>
      </c>
      <c r="AJ117" s="375"/>
      <c r="AK117" s="374">
        <f>ABS(INDEX(AK:AK,MATCH(AK112,$AA:$AA,0)+11)+INDEX(AK:AK,MATCH(AK112,$AA:$AA,0)+12)+INDEX(AK:AK,MATCH(AK112,$AA:$AA,0)+13))</f>
        <v>0</v>
      </c>
      <c r="AL117" s="375"/>
      <c r="AM117" s="374">
        <f>ABS(INDEX(AM:AM,MATCH(AM112,$AA:$AA,0)+11)+INDEX(AM:AM,MATCH(AM112,$AA:$AA,0)+12)+INDEX(AM:AM,MATCH(AM112,$AA:$AA,0)+13))</f>
        <v>0</v>
      </c>
      <c r="AN117" s="375"/>
      <c r="AO117" s="374">
        <f>ABS(INDEX(AO:AO,MATCH(AO112,$AA:$AA,0)+11)+INDEX(AO:AO,MATCH(AO112,$AA:$AA,0)+12)+INDEX(AO:AO,MATCH(AO112,$AA:$AA,0)+13))</f>
        <v>0</v>
      </c>
      <c r="AP117" s="375"/>
      <c r="AQ117" s="374">
        <f>ABS(INDEX(AQ:AQ,MATCH(AQ112,$AA:$AA,0)+11)+INDEX(AQ:AQ,MATCH(AQ112,$AA:$AA,0)+12)+INDEX(AQ:AQ,MATCH(AQ112,$AA:$AA,0)+13))</f>
        <v>0</v>
      </c>
      <c r="AR117" s="375"/>
      <c r="AS117" s="374">
        <f>ABS(INDEX(AS:AS,MATCH(AS112,$AA:$AA,0)+11)+INDEX(AS:AS,MATCH(AS112,$AA:$AA,0)+12)+INDEX(AS:AS,MATCH(AS112,$AA:$AA,0)+13))</f>
        <v>0</v>
      </c>
      <c r="AT117" s="375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6.05" customHeight="1" x14ac:dyDescent="0.35">
      <c r="B118" s="365" t="str">
        <f t="shared" si="138"/>
        <v>Spieler 4</v>
      </c>
      <c r="C118" s="366" t="str">
        <f t="shared" si="138"/>
        <v/>
      </c>
      <c r="D118" s="339">
        <f>IF(AC118=301,"",AC118)</f>
        <v>0</v>
      </c>
      <c r="E118" s="339" t="str">
        <f>IF(AD118=0,"",AD118)</f>
        <v/>
      </c>
      <c r="F118" s="339">
        <f>IF(AE118=301,"",AE118)</f>
        <v>0</v>
      </c>
      <c r="G118" s="339" t="str">
        <f>IF(AF118=0,"",AF118)</f>
        <v/>
      </c>
      <c r="H118" s="339">
        <f>IF(AG118=301,"",AG118)</f>
        <v>0</v>
      </c>
      <c r="I118" s="339" t="str">
        <f>IF(AH118=0,"",AH118)</f>
        <v/>
      </c>
      <c r="J118" s="339">
        <f>IF(AI118=301,"",AI118)</f>
        <v>0</v>
      </c>
      <c r="K118" s="339" t="str">
        <f>IF(AJ118=0,"",AJ118)</f>
        <v/>
      </c>
      <c r="L118" s="339">
        <f>IF(AK118=301,"",AK118)</f>
        <v>0</v>
      </c>
      <c r="M118" s="339" t="str">
        <f>IF(AL118=0,"",AL118)</f>
        <v/>
      </c>
      <c r="N118" s="339">
        <f>IF(AM118=301,"",AM118)</f>
        <v>0</v>
      </c>
      <c r="O118" s="339" t="str">
        <f>IF(AN118=0,"",AN118)</f>
        <v/>
      </c>
      <c r="P118" s="339">
        <f>IF(AO118=301,"",AO118)</f>
        <v>0</v>
      </c>
      <c r="Q118" s="339" t="str">
        <f>IF(AP118=0,"",AP118)</f>
        <v/>
      </c>
      <c r="R118" s="339">
        <f>IF(AQ118=301,"",AQ118)</f>
        <v>0</v>
      </c>
      <c r="S118" s="339" t="str">
        <f>IF(AR118=0,"",AR118)</f>
        <v/>
      </c>
      <c r="T118" s="339">
        <f>IF(AS118=301,"",AS118)</f>
        <v>0</v>
      </c>
      <c r="U118" s="339" t="str">
        <f>IF(AT118=0,"",AT118)</f>
        <v/>
      </c>
      <c r="V118" s="340"/>
      <c r="W118" s="340"/>
      <c r="AA118" s="91" t="s">
        <v>11</v>
      </c>
      <c r="AB118" s="92"/>
      <c r="AC118" s="374">
        <f>ABS(INDEX(AC:AC,MATCH(AC112,$AA:$AA,0)+14)+INDEX(AC:AC,MATCH(AC112,$AA:$AA,0)+15)+INDEX(AC:AC,MATCH(AC112,$AA:$AA,0)+16))</f>
        <v>0</v>
      </c>
      <c r="AD118" s="375"/>
      <c r="AE118" s="374">
        <f>ABS(INDEX(AE:AE,MATCH(AE112,$AA:$AA,0)+14)+INDEX(AE:AE,MATCH(AE112,$AA:$AA,0)+15)+INDEX(AE:AE,MATCH(AE112,$AA:$AA,0)+16))</f>
        <v>0</v>
      </c>
      <c r="AF118" s="375"/>
      <c r="AG118" s="374">
        <f>ABS(INDEX(AG:AG,MATCH(AG112,$AA:$AA,0)+14)+INDEX(AG:AG,MATCH(AG112,$AA:$AA,0)+15)+INDEX(AG:AG,MATCH(AG112,$AA:$AA,0)+16))</f>
        <v>0</v>
      </c>
      <c r="AH118" s="375"/>
      <c r="AI118" s="374">
        <f>ABS(INDEX(AI:AI,MATCH(AI112,$AA:$AA,0)+14)+INDEX(AI:AI,MATCH(AI112,$AA:$AA,0)+15)+INDEX(AI:AI,MATCH(AI112,$AA:$AA,0)+16))</f>
        <v>0</v>
      </c>
      <c r="AJ118" s="375"/>
      <c r="AK118" s="374">
        <f>ABS(INDEX(AK:AK,MATCH(AK112,$AA:$AA,0)+14)+INDEX(AK:AK,MATCH(AK112,$AA:$AA,0)+15)+INDEX(AK:AK,MATCH(AK112,$AA:$AA,0)+16))</f>
        <v>0</v>
      </c>
      <c r="AL118" s="375"/>
      <c r="AM118" s="374">
        <f>ABS(INDEX(AM:AM,MATCH(AM112,$AA:$AA,0)+14)+INDEX(AM:AM,MATCH(AM112,$AA:$AA,0)+15)+INDEX(AM:AM,MATCH(AM112,$AA:$AA,0)+16))</f>
        <v>0</v>
      </c>
      <c r="AN118" s="375"/>
      <c r="AO118" s="374">
        <f>ABS(INDEX(AO:AO,MATCH(AO112,$AA:$AA,0)+14)+INDEX(AO:AO,MATCH(AO112,$AA:$AA,0)+15)+INDEX(AO:AO,MATCH(AO112,$AA:$AA,0)+16))</f>
        <v>0</v>
      </c>
      <c r="AP118" s="375"/>
      <c r="AQ118" s="374">
        <f>ABS(INDEX(AQ:AQ,MATCH(AQ112,$AA:$AA,0)+14)+INDEX(AQ:AQ,MATCH(AQ112,$AA:$AA,0)+15)+INDEX(AQ:AQ,MATCH(AQ112,$AA:$AA,0)+16))</f>
        <v>0</v>
      </c>
      <c r="AR118" s="375"/>
      <c r="AS118" s="374">
        <f>ABS(INDEX(AS:AS,MATCH(AS112,$AA:$AA,0)+14)+INDEX(AS:AS,MATCH(AS112,$AA:$AA,0)+15)+INDEX(AS:AS,MATCH(AS112,$AA:$AA,0)+16))</f>
        <v>0</v>
      </c>
      <c r="AT118" s="375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6.05" customHeight="1" x14ac:dyDescent="0.35">
      <c r="B119" s="354" t="str">
        <f t="shared" si="138"/>
        <v>Gesamt</v>
      </c>
      <c r="C119" s="355" t="str">
        <f t="shared" si="138"/>
        <v/>
      </c>
      <c r="D119" s="338">
        <f>IF(AC119=1505,"",AC119)</f>
        <v>0</v>
      </c>
      <c r="E119" s="338" t="str">
        <f>IF(AD119=0,"",AD119)</f>
        <v/>
      </c>
      <c r="F119" s="338">
        <f>IF(AE119=1505,"",AE119)</f>
        <v>0</v>
      </c>
      <c r="G119" s="338" t="str">
        <f>IF(AF119=0,"",AF119)</f>
        <v/>
      </c>
      <c r="H119" s="338">
        <f>IF(AG119=1505,"",AG119)</f>
        <v>0</v>
      </c>
      <c r="I119" s="338" t="str">
        <f>IF(AH119=0,"",AH119)</f>
        <v/>
      </c>
      <c r="J119" s="338">
        <f>IF(AI119=1505,"",AI119)</f>
        <v>0</v>
      </c>
      <c r="K119" s="338" t="str">
        <f>IF(AJ119=0,"",AJ119)</f>
        <v/>
      </c>
      <c r="L119" s="338">
        <f>IF(AK119=1505,"",AK119)</f>
        <v>0</v>
      </c>
      <c r="M119" s="338" t="str">
        <f>IF(AL119=0,"",AL119)</f>
        <v/>
      </c>
      <c r="N119" s="338">
        <f>IF(AM119=1505,"",AM119)</f>
        <v>0</v>
      </c>
      <c r="O119" s="338" t="str">
        <f>IF(AN119=0,"",AN119)</f>
        <v/>
      </c>
      <c r="P119" s="338">
        <f>IF(AO119=1505,"",AO119)</f>
        <v>0</v>
      </c>
      <c r="Q119" s="338" t="str">
        <f>IF(AP119=0,"",AP119)</f>
        <v/>
      </c>
      <c r="R119" s="338">
        <f>IF(AQ119=1505,"",AQ119)</f>
        <v>0</v>
      </c>
      <c r="S119" s="338" t="str">
        <f>IF(AR119=0,"",AR119)</f>
        <v/>
      </c>
      <c r="T119" s="338">
        <f>IF(AS119=1505,"",AS119)</f>
        <v>0</v>
      </c>
      <c r="U119" s="338" t="str">
        <f>IF(AT119=0,"",AT119)</f>
        <v/>
      </c>
      <c r="V119" s="290"/>
      <c r="W119" s="290"/>
      <c r="AA119" s="93" t="s">
        <v>1799</v>
      </c>
      <c r="AB119" s="94"/>
      <c r="AC119" s="354">
        <f>SUM(AC115:AC118)</f>
        <v>0</v>
      </c>
      <c r="AD119" s="355"/>
      <c r="AE119" s="354">
        <f>SUM(AE115:AE118)</f>
        <v>0</v>
      </c>
      <c r="AF119" s="355"/>
      <c r="AG119" s="354">
        <f>SUM(AG115:AG118)</f>
        <v>0</v>
      </c>
      <c r="AH119" s="355"/>
      <c r="AI119" s="354">
        <f>SUM(AI115:AI118)</f>
        <v>0</v>
      </c>
      <c r="AJ119" s="355"/>
      <c r="AK119" s="354">
        <f>SUM(AK115:AK118)</f>
        <v>0</v>
      </c>
      <c r="AL119" s="355"/>
      <c r="AM119" s="354">
        <f>SUM(AM115:AM118)</f>
        <v>0</v>
      </c>
      <c r="AN119" s="355"/>
      <c r="AO119" s="354">
        <f>SUM(AO115:AO118)</f>
        <v>0</v>
      </c>
      <c r="AP119" s="355"/>
      <c r="AQ119" s="354">
        <f>SUM(AQ115:AQ118)</f>
        <v>0</v>
      </c>
      <c r="AR119" s="355"/>
      <c r="AS119" s="354">
        <f>SUM(AS115:AS118)</f>
        <v>0</v>
      </c>
      <c r="AT119" s="355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3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7">
      <c r="B121" s="44" t="str">
        <f>AA121</f>
        <v>Team-Nr.</v>
      </c>
      <c r="C121" s="45"/>
      <c r="D121" s="44" t="str">
        <f>AC121</f>
        <v>Liga:</v>
      </c>
      <c r="E121" s="47"/>
      <c r="F121" s="359" t="str">
        <f>AE121</f>
        <v>Bayernliga Frauen</v>
      </c>
      <c r="G121" s="359"/>
      <c r="H121" s="359"/>
      <c r="I121" s="359"/>
      <c r="J121" s="359"/>
      <c r="K121" s="359"/>
      <c r="L121" s="359"/>
      <c r="M121" s="359"/>
      <c r="N121" s="359"/>
      <c r="O121" s="359"/>
      <c r="P121" s="359"/>
      <c r="Q121" s="359"/>
      <c r="R121" s="48"/>
      <c r="S121" s="49" t="s">
        <v>1794</v>
      </c>
      <c r="T121" s="50"/>
      <c r="U121" s="360" t="str">
        <f>AT121</f>
        <v>05.04./06.04.</v>
      </c>
      <c r="V121" s="361"/>
      <c r="W121" s="362"/>
      <c r="X121" s="363"/>
      <c r="Y121" s="364"/>
      <c r="Z121" s="364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60" t="str">
        <f>VLOOKUP(AS122,Spielorte!$A$1:$C$6,2)</f>
        <v>05.04./06.04.</v>
      </c>
      <c r="AU121" s="361"/>
      <c r="AV121" s="362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65">
      <c r="B122" s="53">
        <f>AA122</f>
        <v>5</v>
      </c>
      <c r="D122" s="46" t="s">
        <v>1793</v>
      </c>
      <c r="E122" s="54"/>
      <c r="F122" s="358" t="str">
        <f>AE122</f>
        <v>Schweinfurt Extreme Bowlingarena</v>
      </c>
      <c r="G122" s="358"/>
      <c r="H122" s="358"/>
      <c r="I122" s="358"/>
      <c r="J122" s="358"/>
      <c r="K122" s="358"/>
      <c r="L122" s="358"/>
      <c r="M122" s="358"/>
      <c r="N122" s="358"/>
      <c r="O122" s="358"/>
      <c r="P122" s="55"/>
      <c r="Q122" s="55"/>
      <c r="S122" s="49" t="s">
        <v>1791</v>
      </c>
      <c r="T122" s="56">
        <f>AS122</f>
        <v>6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Schweinfurt Extreme Bowlingarena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6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4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5" thickBot="1" x14ac:dyDescent="0.45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VLOOKUP(AA122,Schlüssel!$A$5:$DZ$14,113)</f>
        <v>10</v>
      </c>
      <c r="AE124" s="65" t="s">
        <v>10</v>
      </c>
      <c r="AF124" s="44">
        <f>VLOOKUP(AA122,Schlüssel!$A$5:$DZ$14,114)</f>
        <v>8</v>
      </c>
      <c r="AG124" s="65" t="s">
        <v>10</v>
      </c>
      <c r="AH124" s="44">
        <f>VLOOKUP(AA122,Schlüssel!$A$5:$DZ$14,115)</f>
        <v>5</v>
      </c>
      <c r="AI124" s="65" t="s">
        <v>10</v>
      </c>
      <c r="AJ124" s="44">
        <f>VLOOKUP(AA122,Schlüssel!$A$5:$DZ$14,116)</f>
        <v>2</v>
      </c>
      <c r="AK124" s="65" t="s">
        <v>10</v>
      </c>
      <c r="AL124" s="44">
        <f>VLOOKUP(AA122,Schlüssel!$A$5:$DZ$14,117)</f>
        <v>7</v>
      </c>
      <c r="AM124" s="65" t="s">
        <v>10</v>
      </c>
      <c r="AN124" s="44">
        <f>VLOOKUP(AA122,Schlüssel!$A$5:$DZ$14,118)</f>
        <v>9</v>
      </c>
      <c r="AO124" s="65" t="s">
        <v>10</v>
      </c>
      <c r="AP124" s="44">
        <f>VLOOKUP(AA122,Schlüssel!$A$5:$DZ$14,119)</f>
        <v>1</v>
      </c>
      <c r="AQ124" s="65" t="s">
        <v>10</v>
      </c>
      <c r="AR124" s="44">
        <f>VLOOKUP(AA122,Schlüssel!$A$5:$DZ$14,120)</f>
        <v>4</v>
      </c>
      <c r="AS124" s="65" t="s">
        <v>10</v>
      </c>
      <c r="AT124" s="44">
        <f>VLOOKUP(AA122,Schlüssel!$A$5:$DZ$14,121)</f>
        <v>6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35">
      <c r="B125" s="67" t="s">
        <v>1</v>
      </c>
      <c r="C125" s="68"/>
      <c r="D125" s="354" t="s">
        <v>1800</v>
      </c>
      <c r="E125" s="355"/>
      <c r="F125" s="354" t="s">
        <v>1801</v>
      </c>
      <c r="G125" s="355"/>
      <c r="H125" s="354" t="s">
        <v>1802</v>
      </c>
      <c r="I125" s="355"/>
      <c r="J125" s="354" t="s">
        <v>1803</v>
      </c>
      <c r="K125" s="355"/>
      <c r="L125" s="354" t="s">
        <v>1804</v>
      </c>
      <c r="M125" s="355"/>
      <c r="N125" s="354" t="s">
        <v>1805</v>
      </c>
      <c r="O125" s="355"/>
      <c r="P125" s="354" t="s">
        <v>1806</v>
      </c>
      <c r="Q125" s="355"/>
      <c r="R125" s="354" t="s">
        <v>1807</v>
      </c>
      <c r="S125" s="355"/>
      <c r="T125" s="354" t="s">
        <v>1808</v>
      </c>
      <c r="U125" s="355"/>
      <c r="V125" s="356" t="s">
        <v>1799</v>
      </c>
      <c r="W125" s="357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4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2" customHeight="1" x14ac:dyDescent="0.35">
      <c r="A127" s="367" t="s">
        <v>0</v>
      </c>
      <c r="B127" s="73" t="str">
        <f>IF(AA127=0,"",AA127)</f>
        <v/>
      </c>
      <c r="C127" s="74" t="str">
        <f>IF(AB127=0,"",AB127)</f>
        <v/>
      </c>
      <c r="D127" s="75" t="str">
        <f>IF(AC127=0,"",AC127)</f>
        <v/>
      </c>
      <c r="E127" s="348">
        <f>IF(AD127="","",AD127)</f>
        <v>0</v>
      </c>
      <c r="F127" s="75" t="str">
        <f t="shared" ref="F127:F140" si="139">IF(AE127=0,"",AE127)</f>
        <v/>
      </c>
      <c r="G127" s="348">
        <f>IF(AF127="","",AF127)</f>
        <v>0</v>
      </c>
      <c r="H127" s="75" t="str">
        <f t="shared" ref="H127:H140" si="140">IF(AG127=0,"",AG127)</f>
        <v/>
      </c>
      <c r="I127" s="348">
        <f>IF(AH127="","",AH127)</f>
        <v>0</v>
      </c>
      <c r="J127" s="75" t="str">
        <f t="shared" ref="J127:J140" si="141">IF(AI127=0,"",AI127)</f>
        <v/>
      </c>
      <c r="K127" s="348">
        <f>IF(AJ127="","",AJ127)</f>
        <v>0</v>
      </c>
      <c r="L127" s="75" t="str">
        <f t="shared" ref="L127:L140" si="142">IF(AK127=0,"",AK127)</f>
        <v/>
      </c>
      <c r="M127" s="348">
        <f>IF(AL127="","",AL127)</f>
        <v>0</v>
      </c>
      <c r="N127" s="75" t="str">
        <f>IF(AM127=0,"",AM127)</f>
        <v/>
      </c>
      <c r="O127" s="348">
        <f>IF(AN127="","",AN127)</f>
        <v>0</v>
      </c>
      <c r="P127" s="75" t="str">
        <f t="shared" ref="P127:P140" si="143">IF(AO127=0,"",AO127)</f>
        <v/>
      </c>
      <c r="Q127" s="348">
        <f>IF(AP127="","",AP127)</f>
        <v>0</v>
      </c>
      <c r="R127" s="75" t="str">
        <f t="shared" ref="R127:R140" si="144">IF(AQ127=0,"",AQ127)</f>
        <v/>
      </c>
      <c r="S127" s="348">
        <f>IF(AR127="","",AR127)</f>
        <v>0</v>
      </c>
      <c r="T127" s="75" t="str">
        <f t="shared" ref="T127:T140" si="145">IF(AS127=0,"",AS127)</f>
        <v/>
      </c>
      <c r="U127" s="348">
        <f>IF(AT127="","",AT127)</f>
        <v>0</v>
      </c>
      <c r="V127" s="75" t="str">
        <f t="shared" ref="V127:V140" si="146">IF(AU127=0,"",AU127)</f>
        <v/>
      </c>
      <c r="W127" s="348">
        <f>IF(AV127="","",AV127)</f>
        <v>0</v>
      </c>
      <c r="Z127" s="351" t="s">
        <v>0</v>
      </c>
      <c r="AA127" s="108" t="str">
        <f>IF(AB127=0,"",VLOOKUP(AB127,Starter!$A$1:$D$199,2,FALSE))</f>
        <v/>
      </c>
      <c r="AB127" s="99"/>
      <c r="AC127" s="185"/>
      <c r="AD127" s="109">
        <f>IF(SUM(AC127:AC129)+AC145=0,0,IF(SUM(AC127:AC129)=AC145,0.5,IF(SUM(AC127:AC129)&gt;AC145,1,0)))</f>
        <v>0</v>
      </c>
      <c r="AE127" s="185"/>
      <c r="AF127" s="109">
        <f>IF(SUM(AE127:AE129)+AE145=0,0,IF(SUM(AE127:AE129)=AE145,0.5,IF(SUM(AE127:AE129)&gt;AE145,1,0)))</f>
        <v>0</v>
      </c>
      <c r="AG127" s="185"/>
      <c r="AH127" s="109">
        <f>IF(SUM(AG127:AG129)+AG145=0,0,IF(SUM(AG127:AG129)=AG145,0.5,IF(SUM(AG127:AG129)&gt;AG145,1,0)))</f>
        <v>0</v>
      </c>
      <c r="AI127" s="185"/>
      <c r="AJ127" s="109">
        <f>IF(SUM(AI127:AI129)+AI145=0,0,IF(SUM(AI127:AI129)=AI145,0.5,IF(SUM(AI127:AI129)&gt;AI145,1,0)))</f>
        <v>0</v>
      </c>
      <c r="AK127" s="185"/>
      <c r="AL127" s="109">
        <f>IF(SUM(AK127:AK129)+AK145=0,0,IF(SUM(AK127:AK129)=AK145,0.5,IF(SUM(AK127:AK129)&gt;AK145,1,0)))</f>
        <v>0</v>
      </c>
      <c r="AM127" s="185"/>
      <c r="AN127" s="109">
        <f>IF(SUM(AM127:AM129)+AM145=0,0,IF(SUM(AM127:AM129)=AM145,0.5,IF(SUM(AM127:AM129)&gt;AM145,1,0)))</f>
        <v>0</v>
      </c>
      <c r="AO127" s="185"/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0</v>
      </c>
      <c r="AS127" s="185"/>
      <c r="AT127" s="109">
        <f>IF(SUM(AS127:AS129)+AS145=0,0,IF(SUM(AS127:AS129)=AS145,0.5,IF(SUM(AS127:AS129)&gt;AS145,1,0)))</f>
        <v>0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0</v>
      </c>
      <c r="AV127" s="111">
        <f>SUM(AD127+AF127+AH127+AJ127+AL127+AN127+AP127+AR127+AT127)</f>
        <v>0</v>
      </c>
      <c r="AW127" s="101"/>
      <c r="AX127" s="102"/>
      <c r="AZ127" s="63"/>
      <c r="BA127" s="212"/>
      <c r="BB127" s="213"/>
      <c r="BC127" s="214"/>
      <c r="BD127" s="217">
        <f>+AB127</f>
        <v>0</v>
      </c>
      <c r="BE127" s="213">
        <f>+AU127</f>
        <v>0</v>
      </c>
      <c r="BF127" s="215">
        <f>COUNT(BH127:BP127)</f>
        <v>0</v>
      </c>
      <c r="BG127" s="215">
        <f>COUNTIF(BH127:BP127,"&gt;0")</f>
        <v>0</v>
      </c>
      <c r="BH127" s="215" t="str">
        <f t="shared" ref="BH127:BH138" si="148">IF(AC127=0,"",AC127)</f>
        <v/>
      </c>
      <c r="BI127" s="215" t="str">
        <f t="shared" ref="BI127:BI138" si="149">IF(AE127=0,"",AE127)</f>
        <v/>
      </c>
      <c r="BJ127" s="215" t="str">
        <f t="shared" ref="BJ127:BJ138" si="150">IF(AG127=0,"",AG127)</f>
        <v/>
      </c>
      <c r="BK127" s="215" t="str">
        <f t="shared" ref="BK127:BK138" si="151">IF(AI127=0,"",AI127)</f>
        <v/>
      </c>
      <c r="BL127" s="215" t="str">
        <f t="shared" ref="BL127:BL138" si="152">IF(AK127=0,"",AK127)</f>
        <v/>
      </c>
      <c r="BM127" s="215" t="str">
        <f t="shared" ref="BM127:BM138" si="153">IF(AM127=0,"",AM127)</f>
        <v/>
      </c>
      <c r="BN127" s="215" t="str">
        <f t="shared" ref="BN127:BN138" si="154">IF(AO127=0,"",AO127)</f>
        <v/>
      </c>
      <c r="BO127" s="215" t="str">
        <f t="shared" ref="BO127:BO138" si="155">IF(AQ127=0,"",AQ127)</f>
        <v/>
      </c>
      <c r="BP127" s="215" t="str">
        <f t="shared" ref="BP127:BP138" si="156">IF(AS127=0,"",AS127)</f>
        <v/>
      </c>
      <c r="BQ127" s="216"/>
      <c r="BR127" s="214"/>
      <c r="BS127" s="215">
        <f>MAX(BH127:BP127)</f>
        <v>0</v>
      </c>
      <c r="BT127" s="215">
        <f>IF(BS127&lt;MAX(BS:BS),0,BS127+ROW()/1000000000)</f>
        <v>1.2700000000000001E-7</v>
      </c>
      <c r="BU127" s="215" t="str">
        <f>+AA123</f>
        <v xml:space="preserve">Weiß Blau Unterföhring </v>
      </c>
      <c r="BV127" s="214">
        <f>RANK(BT127,BT:BT)</f>
        <v>72</v>
      </c>
      <c r="BW127" s="215">
        <f>SUMIF(BH127:BP127,"&gt;0")</f>
        <v>0</v>
      </c>
      <c r="BX127" s="215">
        <f>IF(COUNTIF(BH127:BP127,"&gt;0")&lt;Spielorte!$A$23,0,BE127/Spielorte!$A$23)</f>
        <v>0</v>
      </c>
      <c r="BY127" s="215">
        <f>IF(BX127&lt;MAX(BX:BX),0,BX127+ROW()/1000000000)</f>
        <v>1.2700000000000001E-7</v>
      </c>
      <c r="BZ127" s="214">
        <f t="shared" ref="BZ127:BZ138" si="157">IF(BY127=0,0,RANK(BY127,BY:BY))</f>
        <v>72</v>
      </c>
    </row>
    <row r="128" spans="1:78" ht="17.2" customHeight="1" x14ac:dyDescent="0.35">
      <c r="A128" s="368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49"/>
      <c r="F128" s="78" t="str">
        <f t="shared" si="139"/>
        <v/>
      </c>
      <c r="G128" s="349"/>
      <c r="H128" s="78" t="str">
        <f t="shared" si="140"/>
        <v/>
      </c>
      <c r="I128" s="349"/>
      <c r="J128" s="78" t="str">
        <f t="shared" si="141"/>
        <v/>
      </c>
      <c r="K128" s="349"/>
      <c r="L128" s="78" t="str">
        <f t="shared" si="142"/>
        <v/>
      </c>
      <c r="M128" s="349"/>
      <c r="N128" s="78" t="str">
        <f t="shared" ref="N128:N140" si="159">IF(AM128=0,"",AM128)</f>
        <v/>
      </c>
      <c r="O128" s="349"/>
      <c r="P128" s="78" t="str">
        <f t="shared" si="143"/>
        <v/>
      </c>
      <c r="Q128" s="349"/>
      <c r="R128" s="78" t="str">
        <f t="shared" si="144"/>
        <v/>
      </c>
      <c r="S128" s="349"/>
      <c r="T128" s="78" t="str">
        <f t="shared" si="145"/>
        <v/>
      </c>
      <c r="U128" s="349"/>
      <c r="V128" s="78" t="str">
        <f t="shared" si="146"/>
        <v/>
      </c>
      <c r="W128" s="349"/>
      <c r="Z128" s="352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1.2800000000000001E-7</v>
      </c>
      <c r="BU128" s="215" t="str">
        <f t="shared" ref="BU128:BU138" si="166">+BU127</f>
        <v xml:space="preserve">Weiß Blau Unterföhring </v>
      </c>
      <c r="BV128" s="214">
        <f t="shared" ref="BV128:BV138" si="167">RANK(BT128,BT:BT)</f>
        <v>71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1.2800000000000001E-7</v>
      </c>
      <c r="BZ128" s="214">
        <f t="shared" si="157"/>
        <v>71</v>
      </c>
    </row>
    <row r="129" spans="1:78" ht="17.2" customHeight="1" thickBot="1" x14ac:dyDescent="0.4">
      <c r="A129" s="369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50"/>
      <c r="F129" s="69" t="str">
        <f t="shared" si="139"/>
        <v/>
      </c>
      <c r="G129" s="350"/>
      <c r="H129" s="69" t="str">
        <f t="shared" si="140"/>
        <v/>
      </c>
      <c r="I129" s="350"/>
      <c r="J129" s="69" t="str">
        <f t="shared" si="141"/>
        <v/>
      </c>
      <c r="K129" s="350"/>
      <c r="L129" s="69" t="str">
        <f t="shared" si="142"/>
        <v/>
      </c>
      <c r="M129" s="350"/>
      <c r="N129" s="69" t="str">
        <f t="shared" si="159"/>
        <v/>
      </c>
      <c r="O129" s="350"/>
      <c r="P129" s="69" t="str">
        <f t="shared" si="143"/>
        <v/>
      </c>
      <c r="Q129" s="350"/>
      <c r="R129" s="69" t="str">
        <f t="shared" si="144"/>
        <v/>
      </c>
      <c r="S129" s="350"/>
      <c r="T129" s="69" t="str">
        <f t="shared" si="145"/>
        <v/>
      </c>
      <c r="U129" s="350"/>
      <c r="V129" s="69" t="str">
        <f t="shared" si="146"/>
        <v/>
      </c>
      <c r="W129" s="350"/>
      <c r="Z129" s="353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1.29E-7</v>
      </c>
      <c r="BU129" s="215" t="str">
        <f t="shared" si="166"/>
        <v xml:space="preserve">Weiß Blau Unterföhring </v>
      </c>
      <c r="BV129" s="214">
        <f t="shared" si="167"/>
        <v>70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1.29E-7</v>
      </c>
      <c r="BZ129" s="214">
        <f t="shared" si="157"/>
        <v>70</v>
      </c>
    </row>
    <row r="130" spans="1:78" ht="17.2" customHeight="1" x14ac:dyDescent="0.35">
      <c r="A130" s="367" t="s">
        <v>2</v>
      </c>
      <c r="B130" s="73" t="str">
        <f t="shared" si="158"/>
        <v/>
      </c>
      <c r="C130" s="74" t="str">
        <f t="shared" si="158"/>
        <v/>
      </c>
      <c r="D130" s="75" t="str">
        <f t="shared" si="158"/>
        <v/>
      </c>
      <c r="E130" s="348">
        <f>IF(AD130="","",AD130)</f>
        <v>0</v>
      </c>
      <c r="F130" s="75" t="str">
        <f t="shared" si="139"/>
        <v/>
      </c>
      <c r="G130" s="348">
        <f>IF(AF130="","",AF130)</f>
        <v>0</v>
      </c>
      <c r="H130" s="75" t="str">
        <f t="shared" si="140"/>
        <v/>
      </c>
      <c r="I130" s="348">
        <f>IF(AH130="","",AH130)</f>
        <v>0</v>
      </c>
      <c r="J130" s="75" t="str">
        <f t="shared" si="141"/>
        <v/>
      </c>
      <c r="K130" s="348">
        <f>IF(AJ130="","",AJ130)</f>
        <v>0</v>
      </c>
      <c r="L130" s="75" t="str">
        <f t="shared" si="142"/>
        <v/>
      </c>
      <c r="M130" s="348">
        <f>IF(AL130="","",AL130)</f>
        <v>0</v>
      </c>
      <c r="N130" s="75" t="str">
        <f t="shared" si="159"/>
        <v/>
      </c>
      <c r="O130" s="348">
        <f>IF(AN130="","",AN130)</f>
        <v>0</v>
      </c>
      <c r="P130" s="75" t="str">
        <f t="shared" si="143"/>
        <v/>
      </c>
      <c r="Q130" s="348">
        <f>IF(AP130="","",AP130)</f>
        <v>0</v>
      </c>
      <c r="R130" s="75" t="str">
        <f t="shared" si="144"/>
        <v/>
      </c>
      <c r="S130" s="348">
        <f>IF(AR130="","",AR130)</f>
        <v>0</v>
      </c>
      <c r="T130" s="75" t="str">
        <f t="shared" si="145"/>
        <v/>
      </c>
      <c r="U130" s="348">
        <f>IF(AT130="","",AT130)</f>
        <v>0</v>
      </c>
      <c r="V130" s="75" t="str">
        <f t="shared" si="146"/>
        <v/>
      </c>
      <c r="W130" s="348">
        <f>IF(AV130="","",AV130)</f>
        <v>0</v>
      </c>
      <c r="Z130" s="351" t="s">
        <v>2</v>
      </c>
      <c r="AA130" s="108" t="str">
        <f>IF(AB130=0,"",VLOOKUP(AB130,Starter!$A$1:$D$199,2,FALSE))</f>
        <v/>
      </c>
      <c r="AB130" s="99"/>
      <c r="AC130" s="188"/>
      <c r="AD130" s="109">
        <f>IF(SUM(AC130:AC132)+AC146=0,0,IF(SUM(AC130:AC132)=AC146,0.5,IF(SUM(AC130:AC132)&gt;AC146,1,0)))</f>
        <v>0</v>
      </c>
      <c r="AE130" s="188"/>
      <c r="AF130" s="109">
        <f>IF(SUM(AE130:AE132)+AE146=0,0,IF(SUM(AE130:AE132)=AE146,0.5,IF(SUM(AE130:AE132)&gt;AE146,1,0)))</f>
        <v>0</v>
      </c>
      <c r="AG130" s="188"/>
      <c r="AH130" s="109">
        <f>IF(SUM(AG130:AG132)+AG146=0,0,IF(SUM(AG130:AG132)=AG146,0.5,IF(SUM(AG130:AG132)&gt;AG146,1,0)))</f>
        <v>0</v>
      </c>
      <c r="AI130" s="188"/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0</v>
      </c>
      <c r="AS130" s="188"/>
      <c r="AT130" s="109">
        <f>IF(SUM(AS130:AS132)+AS146=0,0,IF(SUM(AS130:AS132)=AS146,0.5,IF(SUM(AS130:AS132)&gt;AS146,1,0)))</f>
        <v>0</v>
      </c>
      <c r="AU130" s="110">
        <f t="shared" si="147"/>
        <v>0</v>
      </c>
      <c r="AV130" s="111">
        <f>SUM(AD130+AF130+AH130+AJ130+AL130+AN130+AP130+AR130+AT130)</f>
        <v>0</v>
      </c>
      <c r="AW130" s="101"/>
      <c r="AX130" s="102"/>
      <c r="AZ130" s="63"/>
      <c r="BA130" s="212"/>
      <c r="BB130" s="213"/>
      <c r="BC130" s="214"/>
      <c r="BD130" s="217">
        <f t="shared" si="160"/>
        <v>0</v>
      </c>
      <c r="BE130" s="213">
        <f t="shared" si="161"/>
        <v>0</v>
      </c>
      <c r="BF130" s="215">
        <f t="shared" si="162"/>
        <v>0</v>
      </c>
      <c r="BG130" s="215">
        <f t="shared" si="163"/>
        <v>0</v>
      </c>
      <c r="BH130" s="215" t="str">
        <f t="shared" si="148"/>
        <v/>
      </c>
      <c r="BI130" s="215" t="str">
        <f t="shared" si="149"/>
        <v/>
      </c>
      <c r="BJ130" s="215" t="str">
        <f t="shared" si="150"/>
        <v/>
      </c>
      <c r="BK130" s="215" t="str">
        <f t="shared" si="151"/>
        <v/>
      </c>
      <c r="BL130" s="215" t="str">
        <f t="shared" si="152"/>
        <v/>
      </c>
      <c r="BM130" s="215" t="str">
        <f t="shared" si="153"/>
        <v/>
      </c>
      <c r="BN130" s="215" t="str">
        <f t="shared" si="154"/>
        <v/>
      </c>
      <c r="BO130" s="215" t="str">
        <f t="shared" si="155"/>
        <v/>
      </c>
      <c r="BP130" s="215" t="str">
        <f t="shared" si="156"/>
        <v/>
      </c>
      <c r="BQ130" s="216"/>
      <c r="BR130" s="214"/>
      <c r="BS130" s="215">
        <f t="shared" si="164"/>
        <v>0</v>
      </c>
      <c r="BT130" s="215">
        <f t="shared" si="165"/>
        <v>1.3E-7</v>
      </c>
      <c r="BU130" s="215" t="str">
        <f t="shared" si="166"/>
        <v xml:space="preserve">Weiß Blau Unterföhring </v>
      </c>
      <c r="BV130" s="214">
        <f t="shared" si="167"/>
        <v>69</v>
      </c>
      <c r="BW130" s="215">
        <f t="shared" si="168"/>
        <v>0</v>
      </c>
      <c r="BX130" s="215">
        <f>IF(COUNTIF(BH130:BP130,"&gt;0")&lt;Spielorte!$A$23,0,BE130/Spielorte!$A$23)</f>
        <v>0</v>
      </c>
      <c r="BY130" s="215">
        <f t="shared" si="169"/>
        <v>1.3E-7</v>
      </c>
      <c r="BZ130" s="214">
        <f t="shared" si="157"/>
        <v>69</v>
      </c>
    </row>
    <row r="131" spans="1:78" ht="17.2" customHeight="1" x14ac:dyDescent="0.35">
      <c r="A131" s="368"/>
      <c r="B131" s="76" t="str">
        <f t="shared" si="158"/>
        <v/>
      </c>
      <c r="C131" s="77" t="str">
        <f t="shared" si="158"/>
        <v/>
      </c>
      <c r="D131" s="78" t="str">
        <f t="shared" si="158"/>
        <v/>
      </c>
      <c r="E131" s="349"/>
      <c r="F131" s="78" t="str">
        <f t="shared" si="139"/>
        <v/>
      </c>
      <c r="G131" s="349"/>
      <c r="H131" s="78" t="str">
        <f t="shared" si="140"/>
        <v/>
      </c>
      <c r="I131" s="349"/>
      <c r="J131" s="78" t="str">
        <f t="shared" si="141"/>
        <v/>
      </c>
      <c r="K131" s="349"/>
      <c r="L131" s="78" t="str">
        <f t="shared" si="142"/>
        <v/>
      </c>
      <c r="M131" s="349"/>
      <c r="N131" s="78" t="str">
        <f t="shared" si="159"/>
        <v/>
      </c>
      <c r="O131" s="349"/>
      <c r="P131" s="78" t="str">
        <f t="shared" si="143"/>
        <v/>
      </c>
      <c r="Q131" s="349"/>
      <c r="R131" s="78" t="str">
        <f t="shared" si="144"/>
        <v/>
      </c>
      <c r="S131" s="349"/>
      <c r="T131" s="78" t="str">
        <f t="shared" si="145"/>
        <v/>
      </c>
      <c r="U131" s="349"/>
      <c r="V131" s="78" t="str">
        <f t="shared" si="146"/>
        <v/>
      </c>
      <c r="W131" s="349"/>
      <c r="Z131" s="352"/>
      <c r="AA131" s="108" t="str">
        <f>IF(AB131=0,"",VLOOKUP(AB131,Starter!$A$1:$D$199,2,FALSE))</f>
        <v/>
      </c>
      <c r="AB131" s="98"/>
      <c r="AC131" s="186"/>
      <c r="AD131" s="112"/>
      <c r="AE131" s="186"/>
      <c r="AF131" s="112"/>
      <c r="AG131" s="186"/>
      <c r="AH131" s="112"/>
      <c r="AI131" s="186"/>
      <c r="AJ131" s="112"/>
      <c r="AK131" s="186"/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7"/>
        <v>0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0</v>
      </c>
      <c r="BE131" s="213">
        <f t="shared" si="161"/>
        <v>0</v>
      </c>
      <c r="BF131" s="215">
        <f t="shared" si="162"/>
        <v>0</v>
      </c>
      <c r="BG131" s="215">
        <f t="shared" si="163"/>
        <v>0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 t="str">
        <f t="shared" si="151"/>
        <v/>
      </c>
      <c r="BL131" s="215" t="str">
        <f t="shared" si="152"/>
        <v/>
      </c>
      <c r="BM131" s="215" t="str">
        <f t="shared" si="153"/>
        <v/>
      </c>
      <c r="BN131" s="215" t="str">
        <f t="shared" si="154"/>
        <v/>
      </c>
      <c r="BO131" s="215" t="str">
        <f t="shared" si="155"/>
        <v/>
      </c>
      <c r="BP131" s="215" t="str">
        <f t="shared" si="156"/>
        <v/>
      </c>
      <c r="BQ131" s="216"/>
      <c r="BR131" s="214"/>
      <c r="BS131" s="215">
        <f t="shared" si="164"/>
        <v>0</v>
      </c>
      <c r="BT131" s="215">
        <f t="shared" si="165"/>
        <v>1.31E-7</v>
      </c>
      <c r="BU131" s="215" t="str">
        <f t="shared" si="166"/>
        <v xml:space="preserve">Weiß Blau Unterföhring </v>
      </c>
      <c r="BV131" s="214">
        <f t="shared" si="167"/>
        <v>68</v>
      </c>
      <c r="BW131" s="215">
        <f t="shared" si="168"/>
        <v>0</v>
      </c>
      <c r="BX131" s="215">
        <f>IF(COUNTIF(BH131:BP131,"&gt;0")&lt;Spielorte!$A$23,0,BE131/Spielorte!$A$23)</f>
        <v>0</v>
      </c>
      <c r="BY131" s="215">
        <f t="shared" si="169"/>
        <v>1.31E-7</v>
      </c>
      <c r="BZ131" s="214">
        <f t="shared" si="157"/>
        <v>68</v>
      </c>
    </row>
    <row r="132" spans="1:78" ht="17.2" customHeight="1" thickBot="1" x14ac:dyDescent="0.4">
      <c r="A132" s="369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50"/>
      <c r="F132" s="69" t="str">
        <f t="shared" si="139"/>
        <v/>
      </c>
      <c r="G132" s="350"/>
      <c r="H132" s="69" t="str">
        <f t="shared" si="140"/>
        <v/>
      </c>
      <c r="I132" s="350"/>
      <c r="J132" s="69" t="str">
        <f t="shared" si="141"/>
        <v/>
      </c>
      <c r="K132" s="350"/>
      <c r="L132" s="69" t="str">
        <f t="shared" si="142"/>
        <v/>
      </c>
      <c r="M132" s="350"/>
      <c r="N132" s="69" t="str">
        <f t="shared" si="159"/>
        <v/>
      </c>
      <c r="O132" s="350"/>
      <c r="P132" s="69" t="str">
        <f t="shared" si="143"/>
        <v/>
      </c>
      <c r="Q132" s="350"/>
      <c r="R132" s="69" t="str">
        <f t="shared" si="144"/>
        <v/>
      </c>
      <c r="S132" s="350"/>
      <c r="T132" s="69" t="str">
        <f t="shared" si="145"/>
        <v/>
      </c>
      <c r="U132" s="350"/>
      <c r="V132" s="69" t="str">
        <f t="shared" si="146"/>
        <v/>
      </c>
      <c r="W132" s="350"/>
      <c r="Z132" s="353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1.3199999999999999E-7</v>
      </c>
      <c r="BU132" s="215" t="str">
        <f t="shared" si="166"/>
        <v xml:space="preserve">Weiß Blau Unterföhring </v>
      </c>
      <c r="BV132" s="214">
        <f t="shared" si="167"/>
        <v>67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1.3199999999999999E-7</v>
      </c>
      <c r="BZ132" s="214">
        <f t="shared" si="157"/>
        <v>67</v>
      </c>
    </row>
    <row r="133" spans="1:78" ht="17.2" customHeight="1" x14ac:dyDescent="0.35">
      <c r="A133" s="367" t="s">
        <v>3</v>
      </c>
      <c r="B133" s="73" t="str">
        <f t="shared" si="158"/>
        <v/>
      </c>
      <c r="C133" s="74" t="str">
        <f t="shared" si="158"/>
        <v/>
      </c>
      <c r="D133" s="75" t="str">
        <f t="shared" si="158"/>
        <v/>
      </c>
      <c r="E133" s="348">
        <f>IF(AD133="","",AD133)</f>
        <v>0</v>
      </c>
      <c r="F133" s="75" t="str">
        <f t="shared" si="139"/>
        <v/>
      </c>
      <c r="G133" s="348">
        <f>IF(AF133="","",AF133)</f>
        <v>0</v>
      </c>
      <c r="H133" s="75" t="str">
        <f t="shared" si="140"/>
        <v/>
      </c>
      <c r="I133" s="348">
        <f>IF(AH133="","",AH133)</f>
        <v>0</v>
      </c>
      <c r="J133" s="75" t="str">
        <f t="shared" si="141"/>
        <v/>
      </c>
      <c r="K133" s="348">
        <f>IF(AJ133="","",AJ133)</f>
        <v>0</v>
      </c>
      <c r="L133" s="75" t="str">
        <f t="shared" si="142"/>
        <v/>
      </c>
      <c r="M133" s="348">
        <f>IF(AL133="","",AL133)</f>
        <v>0</v>
      </c>
      <c r="N133" s="75" t="str">
        <f t="shared" si="159"/>
        <v/>
      </c>
      <c r="O133" s="348">
        <f>IF(AN133="","",AN133)</f>
        <v>0</v>
      </c>
      <c r="P133" s="75" t="str">
        <f t="shared" si="143"/>
        <v/>
      </c>
      <c r="Q133" s="348">
        <f>IF(AP133="","",AP133)</f>
        <v>0</v>
      </c>
      <c r="R133" s="75" t="str">
        <f t="shared" si="144"/>
        <v/>
      </c>
      <c r="S133" s="348">
        <f>IF(AR133="","",AR133)</f>
        <v>0</v>
      </c>
      <c r="T133" s="75" t="str">
        <f t="shared" si="145"/>
        <v/>
      </c>
      <c r="U133" s="348">
        <f>IF(AT133="","",AT133)</f>
        <v>0</v>
      </c>
      <c r="V133" s="75" t="str">
        <f t="shared" si="146"/>
        <v/>
      </c>
      <c r="W133" s="348">
        <f>IF(AV133="","",AV133)</f>
        <v>0</v>
      </c>
      <c r="Z133" s="351" t="s">
        <v>3</v>
      </c>
      <c r="AA133" s="108" t="str">
        <f>IF(AB133=0,"",VLOOKUP(AB133,Starter!$A$1:$D$199,2,FALSE))</f>
        <v/>
      </c>
      <c r="AB133" s="99"/>
      <c r="AC133" s="188"/>
      <c r="AD133" s="109">
        <f>IF(SUM(AC133:AC135)+AC147=0,0,IF(SUM(AC133:AC135)=AC147,0.5,IF(SUM(AC133:AC135)&gt;AC147,1,0)))</f>
        <v>0</v>
      </c>
      <c r="AE133" s="188"/>
      <c r="AF133" s="109">
        <f>IF(SUM(AE133:AE135)+AE147=0,0,IF(SUM(AE133:AE135)=AE147,0.5,IF(SUM(AE133:AE135)&gt;AE147,1,0)))</f>
        <v>0</v>
      </c>
      <c r="AG133" s="188"/>
      <c r="AH133" s="109">
        <f>IF(SUM(AG133:AG135)+AG147=0,0,IF(SUM(AG133:AG135)=AG147,0.5,IF(SUM(AG133:AG135)&gt;AG147,1,0)))</f>
        <v>0</v>
      </c>
      <c r="AI133" s="188"/>
      <c r="AJ133" s="109">
        <f>IF(SUM(AI133:AI135)+AI147=0,0,IF(SUM(AI133:AI135)=AI147,0.5,IF(SUM(AI133:AI135)&gt;AI147,1,0)))</f>
        <v>0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0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0</v>
      </c>
      <c r="AS133" s="188"/>
      <c r="AT133" s="109">
        <f>IF(SUM(AS133:AS135)+AS147=0,0,IF(SUM(AS133:AS135)=AS147,0.5,IF(SUM(AS133:AS135)&gt;AS147,1,0)))</f>
        <v>0</v>
      </c>
      <c r="AU133" s="110">
        <f t="shared" si="147"/>
        <v>0</v>
      </c>
      <c r="AV133" s="111">
        <f>SUM(AD133+AF133+AH133+AJ133+AL133+AN133+AP133+AR133+AT133)</f>
        <v>0</v>
      </c>
      <c r="AW133" s="101"/>
      <c r="AX133" s="102"/>
      <c r="AZ133" s="63"/>
      <c r="BA133" s="212"/>
      <c r="BB133" s="213"/>
      <c r="BC133" s="214"/>
      <c r="BD133" s="217">
        <f t="shared" si="160"/>
        <v>0</v>
      </c>
      <c r="BE133" s="213">
        <f t="shared" si="161"/>
        <v>0</v>
      </c>
      <c r="BF133" s="215">
        <f t="shared" si="162"/>
        <v>0</v>
      </c>
      <c r="BG133" s="215">
        <f t="shared" si="163"/>
        <v>0</v>
      </c>
      <c r="BH133" s="215" t="str">
        <f t="shared" si="148"/>
        <v/>
      </c>
      <c r="BI133" s="215" t="str">
        <f t="shared" si="149"/>
        <v/>
      </c>
      <c r="BJ133" s="215" t="str">
        <f t="shared" si="150"/>
        <v/>
      </c>
      <c r="BK133" s="215" t="str">
        <f t="shared" si="151"/>
        <v/>
      </c>
      <c r="BL133" s="215" t="str">
        <f t="shared" si="152"/>
        <v/>
      </c>
      <c r="BM133" s="215" t="str">
        <f t="shared" si="153"/>
        <v/>
      </c>
      <c r="BN133" s="215" t="str">
        <f t="shared" si="154"/>
        <v/>
      </c>
      <c r="BO133" s="215" t="str">
        <f t="shared" si="155"/>
        <v/>
      </c>
      <c r="BP133" s="215" t="str">
        <f t="shared" si="156"/>
        <v/>
      </c>
      <c r="BQ133" s="216"/>
      <c r="BR133" s="214"/>
      <c r="BS133" s="215">
        <f t="shared" si="164"/>
        <v>0</v>
      </c>
      <c r="BT133" s="215">
        <f t="shared" si="165"/>
        <v>1.3300000000000001E-7</v>
      </c>
      <c r="BU133" s="215" t="str">
        <f t="shared" si="166"/>
        <v xml:space="preserve">Weiß Blau Unterföhring </v>
      </c>
      <c r="BV133" s="214">
        <f t="shared" si="167"/>
        <v>66</v>
      </c>
      <c r="BW133" s="215">
        <f t="shared" si="168"/>
        <v>0</v>
      </c>
      <c r="BX133" s="215">
        <f>IF(COUNTIF(BH133:BP133,"&gt;0")&lt;Spielorte!$A$23,0,BE133/Spielorte!$A$23)</f>
        <v>0</v>
      </c>
      <c r="BY133" s="215">
        <f t="shared" si="169"/>
        <v>1.3300000000000001E-7</v>
      </c>
      <c r="BZ133" s="214">
        <f t="shared" si="157"/>
        <v>66</v>
      </c>
    </row>
    <row r="134" spans="1:78" ht="17.2" customHeight="1" x14ac:dyDescent="0.35">
      <c r="A134" s="368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49"/>
      <c r="F134" s="78" t="str">
        <f t="shared" si="139"/>
        <v/>
      </c>
      <c r="G134" s="349"/>
      <c r="H134" s="78" t="str">
        <f t="shared" si="140"/>
        <v/>
      </c>
      <c r="I134" s="349"/>
      <c r="J134" s="78" t="str">
        <f t="shared" si="141"/>
        <v/>
      </c>
      <c r="K134" s="349"/>
      <c r="L134" s="78" t="str">
        <f t="shared" si="142"/>
        <v/>
      </c>
      <c r="M134" s="349"/>
      <c r="N134" s="78" t="str">
        <f t="shared" si="159"/>
        <v/>
      </c>
      <c r="O134" s="349"/>
      <c r="P134" s="78" t="str">
        <f t="shared" si="143"/>
        <v/>
      </c>
      <c r="Q134" s="349"/>
      <c r="R134" s="78" t="str">
        <f t="shared" si="144"/>
        <v/>
      </c>
      <c r="S134" s="349"/>
      <c r="T134" s="78" t="str">
        <f t="shared" si="145"/>
        <v/>
      </c>
      <c r="U134" s="349"/>
      <c r="V134" s="78" t="str">
        <f t="shared" si="146"/>
        <v/>
      </c>
      <c r="W134" s="349"/>
      <c r="Z134" s="352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1.3400000000000001E-7</v>
      </c>
      <c r="BU134" s="215" t="str">
        <f t="shared" si="166"/>
        <v xml:space="preserve">Weiß Blau Unterföhring </v>
      </c>
      <c r="BV134" s="214">
        <f t="shared" si="167"/>
        <v>65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1.3400000000000001E-7</v>
      </c>
      <c r="BZ134" s="214">
        <f t="shared" si="157"/>
        <v>65</v>
      </c>
    </row>
    <row r="135" spans="1:78" ht="17.2" customHeight="1" thickBot="1" x14ac:dyDescent="0.4">
      <c r="A135" s="369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50"/>
      <c r="F135" s="69" t="str">
        <f t="shared" si="139"/>
        <v/>
      </c>
      <c r="G135" s="350"/>
      <c r="H135" s="69" t="str">
        <f t="shared" si="140"/>
        <v/>
      </c>
      <c r="I135" s="350"/>
      <c r="J135" s="69" t="str">
        <f t="shared" si="141"/>
        <v/>
      </c>
      <c r="K135" s="350"/>
      <c r="L135" s="69" t="str">
        <f t="shared" si="142"/>
        <v/>
      </c>
      <c r="M135" s="350"/>
      <c r="N135" s="69" t="str">
        <f t="shared" si="159"/>
        <v/>
      </c>
      <c r="O135" s="350"/>
      <c r="P135" s="69" t="str">
        <f t="shared" si="143"/>
        <v/>
      </c>
      <c r="Q135" s="350"/>
      <c r="R135" s="69" t="str">
        <f t="shared" si="144"/>
        <v/>
      </c>
      <c r="S135" s="350"/>
      <c r="T135" s="69" t="str">
        <f t="shared" si="145"/>
        <v/>
      </c>
      <c r="U135" s="350"/>
      <c r="V135" s="69" t="str">
        <f t="shared" si="146"/>
        <v/>
      </c>
      <c r="W135" s="350"/>
      <c r="Z135" s="353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1.35E-7</v>
      </c>
      <c r="BU135" s="215" t="str">
        <f t="shared" si="166"/>
        <v xml:space="preserve">Weiß Blau Unterföhring </v>
      </c>
      <c r="BV135" s="214">
        <f t="shared" si="167"/>
        <v>64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1.35E-7</v>
      </c>
      <c r="BZ135" s="214">
        <f t="shared" si="157"/>
        <v>64</v>
      </c>
    </row>
    <row r="136" spans="1:78" ht="17.2" customHeight="1" x14ac:dyDescent="0.35">
      <c r="A136" s="367" t="s">
        <v>11</v>
      </c>
      <c r="B136" s="73" t="str">
        <f>IF(AA136=0,"",AA136)</f>
        <v/>
      </c>
      <c r="C136" s="74" t="str">
        <f t="shared" si="158"/>
        <v/>
      </c>
      <c r="D136" s="75" t="str">
        <f t="shared" si="158"/>
        <v/>
      </c>
      <c r="E136" s="348">
        <f>IF(AD136="","",AD136)</f>
        <v>0</v>
      </c>
      <c r="F136" s="75" t="str">
        <f t="shared" si="139"/>
        <v/>
      </c>
      <c r="G136" s="348">
        <f>IF(AF136="","",AF136)</f>
        <v>0</v>
      </c>
      <c r="H136" s="75" t="str">
        <f t="shared" si="140"/>
        <v/>
      </c>
      <c r="I136" s="348">
        <f>IF(AH136="","",AH136)</f>
        <v>0</v>
      </c>
      <c r="J136" s="75" t="str">
        <f t="shared" si="141"/>
        <v/>
      </c>
      <c r="K136" s="348">
        <f>IF(AJ136="","",AJ136)</f>
        <v>0</v>
      </c>
      <c r="L136" s="75" t="str">
        <f t="shared" si="142"/>
        <v/>
      </c>
      <c r="M136" s="348">
        <f>IF(AL136="","",AL136)</f>
        <v>0</v>
      </c>
      <c r="N136" s="75" t="str">
        <f t="shared" si="159"/>
        <v/>
      </c>
      <c r="O136" s="348">
        <f>IF(AN136="","",AN136)</f>
        <v>0</v>
      </c>
      <c r="P136" s="75" t="str">
        <f t="shared" si="143"/>
        <v/>
      </c>
      <c r="Q136" s="348">
        <f>IF(AP136="","",AP136)</f>
        <v>0</v>
      </c>
      <c r="R136" s="75" t="str">
        <f t="shared" si="144"/>
        <v/>
      </c>
      <c r="S136" s="348">
        <f>IF(AR136="","",AR136)</f>
        <v>0</v>
      </c>
      <c r="T136" s="75" t="str">
        <f t="shared" si="145"/>
        <v/>
      </c>
      <c r="U136" s="348">
        <f>IF(AT136="","",AT136)</f>
        <v>0</v>
      </c>
      <c r="V136" s="75" t="str">
        <f t="shared" si="146"/>
        <v/>
      </c>
      <c r="W136" s="348">
        <f>IF(AV136="","",AV136)</f>
        <v>0</v>
      </c>
      <c r="Z136" s="351" t="s">
        <v>11</v>
      </c>
      <c r="AA136" s="108" t="str">
        <f>IF(AB136=0,"",VLOOKUP(AB136,Starter!$A$1:$D$199,2,FALSE))</f>
        <v/>
      </c>
      <c r="AB136" s="99"/>
      <c r="AC136" s="188"/>
      <c r="AD136" s="109">
        <f>IF(SUM(AC136:AC138)+AC148=0,0,IF(SUM(AC136:AC138)=AC148,0.5,IF(SUM(AC136:AC138)&gt;AC148,1,0)))</f>
        <v>0</v>
      </c>
      <c r="AE136" s="188"/>
      <c r="AF136" s="109">
        <f>IF(SUM(AE136:AE138)+AE148=0,0,IF(SUM(AE136:AE138)=AE148,0.5,IF(SUM(AE136:AE138)&gt;AE148,1,0)))</f>
        <v>0</v>
      </c>
      <c r="AG136" s="188"/>
      <c r="AH136" s="109">
        <f>IF(SUM(AG136:AG138)+AG148=0,0,IF(SUM(AG136:AG138)=AG148,0.5,IF(SUM(AG136:AG138)&gt;AG148,1,0)))</f>
        <v>0</v>
      </c>
      <c r="AI136" s="188"/>
      <c r="AJ136" s="109">
        <f>IF(SUM(AI136:AI138)+AI148=0,0,IF(SUM(AI136:AI138)=AI148,0.5,IF(SUM(AI136:AI138)&gt;AI148,1,0)))</f>
        <v>0</v>
      </c>
      <c r="AK136" s="188"/>
      <c r="AL136" s="109">
        <f>IF(SUM(AK136:AK138)+AK148=0,0,IF(SUM(AK136:AK138)=AK148,0.5,IF(SUM(AK136:AK138)&gt;AK148,1,0)))</f>
        <v>0</v>
      </c>
      <c r="AM136" s="188"/>
      <c r="AN136" s="109">
        <f>IF(SUM(AM136:AM138)+AM148=0,0,IF(SUM(AM136:AM138)=AM148,0.5,IF(SUM(AM136:AM138)&gt;AM148,1,0)))</f>
        <v>0</v>
      </c>
      <c r="AO136" s="188"/>
      <c r="AP136" s="109">
        <f>IF(SUM(AO136:AO138)+AO148=0,0,IF(SUM(AO136:AO138)=AO148,0.5,IF(SUM(AO136:AO138)&gt;AO148,1,0)))</f>
        <v>0</v>
      </c>
      <c r="AQ136" s="188"/>
      <c r="AR136" s="109">
        <f>IF(SUM(AQ136:AQ138)+AQ148=0,0,IF(SUM(AQ136:AQ138)=AQ148,0.5,IF(SUM(AQ136:AQ138)&gt;AQ148,1,0)))</f>
        <v>0</v>
      </c>
      <c r="AS136" s="188"/>
      <c r="AT136" s="109">
        <f>IF(SUM(AS136:AS138)+AS148=0,0,IF(SUM(AS136:AS138)=AS148,0.5,IF(SUM(AS136:AS138)&gt;AS148,1,0)))</f>
        <v>0</v>
      </c>
      <c r="AU136" s="110">
        <f t="shared" si="147"/>
        <v>0</v>
      </c>
      <c r="AV136" s="111">
        <f>SUM(AD136+AF136+AH136+AJ136+AL136+AN136+AP136+AR136+AT136)</f>
        <v>0</v>
      </c>
      <c r="AW136" s="101"/>
      <c r="AX136" s="102"/>
      <c r="AZ136" s="63"/>
      <c r="BA136" s="212"/>
      <c r="BB136" s="213"/>
      <c r="BC136" s="214"/>
      <c r="BD136" s="217">
        <f t="shared" si="160"/>
        <v>0</v>
      </c>
      <c r="BE136" s="213">
        <f t="shared" si="161"/>
        <v>0</v>
      </c>
      <c r="BF136" s="215">
        <f t="shared" si="162"/>
        <v>0</v>
      </c>
      <c r="BG136" s="215">
        <f t="shared" si="163"/>
        <v>0</v>
      </c>
      <c r="BH136" s="215" t="str">
        <f t="shared" si="148"/>
        <v/>
      </c>
      <c r="BI136" s="215" t="str">
        <f t="shared" si="149"/>
        <v/>
      </c>
      <c r="BJ136" s="215" t="str">
        <f t="shared" si="150"/>
        <v/>
      </c>
      <c r="BK136" s="215" t="str">
        <f t="shared" si="151"/>
        <v/>
      </c>
      <c r="BL136" s="215" t="str">
        <f t="shared" si="152"/>
        <v/>
      </c>
      <c r="BM136" s="215" t="str">
        <f t="shared" si="153"/>
        <v/>
      </c>
      <c r="BN136" s="215" t="str">
        <f t="shared" si="154"/>
        <v/>
      </c>
      <c r="BO136" s="215" t="str">
        <f t="shared" si="155"/>
        <v/>
      </c>
      <c r="BP136" s="215" t="str">
        <f t="shared" si="156"/>
        <v/>
      </c>
      <c r="BQ136" s="216"/>
      <c r="BR136" s="214"/>
      <c r="BS136" s="215">
        <f t="shared" si="164"/>
        <v>0</v>
      </c>
      <c r="BT136" s="215">
        <f t="shared" si="165"/>
        <v>1.36E-7</v>
      </c>
      <c r="BU136" s="215" t="str">
        <f t="shared" si="166"/>
        <v xml:space="preserve">Weiß Blau Unterföhring </v>
      </c>
      <c r="BV136" s="214">
        <f t="shared" si="167"/>
        <v>63</v>
      </c>
      <c r="BW136" s="215">
        <f t="shared" si="168"/>
        <v>0</v>
      </c>
      <c r="BX136" s="215">
        <f>IF(COUNTIF(BH136:BP136,"&gt;0")&lt;Spielorte!$A$23,0,BE136/Spielorte!$A$23)</f>
        <v>0</v>
      </c>
      <c r="BY136" s="215">
        <f t="shared" si="169"/>
        <v>1.36E-7</v>
      </c>
      <c r="BZ136" s="214">
        <f t="shared" si="157"/>
        <v>63</v>
      </c>
    </row>
    <row r="137" spans="1:78" ht="17.2" customHeight="1" x14ac:dyDescent="0.35">
      <c r="A137" s="368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49"/>
      <c r="F137" s="78" t="str">
        <f t="shared" si="139"/>
        <v/>
      </c>
      <c r="G137" s="349"/>
      <c r="H137" s="78" t="str">
        <f t="shared" si="140"/>
        <v/>
      </c>
      <c r="I137" s="349"/>
      <c r="J137" s="78" t="str">
        <f t="shared" si="141"/>
        <v/>
      </c>
      <c r="K137" s="349"/>
      <c r="L137" s="78" t="str">
        <f t="shared" si="142"/>
        <v/>
      </c>
      <c r="M137" s="349"/>
      <c r="N137" s="78" t="str">
        <f t="shared" si="159"/>
        <v/>
      </c>
      <c r="O137" s="349"/>
      <c r="P137" s="78" t="str">
        <f t="shared" si="143"/>
        <v/>
      </c>
      <c r="Q137" s="349"/>
      <c r="R137" s="78" t="str">
        <f t="shared" si="144"/>
        <v/>
      </c>
      <c r="S137" s="349"/>
      <c r="T137" s="78" t="str">
        <f t="shared" si="145"/>
        <v/>
      </c>
      <c r="U137" s="349"/>
      <c r="V137" s="78" t="str">
        <f t="shared" si="146"/>
        <v/>
      </c>
      <c r="W137" s="349"/>
      <c r="Z137" s="352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1.37E-7</v>
      </c>
      <c r="BU137" s="215" t="str">
        <f t="shared" si="166"/>
        <v xml:space="preserve">Weiß Blau Unterföhring </v>
      </c>
      <c r="BV137" s="214">
        <f t="shared" si="167"/>
        <v>62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1.37E-7</v>
      </c>
      <c r="BZ137" s="214">
        <f t="shared" si="157"/>
        <v>62</v>
      </c>
    </row>
    <row r="138" spans="1:78" ht="17.2" customHeight="1" thickBot="1" x14ac:dyDescent="0.4">
      <c r="A138" s="369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50"/>
      <c r="F138" s="69" t="str">
        <f t="shared" si="139"/>
        <v/>
      </c>
      <c r="G138" s="350"/>
      <c r="H138" s="69" t="str">
        <f t="shared" si="140"/>
        <v/>
      </c>
      <c r="I138" s="350"/>
      <c r="J138" s="69" t="str">
        <f t="shared" si="141"/>
        <v/>
      </c>
      <c r="K138" s="350"/>
      <c r="L138" s="69" t="str">
        <f t="shared" si="142"/>
        <v/>
      </c>
      <c r="M138" s="350"/>
      <c r="N138" s="69" t="str">
        <f t="shared" si="159"/>
        <v/>
      </c>
      <c r="O138" s="350"/>
      <c r="P138" s="69" t="str">
        <f t="shared" si="143"/>
        <v/>
      </c>
      <c r="Q138" s="350"/>
      <c r="R138" s="69" t="str">
        <f t="shared" si="144"/>
        <v/>
      </c>
      <c r="S138" s="350"/>
      <c r="T138" s="69" t="str">
        <f t="shared" si="145"/>
        <v/>
      </c>
      <c r="U138" s="350"/>
      <c r="V138" s="69" t="str">
        <f t="shared" si="146"/>
        <v/>
      </c>
      <c r="W138" s="350"/>
      <c r="Z138" s="353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1.3799999999999999E-7</v>
      </c>
      <c r="BU138" s="215" t="str">
        <f t="shared" si="166"/>
        <v xml:space="preserve">Weiß Blau Unterföhring </v>
      </c>
      <c r="BV138" s="214">
        <f t="shared" si="167"/>
        <v>61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1.3799999999999999E-7</v>
      </c>
      <c r="BZ138" s="214">
        <f t="shared" si="157"/>
        <v>61</v>
      </c>
    </row>
    <row r="139" spans="1:78" ht="27.75" customHeight="1" thickBot="1" x14ac:dyDescent="0.4">
      <c r="B139" s="81" t="str">
        <f>IF(AA139=0,"",AA139)</f>
        <v>Gesamt</v>
      </c>
      <c r="C139" s="82" t="str">
        <f t="shared" si="158"/>
        <v/>
      </c>
      <c r="D139" s="83" t="str">
        <f t="shared" si="158"/>
        <v/>
      </c>
      <c r="E139" s="84">
        <f>IF(AD139="","",AD139)</f>
        <v>0</v>
      </c>
      <c r="F139" s="83" t="str">
        <f t="shared" si="139"/>
        <v/>
      </c>
      <c r="G139" s="84">
        <f>IF(AF139="","",AF139)</f>
        <v>0</v>
      </c>
      <c r="H139" s="83" t="str">
        <f t="shared" si="140"/>
        <v/>
      </c>
      <c r="I139" s="84">
        <f>IF(AH139="","",AH139)</f>
        <v>0</v>
      </c>
      <c r="J139" s="83" t="str">
        <f t="shared" si="141"/>
        <v/>
      </c>
      <c r="K139" s="84">
        <f>IF(AJ139="","",AJ139)</f>
        <v>0</v>
      </c>
      <c r="L139" s="83" t="str">
        <f t="shared" si="142"/>
        <v/>
      </c>
      <c r="M139" s="84">
        <f>IF(AL139="","",AL139)</f>
        <v>0</v>
      </c>
      <c r="N139" s="83" t="str">
        <f t="shared" si="159"/>
        <v/>
      </c>
      <c r="O139" s="84">
        <f>IF(AN139="","",AN139)</f>
        <v>0</v>
      </c>
      <c r="P139" s="83" t="str">
        <f t="shared" si="143"/>
        <v/>
      </c>
      <c r="Q139" s="84">
        <f>IF(AP139="","",AP139)</f>
        <v>0</v>
      </c>
      <c r="R139" s="83" t="str">
        <f t="shared" si="144"/>
        <v/>
      </c>
      <c r="S139" s="84">
        <f>IF(AR139="","",AR139)</f>
        <v>0</v>
      </c>
      <c r="T139" s="83" t="str">
        <f t="shared" si="145"/>
        <v/>
      </c>
      <c r="U139" s="84">
        <f>IF(AT139="","",AT139)</f>
        <v>0</v>
      </c>
      <c r="V139" s="83" t="str">
        <f t="shared" si="146"/>
        <v/>
      </c>
      <c r="W139" s="84">
        <f>IF(AV139="","",AV139)</f>
        <v>0</v>
      </c>
      <c r="AA139" s="81" t="s">
        <v>1799</v>
      </c>
      <c r="AB139" s="120"/>
      <c r="AC139" s="211">
        <f>ABS(SUM(AC127:AC129))+ABS(SUM(AC130:AC132))+ABS(SUM(AC133:AC135))+ABS(SUM(AC136:AC138))</f>
        <v>0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0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0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0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0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0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0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0</v>
      </c>
      <c r="AT139" s="121">
        <f>IF(AS139+AS149=0,0,IF(AS139=AS149,1,IF(AS139&gt;AS149,2,0)))</f>
        <v>0</v>
      </c>
      <c r="AU139" s="122">
        <f>SUM(AC139+AE139+AG139+AI139+AK139+AM139+AO139+AQ139+AS139)</f>
        <v>0</v>
      </c>
      <c r="AV139" s="123">
        <f>SUM(AD139+AF139+AH139+AJ139+AL139+AN139+AP139+AR139+AT139)</f>
        <v>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4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0</v>
      </c>
      <c r="F140" s="86" t="str">
        <f t="shared" si="139"/>
        <v/>
      </c>
      <c r="G140" s="87">
        <f>IF(AF140="","",AF140)</f>
        <v>0</v>
      </c>
      <c r="H140" s="86" t="str">
        <f t="shared" si="140"/>
        <v/>
      </c>
      <c r="I140" s="87">
        <f>IF(AH140="","",AH140)</f>
        <v>0</v>
      </c>
      <c r="J140" s="86" t="str">
        <f t="shared" si="141"/>
        <v/>
      </c>
      <c r="K140" s="87">
        <f>IF(AJ140="","",AJ140)</f>
        <v>0</v>
      </c>
      <c r="L140" s="86" t="str">
        <f t="shared" si="142"/>
        <v/>
      </c>
      <c r="M140" s="87">
        <f>IF(AL140="","",AL140)</f>
        <v>0</v>
      </c>
      <c r="N140" s="86" t="str">
        <f t="shared" si="159"/>
        <v/>
      </c>
      <c r="O140" s="87">
        <f>IF(AN140="","",AN140)</f>
        <v>0</v>
      </c>
      <c r="P140" s="86" t="str">
        <f t="shared" si="143"/>
        <v/>
      </c>
      <c r="Q140" s="87">
        <f>IF(AP140="","",AP140)</f>
        <v>0</v>
      </c>
      <c r="R140" s="86" t="str">
        <f t="shared" si="144"/>
        <v/>
      </c>
      <c r="S140" s="87">
        <f>IF(AR140="","",AR140)</f>
        <v>0</v>
      </c>
      <c r="T140" s="86" t="str">
        <f t="shared" si="145"/>
        <v/>
      </c>
      <c r="U140" s="87">
        <f>IF(AT140="","",AT140)</f>
        <v>0</v>
      </c>
      <c r="V140" s="86" t="str">
        <f t="shared" si="146"/>
        <v/>
      </c>
      <c r="W140" s="87">
        <f>IF(AV140="","",AV140)</f>
        <v>0</v>
      </c>
      <c r="AA140" s="85" t="s">
        <v>1814</v>
      </c>
      <c r="AB140" s="86"/>
      <c r="AC140" s="86"/>
      <c r="AD140" s="124">
        <f>SUM(AD127:AD139)</f>
        <v>0</v>
      </c>
      <c r="AE140" s="86"/>
      <c r="AF140" s="124">
        <f>SUM(AF127:AF139)</f>
        <v>0</v>
      </c>
      <c r="AG140" s="86"/>
      <c r="AH140" s="124">
        <f>SUM(AH127:AH139)</f>
        <v>0</v>
      </c>
      <c r="AI140" s="86"/>
      <c r="AJ140" s="124">
        <f>SUM(AJ127:AJ139)</f>
        <v>0</v>
      </c>
      <c r="AK140" s="86"/>
      <c r="AL140" s="124">
        <f>SUM(AL127:AL139)</f>
        <v>0</v>
      </c>
      <c r="AM140" s="86"/>
      <c r="AN140" s="124">
        <f>SUM(AN127:AN139)</f>
        <v>0</v>
      </c>
      <c r="AO140" s="86"/>
      <c r="AP140" s="124">
        <f>SUM(AP127:AP139)</f>
        <v>0</v>
      </c>
      <c r="AQ140" s="86"/>
      <c r="AR140" s="124">
        <f>SUM(AR127:AR139)</f>
        <v>0</v>
      </c>
      <c r="AS140" s="86"/>
      <c r="AT140" s="124">
        <f>SUM(AT127:AT139)</f>
        <v>0</v>
      </c>
      <c r="AU140" s="86"/>
      <c r="AV140" s="125">
        <f>SUM(AV127:AV139)</f>
        <v>0</v>
      </c>
      <c r="AW140" s="101"/>
      <c r="AX140" s="102"/>
      <c r="BA140" s="212">
        <f>+AV140</f>
        <v>0</v>
      </c>
      <c r="BB140" s="213">
        <f>+AU139</f>
        <v>0</v>
      </c>
      <c r="BC140" s="214">
        <f>+AA122</f>
        <v>5</v>
      </c>
      <c r="BF140" s="215">
        <f>SUM(BF121:BF139)</f>
        <v>0</v>
      </c>
      <c r="BQ140" s="212">
        <f>+BB140/1000000+BA140</f>
        <v>0</v>
      </c>
      <c r="BR140" s="214">
        <f>RANK(BQ140,BQ:BQ)</f>
        <v>1</v>
      </c>
      <c r="BV140" s="214"/>
      <c r="BZ140" s="214"/>
    </row>
    <row r="141" spans="1:78" ht="11.25" customHeight="1" x14ac:dyDescent="0.3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3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46">
        <f t="shared" si="170"/>
        <v>2</v>
      </c>
      <c r="E142" s="346" t="str">
        <f t="shared" si="170"/>
        <v/>
      </c>
      <c r="F142" s="346">
        <f t="shared" si="170"/>
        <v>7</v>
      </c>
      <c r="G142" s="346" t="str">
        <f t="shared" si="170"/>
        <v/>
      </c>
      <c r="H142" s="346">
        <f t="shared" si="170"/>
        <v>1</v>
      </c>
      <c r="I142" s="346" t="str">
        <f t="shared" si="170"/>
        <v/>
      </c>
      <c r="J142" s="346">
        <f t="shared" si="170"/>
        <v>8</v>
      </c>
      <c r="K142" s="346" t="str">
        <f t="shared" si="170"/>
        <v/>
      </c>
      <c r="L142" s="346">
        <f t="shared" si="170"/>
        <v>9</v>
      </c>
      <c r="M142" s="346" t="str">
        <f t="shared" si="170"/>
        <v/>
      </c>
      <c r="N142" s="346">
        <f t="shared" si="170"/>
        <v>3</v>
      </c>
      <c r="O142" s="346" t="str">
        <f t="shared" si="170"/>
        <v/>
      </c>
      <c r="P142" s="346">
        <f t="shared" si="170"/>
        <v>4</v>
      </c>
      <c r="Q142" s="346" t="str">
        <f t="shared" si="170"/>
        <v/>
      </c>
      <c r="R142" s="346">
        <f t="shared" ref="L142:U144" si="171">IF(AQ142=0,"",AQ142)</f>
        <v>10</v>
      </c>
      <c r="S142" s="346" t="str">
        <f t="shared" si="171"/>
        <v/>
      </c>
      <c r="T142" s="346">
        <f t="shared" si="171"/>
        <v>6</v>
      </c>
      <c r="U142" s="346" t="str">
        <f t="shared" si="171"/>
        <v/>
      </c>
      <c r="V142" s="347"/>
      <c r="W142" s="347"/>
      <c r="AA142" s="88" t="s">
        <v>1797</v>
      </c>
      <c r="AB142" s="89" t="s">
        <v>1798</v>
      </c>
      <c r="AC142" s="370">
        <f>VLOOKUP($AA122,Schlüssel!$A$5:$DG$14,103)</f>
        <v>2</v>
      </c>
      <c r="AD142" s="371"/>
      <c r="AE142" s="370">
        <f>VLOOKUP($AA122,Schlüssel!$A$5:$EK$14,104)</f>
        <v>7</v>
      </c>
      <c r="AF142" s="371"/>
      <c r="AG142" s="370">
        <f>VLOOKUP($AA122,Schlüssel!$A$5:$EK$14,105)</f>
        <v>1</v>
      </c>
      <c r="AH142" s="371"/>
      <c r="AI142" s="370">
        <f>VLOOKUP($AA122,Schlüssel!$A$5:$EK$14,106)</f>
        <v>8</v>
      </c>
      <c r="AJ142" s="371"/>
      <c r="AK142" s="370">
        <f>VLOOKUP($AA122,Schlüssel!$A$5:$EK$14,107)</f>
        <v>9</v>
      </c>
      <c r="AL142" s="371"/>
      <c r="AM142" s="370">
        <f>VLOOKUP($AA122,Schlüssel!$A$5:$EK$14,108)</f>
        <v>3</v>
      </c>
      <c r="AN142" s="371"/>
      <c r="AO142" s="370">
        <f>VLOOKUP($AA122,Schlüssel!$A$5:$EK$14,109)</f>
        <v>4</v>
      </c>
      <c r="AP142" s="371"/>
      <c r="AQ142" s="370">
        <f>VLOOKUP($AA122,Schlüssel!$A$5:$EK$14,110)</f>
        <v>10</v>
      </c>
      <c r="AR142" s="371"/>
      <c r="AS142" s="370">
        <f>VLOOKUP($AA122,Schlüssel!$A$5:$EK$14,111)</f>
        <v>6</v>
      </c>
      <c r="AT142" s="371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35">
      <c r="B143" s="90" t="str">
        <f t="shared" ref="B143:K144" si="172">IF(AA143=0,"",AA143)</f>
        <v/>
      </c>
      <c r="C143" s="86" t="str">
        <f t="shared" si="172"/>
        <v/>
      </c>
      <c r="D143" s="343" t="str">
        <f t="shared" si="172"/>
        <v>BK München 2</v>
      </c>
      <c r="E143" s="344" t="str">
        <f t="shared" si="172"/>
        <v/>
      </c>
      <c r="F143" s="343" t="str">
        <f t="shared" si="172"/>
        <v>Frankenpower Nürnberg</v>
      </c>
      <c r="G143" s="344" t="str">
        <f t="shared" si="172"/>
        <v/>
      </c>
      <c r="H143" s="343" t="str">
        <f t="shared" si="172"/>
        <v>Praetoria Regensburg</v>
      </c>
      <c r="I143" s="344" t="str">
        <f t="shared" si="172"/>
        <v/>
      </c>
      <c r="J143" s="343" t="str">
        <f t="shared" si="172"/>
        <v>EPA München 1</v>
      </c>
      <c r="K143" s="344" t="str">
        <f t="shared" si="172"/>
        <v/>
      </c>
      <c r="L143" s="343" t="str">
        <f t="shared" si="171"/>
        <v>RW Lichtenhof 69 Stein 2</v>
      </c>
      <c r="M143" s="344" t="str">
        <f t="shared" si="171"/>
        <v/>
      </c>
      <c r="N143" s="343" t="str">
        <f t="shared" si="171"/>
        <v>Highroller Rosenheim</v>
      </c>
      <c r="O143" s="344" t="str">
        <f t="shared" si="171"/>
        <v/>
      </c>
      <c r="P143" s="343" t="str">
        <f t="shared" si="171"/>
        <v>BK München 3</v>
      </c>
      <c r="Q143" s="344" t="str">
        <f t="shared" si="171"/>
        <v/>
      </c>
      <c r="R143" s="343" t="str">
        <f t="shared" si="171"/>
        <v>BK München 4</v>
      </c>
      <c r="S143" s="344" t="str">
        <f t="shared" si="171"/>
        <v/>
      </c>
      <c r="T143" s="343" t="str">
        <f t="shared" si="171"/>
        <v>Phönix 03 Lauf</v>
      </c>
      <c r="U143" s="344" t="str">
        <f t="shared" si="171"/>
        <v/>
      </c>
      <c r="V143" s="345"/>
      <c r="W143" s="345"/>
      <c r="AA143" s="90"/>
      <c r="AB143" s="86"/>
      <c r="AC143" s="343" t="str">
        <f>VLOOKUP(AC142,Schlüssel!$A$5:$K$14,2)</f>
        <v>BK München 2</v>
      </c>
      <c r="AD143" s="344"/>
      <c r="AE143" s="343" t="str">
        <f>VLOOKUP(AE142,Schlüssel!$A$5:$K$14,2)</f>
        <v>Frankenpower Nürnberg</v>
      </c>
      <c r="AF143" s="344"/>
      <c r="AG143" s="343" t="str">
        <f>VLOOKUP(AG142,Schlüssel!$A$5:$K$14,2)</f>
        <v>Praetoria Regensburg</v>
      </c>
      <c r="AH143" s="344"/>
      <c r="AI143" s="343" t="str">
        <f>VLOOKUP(AI142,Schlüssel!$A$5:$K$14,2)</f>
        <v>EPA München 1</v>
      </c>
      <c r="AJ143" s="344"/>
      <c r="AK143" s="343" t="str">
        <f>VLOOKUP(AK142,Schlüssel!$A$5:$K$14,2)</f>
        <v>RW Lichtenhof 69 Stein 2</v>
      </c>
      <c r="AL143" s="344"/>
      <c r="AM143" s="343" t="str">
        <f>VLOOKUP(AM142,Schlüssel!$A$5:$K$14,2)</f>
        <v>Highroller Rosenheim</v>
      </c>
      <c r="AN143" s="344"/>
      <c r="AO143" s="343" t="str">
        <f>VLOOKUP(AO142,Schlüssel!$A$5:$K$14,2)</f>
        <v>BK München 3</v>
      </c>
      <c r="AP143" s="344"/>
      <c r="AQ143" s="343" t="str">
        <f>VLOOKUP(AQ142,Schlüssel!$A$5:$K$14,2)</f>
        <v>BK München 4</v>
      </c>
      <c r="AR143" s="344"/>
      <c r="AS143" s="343" t="str">
        <f>VLOOKUP(AS142,Schlüssel!$A$5:$K$14,2)</f>
        <v>Phönix 03 Lauf</v>
      </c>
      <c r="AT143" s="344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35">
      <c r="B144" s="90" t="str">
        <f t="shared" si="172"/>
        <v/>
      </c>
      <c r="C144" s="86" t="str">
        <f t="shared" si="172"/>
        <v/>
      </c>
      <c r="D144" s="341" t="str">
        <f t="shared" si="172"/>
        <v/>
      </c>
      <c r="E144" s="341" t="str">
        <f t="shared" si="172"/>
        <v/>
      </c>
      <c r="F144" s="341" t="str">
        <f t="shared" si="172"/>
        <v/>
      </c>
      <c r="G144" s="341" t="str">
        <f t="shared" si="172"/>
        <v/>
      </c>
      <c r="H144" s="341" t="str">
        <f t="shared" si="172"/>
        <v/>
      </c>
      <c r="I144" s="341" t="str">
        <f t="shared" si="172"/>
        <v/>
      </c>
      <c r="J144" s="341" t="str">
        <f t="shared" si="172"/>
        <v/>
      </c>
      <c r="K144" s="341" t="str">
        <f t="shared" si="172"/>
        <v/>
      </c>
      <c r="L144" s="341" t="str">
        <f t="shared" si="171"/>
        <v/>
      </c>
      <c r="M144" s="341" t="str">
        <f t="shared" si="171"/>
        <v/>
      </c>
      <c r="N144" s="341" t="str">
        <f t="shared" si="171"/>
        <v/>
      </c>
      <c r="O144" s="341" t="str">
        <f t="shared" si="171"/>
        <v/>
      </c>
      <c r="P144" s="341" t="str">
        <f t="shared" si="171"/>
        <v/>
      </c>
      <c r="Q144" s="341" t="str">
        <f t="shared" si="171"/>
        <v/>
      </c>
      <c r="R144" s="341" t="str">
        <f t="shared" si="171"/>
        <v/>
      </c>
      <c r="S144" s="341" t="str">
        <f t="shared" si="171"/>
        <v/>
      </c>
      <c r="T144" s="341" t="str">
        <f t="shared" si="171"/>
        <v/>
      </c>
      <c r="U144" s="342" t="str">
        <f t="shared" si="171"/>
        <v/>
      </c>
      <c r="V144" s="301"/>
      <c r="W144" s="301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6.05" customHeight="1" x14ac:dyDescent="0.35">
      <c r="B145" s="365" t="str">
        <f t="shared" ref="B145:C149" si="173">IF(AA145=0,"",AA145)</f>
        <v>Spieler 1</v>
      </c>
      <c r="C145" s="366" t="str">
        <f t="shared" si="173"/>
        <v/>
      </c>
      <c r="D145" s="339">
        <f>IF(AC145=301,"",AC145)</f>
        <v>0</v>
      </c>
      <c r="E145" s="339" t="str">
        <f>IF(AD145=0,"",AD145)</f>
        <v/>
      </c>
      <c r="F145" s="339">
        <f>IF(AE145=301,"",AE145)</f>
        <v>0</v>
      </c>
      <c r="G145" s="339" t="str">
        <f>IF(AF145=0,"",AF145)</f>
        <v/>
      </c>
      <c r="H145" s="339">
        <f>IF(AG145=301,"",AG145)</f>
        <v>0</v>
      </c>
      <c r="I145" s="339" t="str">
        <f>IF(AH145=0,"",AH145)</f>
        <v/>
      </c>
      <c r="J145" s="339">
        <f>IF(AI145=301,"",AI145)</f>
        <v>0</v>
      </c>
      <c r="K145" s="339" t="str">
        <f>IF(AJ145=0,"",AJ145)</f>
        <v/>
      </c>
      <c r="L145" s="339">
        <f>IF(AK145=301,"",AK145)</f>
        <v>0</v>
      </c>
      <c r="M145" s="339" t="str">
        <f>IF(AL145=0,"",AL145)</f>
        <v/>
      </c>
      <c r="N145" s="339">
        <f>IF(AM145=301,"",AM145)</f>
        <v>0</v>
      </c>
      <c r="O145" s="339" t="str">
        <f>IF(AN145=0,"",AN145)</f>
        <v/>
      </c>
      <c r="P145" s="339">
        <f>IF(AO145=301,"",AO145)</f>
        <v>0</v>
      </c>
      <c r="Q145" s="339" t="str">
        <f>IF(AP145=0,"",AP145)</f>
        <v/>
      </c>
      <c r="R145" s="339">
        <f>IF(AQ145=301,"",AQ145)</f>
        <v>0</v>
      </c>
      <c r="S145" s="339" t="str">
        <f>IF(AR145=0,"",AR145)</f>
        <v/>
      </c>
      <c r="T145" s="339">
        <f>IF(AS145=301,"",AS145)</f>
        <v>0</v>
      </c>
      <c r="U145" s="339" t="str">
        <f>IF(AT145=0,"",AT145)</f>
        <v/>
      </c>
      <c r="V145" s="340"/>
      <c r="W145" s="340"/>
      <c r="AA145" s="91" t="s">
        <v>0</v>
      </c>
      <c r="AB145" s="92"/>
      <c r="AC145" s="372">
        <f>ABS(INDEX(AC:AC,MATCH(AC142,$AA:$AA,0)+5)+INDEX(AC:AC,MATCH(AC142,$AA:$AA,0)+6)+INDEX(AC:AC,MATCH(AC142,$AA:$AA,0)+7))</f>
        <v>0</v>
      </c>
      <c r="AD145" s="373"/>
      <c r="AE145" s="372">
        <f>ABS(INDEX(AE:AE,MATCH(AE142,$AA:$AA,0)+5)+INDEX(AE:AE,MATCH(AE142,$AA:$AA,0)+6)+INDEX(AE:AE,MATCH(AE142,$AA:$AA,0)+7))</f>
        <v>0</v>
      </c>
      <c r="AF145" s="373"/>
      <c r="AG145" s="372">
        <f>ABS(INDEX(AG:AG,MATCH(AG142,$AA:$AA,0)+5)+INDEX(AG:AG,MATCH(AG142,$AA:$AA,0)+6)+INDEX(AG:AG,MATCH(AG142,$AA:$AA,0)+7))</f>
        <v>0</v>
      </c>
      <c r="AH145" s="373"/>
      <c r="AI145" s="372">
        <f>ABS(INDEX(AI:AI,MATCH(AI142,$AA:$AA,0)+5)+INDEX(AI:AI,MATCH(AI142,$AA:$AA,0)+6)+INDEX(AI:AI,MATCH(AI142,$AA:$AA,0)+7))</f>
        <v>0</v>
      </c>
      <c r="AJ145" s="373"/>
      <c r="AK145" s="372">
        <f>ABS(INDEX(AK:AK,MATCH(AK142,$AA:$AA,0)+5)+INDEX(AK:AK,MATCH(AK142,$AA:$AA,0)+6)+INDEX(AK:AK,MATCH(AK142,$AA:$AA,0)+7))</f>
        <v>0</v>
      </c>
      <c r="AL145" s="373"/>
      <c r="AM145" s="372">
        <f>ABS(INDEX(AM:AM,MATCH(AM142,$AA:$AA,0)+5)+INDEX(AM:AM,MATCH(AM142,$AA:$AA,0)+6)+INDEX(AM:AM,MATCH(AM142,$AA:$AA,0)+7))</f>
        <v>0</v>
      </c>
      <c r="AN145" s="373"/>
      <c r="AO145" s="372">
        <f>ABS(INDEX(AO:AO,MATCH(AO142,$AA:$AA,0)+5)+INDEX(AO:AO,MATCH(AO142,$AA:$AA,0)+6)+INDEX(AO:AO,MATCH(AO142,$AA:$AA,0)+7))</f>
        <v>0</v>
      </c>
      <c r="AP145" s="373"/>
      <c r="AQ145" s="372">
        <f>ABS(INDEX(AQ:AQ,MATCH(AQ142,$AA:$AA,0)+5)+INDEX(AQ:AQ,MATCH(AQ142,$AA:$AA,0)+6)+INDEX(AQ:AQ,MATCH(AQ142,$AA:$AA,0)+7))</f>
        <v>0</v>
      </c>
      <c r="AR145" s="373"/>
      <c r="AS145" s="372">
        <f>ABS(INDEX(AS:AS,MATCH(AS142,$AA:$AA,0)+5)+INDEX(AS:AS,MATCH(AS142,$AA:$AA,0)+6)+INDEX(AS:AS,MATCH(AS142,$AA:$AA,0)+7))</f>
        <v>0</v>
      </c>
      <c r="AT145" s="373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6.05" customHeight="1" x14ac:dyDescent="0.35">
      <c r="B146" s="365" t="str">
        <f t="shared" si="173"/>
        <v>Spieler 2</v>
      </c>
      <c r="C146" s="366" t="str">
        <f t="shared" si="173"/>
        <v/>
      </c>
      <c r="D146" s="339">
        <f>IF(AC146=301,"",AC146)</f>
        <v>0</v>
      </c>
      <c r="E146" s="339" t="str">
        <f>IF(AD146=0,"",AD146)</f>
        <v/>
      </c>
      <c r="F146" s="339">
        <f>IF(AE146=301,"",AE146)</f>
        <v>0</v>
      </c>
      <c r="G146" s="339" t="str">
        <f>IF(AF146=0,"",AF146)</f>
        <v/>
      </c>
      <c r="H146" s="339">
        <f>IF(AG146=301,"",AG146)</f>
        <v>0</v>
      </c>
      <c r="I146" s="339" t="str">
        <f>IF(AH146=0,"",AH146)</f>
        <v/>
      </c>
      <c r="J146" s="339">
        <f>IF(AI146=301,"",AI146)</f>
        <v>0</v>
      </c>
      <c r="K146" s="339" t="str">
        <f>IF(AJ146=0,"",AJ146)</f>
        <v/>
      </c>
      <c r="L146" s="339">
        <f>IF(AK146=301,"",AK146)</f>
        <v>0</v>
      </c>
      <c r="M146" s="339" t="str">
        <f>IF(AL146=0,"",AL146)</f>
        <v/>
      </c>
      <c r="N146" s="339">
        <f>IF(AM146=301,"",AM146)</f>
        <v>0</v>
      </c>
      <c r="O146" s="339" t="str">
        <f>IF(AN146=0,"",AN146)</f>
        <v/>
      </c>
      <c r="P146" s="339">
        <f>IF(AO146=301,"",AO146)</f>
        <v>0</v>
      </c>
      <c r="Q146" s="339" t="str">
        <f>IF(AP146=0,"",AP146)</f>
        <v/>
      </c>
      <c r="R146" s="339">
        <f>IF(AQ146=301,"",AQ146)</f>
        <v>0</v>
      </c>
      <c r="S146" s="339" t="str">
        <f>IF(AR146=0,"",AR146)</f>
        <v/>
      </c>
      <c r="T146" s="339">
        <f>IF(AS146=301,"",AS146)</f>
        <v>0</v>
      </c>
      <c r="U146" s="339" t="str">
        <f>IF(AT146=0,"",AT146)</f>
        <v/>
      </c>
      <c r="V146" s="340"/>
      <c r="W146" s="340"/>
      <c r="AA146" s="91" t="s">
        <v>2</v>
      </c>
      <c r="AB146" s="92"/>
      <c r="AC146" s="374">
        <f>ABS(INDEX(AC:AC,MATCH(AC142,$AA:$AA,0)+8)+INDEX(AC:AC,MATCH(AC142,$AA:$AA,0)+9)+INDEX(AC:AC,MATCH(AC142,$AA:$AA,0)+10))</f>
        <v>0</v>
      </c>
      <c r="AD146" s="375"/>
      <c r="AE146" s="374">
        <f>ABS(INDEX(AE:AE,MATCH(AE142,$AA:$AA,0)+8)+INDEX(AE:AE,MATCH(AE142,$AA:$AA,0)+9)+INDEX(AE:AE,MATCH(AE142,$AA:$AA,0)+10))</f>
        <v>0</v>
      </c>
      <c r="AF146" s="375"/>
      <c r="AG146" s="374">
        <f>ABS(INDEX(AG:AG,MATCH(AG142,$AA:$AA,0)+8)+INDEX(AG:AG,MATCH(AG142,$AA:$AA,0)+9)+INDEX(AG:AG,MATCH(AG142,$AA:$AA,0)+10))</f>
        <v>0</v>
      </c>
      <c r="AH146" s="375"/>
      <c r="AI146" s="374">
        <f>ABS(INDEX(AI:AI,MATCH(AI142,$AA:$AA,0)+8)+INDEX(AI:AI,MATCH(AI142,$AA:$AA,0)+9)+INDEX(AI:AI,MATCH(AI142,$AA:$AA,0)+10))</f>
        <v>0</v>
      </c>
      <c r="AJ146" s="375"/>
      <c r="AK146" s="374">
        <f>ABS(INDEX(AK:AK,MATCH(AK142,$AA:$AA,0)+8)+INDEX(AK:AK,MATCH(AK142,$AA:$AA,0)+9)+INDEX(AK:AK,MATCH(AK142,$AA:$AA,0)+10))</f>
        <v>0</v>
      </c>
      <c r="AL146" s="375"/>
      <c r="AM146" s="374">
        <f>ABS(INDEX(AM:AM,MATCH(AM142,$AA:$AA,0)+8)+INDEX(AM:AM,MATCH(AM142,$AA:$AA,0)+9)+INDEX(AM:AM,MATCH(AM142,$AA:$AA,0)+10))</f>
        <v>0</v>
      </c>
      <c r="AN146" s="375"/>
      <c r="AO146" s="374">
        <f>ABS(INDEX(AO:AO,MATCH(AO142,$AA:$AA,0)+8)+INDEX(AO:AO,MATCH(AO142,$AA:$AA,0)+9)+INDEX(AO:AO,MATCH(AO142,$AA:$AA,0)+10))</f>
        <v>0</v>
      </c>
      <c r="AP146" s="375"/>
      <c r="AQ146" s="374">
        <f>ABS(INDEX(AQ:AQ,MATCH(AQ142,$AA:$AA,0)+8)+INDEX(AQ:AQ,MATCH(AQ142,$AA:$AA,0)+9)+INDEX(AQ:AQ,MATCH(AQ142,$AA:$AA,0)+10))</f>
        <v>0</v>
      </c>
      <c r="AR146" s="375"/>
      <c r="AS146" s="374">
        <f>ABS(INDEX(AS:AS,MATCH(AS142,$AA:$AA,0)+8)+INDEX(AS:AS,MATCH(AS142,$AA:$AA,0)+9)+INDEX(AS:AS,MATCH(AS142,$AA:$AA,0)+10))</f>
        <v>0</v>
      </c>
      <c r="AT146" s="375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6.05" customHeight="1" x14ac:dyDescent="0.35">
      <c r="B147" s="365" t="str">
        <f t="shared" si="173"/>
        <v>Spieler 3</v>
      </c>
      <c r="C147" s="366" t="str">
        <f t="shared" si="173"/>
        <v/>
      </c>
      <c r="D147" s="339">
        <f>IF(AC147=301,"",AC147)</f>
        <v>0</v>
      </c>
      <c r="E147" s="339" t="str">
        <f>IF(AD147=0,"",AD147)</f>
        <v/>
      </c>
      <c r="F147" s="339">
        <f>IF(AE147=301,"",AE147)</f>
        <v>0</v>
      </c>
      <c r="G147" s="339" t="str">
        <f>IF(AF147=0,"",AF147)</f>
        <v/>
      </c>
      <c r="H147" s="339">
        <f>IF(AG147=301,"",AG147)</f>
        <v>0</v>
      </c>
      <c r="I147" s="339" t="str">
        <f>IF(AH147=0,"",AH147)</f>
        <v/>
      </c>
      <c r="J147" s="339">
        <f>IF(AI147=301,"",AI147)</f>
        <v>0</v>
      </c>
      <c r="K147" s="339" t="str">
        <f>IF(AJ147=0,"",AJ147)</f>
        <v/>
      </c>
      <c r="L147" s="339">
        <f>IF(AK147=301,"",AK147)</f>
        <v>0</v>
      </c>
      <c r="M147" s="339" t="str">
        <f>IF(AL147=0,"",AL147)</f>
        <v/>
      </c>
      <c r="N147" s="339">
        <f>IF(AM147=301,"",AM147)</f>
        <v>0</v>
      </c>
      <c r="O147" s="339" t="str">
        <f>IF(AN147=0,"",AN147)</f>
        <v/>
      </c>
      <c r="P147" s="339">
        <f>IF(AO147=301,"",AO147)</f>
        <v>0</v>
      </c>
      <c r="Q147" s="339" t="str">
        <f>IF(AP147=0,"",AP147)</f>
        <v/>
      </c>
      <c r="R147" s="339">
        <f>IF(AQ147=301,"",AQ147)</f>
        <v>0</v>
      </c>
      <c r="S147" s="339" t="str">
        <f>IF(AR147=0,"",AR147)</f>
        <v/>
      </c>
      <c r="T147" s="339">
        <f>IF(AS147=301,"",AS147)</f>
        <v>0</v>
      </c>
      <c r="U147" s="339" t="str">
        <f>IF(AT147=0,"",AT147)</f>
        <v/>
      </c>
      <c r="V147" s="340"/>
      <c r="W147" s="340"/>
      <c r="AA147" s="91" t="s">
        <v>3</v>
      </c>
      <c r="AB147" s="92"/>
      <c r="AC147" s="374">
        <f>ABS(INDEX(AC:AC,MATCH(AC142,$AA:$AA,0)+11)+INDEX(AC:AC,MATCH(AC142,$AA:$AA,0)+12)+INDEX(AC:AC,MATCH(AC142,$AA:$AA,0)+13))</f>
        <v>0</v>
      </c>
      <c r="AD147" s="375"/>
      <c r="AE147" s="374">
        <f>ABS(INDEX(AE:AE,MATCH(AE142,$AA:$AA,0)+11)+INDEX(AE:AE,MATCH(AE142,$AA:$AA,0)+12)+INDEX(AE:AE,MATCH(AE142,$AA:$AA,0)+13))</f>
        <v>0</v>
      </c>
      <c r="AF147" s="375"/>
      <c r="AG147" s="374">
        <f>ABS(INDEX(AG:AG,MATCH(AG142,$AA:$AA,0)+11)+INDEX(AG:AG,MATCH(AG142,$AA:$AA,0)+12)+INDEX(AG:AG,MATCH(AG142,$AA:$AA,0)+13))</f>
        <v>0</v>
      </c>
      <c r="AH147" s="375"/>
      <c r="AI147" s="374">
        <f>ABS(INDEX(AI:AI,MATCH(AI142,$AA:$AA,0)+11)+INDEX(AI:AI,MATCH(AI142,$AA:$AA,0)+12)+INDEX(AI:AI,MATCH(AI142,$AA:$AA,0)+13))</f>
        <v>0</v>
      </c>
      <c r="AJ147" s="375"/>
      <c r="AK147" s="374">
        <f>ABS(INDEX(AK:AK,MATCH(AK142,$AA:$AA,0)+11)+INDEX(AK:AK,MATCH(AK142,$AA:$AA,0)+12)+INDEX(AK:AK,MATCH(AK142,$AA:$AA,0)+13))</f>
        <v>0</v>
      </c>
      <c r="AL147" s="375"/>
      <c r="AM147" s="374">
        <f>ABS(INDEX(AM:AM,MATCH(AM142,$AA:$AA,0)+11)+INDEX(AM:AM,MATCH(AM142,$AA:$AA,0)+12)+INDEX(AM:AM,MATCH(AM142,$AA:$AA,0)+13))</f>
        <v>0</v>
      </c>
      <c r="AN147" s="375"/>
      <c r="AO147" s="374">
        <f>ABS(INDEX(AO:AO,MATCH(AO142,$AA:$AA,0)+11)+INDEX(AO:AO,MATCH(AO142,$AA:$AA,0)+12)+INDEX(AO:AO,MATCH(AO142,$AA:$AA,0)+13))</f>
        <v>0</v>
      </c>
      <c r="AP147" s="375"/>
      <c r="AQ147" s="374">
        <f>ABS(INDEX(AQ:AQ,MATCH(AQ142,$AA:$AA,0)+11)+INDEX(AQ:AQ,MATCH(AQ142,$AA:$AA,0)+12)+INDEX(AQ:AQ,MATCH(AQ142,$AA:$AA,0)+13))</f>
        <v>0</v>
      </c>
      <c r="AR147" s="375"/>
      <c r="AS147" s="374">
        <f>ABS(INDEX(AS:AS,MATCH(AS142,$AA:$AA,0)+11)+INDEX(AS:AS,MATCH(AS142,$AA:$AA,0)+12)+INDEX(AS:AS,MATCH(AS142,$AA:$AA,0)+13))</f>
        <v>0</v>
      </c>
      <c r="AT147" s="375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6.05" customHeight="1" x14ac:dyDescent="0.35">
      <c r="B148" s="365" t="str">
        <f t="shared" si="173"/>
        <v>Spieler 4</v>
      </c>
      <c r="C148" s="366" t="str">
        <f t="shared" si="173"/>
        <v/>
      </c>
      <c r="D148" s="339">
        <f>IF(AC148=301,"",AC148)</f>
        <v>0</v>
      </c>
      <c r="E148" s="339" t="str">
        <f>IF(AD148=0,"",AD148)</f>
        <v/>
      </c>
      <c r="F148" s="339">
        <f>IF(AE148=301,"",AE148)</f>
        <v>0</v>
      </c>
      <c r="G148" s="339" t="str">
        <f>IF(AF148=0,"",AF148)</f>
        <v/>
      </c>
      <c r="H148" s="339">
        <f>IF(AG148=301,"",AG148)</f>
        <v>0</v>
      </c>
      <c r="I148" s="339" t="str">
        <f>IF(AH148=0,"",AH148)</f>
        <v/>
      </c>
      <c r="J148" s="339">
        <f>IF(AI148=301,"",AI148)</f>
        <v>0</v>
      </c>
      <c r="K148" s="339" t="str">
        <f>IF(AJ148=0,"",AJ148)</f>
        <v/>
      </c>
      <c r="L148" s="339">
        <f>IF(AK148=301,"",AK148)</f>
        <v>0</v>
      </c>
      <c r="M148" s="339" t="str">
        <f>IF(AL148=0,"",AL148)</f>
        <v/>
      </c>
      <c r="N148" s="339">
        <f>IF(AM148=301,"",AM148)</f>
        <v>0</v>
      </c>
      <c r="O148" s="339" t="str">
        <f>IF(AN148=0,"",AN148)</f>
        <v/>
      </c>
      <c r="P148" s="339">
        <f>IF(AO148=301,"",AO148)</f>
        <v>0</v>
      </c>
      <c r="Q148" s="339" t="str">
        <f>IF(AP148=0,"",AP148)</f>
        <v/>
      </c>
      <c r="R148" s="339">
        <f>IF(AQ148=301,"",AQ148)</f>
        <v>0</v>
      </c>
      <c r="S148" s="339" t="str">
        <f>IF(AR148=0,"",AR148)</f>
        <v/>
      </c>
      <c r="T148" s="339">
        <f>IF(AS148=301,"",AS148)</f>
        <v>0</v>
      </c>
      <c r="U148" s="339" t="str">
        <f>IF(AT148=0,"",AT148)</f>
        <v/>
      </c>
      <c r="V148" s="340"/>
      <c r="W148" s="340"/>
      <c r="AA148" s="91" t="s">
        <v>11</v>
      </c>
      <c r="AB148" s="92"/>
      <c r="AC148" s="374">
        <f>ABS(INDEX(AC:AC,MATCH(AC142,$AA:$AA,0)+14)+INDEX(AC:AC,MATCH(AC142,$AA:$AA,0)+15)+INDEX(AC:AC,MATCH(AC142,$AA:$AA,0)+16))</f>
        <v>0</v>
      </c>
      <c r="AD148" s="375"/>
      <c r="AE148" s="374">
        <f>ABS(INDEX(AE:AE,MATCH(AE142,$AA:$AA,0)+14)+INDEX(AE:AE,MATCH(AE142,$AA:$AA,0)+15)+INDEX(AE:AE,MATCH(AE142,$AA:$AA,0)+16))</f>
        <v>0</v>
      </c>
      <c r="AF148" s="375"/>
      <c r="AG148" s="374">
        <f>ABS(INDEX(AG:AG,MATCH(AG142,$AA:$AA,0)+14)+INDEX(AG:AG,MATCH(AG142,$AA:$AA,0)+15)+INDEX(AG:AG,MATCH(AG142,$AA:$AA,0)+16))</f>
        <v>0</v>
      </c>
      <c r="AH148" s="375"/>
      <c r="AI148" s="374">
        <f>ABS(INDEX(AI:AI,MATCH(AI142,$AA:$AA,0)+14)+INDEX(AI:AI,MATCH(AI142,$AA:$AA,0)+15)+INDEX(AI:AI,MATCH(AI142,$AA:$AA,0)+16))</f>
        <v>0</v>
      </c>
      <c r="AJ148" s="375"/>
      <c r="AK148" s="374">
        <f>ABS(INDEX(AK:AK,MATCH(AK142,$AA:$AA,0)+14)+INDEX(AK:AK,MATCH(AK142,$AA:$AA,0)+15)+INDEX(AK:AK,MATCH(AK142,$AA:$AA,0)+16))</f>
        <v>0</v>
      </c>
      <c r="AL148" s="375"/>
      <c r="AM148" s="374">
        <f>ABS(INDEX(AM:AM,MATCH(AM142,$AA:$AA,0)+14)+INDEX(AM:AM,MATCH(AM142,$AA:$AA,0)+15)+INDEX(AM:AM,MATCH(AM142,$AA:$AA,0)+16))</f>
        <v>0</v>
      </c>
      <c r="AN148" s="375"/>
      <c r="AO148" s="374">
        <f>ABS(INDEX(AO:AO,MATCH(AO142,$AA:$AA,0)+14)+INDEX(AO:AO,MATCH(AO142,$AA:$AA,0)+15)+INDEX(AO:AO,MATCH(AO142,$AA:$AA,0)+16))</f>
        <v>0</v>
      </c>
      <c r="AP148" s="375"/>
      <c r="AQ148" s="374">
        <f>ABS(INDEX(AQ:AQ,MATCH(AQ142,$AA:$AA,0)+14)+INDEX(AQ:AQ,MATCH(AQ142,$AA:$AA,0)+15)+INDEX(AQ:AQ,MATCH(AQ142,$AA:$AA,0)+16))</f>
        <v>0</v>
      </c>
      <c r="AR148" s="375"/>
      <c r="AS148" s="374">
        <f>ABS(INDEX(AS:AS,MATCH(AS142,$AA:$AA,0)+14)+INDEX(AS:AS,MATCH(AS142,$AA:$AA,0)+15)+INDEX(AS:AS,MATCH(AS142,$AA:$AA,0)+16))</f>
        <v>0</v>
      </c>
      <c r="AT148" s="375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6.05" customHeight="1" x14ac:dyDescent="0.35">
      <c r="B149" s="354" t="str">
        <f t="shared" si="173"/>
        <v>Gesamt</v>
      </c>
      <c r="C149" s="355" t="str">
        <f t="shared" si="173"/>
        <v/>
      </c>
      <c r="D149" s="338">
        <f>IF(AC149=1505,"",AC149)</f>
        <v>0</v>
      </c>
      <c r="E149" s="338" t="str">
        <f>IF(AD149=0,"",AD149)</f>
        <v/>
      </c>
      <c r="F149" s="338">
        <f>IF(AE149=1505,"",AE149)</f>
        <v>0</v>
      </c>
      <c r="G149" s="338" t="str">
        <f>IF(AF149=0,"",AF149)</f>
        <v/>
      </c>
      <c r="H149" s="338">
        <f>IF(AG149=1505,"",AG149)</f>
        <v>0</v>
      </c>
      <c r="I149" s="338" t="str">
        <f>IF(AH149=0,"",AH149)</f>
        <v/>
      </c>
      <c r="J149" s="338">
        <f>IF(AI149=1505,"",AI149)</f>
        <v>0</v>
      </c>
      <c r="K149" s="338" t="str">
        <f>IF(AJ149=0,"",AJ149)</f>
        <v/>
      </c>
      <c r="L149" s="338">
        <f>IF(AK149=1505,"",AK149)</f>
        <v>0</v>
      </c>
      <c r="M149" s="338" t="str">
        <f>IF(AL149=0,"",AL149)</f>
        <v/>
      </c>
      <c r="N149" s="338">
        <f>IF(AM149=1505,"",AM149)</f>
        <v>0</v>
      </c>
      <c r="O149" s="338" t="str">
        <f>IF(AN149=0,"",AN149)</f>
        <v/>
      </c>
      <c r="P149" s="338">
        <f>IF(AO149=1505,"",AO149)</f>
        <v>0</v>
      </c>
      <c r="Q149" s="338" t="str">
        <f>IF(AP149=0,"",AP149)</f>
        <v/>
      </c>
      <c r="R149" s="338">
        <f>IF(AQ149=1505,"",AQ149)</f>
        <v>0</v>
      </c>
      <c r="S149" s="338" t="str">
        <f>IF(AR149=0,"",AR149)</f>
        <v/>
      </c>
      <c r="T149" s="338">
        <f>IF(AS149=1505,"",AS149)</f>
        <v>0</v>
      </c>
      <c r="U149" s="338" t="str">
        <f>IF(AT149=0,"",AT149)</f>
        <v/>
      </c>
      <c r="V149" s="290"/>
      <c r="W149" s="290"/>
      <c r="AA149" s="93" t="s">
        <v>1799</v>
      </c>
      <c r="AB149" s="94"/>
      <c r="AC149" s="354">
        <f>SUM(AC145:AC148)</f>
        <v>0</v>
      </c>
      <c r="AD149" s="355"/>
      <c r="AE149" s="354">
        <f>SUM(AE145:AE148)</f>
        <v>0</v>
      </c>
      <c r="AF149" s="355"/>
      <c r="AG149" s="354">
        <f>SUM(AG145:AG148)</f>
        <v>0</v>
      </c>
      <c r="AH149" s="355"/>
      <c r="AI149" s="354">
        <f>SUM(AI145:AI148)</f>
        <v>0</v>
      </c>
      <c r="AJ149" s="355"/>
      <c r="AK149" s="354">
        <f>SUM(AK145:AK148)</f>
        <v>0</v>
      </c>
      <c r="AL149" s="355"/>
      <c r="AM149" s="354">
        <f>SUM(AM145:AM148)</f>
        <v>0</v>
      </c>
      <c r="AN149" s="355"/>
      <c r="AO149" s="354">
        <f>SUM(AO145:AO148)</f>
        <v>0</v>
      </c>
      <c r="AP149" s="355"/>
      <c r="AQ149" s="354">
        <f>SUM(AQ145:AQ148)</f>
        <v>0</v>
      </c>
      <c r="AR149" s="355"/>
      <c r="AS149" s="354">
        <f>SUM(AS145:AS148)</f>
        <v>0</v>
      </c>
      <c r="AT149" s="355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3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7">
      <c r="B151" s="44" t="str">
        <f>AA151</f>
        <v>Team-Nr.</v>
      </c>
      <c r="C151" s="45"/>
      <c r="D151" s="44" t="str">
        <f>AC151</f>
        <v>Liga:</v>
      </c>
      <c r="E151" s="47"/>
      <c r="F151" s="359" t="str">
        <f>AE151</f>
        <v>Bayernliga Frauen</v>
      </c>
      <c r="G151" s="359"/>
      <c r="H151" s="359"/>
      <c r="I151" s="359"/>
      <c r="J151" s="359"/>
      <c r="K151" s="359"/>
      <c r="L151" s="359"/>
      <c r="M151" s="359"/>
      <c r="N151" s="359"/>
      <c r="O151" s="359"/>
      <c r="P151" s="359"/>
      <c r="Q151" s="359"/>
      <c r="R151" s="48"/>
      <c r="S151" s="49" t="s">
        <v>1794</v>
      </c>
      <c r="T151" s="50"/>
      <c r="U151" s="360" t="str">
        <f>AT151</f>
        <v>05.04./06.04.</v>
      </c>
      <c r="V151" s="361"/>
      <c r="W151" s="362"/>
      <c r="X151" s="363"/>
      <c r="Y151" s="364"/>
      <c r="Z151" s="364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60" t="str">
        <f>VLOOKUP(AS152,Spielorte!$A$1:$C$6,2)</f>
        <v>05.04./06.04.</v>
      </c>
      <c r="AU151" s="361"/>
      <c r="AV151" s="362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65">
      <c r="B152" s="53">
        <f>AA152</f>
        <v>6</v>
      </c>
      <c r="D152" s="46" t="s">
        <v>1793</v>
      </c>
      <c r="E152" s="54"/>
      <c r="F152" s="358" t="str">
        <f>AE152</f>
        <v>Schweinfurt Extreme Bowlingarena</v>
      </c>
      <c r="G152" s="358"/>
      <c r="H152" s="358"/>
      <c r="I152" s="358"/>
      <c r="J152" s="358"/>
      <c r="K152" s="358"/>
      <c r="L152" s="358"/>
      <c r="M152" s="358"/>
      <c r="N152" s="358"/>
      <c r="O152" s="358"/>
      <c r="P152" s="55"/>
      <c r="Q152" s="55"/>
      <c r="S152" s="49" t="s">
        <v>1791</v>
      </c>
      <c r="T152" s="56">
        <f>AS152</f>
        <v>6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Schweinfurt Extreme Bowlingarena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6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4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5" thickBot="1" x14ac:dyDescent="0.45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VLOOKUP(AA152,Schlüssel!$A$5:$DZ$14,113)</f>
        <v>8</v>
      </c>
      <c r="AE154" s="65" t="s">
        <v>10</v>
      </c>
      <c r="AF154" s="44">
        <f>VLOOKUP(AA152,Schlüssel!$A$5:$DZ$14,114)</f>
        <v>6</v>
      </c>
      <c r="AG154" s="65" t="s">
        <v>10</v>
      </c>
      <c r="AH154" s="44">
        <f>VLOOKUP(AA152,Schlüssel!$A$5:$DZ$14,115)</f>
        <v>2</v>
      </c>
      <c r="AI154" s="65" t="s">
        <v>10</v>
      </c>
      <c r="AJ154" s="44">
        <f>VLOOKUP(AA152,Schlüssel!$A$5:$DZ$14,116)</f>
        <v>4</v>
      </c>
      <c r="AK154" s="65" t="s">
        <v>10</v>
      </c>
      <c r="AL154" s="44">
        <f>VLOOKUP(AA152,Schlüssel!$A$5:$DZ$14,117)</f>
        <v>9</v>
      </c>
      <c r="AM154" s="65" t="s">
        <v>10</v>
      </c>
      <c r="AN154" s="44">
        <f>VLOOKUP(AA152,Schlüssel!$A$5:$DZ$14,118)</f>
        <v>3</v>
      </c>
      <c r="AO154" s="65" t="s">
        <v>10</v>
      </c>
      <c r="AP154" s="44">
        <f>VLOOKUP(AA152,Schlüssel!$A$5:$DZ$14,119)</f>
        <v>7</v>
      </c>
      <c r="AQ154" s="65" t="s">
        <v>10</v>
      </c>
      <c r="AR154" s="44">
        <f>VLOOKUP(AA152,Schlüssel!$A$5:$DZ$14,120)</f>
        <v>10</v>
      </c>
      <c r="AS154" s="65" t="s">
        <v>10</v>
      </c>
      <c r="AT154" s="44">
        <f>VLOOKUP(AA152,Schlüssel!$A$5:$DZ$14,121)</f>
        <v>5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35">
      <c r="B155" s="67" t="s">
        <v>1</v>
      </c>
      <c r="C155" s="68"/>
      <c r="D155" s="354" t="s">
        <v>1800</v>
      </c>
      <c r="E155" s="355"/>
      <c r="F155" s="354" t="s">
        <v>1801</v>
      </c>
      <c r="G155" s="355"/>
      <c r="H155" s="354" t="s">
        <v>1802</v>
      </c>
      <c r="I155" s="355"/>
      <c r="J155" s="354" t="s">
        <v>1803</v>
      </c>
      <c r="K155" s="355"/>
      <c r="L155" s="354" t="s">
        <v>1804</v>
      </c>
      <c r="M155" s="355"/>
      <c r="N155" s="354" t="s">
        <v>1805</v>
      </c>
      <c r="O155" s="355"/>
      <c r="P155" s="354" t="s">
        <v>1806</v>
      </c>
      <c r="Q155" s="355"/>
      <c r="R155" s="354" t="s">
        <v>1807</v>
      </c>
      <c r="S155" s="355"/>
      <c r="T155" s="354" t="s">
        <v>1808</v>
      </c>
      <c r="U155" s="355"/>
      <c r="V155" s="356" t="s">
        <v>1799</v>
      </c>
      <c r="W155" s="357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4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2" customHeight="1" x14ac:dyDescent="0.35">
      <c r="A157" s="367" t="s">
        <v>0</v>
      </c>
      <c r="B157" s="73" t="str">
        <f>IF(AA157=0,"",AA157)</f>
        <v/>
      </c>
      <c r="C157" s="74" t="str">
        <f>IF(AB157=0,"",AB157)</f>
        <v/>
      </c>
      <c r="D157" s="75" t="str">
        <f>IF(AC157=0,"",AC157)</f>
        <v/>
      </c>
      <c r="E157" s="348">
        <f>IF(AD157="","",AD157)</f>
        <v>0</v>
      </c>
      <c r="F157" s="75" t="str">
        <f t="shared" ref="F157:F170" si="174">IF(AE157=0,"",AE157)</f>
        <v/>
      </c>
      <c r="G157" s="348">
        <f>IF(AF157="","",AF157)</f>
        <v>0</v>
      </c>
      <c r="H157" s="75" t="str">
        <f t="shared" ref="H157:H170" si="175">IF(AG157=0,"",AG157)</f>
        <v/>
      </c>
      <c r="I157" s="348">
        <f>IF(AH157="","",AH157)</f>
        <v>0</v>
      </c>
      <c r="J157" s="75" t="str">
        <f t="shared" ref="J157:J170" si="176">IF(AI157=0,"",AI157)</f>
        <v/>
      </c>
      <c r="K157" s="348">
        <f>IF(AJ157="","",AJ157)</f>
        <v>0</v>
      </c>
      <c r="L157" s="75" t="str">
        <f t="shared" ref="L157:L170" si="177">IF(AK157=0,"",AK157)</f>
        <v/>
      </c>
      <c r="M157" s="348">
        <f>IF(AL157="","",AL157)</f>
        <v>0</v>
      </c>
      <c r="N157" s="75" t="str">
        <f>IF(AM157=0,"",AM157)</f>
        <v/>
      </c>
      <c r="O157" s="348">
        <f>IF(AN157="","",AN157)</f>
        <v>0</v>
      </c>
      <c r="P157" s="75" t="str">
        <f t="shared" ref="P157:P170" si="178">IF(AO157=0,"",AO157)</f>
        <v/>
      </c>
      <c r="Q157" s="348">
        <f>IF(AP157="","",AP157)</f>
        <v>0</v>
      </c>
      <c r="R157" s="75" t="str">
        <f t="shared" ref="R157:R170" si="179">IF(AQ157=0,"",AQ157)</f>
        <v/>
      </c>
      <c r="S157" s="348">
        <f>IF(AR157="","",AR157)</f>
        <v>0</v>
      </c>
      <c r="T157" s="75" t="str">
        <f t="shared" ref="T157:T170" si="180">IF(AS157=0,"",AS157)</f>
        <v/>
      </c>
      <c r="U157" s="348">
        <f>IF(AT157="","",AT157)</f>
        <v>0</v>
      </c>
      <c r="V157" s="75" t="str">
        <f t="shared" ref="V157:V170" si="181">IF(AU157=0,"",AU157)</f>
        <v/>
      </c>
      <c r="W157" s="348">
        <f>IF(AV157="","",AV157)</f>
        <v>0</v>
      </c>
      <c r="Z157" s="351" t="s">
        <v>0</v>
      </c>
      <c r="AA157" s="108" t="str">
        <f>IF(AB157=0,"",VLOOKUP(AB157,Starter!$A$1:$D$199,2,FALSE))</f>
        <v/>
      </c>
      <c r="AB157" s="99"/>
      <c r="AC157" s="185"/>
      <c r="AD157" s="109">
        <f>IF(SUM(AC157:AC159)+AC175=0,0,IF(SUM(AC157:AC159)=AC175,0.5,IF(SUM(AC157:AC159)&gt;AC175,1,0)))</f>
        <v>0</v>
      </c>
      <c r="AE157" s="185"/>
      <c r="AF157" s="109">
        <f>IF(SUM(AE157:AE159)+AE175=0,0,IF(SUM(AE157:AE159)=AE175,0.5,IF(SUM(AE157:AE159)&gt;AE175,1,0)))</f>
        <v>0</v>
      </c>
      <c r="AG157" s="185"/>
      <c r="AH157" s="109">
        <f>IF(SUM(AG157:AG159)+AG175=0,0,IF(SUM(AG157:AG159)=AG175,0.5,IF(SUM(AG157:AG159)&gt;AG175,1,0)))</f>
        <v>0</v>
      </c>
      <c r="AI157" s="185"/>
      <c r="AJ157" s="109">
        <f>IF(SUM(AI157:AI159)+AI175=0,0,IF(SUM(AI157:AI159)=AI175,0.5,IF(SUM(AI157:AI159)&gt;AI175,1,0)))</f>
        <v>0</v>
      </c>
      <c r="AK157" s="185"/>
      <c r="AL157" s="109">
        <f>IF(SUM(AK157:AK159)+AK175=0,0,IF(SUM(AK157:AK159)=AK175,0.5,IF(SUM(AK157:AK159)&gt;AK175,1,0)))</f>
        <v>0</v>
      </c>
      <c r="AM157" s="185"/>
      <c r="AN157" s="109">
        <f>IF(SUM(AM157:AM159)+AM175=0,0,IF(SUM(AM157:AM159)=AM175,0.5,IF(SUM(AM157:AM159)&gt;AM175,1,0)))</f>
        <v>0</v>
      </c>
      <c r="AO157" s="185"/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0</v>
      </c>
      <c r="AS157" s="185"/>
      <c r="AT157" s="109">
        <f>IF(SUM(AS157:AS159)+AS175=0,0,IF(SUM(AS157:AS159)=AS175,0.5,IF(SUM(AS157:AS159)&gt;AS175,1,0)))</f>
        <v>0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0</v>
      </c>
      <c r="AV157" s="111">
        <f>SUM(AD157+AF157+AH157+AJ157+AL157+AN157+AP157+AR157+AT157)</f>
        <v>0</v>
      </c>
      <c r="AW157" s="101"/>
      <c r="AX157" s="102"/>
      <c r="AZ157" s="63"/>
      <c r="BA157" s="212"/>
      <c r="BB157" s="213"/>
      <c r="BC157" s="214"/>
      <c r="BD157" s="217">
        <f>+AB157</f>
        <v>0</v>
      </c>
      <c r="BE157" s="213">
        <f>+AU157</f>
        <v>0</v>
      </c>
      <c r="BF157" s="215">
        <f>COUNT(BH157:BP157)</f>
        <v>0</v>
      </c>
      <c r="BG157" s="215">
        <f>COUNTIF(BH157:BP157,"&gt;0")</f>
        <v>0</v>
      </c>
      <c r="BH157" s="215" t="str">
        <f t="shared" ref="BH157:BH168" si="183">IF(AC157=0,"",AC157)</f>
        <v/>
      </c>
      <c r="BI157" s="215" t="str">
        <f t="shared" ref="BI157:BI168" si="184">IF(AE157=0,"",AE157)</f>
        <v/>
      </c>
      <c r="BJ157" s="215" t="str">
        <f t="shared" ref="BJ157:BJ168" si="185">IF(AG157=0,"",AG157)</f>
        <v/>
      </c>
      <c r="BK157" s="215" t="str">
        <f t="shared" ref="BK157:BK168" si="186">IF(AI157=0,"",AI157)</f>
        <v/>
      </c>
      <c r="BL157" s="215" t="str">
        <f t="shared" ref="BL157:BL168" si="187">IF(AK157=0,"",AK157)</f>
        <v/>
      </c>
      <c r="BM157" s="215" t="str">
        <f t="shared" ref="BM157:BM168" si="188">IF(AM157=0,"",AM157)</f>
        <v/>
      </c>
      <c r="BN157" s="215" t="str">
        <f t="shared" ref="BN157:BN168" si="189">IF(AO157=0,"",AO157)</f>
        <v/>
      </c>
      <c r="BO157" s="215" t="str">
        <f t="shared" ref="BO157:BO168" si="190">IF(AQ157=0,"",AQ157)</f>
        <v/>
      </c>
      <c r="BP157" s="215" t="str">
        <f t="shared" ref="BP157:BP168" si="191">IF(AS157=0,"",AS157)</f>
        <v/>
      </c>
      <c r="BQ157" s="216"/>
      <c r="BR157" s="214"/>
      <c r="BS157" s="215">
        <f>MAX(BH157:BP157)</f>
        <v>0</v>
      </c>
      <c r="BT157" s="215">
        <f>IF(BS157&lt;MAX(BS:BS),0,BS157+ROW()/1000000000)</f>
        <v>1.5699999999999999E-7</v>
      </c>
      <c r="BU157" s="215" t="str">
        <f>+AA153</f>
        <v>Phönix 03 Lauf</v>
      </c>
      <c r="BV157" s="214">
        <f>RANK(BT157,BT:BT)</f>
        <v>60</v>
      </c>
      <c r="BW157" s="215">
        <f>SUMIF(BH157:BP157,"&gt;0")</f>
        <v>0</v>
      </c>
      <c r="BX157" s="215">
        <f>IF(COUNTIF(BH157:BP157,"&gt;0")&lt;Spielorte!$A$23,0,BE157/Spielorte!$A$23)</f>
        <v>0</v>
      </c>
      <c r="BY157" s="215">
        <f>IF(BX157&lt;MAX(BX:BX),0,BX157+ROW()/1000000000)</f>
        <v>1.5699999999999999E-7</v>
      </c>
      <c r="BZ157" s="214">
        <f t="shared" ref="BZ157:BZ168" si="192">IF(BY157=0,0,RANK(BY157,BY:BY))</f>
        <v>60</v>
      </c>
    </row>
    <row r="158" spans="1:78" ht="17.2" customHeight="1" x14ac:dyDescent="0.35">
      <c r="A158" s="368"/>
      <c r="B158" s="76" t="str">
        <f t="shared" ref="B158:D170" si="193">IF(AA158=0,"",AA158)</f>
        <v/>
      </c>
      <c r="C158" s="77" t="str">
        <f t="shared" si="193"/>
        <v/>
      </c>
      <c r="D158" s="78" t="str">
        <f t="shared" si="193"/>
        <v/>
      </c>
      <c r="E158" s="349"/>
      <c r="F158" s="78" t="str">
        <f t="shared" si="174"/>
        <v/>
      </c>
      <c r="G158" s="349"/>
      <c r="H158" s="78" t="str">
        <f t="shared" si="175"/>
        <v/>
      </c>
      <c r="I158" s="349"/>
      <c r="J158" s="78" t="str">
        <f t="shared" si="176"/>
        <v/>
      </c>
      <c r="K158" s="349"/>
      <c r="L158" s="78" t="str">
        <f t="shared" si="177"/>
        <v/>
      </c>
      <c r="M158" s="349"/>
      <c r="N158" s="78" t="str">
        <f t="shared" ref="N158:N170" si="194">IF(AM158=0,"",AM158)</f>
        <v/>
      </c>
      <c r="O158" s="349"/>
      <c r="P158" s="78" t="str">
        <f t="shared" si="178"/>
        <v/>
      </c>
      <c r="Q158" s="349"/>
      <c r="R158" s="78" t="str">
        <f t="shared" si="179"/>
        <v/>
      </c>
      <c r="S158" s="349"/>
      <c r="T158" s="78" t="str">
        <f t="shared" si="180"/>
        <v/>
      </c>
      <c r="U158" s="349"/>
      <c r="V158" s="78" t="str">
        <f t="shared" si="181"/>
        <v/>
      </c>
      <c r="W158" s="349"/>
      <c r="Z158" s="352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82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0</v>
      </c>
      <c r="BE158" s="213">
        <f t="shared" ref="BE158:BE168" si="196">+AU158</f>
        <v>0</v>
      </c>
      <c r="BF158" s="215">
        <f t="shared" ref="BF158:BF168" si="197">COUNT(BH158:BP158)</f>
        <v>0</v>
      </c>
      <c r="BG158" s="215">
        <f t="shared" ref="BG158:BG168" si="198">COUNTIF(BH158:BP158,"&gt;0")</f>
        <v>0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 t="str">
        <f t="shared" si="187"/>
        <v/>
      </c>
      <c r="BM158" s="215" t="str">
        <f t="shared" si="188"/>
        <v/>
      </c>
      <c r="BN158" s="215" t="str">
        <f t="shared" si="189"/>
        <v/>
      </c>
      <c r="BO158" s="215" t="str">
        <f t="shared" si="190"/>
        <v/>
      </c>
      <c r="BP158" s="215" t="str">
        <f t="shared" si="191"/>
        <v/>
      </c>
      <c r="BQ158" s="216"/>
      <c r="BR158" s="214"/>
      <c r="BS158" s="215">
        <f t="shared" ref="BS158:BS168" si="199">MAX(BH158:BP158)</f>
        <v>0</v>
      </c>
      <c r="BT158" s="215">
        <f t="shared" ref="BT158:BT168" si="200">IF(BS158&lt;MAX(BS:BS),0,BS158+ROW()/1000000000)</f>
        <v>1.5800000000000001E-7</v>
      </c>
      <c r="BU158" s="215" t="str">
        <f t="shared" ref="BU158:BU168" si="201">+BU157</f>
        <v>Phönix 03 Lauf</v>
      </c>
      <c r="BV158" s="214">
        <f t="shared" ref="BV158:BV168" si="202">RANK(BT158,BT:BT)</f>
        <v>59</v>
      </c>
      <c r="BW158" s="215">
        <f t="shared" ref="BW158:BW168" si="203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1.5800000000000001E-7</v>
      </c>
      <c r="BZ158" s="214">
        <f t="shared" si="192"/>
        <v>59</v>
      </c>
    </row>
    <row r="159" spans="1:78" ht="17.2" customHeight="1" thickBot="1" x14ac:dyDescent="0.4">
      <c r="A159" s="369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50"/>
      <c r="F159" s="69" t="str">
        <f t="shared" si="174"/>
        <v/>
      </c>
      <c r="G159" s="350"/>
      <c r="H159" s="69" t="str">
        <f t="shared" si="175"/>
        <v/>
      </c>
      <c r="I159" s="350"/>
      <c r="J159" s="69" t="str">
        <f t="shared" si="176"/>
        <v/>
      </c>
      <c r="K159" s="350"/>
      <c r="L159" s="69" t="str">
        <f t="shared" si="177"/>
        <v/>
      </c>
      <c r="M159" s="350"/>
      <c r="N159" s="69" t="str">
        <f t="shared" si="194"/>
        <v/>
      </c>
      <c r="O159" s="350"/>
      <c r="P159" s="69" t="str">
        <f t="shared" si="178"/>
        <v/>
      </c>
      <c r="Q159" s="350"/>
      <c r="R159" s="69" t="str">
        <f t="shared" si="179"/>
        <v/>
      </c>
      <c r="S159" s="350"/>
      <c r="T159" s="69" t="str">
        <f t="shared" si="180"/>
        <v/>
      </c>
      <c r="U159" s="350"/>
      <c r="V159" s="69" t="str">
        <f t="shared" si="181"/>
        <v/>
      </c>
      <c r="W159" s="350"/>
      <c r="Z159" s="353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1.5900000000000001E-7</v>
      </c>
      <c r="BU159" s="215" t="str">
        <f t="shared" si="201"/>
        <v>Phönix 03 Lauf</v>
      </c>
      <c r="BV159" s="214">
        <f t="shared" si="202"/>
        <v>58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1.5900000000000001E-7</v>
      </c>
      <c r="BZ159" s="214">
        <f t="shared" si="192"/>
        <v>58</v>
      </c>
    </row>
    <row r="160" spans="1:78" ht="17.2" customHeight="1" x14ac:dyDescent="0.35">
      <c r="A160" s="367" t="s">
        <v>2</v>
      </c>
      <c r="B160" s="73" t="str">
        <f t="shared" si="193"/>
        <v/>
      </c>
      <c r="C160" s="74" t="str">
        <f t="shared" si="193"/>
        <v/>
      </c>
      <c r="D160" s="75" t="str">
        <f t="shared" si="193"/>
        <v/>
      </c>
      <c r="E160" s="348">
        <f>IF(AD160="","",AD160)</f>
        <v>0</v>
      </c>
      <c r="F160" s="75" t="str">
        <f t="shared" si="174"/>
        <v/>
      </c>
      <c r="G160" s="348">
        <f>IF(AF160="","",AF160)</f>
        <v>0</v>
      </c>
      <c r="H160" s="75" t="str">
        <f t="shared" si="175"/>
        <v/>
      </c>
      <c r="I160" s="348">
        <f>IF(AH160="","",AH160)</f>
        <v>0</v>
      </c>
      <c r="J160" s="75" t="str">
        <f t="shared" si="176"/>
        <v/>
      </c>
      <c r="K160" s="348">
        <f>IF(AJ160="","",AJ160)</f>
        <v>0</v>
      </c>
      <c r="L160" s="75" t="str">
        <f t="shared" si="177"/>
        <v/>
      </c>
      <c r="M160" s="348">
        <f>IF(AL160="","",AL160)</f>
        <v>0</v>
      </c>
      <c r="N160" s="75" t="str">
        <f t="shared" si="194"/>
        <v/>
      </c>
      <c r="O160" s="348">
        <f>IF(AN160="","",AN160)</f>
        <v>0</v>
      </c>
      <c r="P160" s="75" t="str">
        <f t="shared" si="178"/>
        <v/>
      </c>
      <c r="Q160" s="348">
        <f>IF(AP160="","",AP160)</f>
        <v>0</v>
      </c>
      <c r="R160" s="75" t="str">
        <f t="shared" si="179"/>
        <v/>
      </c>
      <c r="S160" s="348">
        <f>IF(AR160="","",AR160)</f>
        <v>0</v>
      </c>
      <c r="T160" s="75" t="str">
        <f t="shared" si="180"/>
        <v/>
      </c>
      <c r="U160" s="348">
        <f>IF(AT160="","",AT160)</f>
        <v>0</v>
      </c>
      <c r="V160" s="75" t="str">
        <f t="shared" si="181"/>
        <v/>
      </c>
      <c r="W160" s="348">
        <f>IF(AV160="","",AV160)</f>
        <v>0</v>
      </c>
      <c r="Z160" s="351" t="s">
        <v>2</v>
      </c>
      <c r="AA160" s="108" t="str">
        <f>IF(AB160=0,"",VLOOKUP(AB160,Starter!$A$1:$D$199,2,FALSE))</f>
        <v/>
      </c>
      <c r="AB160" s="99"/>
      <c r="AC160" s="188"/>
      <c r="AD160" s="109">
        <f>IF(SUM(AC160:AC162)+AC176=0,0,IF(SUM(AC160:AC162)=AC176,0.5,IF(SUM(AC160:AC162)&gt;AC176,1,0)))</f>
        <v>0</v>
      </c>
      <c r="AE160" s="188"/>
      <c r="AF160" s="109">
        <f>IF(SUM(AE160:AE162)+AE176=0,0,IF(SUM(AE160:AE162)=AE176,0.5,IF(SUM(AE160:AE162)&gt;AE176,1,0)))</f>
        <v>0</v>
      </c>
      <c r="AG160" s="188"/>
      <c r="AH160" s="109">
        <f>IF(SUM(AG160:AG162)+AG176=0,0,IF(SUM(AG160:AG162)=AG176,0.5,IF(SUM(AG160:AG162)&gt;AG176,1,0)))</f>
        <v>0</v>
      </c>
      <c r="AI160" s="188"/>
      <c r="AJ160" s="109">
        <f>IF(SUM(AI160:AI162)+AI176=0,0,IF(SUM(AI160:AI162)=AI176,0.5,IF(SUM(AI160:AI162)&gt;AI176,1,0)))</f>
        <v>0</v>
      </c>
      <c r="AK160" s="188"/>
      <c r="AL160" s="109">
        <f>IF(SUM(AK160:AK162)+AK176=0,0,IF(SUM(AK160:AK162)=AK176,0.5,IF(SUM(AK160:AK162)&gt;AK176,1,0)))</f>
        <v>0</v>
      </c>
      <c r="AM160" s="188"/>
      <c r="AN160" s="109">
        <f>IF(SUM(AM160:AM162)+AM176=0,0,IF(SUM(AM160:AM162)=AM176,0.5,IF(SUM(AM160:AM162)&gt;AM176,1,0)))</f>
        <v>0</v>
      </c>
      <c r="AO160" s="188"/>
      <c r="AP160" s="109">
        <f>IF(SUM(AO160:AO162)+AO176=0,0,IF(SUM(AO160:AO162)=AO176,0.5,IF(SUM(AO160:AO162)&gt;AO176,1,0)))</f>
        <v>0</v>
      </c>
      <c r="AQ160" s="188"/>
      <c r="AR160" s="109">
        <f>IF(SUM(AQ160:AQ162)+AQ176=0,0,IF(SUM(AQ160:AQ162)=AQ176,0.5,IF(SUM(AQ160:AQ162)&gt;AQ176,1,0)))</f>
        <v>0</v>
      </c>
      <c r="AS160" s="188"/>
      <c r="AT160" s="109">
        <f>IF(SUM(AS160:AS162)+AS176=0,0,IF(SUM(AS160:AS162)=AS176,0.5,IF(SUM(AS160:AS162)&gt;AS176,1,0)))</f>
        <v>0</v>
      </c>
      <c r="AU160" s="110">
        <f t="shared" si="182"/>
        <v>0</v>
      </c>
      <c r="AV160" s="111">
        <f>SUM(AD160+AF160+AH160+AJ160+AL160+AN160+AP160+AR160+AT160)</f>
        <v>0</v>
      </c>
      <c r="AW160" s="101"/>
      <c r="AX160" s="102"/>
      <c r="AZ160" s="63"/>
      <c r="BA160" s="212"/>
      <c r="BB160" s="213"/>
      <c r="BC160" s="214"/>
      <c r="BD160" s="217">
        <f t="shared" si="195"/>
        <v>0</v>
      </c>
      <c r="BE160" s="213">
        <f t="shared" si="196"/>
        <v>0</v>
      </c>
      <c r="BF160" s="215">
        <f t="shared" si="197"/>
        <v>0</v>
      </c>
      <c r="BG160" s="215">
        <f t="shared" si="198"/>
        <v>0</v>
      </c>
      <c r="BH160" s="215" t="str">
        <f t="shared" si="183"/>
        <v/>
      </c>
      <c r="BI160" s="215" t="str">
        <f t="shared" si="184"/>
        <v/>
      </c>
      <c r="BJ160" s="215" t="str">
        <f t="shared" si="185"/>
        <v/>
      </c>
      <c r="BK160" s="215" t="str">
        <f t="shared" si="186"/>
        <v/>
      </c>
      <c r="BL160" s="215" t="str">
        <f t="shared" si="187"/>
        <v/>
      </c>
      <c r="BM160" s="215" t="str">
        <f t="shared" si="188"/>
        <v/>
      </c>
      <c r="BN160" s="215" t="str">
        <f t="shared" si="189"/>
        <v/>
      </c>
      <c r="BO160" s="215" t="str">
        <f t="shared" si="190"/>
        <v/>
      </c>
      <c r="BP160" s="215" t="str">
        <f t="shared" si="191"/>
        <v/>
      </c>
      <c r="BQ160" s="216"/>
      <c r="BR160" s="214"/>
      <c r="BS160" s="215">
        <f t="shared" si="199"/>
        <v>0</v>
      </c>
      <c r="BT160" s="215">
        <f t="shared" si="200"/>
        <v>1.6E-7</v>
      </c>
      <c r="BU160" s="215" t="str">
        <f t="shared" si="201"/>
        <v>Phönix 03 Lauf</v>
      </c>
      <c r="BV160" s="214">
        <f t="shared" si="202"/>
        <v>57</v>
      </c>
      <c r="BW160" s="215">
        <f t="shared" si="203"/>
        <v>0</v>
      </c>
      <c r="BX160" s="215">
        <f>IF(COUNTIF(BH160:BP160,"&gt;0")&lt;Spielorte!$A$23,0,BE160/Spielorte!$A$23)</f>
        <v>0</v>
      </c>
      <c r="BY160" s="215">
        <f t="shared" si="204"/>
        <v>1.6E-7</v>
      </c>
      <c r="BZ160" s="214">
        <f t="shared" si="192"/>
        <v>57</v>
      </c>
    </row>
    <row r="161" spans="1:78" ht="17.2" customHeight="1" x14ac:dyDescent="0.35">
      <c r="A161" s="368"/>
      <c r="B161" s="76" t="str">
        <f t="shared" si="193"/>
        <v/>
      </c>
      <c r="C161" s="77" t="str">
        <f t="shared" si="193"/>
        <v/>
      </c>
      <c r="D161" s="78" t="str">
        <f t="shared" si="193"/>
        <v/>
      </c>
      <c r="E161" s="349"/>
      <c r="F161" s="78" t="str">
        <f t="shared" si="174"/>
        <v/>
      </c>
      <c r="G161" s="349"/>
      <c r="H161" s="78" t="str">
        <f t="shared" si="175"/>
        <v/>
      </c>
      <c r="I161" s="349"/>
      <c r="J161" s="78" t="str">
        <f t="shared" si="176"/>
        <v/>
      </c>
      <c r="K161" s="349"/>
      <c r="L161" s="78" t="str">
        <f t="shared" si="177"/>
        <v/>
      </c>
      <c r="M161" s="349"/>
      <c r="N161" s="78" t="str">
        <f t="shared" si="194"/>
        <v/>
      </c>
      <c r="O161" s="349"/>
      <c r="P161" s="78" t="str">
        <f t="shared" si="178"/>
        <v/>
      </c>
      <c r="Q161" s="349"/>
      <c r="R161" s="78" t="str">
        <f t="shared" si="179"/>
        <v/>
      </c>
      <c r="S161" s="349"/>
      <c r="T161" s="78" t="str">
        <f t="shared" si="180"/>
        <v/>
      </c>
      <c r="U161" s="349"/>
      <c r="V161" s="78" t="str">
        <f t="shared" si="181"/>
        <v/>
      </c>
      <c r="W161" s="349"/>
      <c r="Z161" s="352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82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0</v>
      </c>
      <c r="BE161" s="213">
        <f t="shared" si="196"/>
        <v>0</v>
      </c>
      <c r="BF161" s="215">
        <f t="shared" si="197"/>
        <v>0</v>
      </c>
      <c r="BG161" s="215">
        <f t="shared" si="198"/>
        <v>0</v>
      </c>
      <c r="BH161" s="215" t="str">
        <f t="shared" si="183"/>
        <v/>
      </c>
      <c r="BI161" s="215" t="str">
        <f t="shared" si="184"/>
        <v/>
      </c>
      <c r="BJ161" s="215" t="str">
        <f t="shared" si="185"/>
        <v/>
      </c>
      <c r="BK161" s="215" t="str">
        <f t="shared" si="186"/>
        <v/>
      </c>
      <c r="BL161" s="215" t="str">
        <f t="shared" si="187"/>
        <v/>
      </c>
      <c r="BM161" s="215" t="str">
        <f t="shared" si="188"/>
        <v/>
      </c>
      <c r="BN161" s="215" t="str">
        <f t="shared" si="189"/>
        <v/>
      </c>
      <c r="BO161" s="215" t="str">
        <f t="shared" si="190"/>
        <v/>
      </c>
      <c r="BP161" s="215" t="str">
        <f t="shared" si="191"/>
        <v/>
      </c>
      <c r="BQ161" s="216"/>
      <c r="BR161" s="214"/>
      <c r="BS161" s="215">
        <f t="shared" si="199"/>
        <v>0</v>
      </c>
      <c r="BT161" s="215">
        <f t="shared" si="200"/>
        <v>1.61E-7</v>
      </c>
      <c r="BU161" s="215" t="str">
        <f t="shared" si="201"/>
        <v>Phönix 03 Lauf</v>
      </c>
      <c r="BV161" s="214">
        <f t="shared" si="202"/>
        <v>56</v>
      </c>
      <c r="BW161" s="215">
        <f t="shared" si="203"/>
        <v>0</v>
      </c>
      <c r="BX161" s="215">
        <f>IF(COUNTIF(BH161:BP161,"&gt;0")&lt;Spielorte!$A$23,0,BE161/Spielorte!$A$23)</f>
        <v>0</v>
      </c>
      <c r="BY161" s="215">
        <f t="shared" si="204"/>
        <v>1.61E-7</v>
      </c>
      <c r="BZ161" s="214">
        <f t="shared" si="192"/>
        <v>56</v>
      </c>
    </row>
    <row r="162" spans="1:78" ht="17.2" customHeight="1" thickBot="1" x14ac:dyDescent="0.4">
      <c r="A162" s="369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50"/>
      <c r="F162" s="69" t="str">
        <f t="shared" si="174"/>
        <v/>
      </c>
      <c r="G162" s="350"/>
      <c r="H162" s="69" t="str">
        <f t="shared" si="175"/>
        <v/>
      </c>
      <c r="I162" s="350"/>
      <c r="J162" s="69" t="str">
        <f t="shared" si="176"/>
        <v/>
      </c>
      <c r="K162" s="350"/>
      <c r="L162" s="69" t="str">
        <f t="shared" si="177"/>
        <v/>
      </c>
      <c r="M162" s="350"/>
      <c r="N162" s="69" t="str">
        <f t="shared" si="194"/>
        <v/>
      </c>
      <c r="O162" s="350"/>
      <c r="P162" s="69" t="str">
        <f t="shared" si="178"/>
        <v/>
      </c>
      <c r="Q162" s="350"/>
      <c r="R162" s="69" t="str">
        <f t="shared" si="179"/>
        <v/>
      </c>
      <c r="S162" s="350"/>
      <c r="T162" s="69" t="str">
        <f t="shared" si="180"/>
        <v/>
      </c>
      <c r="U162" s="350"/>
      <c r="V162" s="69" t="str">
        <f t="shared" si="181"/>
        <v/>
      </c>
      <c r="W162" s="350"/>
      <c r="Z162" s="353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1.6199999999999999E-7</v>
      </c>
      <c r="BU162" s="215" t="str">
        <f t="shared" si="201"/>
        <v>Phönix 03 Lauf</v>
      </c>
      <c r="BV162" s="214">
        <f t="shared" si="202"/>
        <v>55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1.6199999999999999E-7</v>
      </c>
      <c r="BZ162" s="214">
        <f t="shared" si="192"/>
        <v>55</v>
      </c>
    </row>
    <row r="163" spans="1:78" ht="17.2" customHeight="1" x14ac:dyDescent="0.35">
      <c r="A163" s="367" t="s">
        <v>3</v>
      </c>
      <c r="B163" s="73" t="str">
        <f t="shared" si="193"/>
        <v/>
      </c>
      <c r="C163" s="74" t="str">
        <f t="shared" si="193"/>
        <v/>
      </c>
      <c r="D163" s="75" t="str">
        <f t="shared" si="193"/>
        <v/>
      </c>
      <c r="E163" s="348">
        <f>IF(AD163="","",AD163)</f>
        <v>0</v>
      </c>
      <c r="F163" s="75" t="str">
        <f t="shared" si="174"/>
        <v/>
      </c>
      <c r="G163" s="348">
        <f>IF(AF163="","",AF163)</f>
        <v>0</v>
      </c>
      <c r="H163" s="75" t="str">
        <f t="shared" si="175"/>
        <v/>
      </c>
      <c r="I163" s="348">
        <f>IF(AH163="","",AH163)</f>
        <v>0</v>
      </c>
      <c r="J163" s="75" t="str">
        <f t="shared" si="176"/>
        <v/>
      </c>
      <c r="K163" s="348">
        <f>IF(AJ163="","",AJ163)</f>
        <v>0</v>
      </c>
      <c r="L163" s="75" t="str">
        <f t="shared" si="177"/>
        <v/>
      </c>
      <c r="M163" s="348">
        <f>IF(AL163="","",AL163)</f>
        <v>0</v>
      </c>
      <c r="N163" s="75" t="str">
        <f t="shared" si="194"/>
        <v/>
      </c>
      <c r="O163" s="348">
        <f>IF(AN163="","",AN163)</f>
        <v>0</v>
      </c>
      <c r="P163" s="75" t="str">
        <f t="shared" si="178"/>
        <v/>
      </c>
      <c r="Q163" s="348">
        <f>IF(AP163="","",AP163)</f>
        <v>0</v>
      </c>
      <c r="R163" s="75" t="str">
        <f t="shared" si="179"/>
        <v/>
      </c>
      <c r="S163" s="348">
        <f>IF(AR163="","",AR163)</f>
        <v>0</v>
      </c>
      <c r="T163" s="75" t="str">
        <f t="shared" si="180"/>
        <v/>
      </c>
      <c r="U163" s="348">
        <f>IF(AT163="","",AT163)</f>
        <v>0</v>
      </c>
      <c r="V163" s="75" t="str">
        <f t="shared" si="181"/>
        <v/>
      </c>
      <c r="W163" s="348">
        <f>IF(AV163="","",AV163)</f>
        <v>0</v>
      </c>
      <c r="Z163" s="351" t="s">
        <v>3</v>
      </c>
      <c r="AA163" s="108" t="str">
        <f>IF(AB163=0,"",VLOOKUP(AB163,Starter!$A$1:$D$199,2,FALSE))</f>
        <v/>
      </c>
      <c r="AB163" s="99"/>
      <c r="AC163" s="188"/>
      <c r="AD163" s="109">
        <f>IF(SUM(AC163:AC165)+AC177=0,0,IF(SUM(AC163:AC165)=AC177,0.5,IF(SUM(AC163:AC165)&gt;AC177,1,0)))</f>
        <v>0</v>
      </c>
      <c r="AE163" s="188"/>
      <c r="AF163" s="109">
        <f>IF(SUM(AE163:AE165)+AE177=0,0,IF(SUM(AE163:AE165)=AE177,0.5,IF(SUM(AE163:AE165)&gt;AE177,1,0)))</f>
        <v>0</v>
      </c>
      <c r="AG163" s="188"/>
      <c r="AH163" s="109">
        <f>IF(SUM(AG163:AG165)+AG177=0,0,IF(SUM(AG163:AG165)=AG177,0.5,IF(SUM(AG163:AG165)&gt;AG177,1,0)))</f>
        <v>0</v>
      </c>
      <c r="AI163" s="188"/>
      <c r="AJ163" s="109">
        <f>IF(SUM(AI163:AI165)+AI177=0,0,IF(SUM(AI163:AI165)=AI177,0.5,IF(SUM(AI163:AI165)&gt;AI177,1,0)))</f>
        <v>0</v>
      </c>
      <c r="AK163" s="188"/>
      <c r="AL163" s="109">
        <f>IF(SUM(AK163:AK165)+AK177=0,0,IF(SUM(AK163:AK165)=AK177,0.5,IF(SUM(AK163:AK165)&gt;AK177,1,0)))</f>
        <v>0</v>
      </c>
      <c r="AM163" s="188"/>
      <c r="AN163" s="109">
        <f>IF(SUM(AM163:AM165)+AM177=0,0,IF(SUM(AM163:AM165)=AM177,0.5,IF(SUM(AM163:AM165)&gt;AM177,1,0)))</f>
        <v>0</v>
      </c>
      <c r="AO163" s="188"/>
      <c r="AP163" s="109">
        <f>IF(SUM(AO163:AO165)+AO177=0,0,IF(SUM(AO163:AO165)=AO177,0.5,IF(SUM(AO163:AO165)&gt;AO177,1,0)))</f>
        <v>0</v>
      </c>
      <c r="AQ163" s="188"/>
      <c r="AR163" s="109">
        <f>IF(SUM(AQ163:AQ165)+AQ177=0,0,IF(SUM(AQ163:AQ165)=AQ177,0.5,IF(SUM(AQ163:AQ165)&gt;AQ177,1,0)))</f>
        <v>0</v>
      </c>
      <c r="AS163" s="188"/>
      <c r="AT163" s="109">
        <f>IF(SUM(AS163:AS165)+AS177=0,0,IF(SUM(AS163:AS165)=AS177,0.5,IF(SUM(AS163:AS165)&gt;AS177,1,0)))</f>
        <v>0</v>
      </c>
      <c r="AU163" s="110">
        <f t="shared" si="182"/>
        <v>0</v>
      </c>
      <c r="AV163" s="111">
        <f>SUM(AD163+AF163+AH163+AJ163+AL163+AN163+AP163+AR163+AT163)</f>
        <v>0</v>
      </c>
      <c r="AW163" s="101"/>
      <c r="AX163" s="102"/>
      <c r="AZ163" s="63"/>
      <c r="BA163" s="212"/>
      <c r="BB163" s="213"/>
      <c r="BC163" s="214"/>
      <c r="BD163" s="217">
        <f t="shared" si="195"/>
        <v>0</v>
      </c>
      <c r="BE163" s="213">
        <f t="shared" si="196"/>
        <v>0</v>
      </c>
      <c r="BF163" s="215">
        <f t="shared" si="197"/>
        <v>0</v>
      </c>
      <c r="BG163" s="215">
        <f t="shared" si="198"/>
        <v>0</v>
      </c>
      <c r="BH163" s="215" t="str">
        <f t="shared" si="183"/>
        <v/>
      </c>
      <c r="BI163" s="215" t="str">
        <f t="shared" si="184"/>
        <v/>
      </c>
      <c r="BJ163" s="215" t="str">
        <f t="shared" si="185"/>
        <v/>
      </c>
      <c r="BK163" s="215" t="str">
        <f t="shared" si="186"/>
        <v/>
      </c>
      <c r="BL163" s="215" t="str">
        <f t="shared" si="187"/>
        <v/>
      </c>
      <c r="BM163" s="215" t="str">
        <f t="shared" si="188"/>
        <v/>
      </c>
      <c r="BN163" s="215" t="str">
        <f t="shared" si="189"/>
        <v/>
      </c>
      <c r="BO163" s="215" t="str">
        <f t="shared" si="190"/>
        <v/>
      </c>
      <c r="BP163" s="215" t="str">
        <f t="shared" si="191"/>
        <v/>
      </c>
      <c r="BQ163" s="216"/>
      <c r="BR163" s="214"/>
      <c r="BS163" s="215">
        <f t="shared" si="199"/>
        <v>0</v>
      </c>
      <c r="BT163" s="215">
        <f t="shared" si="200"/>
        <v>1.6299999999999999E-7</v>
      </c>
      <c r="BU163" s="215" t="str">
        <f t="shared" si="201"/>
        <v>Phönix 03 Lauf</v>
      </c>
      <c r="BV163" s="214">
        <f t="shared" si="202"/>
        <v>54</v>
      </c>
      <c r="BW163" s="215">
        <f t="shared" si="203"/>
        <v>0</v>
      </c>
      <c r="BX163" s="215">
        <f>IF(COUNTIF(BH163:BP163,"&gt;0")&lt;Spielorte!$A$23,0,BE163/Spielorte!$A$23)</f>
        <v>0</v>
      </c>
      <c r="BY163" s="215">
        <f t="shared" si="204"/>
        <v>1.6299999999999999E-7</v>
      </c>
      <c r="BZ163" s="214">
        <f t="shared" si="192"/>
        <v>54</v>
      </c>
    </row>
    <row r="164" spans="1:78" ht="17.2" customHeight="1" x14ac:dyDescent="0.35">
      <c r="A164" s="368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49"/>
      <c r="F164" s="78" t="str">
        <f t="shared" si="174"/>
        <v/>
      </c>
      <c r="G164" s="349"/>
      <c r="H164" s="78" t="str">
        <f t="shared" si="175"/>
        <v/>
      </c>
      <c r="I164" s="349"/>
      <c r="J164" s="78" t="str">
        <f t="shared" si="176"/>
        <v/>
      </c>
      <c r="K164" s="349"/>
      <c r="L164" s="78" t="str">
        <f t="shared" si="177"/>
        <v/>
      </c>
      <c r="M164" s="349"/>
      <c r="N164" s="78" t="str">
        <f t="shared" si="194"/>
        <v/>
      </c>
      <c r="O164" s="349"/>
      <c r="P164" s="78" t="str">
        <f t="shared" si="178"/>
        <v/>
      </c>
      <c r="Q164" s="349"/>
      <c r="R164" s="78" t="str">
        <f t="shared" si="179"/>
        <v/>
      </c>
      <c r="S164" s="349"/>
      <c r="T164" s="78" t="str">
        <f t="shared" si="180"/>
        <v/>
      </c>
      <c r="U164" s="349"/>
      <c r="V164" s="78" t="str">
        <f t="shared" si="181"/>
        <v/>
      </c>
      <c r="W164" s="349"/>
      <c r="Z164" s="352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1.6400000000000001E-7</v>
      </c>
      <c r="BU164" s="215" t="str">
        <f t="shared" si="201"/>
        <v>Phönix 03 Lauf</v>
      </c>
      <c r="BV164" s="214">
        <f t="shared" si="202"/>
        <v>53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1.6400000000000001E-7</v>
      </c>
      <c r="BZ164" s="214">
        <f t="shared" si="192"/>
        <v>53</v>
      </c>
    </row>
    <row r="165" spans="1:78" ht="17.2" customHeight="1" thickBot="1" x14ac:dyDescent="0.4">
      <c r="A165" s="369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50"/>
      <c r="F165" s="69" t="str">
        <f t="shared" si="174"/>
        <v/>
      </c>
      <c r="G165" s="350"/>
      <c r="H165" s="69" t="str">
        <f t="shared" si="175"/>
        <v/>
      </c>
      <c r="I165" s="350"/>
      <c r="J165" s="69" t="str">
        <f t="shared" si="176"/>
        <v/>
      </c>
      <c r="K165" s="350"/>
      <c r="L165" s="69" t="str">
        <f t="shared" si="177"/>
        <v/>
      </c>
      <c r="M165" s="350"/>
      <c r="N165" s="69" t="str">
        <f t="shared" si="194"/>
        <v/>
      </c>
      <c r="O165" s="350"/>
      <c r="P165" s="69" t="str">
        <f t="shared" si="178"/>
        <v/>
      </c>
      <c r="Q165" s="350"/>
      <c r="R165" s="69" t="str">
        <f t="shared" si="179"/>
        <v/>
      </c>
      <c r="S165" s="350"/>
      <c r="T165" s="69" t="str">
        <f t="shared" si="180"/>
        <v/>
      </c>
      <c r="U165" s="350"/>
      <c r="V165" s="69" t="str">
        <f t="shared" si="181"/>
        <v/>
      </c>
      <c r="W165" s="350"/>
      <c r="Z165" s="353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1.6500000000000001E-7</v>
      </c>
      <c r="BU165" s="215" t="str">
        <f t="shared" si="201"/>
        <v>Phönix 03 Lauf</v>
      </c>
      <c r="BV165" s="214">
        <f t="shared" si="202"/>
        <v>52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1.6500000000000001E-7</v>
      </c>
      <c r="BZ165" s="214">
        <f t="shared" si="192"/>
        <v>52</v>
      </c>
    </row>
    <row r="166" spans="1:78" ht="17.2" customHeight="1" x14ac:dyDescent="0.35">
      <c r="A166" s="367" t="s">
        <v>11</v>
      </c>
      <c r="B166" s="73" t="str">
        <f>IF(AA166=0,"",AA166)</f>
        <v/>
      </c>
      <c r="C166" s="74" t="str">
        <f t="shared" si="193"/>
        <v/>
      </c>
      <c r="D166" s="75" t="str">
        <f t="shared" si="193"/>
        <v/>
      </c>
      <c r="E166" s="348">
        <f>IF(AD166="","",AD166)</f>
        <v>0</v>
      </c>
      <c r="F166" s="75" t="str">
        <f t="shared" si="174"/>
        <v/>
      </c>
      <c r="G166" s="348">
        <f>IF(AF166="","",AF166)</f>
        <v>0</v>
      </c>
      <c r="H166" s="75" t="str">
        <f t="shared" si="175"/>
        <v/>
      </c>
      <c r="I166" s="348">
        <f>IF(AH166="","",AH166)</f>
        <v>0</v>
      </c>
      <c r="J166" s="75" t="str">
        <f t="shared" si="176"/>
        <v/>
      </c>
      <c r="K166" s="348">
        <f>IF(AJ166="","",AJ166)</f>
        <v>0</v>
      </c>
      <c r="L166" s="75" t="str">
        <f t="shared" si="177"/>
        <v/>
      </c>
      <c r="M166" s="348">
        <f>IF(AL166="","",AL166)</f>
        <v>0</v>
      </c>
      <c r="N166" s="75" t="str">
        <f t="shared" si="194"/>
        <v/>
      </c>
      <c r="O166" s="348">
        <f>IF(AN166="","",AN166)</f>
        <v>0</v>
      </c>
      <c r="P166" s="75" t="str">
        <f t="shared" si="178"/>
        <v/>
      </c>
      <c r="Q166" s="348">
        <f>IF(AP166="","",AP166)</f>
        <v>0</v>
      </c>
      <c r="R166" s="75" t="str">
        <f t="shared" si="179"/>
        <v/>
      </c>
      <c r="S166" s="348">
        <f>IF(AR166="","",AR166)</f>
        <v>0</v>
      </c>
      <c r="T166" s="75" t="str">
        <f t="shared" si="180"/>
        <v/>
      </c>
      <c r="U166" s="348">
        <f>IF(AT166="","",AT166)</f>
        <v>0</v>
      </c>
      <c r="V166" s="75" t="str">
        <f t="shared" si="181"/>
        <v/>
      </c>
      <c r="W166" s="348">
        <f>IF(AV166="","",AV166)</f>
        <v>0</v>
      </c>
      <c r="Z166" s="351" t="s">
        <v>11</v>
      </c>
      <c r="AA166" s="108" t="str">
        <f>IF(AB166=0,"",VLOOKUP(AB166,Starter!$A$1:$D$199,2,FALSE))</f>
        <v/>
      </c>
      <c r="AB166" s="99"/>
      <c r="AC166" s="188"/>
      <c r="AD166" s="109">
        <f>IF(SUM(AC166:AC168)+AC178=0,0,IF(SUM(AC166:AC168)=AC178,0.5,IF(SUM(AC166:AC168)&gt;AC178,1,0)))</f>
        <v>0</v>
      </c>
      <c r="AE166" s="188"/>
      <c r="AF166" s="109">
        <f>IF(SUM(AE166:AE168)+AE178=0,0,IF(SUM(AE166:AE168)=AE178,0.5,IF(SUM(AE166:AE168)&gt;AE178,1,0)))</f>
        <v>0</v>
      </c>
      <c r="AG166" s="188"/>
      <c r="AH166" s="109">
        <f>IF(SUM(AG166:AG168)+AG178=0,0,IF(SUM(AG166:AG168)=AG178,0.5,IF(SUM(AG166:AG168)&gt;AG178,1,0)))</f>
        <v>0</v>
      </c>
      <c r="AI166" s="188"/>
      <c r="AJ166" s="109">
        <f>IF(SUM(AI166:AI168)+AI178=0,0,IF(SUM(AI166:AI168)=AI178,0.5,IF(SUM(AI166:AI168)&gt;AI178,1,0)))</f>
        <v>0</v>
      </c>
      <c r="AK166" s="188"/>
      <c r="AL166" s="109">
        <f>IF(SUM(AK166:AK168)+AK178=0,0,IF(SUM(AK166:AK168)=AK178,0.5,IF(SUM(AK166:AK168)&gt;AK178,1,0)))</f>
        <v>0</v>
      </c>
      <c r="AM166" s="188"/>
      <c r="AN166" s="109">
        <f>IF(SUM(AM166:AM168)+AM178=0,0,IF(SUM(AM166:AM168)=AM178,0.5,IF(SUM(AM166:AM168)&gt;AM178,1,0)))</f>
        <v>0</v>
      </c>
      <c r="AO166" s="188"/>
      <c r="AP166" s="109">
        <f>IF(SUM(AO166:AO168)+AO178=0,0,IF(SUM(AO166:AO168)=AO178,0.5,IF(SUM(AO166:AO168)&gt;AO178,1,0)))</f>
        <v>0</v>
      </c>
      <c r="AQ166" s="188"/>
      <c r="AR166" s="109">
        <f>IF(SUM(AQ166:AQ168)+AQ178=0,0,IF(SUM(AQ166:AQ168)=AQ178,0.5,IF(SUM(AQ166:AQ168)&gt;AQ178,1,0)))</f>
        <v>0</v>
      </c>
      <c r="AS166" s="188"/>
      <c r="AT166" s="109">
        <f>IF(SUM(AS166:AS168)+AS178=0,0,IF(SUM(AS166:AS168)=AS178,0.5,IF(SUM(AS166:AS168)&gt;AS178,1,0)))</f>
        <v>0</v>
      </c>
      <c r="AU166" s="110">
        <f t="shared" si="182"/>
        <v>0</v>
      </c>
      <c r="AV166" s="111">
        <f>SUM(AD166+AF166+AH166+AJ166+AL166+AN166+AP166+AR166+AT166)</f>
        <v>0</v>
      </c>
      <c r="AW166" s="101"/>
      <c r="AX166" s="102"/>
      <c r="AZ166" s="63"/>
      <c r="BA166" s="212"/>
      <c r="BB166" s="213"/>
      <c r="BC166" s="214"/>
      <c r="BD166" s="217">
        <f t="shared" si="195"/>
        <v>0</v>
      </c>
      <c r="BE166" s="213">
        <f t="shared" si="196"/>
        <v>0</v>
      </c>
      <c r="BF166" s="215">
        <f t="shared" si="197"/>
        <v>0</v>
      </c>
      <c r="BG166" s="215">
        <f t="shared" si="198"/>
        <v>0</v>
      </c>
      <c r="BH166" s="215" t="str">
        <f t="shared" si="183"/>
        <v/>
      </c>
      <c r="BI166" s="215" t="str">
        <f t="shared" si="184"/>
        <v/>
      </c>
      <c r="BJ166" s="215" t="str">
        <f t="shared" si="185"/>
        <v/>
      </c>
      <c r="BK166" s="215" t="str">
        <f t="shared" si="186"/>
        <v/>
      </c>
      <c r="BL166" s="215" t="str">
        <f t="shared" si="187"/>
        <v/>
      </c>
      <c r="BM166" s="215" t="str">
        <f t="shared" si="188"/>
        <v/>
      </c>
      <c r="BN166" s="215" t="str">
        <f t="shared" si="189"/>
        <v/>
      </c>
      <c r="BO166" s="215" t="str">
        <f t="shared" si="190"/>
        <v/>
      </c>
      <c r="BP166" s="215" t="str">
        <f t="shared" si="191"/>
        <v/>
      </c>
      <c r="BQ166" s="216"/>
      <c r="BR166" s="214"/>
      <c r="BS166" s="215">
        <f t="shared" si="199"/>
        <v>0</v>
      </c>
      <c r="BT166" s="215">
        <f t="shared" si="200"/>
        <v>1.66E-7</v>
      </c>
      <c r="BU166" s="215" t="str">
        <f t="shared" si="201"/>
        <v>Phönix 03 Lauf</v>
      </c>
      <c r="BV166" s="214">
        <f t="shared" si="202"/>
        <v>51</v>
      </c>
      <c r="BW166" s="215">
        <f t="shared" si="203"/>
        <v>0</v>
      </c>
      <c r="BX166" s="215">
        <f>IF(COUNTIF(BH166:BP166,"&gt;0")&lt;Spielorte!$A$23,0,BE166/Spielorte!$A$23)</f>
        <v>0</v>
      </c>
      <c r="BY166" s="215">
        <f t="shared" si="204"/>
        <v>1.66E-7</v>
      </c>
      <c r="BZ166" s="214">
        <f t="shared" si="192"/>
        <v>51</v>
      </c>
    </row>
    <row r="167" spans="1:78" ht="17.2" customHeight="1" x14ac:dyDescent="0.35">
      <c r="A167" s="368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49"/>
      <c r="F167" s="78" t="str">
        <f t="shared" si="174"/>
        <v/>
      </c>
      <c r="G167" s="349"/>
      <c r="H167" s="78" t="str">
        <f t="shared" si="175"/>
        <v/>
      </c>
      <c r="I167" s="349"/>
      <c r="J167" s="78" t="str">
        <f t="shared" si="176"/>
        <v/>
      </c>
      <c r="K167" s="349"/>
      <c r="L167" s="78" t="str">
        <f t="shared" si="177"/>
        <v/>
      </c>
      <c r="M167" s="349"/>
      <c r="N167" s="78" t="str">
        <f t="shared" si="194"/>
        <v/>
      </c>
      <c r="O167" s="349"/>
      <c r="P167" s="78" t="str">
        <f t="shared" si="178"/>
        <v/>
      </c>
      <c r="Q167" s="349"/>
      <c r="R167" s="78" t="str">
        <f t="shared" si="179"/>
        <v/>
      </c>
      <c r="S167" s="349"/>
      <c r="T167" s="78" t="str">
        <f t="shared" si="180"/>
        <v/>
      </c>
      <c r="U167" s="349"/>
      <c r="V167" s="78" t="str">
        <f t="shared" si="181"/>
        <v/>
      </c>
      <c r="W167" s="349"/>
      <c r="Z167" s="352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1.67E-7</v>
      </c>
      <c r="BU167" s="215" t="str">
        <f t="shared" si="201"/>
        <v>Phönix 03 Lauf</v>
      </c>
      <c r="BV167" s="214">
        <f t="shared" si="202"/>
        <v>50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1.67E-7</v>
      </c>
      <c r="BZ167" s="214">
        <f t="shared" si="192"/>
        <v>50</v>
      </c>
    </row>
    <row r="168" spans="1:78" ht="17.2" customHeight="1" thickBot="1" x14ac:dyDescent="0.4">
      <c r="A168" s="369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50"/>
      <c r="F168" s="69" t="str">
        <f t="shared" si="174"/>
        <v/>
      </c>
      <c r="G168" s="350"/>
      <c r="H168" s="69" t="str">
        <f t="shared" si="175"/>
        <v/>
      </c>
      <c r="I168" s="350"/>
      <c r="J168" s="69" t="str">
        <f t="shared" si="176"/>
        <v/>
      </c>
      <c r="K168" s="350"/>
      <c r="L168" s="69" t="str">
        <f t="shared" si="177"/>
        <v/>
      </c>
      <c r="M168" s="350"/>
      <c r="N168" s="69" t="str">
        <f t="shared" si="194"/>
        <v/>
      </c>
      <c r="O168" s="350"/>
      <c r="P168" s="69" t="str">
        <f t="shared" si="178"/>
        <v/>
      </c>
      <c r="Q168" s="350"/>
      <c r="R168" s="69" t="str">
        <f t="shared" si="179"/>
        <v/>
      </c>
      <c r="S168" s="350"/>
      <c r="T168" s="69" t="str">
        <f t="shared" si="180"/>
        <v/>
      </c>
      <c r="U168" s="350"/>
      <c r="V168" s="69" t="str">
        <f t="shared" si="181"/>
        <v/>
      </c>
      <c r="W168" s="350"/>
      <c r="Z168" s="353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1.68E-7</v>
      </c>
      <c r="BU168" s="215" t="str">
        <f t="shared" si="201"/>
        <v>Phönix 03 Lauf</v>
      </c>
      <c r="BV168" s="214">
        <f t="shared" si="202"/>
        <v>49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1.68E-7</v>
      </c>
      <c r="BZ168" s="214">
        <f t="shared" si="192"/>
        <v>49</v>
      </c>
    </row>
    <row r="169" spans="1:78" ht="27.75" customHeight="1" thickBot="1" x14ac:dyDescent="0.4">
      <c r="B169" s="81" t="str">
        <f>IF(AA169=0,"",AA169)</f>
        <v>Gesamt</v>
      </c>
      <c r="C169" s="82" t="str">
        <f t="shared" si="193"/>
        <v/>
      </c>
      <c r="D169" s="83" t="str">
        <f t="shared" si="193"/>
        <v/>
      </c>
      <c r="E169" s="84">
        <f>IF(AD169="","",AD169)</f>
        <v>0</v>
      </c>
      <c r="F169" s="83" t="str">
        <f t="shared" si="174"/>
        <v/>
      </c>
      <c r="G169" s="84">
        <f>IF(AF169="","",AF169)</f>
        <v>0</v>
      </c>
      <c r="H169" s="83" t="str">
        <f t="shared" si="175"/>
        <v/>
      </c>
      <c r="I169" s="84">
        <f>IF(AH169="","",AH169)</f>
        <v>0</v>
      </c>
      <c r="J169" s="83" t="str">
        <f t="shared" si="176"/>
        <v/>
      </c>
      <c r="K169" s="84">
        <f>IF(AJ169="","",AJ169)</f>
        <v>0</v>
      </c>
      <c r="L169" s="83" t="str">
        <f t="shared" si="177"/>
        <v/>
      </c>
      <c r="M169" s="84">
        <f>IF(AL169="","",AL169)</f>
        <v>0</v>
      </c>
      <c r="N169" s="83" t="str">
        <f t="shared" si="194"/>
        <v/>
      </c>
      <c r="O169" s="84">
        <f>IF(AN169="","",AN169)</f>
        <v>0</v>
      </c>
      <c r="P169" s="83" t="str">
        <f t="shared" si="178"/>
        <v/>
      </c>
      <c r="Q169" s="84">
        <f>IF(AP169="","",AP169)</f>
        <v>0</v>
      </c>
      <c r="R169" s="83" t="str">
        <f t="shared" si="179"/>
        <v/>
      </c>
      <c r="S169" s="84">
        <f>IF(AR169="","",AR169)</f>
        <v>0</v>
      </c>
      <c r="T169" s="83" t="str">
        <f t="shared" si="180"/>
        <v/>
      </c>
      <c r="U169" s="84">
        <f>IF(AT169="","",AT169)</f>
        <v>0</v>
      </c>
      <c r="V169" s="83" t="str">
        <f t="shared" si="181"/>
        <v/>
      </c>
      <c r="W169" s="84">
        <f>IF(AV169="","",AV169)</f>
        <v>0</v>
      </c>
      <c r="AA169" s="81" t="s">
        <v>1799</v>
      </c>
      <c r="AB169" s="120"/>
      <c r="AC169" s="211">
        <f>ABS(SUM(AC157:AC159))+ABS(SUM(AC160:AC162))+ABS(SUM(AC163:AC165))+ABS(SUM(AC166:AC168))</f>
        <v>0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0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0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0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0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0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0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0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0</v>
      </c>
      <c r="AT169" s="121">
        <f>IF(AS169+AS179=0,0,IF(AS169=AS179,1,IF(AS169&gt;AS179,2,0)))</f>
        <v>0</v>
      </c>
      <c r="AU169" s="122">
        <f>SUM(AC169+AE169+AG169+AI169+AK169+AM169+AO169+AQ169+AS169)</f>
        <v>0</v>
      </c>
      <c r="AV169" s="123">
        <f>SUM(AD169+AF169+AH169+AJ169+AL169+AN169+AP169+AR169+AT169)</f>
        <v>0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4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0</v>
      </c>
      <c r="F170" s="86" t="str">
        <f t="shared" si="174"/>
        <v/>
      </c>
      <c r="G170" s="87">
        <f>IF(AF170="","",AF170)</f>
        <v>0</v>
      </c>
      <c r="H170" s="86" t="str">
        <f t="shared" si="175"/>
        <v/>
      </c>
      <c r="I170" s="87">
        <f>IF(AH170="","",AH170)</f>
        <v>0</v>
      </c>
      <c r="J170" s="86" t="str">
        <f t="shared" si="176"/>
        <v/>
      </c>
      <c r="K170" s="87">
        <f>IF(AJ170="","",AJ170)</f>
        <v>0</v>
      </c>
      <c r="L170" s="86" t="str">
        <f t="shared" si="177"/>
        <v/>
      </c>
      <c r="M170" s="87">
        <f>IF(AL170="","",AL170)</f>
        <v>0</v>
      </c>
      <c r="N170" s="86" t="str">
        <f t="shared" si="194"/>
        <v/>
      </c>
      <c r="O170" s="87">
        <f>IF(AN170="","",AN170)</f>
        <v>0</v>
      </c>
      <c r="P170" s="86" t="str">
        <f t="shared" si="178"/>
        <v/>
      </c>
      <c r="Q170" s="87">
        <f>IF(AP170="","",AP170)</f>
        <v>0</v>
      </c>
      <c r="R170" s="86" t="str">
        <f t="shared" si="179"/>
        <v/>
      </c>
      <c r="S170" s="87">
        <f>IF(AR170="","",AR170)</f>
        <v>0</v>
      </c>
      <c r="T170" s="86" t="str">
        <f t="shared" si="180"/>
        <v/>
      </c>
      <c r="U170" s="87">
        <f>IF(AT170="","",AT170)</f>
        <v>0</v>
      </c>
      <c r="V170" s="86" t="str">
        <f t="shared" si="181"/>
        <v/>
      </c>
      <c r="W170" s="87">
        <f>IF(AV170="","",AV170)</f>
        <v>0</v>
      </c>
      <c r="AA170" s="85" t="s">
        <v>1814</v>
      </c>
      <c r="AB170" s="86"/>
      <c r="AC170" s="86"/>
      <c r="AD170" s="124">
        <f>SUM(AD157:AD169)</f>
        <v>0</v>
      </c>
      <c r="AE170" s="86"/>
      <c r="AF170" s="124">
        <f>SUM(AF157:AF169)</f>
        <v>0</v>
      </c>
      <c r="AG170" s="86"/>
      <c r="AH170" s="124">
        <f>SUM(AH157:AH169)</f>
        <v>0</v>
      </c>
      <c r="AI170" s="86"/>
      <c r="AJ170" s="124">
        <f>SUM(AJ157:AJ169)</f>
        <v>0</v>
      </c>
      <c r="AK170" s="86"/>
      <c r="AL170" s="124">
        <f>SUM(AL157:AL169)</f>
        <v>0</v>
      </c>
      <c r="AM170" s="86"/>
      <c r="AN170" s="124">
        <f>SUM(AN157:AN169)</f>
        <v>0</v>
      </c>
      <c r="AO170" s="86"/>
      <c r="AP170" s="124">
        <f>SUM(AP157:AP169)</f>
        <v>0</v>
      </c>
      <c r="AQ170" s="86"/>
      <c r="AR170" s="124">
        <f>SUM(AR157:AR169)</f>
        <v>0</v>
      </c>
      <c r="AS170" s="86"/>
      <c r="AT170" s="124">
        <f>SUM(AT157:AT169)</f>
        <v>0</v>
      </c>
      <c r="AU170" s="86"/>
      <c r="AV170" s="125">
        <f>SUM(AV157:AV169)</f>
        <v>0</v>
      </c>
      <c r="AW170" s="101"/>
      <c r="AX170" s="102"/>
      <c r="BA170" s="212">
        <f>+AV170</f>
        <v>0</v>
      </c>
      <c r="BB170" s="213">
        <f>+AU169</f>
        <v>0</v>
      </c>
      <c r="BC170" s="214">
        <f>+AA152</f>
        <v>6</v>
      </c>
      <c r="BF170" s="215">
        <f>SUM(BF151:BF169)</f>
        <v>0</v>
      </c>
      <c r="BQ170" s="212">
        <f>+BB170/1000000+BA170</f>
        <v>0</v>
      </c>
      <c r="BR170" s="214">
        <f>RANK(BQ170,BQ:BQ)</f>
        <v>1</v>
      </c>
      <c r="BV170" s="214"/>
      <c r="BZ170" s="214"/>
    </row>
    <row r="171" spans="1:78" ht="11.25" customHeight="1" x14ac:dyDescent="0.3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3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46">
        <f t="shared" si="205"/>
        <v>3</v>
      </c>
      <c r="E172" s="346" t="str">
        <f t="shared" si="205"/>
        <v/>
      </c>
      <c r="F172" s="346">
        <f t="shared" si="205"/>
        <v>10</v>
      </c>
      <c r="G172" s="346" t="str">
        <f t="shared" si="205"/>
        <v/>
      </c>
      <c r="H172" s="346">
        <f t="shared" si="205"/>
        <v>4</v>
      </c>
      <c r="I172" s="346" t="str">
        <f t="shared" si="205"/>
        <v/>
      </c>
      <c r="J172" s="346">
        <f t="shared" si="205"/>
        <v>9</v>
      </c>
      <c r="K172" s="346" t="str">
        <f t="shared" si="205"/>
        <v/>
      </c>
      <c r="L172" s="346">
        <f t="shared" si="205"/>
        <v>2</v>
      </c>
      <c r="M172" s="346" t="str">
        <f t="shared" si="205"/>
        <v/>
      </c>
      <c r="N172" s="346">
        <f t="shared" si="205"/>
        <v>8</v>
      </c>
      <c r="O172" s="346" t="str">
        <f t="shared" si="205"/>
        <v/>
      </c>
      <c r="P172" s="346">
        <f t="shared" si="205"/>
        <v>7</v>
      </c>
      <c r="Q172" s="346" t="str">
        <f t="shared" si="205"/>
        <v/>
      </c>
      <c r="R172" s="346">
        <f t="shared" ref="L172:U174" si="206">IF(AQ172=0,"",AQ172)</f>
        <v>1</v>
      </c>
      <c r="S172" s="346" t="str">
        <f t="shared" si="206"/>
        <v/>
      </c>
      <c r="T172" s="346">
        <f t="shared" si="206"/>
        <v>5</v>
      </c>
      <c r="U172" s="346" t="str">
        <f t="shared" si="206"/>
        <v/>
      </c>
      <c r="V172" s="347"/>
      <c r="W172" s="347"/>
      <c r="AA172" s="88" t="s">
        <v>1797</v>
      </c>
      <c r="AB172" s="89" t="s">
        <v>1798</v>
      </c>
      <c r="AC172" s="370">
        <f>VLOOKUP($AA152,Schlüssel!$A$5:$DG$14,103)</f>
        <v>3</v>
      </c>
      <c r="AD172" s="371"/>
      <c r="AE172" s="370">
        <f>VLOOKUP($AA152,Schlüssel!$A$5:$EK$14,104)</f>
        <v>10</v>
      </c>
      <c r="AF172" s="371"/>
      <c r="AG172" s="370">
        <f>VLOOKUP($AA152,Schlüssel!$A$5:$EK$14,105)</f>
        <v>4</v>
      </c>
      <c r="AH172" s="371"/>
      <c r="AI172" s="370">
        <f>VLOOKUP($AA152,Schlüssel!$A$5:$EK$14,106)</f>
        <v>9</v>
      </c>
      <c r="AJ172" s="371"/>
      <c r="AK172" s="370">
        <f>VLOOKUP($AA152,Schlüssel!$A$5:$EK$14,107)</f>
        <v>2</v>
      </c>
      <c r="AL172" s="371"/>
      <c r="AM172" s="370">
        <f>VLOOKUP($AA152,Schlüssel!$A$5:$EK$14,108)</f>
        <v>8</v>
      </c>
      <c r="AN172" s="371"/>
      <c r="AO172" s="370">
        <f>VLOOKUP($AA152,Schlüssel!$A$5:$EK$14,109)</f>
        <v>7</v>
      </c>
      <c r="AP172" s="371"/>
      <c r="AQ172" s="370">
        <f>VLOOKUP($AA152,Schlüssel!$A$5:$EK$14,110)</f>
        <v>1</v>
      </c>
      <c r="AR172" s="371"/>
      <c r="AS172" s="370">
        <f>VLOOKUP($AA152,Schlüssel!$A$5:$EK$14,111)</f>
        <v>5</v>
      </c>
      <c r="AT172" s="371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35">
      <c r="B173" s="90" t="str">
        <f t="shared" ref="B173:K174" si="207">IF(AA173=0,"",AA173)</f>
        <v/>
      </c>
      <c r="C173" s="86" t="str">
        <f t="shared" si="207"/>
        <v/>
      </c>
      <c r="D173" s="343" t="str">
        <f t="shared" si="207"/>
        <v>Highroller Rosenheim</v>
      </c>
      <c r="E173" s="344" t="str">
        <f t="shared" si="207"/>
        <v/>
      </c>
      <c r="F173" s="343" t="str">
        <f t="shared" si="207"/>
        <v>BK München 4</v>
      </c>
      <c r="G173" s="344" t="str">
        <f t="shared" si="207"/>
        <v/>
      </c>
      <c r="H173" s="343" t="str">
        <f t="shared" si="207"/>
        <v>BK München 3</v>
      </c>
      <c r="I173" s="344" t="str">
        <f t="shared" si="207"/>
        <v/>
      </c>
      <c r="J173" s="343" t="str">
        <f t="shared" si="207"/>
        <v>RW Lichtenhof 69 Stein 2</v>
      </c>
      <c r="K173" s="344" t="str">
        <f t="shared" si="207"/>
        <v/>
      </c>
      <c r="L173" s="343" t="str">
        <f t="shared" si="206"/>
        <v>BK München 2</v>
      </c>
      <c r="M173" s="344" t="str">
        <f t="shared" si="206"/>
        <v/>
      </c>
      <c r="N173" s="343" t="str">
        <f t="shared" si="206"/>
        <v>EPA München 1</v>
      </c>
      <c r="O173" s="344" t="str">
        <f t="shared" si="206"/>
        <v/>
      </c>
      <c r="P173" s="343" t="str">
        <f t="shared" si="206"/>
        <v>Frankenpower Nürnberg</v>
      </c>
      <c r="Q173" s="344" t="str">
        <f t="shared" si="206"/>
        <v/>
      </c>
      <c r="R173" s="343" t="str">
        <f t="shared" si="206"/>
        <v>Praetoria Regensburg</v>
      </c>
      <c r="S173" s="344" t="str">
        <f t="shared" si="206"/>
        <v/>
      </c>
      <c r="T173" s="343" t="str">
        <f t="shared" si="206"/>
        <v xml:space="preserve">Weiß Blau Unterföhring </v>
      </c>
      <c r="U173" s="344" t="str">
        <f t="shared" si="206"/>
        <v/>
      </c>
      <c r="V173" s="345"/>
      <c r="W173" s="345"/>
      <c r="AA173" s="90"/>
      <c r="AB173" s="86"/>
      <c r="AC173" s="343" t="str">
        <f>VLOOKUP(AC172,Schlüssel!$A$5:$K$14,2)</f>
        <v>Highroller Rosenheim</v>
      </c>
      <c r="AD173" s="344"/>
      <c r="AE173" s="343" t="str">
        <f>VLOOKUP(AE172,Schlüssel!$A$5:$K$14,2)</f>
        <v>BK München 4</v>
      </c>
      <c r="AF173" s="344"/>
      <c r="AG173" s="343" t="str">
        <f>VLOOKUP(AG172,Schlüssel!$A$5:$K$14,2)</f>
        <v>BK München 3</v>
      </c>
      <c r="AH173" s="344"/>
      <c r="AI173" s="343" t="str">
        <f>VLOOKUP(AI172,Schlüssel!$A$5:$K$14,2)</f>
        <v>RW Lichtenhof 69 Stein 2</v>
      </c>
      <c r="AJ173" s="344"/>
      <c r="AK173" s="343" t="str">
        <f>VLOOKUP(AK172,Schlüssel!$A$5:$K$14,2)</f>
        <v>BK München 2</v>
      </c>
      <c r="AL173" s="344"/>
      <c r="AM173" s="343" t="str">
        <f>VLOOKUP(AM172,Schlüssel!$A$5:$K$14,2)</f>
        <v>EPA München 1</v>
      </c>
      <c r="AN173" s="344"/>
      <c r="AO173" s="343" t="str">
        <f>VLOOKUP(AO172,Schlüssel!$A$5:$K$14,2)</f>
        <v>Frankenpower Nürnberg</v>
      </c>
      <c r="AP173" s="344"/>
      <c r="AQ173" s="343" t="str">
        <f>VLOOKUP(AQ172,Schlüssel!$A$5:$K$14,2)</f>
        <v>Praetoria Regensburg</v>
      </c>
      <c r="AR173" s="344"/>
      <c r="AS173" s="343" t="str">
        <f>VLOOKUP(AS172,Schlüssel!$A$5:$K$14,2)</f>
        <v xml:space="preserve">Weiß Blau Unterföhring </v>
      </c>
      <c r="AT173" s="344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35">
      <c r="B174" s="90" t="str">
        <f t="shared" si="207"/>
        <v/>
      </c>
      <c r="C174" s="86" t="str">
        <f t="shared" si="207"/>
        <v/>
      </c>
      <c r="D174" s="341" t="str">
        <f t="shared" si="207"/>
        <v/>
      </c>
      <c r="E174" s="341" t="str">
        <f t="shared" si="207"/>
        <v/>
      </c>
      <c r="F174" s="341" t="str">
        <f t="shared" si="207"/>
        <v/>
      </c>
      <c r="G174" s="341" t="str">
        <f t="shared" si="207"/>
        <v/>
      </c>
      <c r="H174" s="341" t="str">
        <f t="shared" si="207"/>
        <v/>
      </c>
      <c r="I174" s="341" t="str">
        <f t="shared" si="207"/>
        <v/>
      </c>
      <c r="J174" s="341" t="str">
        <f t="shared" si="207"/>
        <v/>
      </c>
      <c r="K174" s="341" t="str">
        <f t="shared" si="207"/>
        <v/>
      </c>
      <c r="L174" s="341" t="str">
        <f t="shared" si="206"/>
        <v/>
      </c>
      <c r="M174" s="341" t="str">
        <f t="shared" si="206"/>
        <v/>
      </c>
      <c r="N174" s="341" t="str">
        <f t="shared" si="206"/>
        <v/>
      </c>
      <c r="O174" s="341" t="str">
        <f t="shared" si="206"/>
        <v/>
      </c>
      <c r="P174" s="341" t="str">
        <f t="shared" si="206"/>
        <v/>
      </c>
      <c r="Q174" s="341" t="str">
        <f t="shared" si="206"/>
        <v/>
      </c>
      <c r="R174" s="341" t="str">
        <f t="shared" si="206"/>
        <v/>
      </c>
      <c r="S174" s="341" t="str">
        <f t="shared" si="206"/>
        <v/>
      </c>
      <c r="T174" s="341" t="str">
        <f t="shared" si="206"/>
        <v/>
      </c>
      <c r="U174" s="342" t="str">
        <f t="shared" si="206"/>
        <v/>
      </c>
      <c r="V174" s="301"/>
      <c r="W174" s="301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6.05" customHeight="1" x14ac:dyDescent="0.35">
      <c r="B175" s="365" t="str">
        <f t="shared" ref="B175:C179" si="208">IF(AA175=0,"",AA175)</f>
        <v>Spieler 1</v>
      </c>
      <c r="C175" s="366" t="str">
        <f t="shared" si="208"/>
        <v/>
      </c>
      <c r="D175" s="339">
        <f>IF(AC175=301,"",AC175)</f>
        <v>0</v>
      </c>
      <c r="E175" s="339" t="str">
        <f>IF(AD175=0,"",AD175)</f>
        <v/>
      </c>
      <c r="F175" s="339">
        <f>IF(AE175=301,"",AE175)</f>
        <v>0</v>
      </c>
      <c r="G175" s="339" t="str">
        <f>IF(AF175=0,"",AF175)</f>
        <v/>
      </c>
      <c r="H175" s="339">
        <f>IF(AG175=301,"",AG175)</f>
        <v>0</v>
      </c>
      <c r="I175" s="339" t="str">
        <f>IF(AH175=0,"",AH175)</f>
        <v/>
      </c>
      <c r="J175" s="339">
        <f>IF(AI175=301,"",AI175)</f>
        <v>0</v>
      </c>
      <c r="K175" s="339" t="str">
        <f>IF(AJ175=0,"",AJ175)</f>
        <v/>
      </c>
      <c r="L175" s="339">
        <f>IF(AK175=301,"",AK175)</f>
        <v>0</v>
      </c>
      <c r="M175" s="339" t="str">
        <f>IF(AL175=0,"",AL175)</f>
        <v/>
      </c>
      <c r="N175" s="339">
        <f>IF(AM175=301,"",AM175)</f>
        <v>0</v>
      </c>
      <c r="O175" s="339" t="str">
        <f>IF(AN175=0,"",AN175)</f>
        <v/>
      </c>
      <c r="P175" s="339">
        <f>IF(AO175=301,"",AO175)</f>
        <v>0</v>
      </c>
      <c r="Q175" s="339" t="str">
        <f>IF(AP175=0,"",AP175)</f>
        <v/>
      </c>
      <c r="R175" s="339">
        <f>IF(AQ175=301,"",AQ175)</f>
        <v>0</v>
      </c>
      <c r="S175" s="339" t="str">
        <f>IF(AR175=0,"",AR175)</f>
        <v/>
      </c>
      <c r="T175" s="339">
        <f>IF(AS175=301,"",AS175)</f>
        <v>0</v>
      </c>
      <c r="U175" s="339" t="str">
        <f>IF(AT175=0,"",AT175)</f>
        <v/>
      </c>
      <c r="V175" s="340"/>
      <c r="W175" s="340"/>
      <c r="AA175" s="91" t="s">
        <v>0</v>
      </c>
      <c r="AB175" s="92"/>
      <c r="AC175" s="372">
        <f>ABS(INDEX(AC:AC,MATCH(AC172,$AA:$AA,0)+5)+INDEX(AC:AC,MATCH(AC172,$AA:$AA,0)+6)+INDEX(AC:AC,MATCH(AC172,$AA:$AA,0)+7))</f>
        <v>0</v>
      </c>
      <c r="AD175" s="373"/>
      <c r="AE175" s="372">
        <f>ABS(INDEX(AE:AE,MATCH(AE172,$AA:$AA,0)+5)+INDEX(AE:AE,MATCH(AE172,$AA:$AA,0)+6)+INDEX(AE:AE,MATCH(AE172,$AA:$AA,0)+7))</f>
        <v>0</v>
      </c>
      <c r="AF175" s="373"/>
      <c r="AG175" s="372">
        <f>ABS(INDEX(AG:AG,MATCH(AG172,$AA:$AA,0)+5)+INDEX(AG:AG,MATCH(AG172,$AA:$AA,0)+6)+INDEX(AG:AG,MATCH(AG172,$AA:$AA,0)+7))</f>
        <v>0</v>
      </c>
      <c r="AH175" s="373"/>
      <c r="AI175" s="372">
        <f>ABS(INDEX(AI:AI,MATCH(AI172,$AA:$AA,0)+5)+INDEX(AI:AI,MATCH(AI172,$AA:$AA,0)+6)+INDEX(AI:AI,MATCH(AI172,$AA:$AA,0)+7))</f>
        <v>0</v>
      </c>
      <c r="AJ175" s="373"/>
      <c r="AK175" s="372">
        <f>ABS(INDEX(AK:AK,MATCH(AK172,$AA:$AA,0)+5)+INDEX(AK:AK,MATCH(AK172,$AA:$AA,0)+6)+INDEX(AK:AK,MATCH(AK172,$AA:$AA,0)+7))</f>
        <v>0</v>
      </c>
      <c r="AL175" s="373"/>
      <c r="AM175" s="372">
        <f>ABS(INDEX(AM:AM,MATCH(AM172,$AA:$AA,0)+5)+INDEX(AM:AM,MATCH(AM172,$AA:$AA,0)+6)+INDEX(AM:AM,MATCH(AM172,$AA:$AA,0)+7))</f>
        <v>0</v>
      </c>
      <c r="AN175" s="373"/>
      <c r="AO175" s="372">
        <f>ABS(INDEX(AO:AO,MATCH(AO172,$AA:$AA,0)+5)+INDEX(AO:AO,MATCH(AO172,$AA:$AA,0)+6)+INDEX(AO:AO,MATCH(AO172,$AA:$AA,0)+7))</f>
        <v>0</v>
      </c>
      <c r="AP175" s="373"/>
      <c r="AQ175" s="372">
        <f>ABS(INDEX(AQ:AQ,MATCH(AQ172,$AA:$AA,0)+5)+INDEX(AQ:AQ,MATCH(AQ172,$AA:$AA,0)+6)+INDEX(AQ:AQ,MATCH(AQ172,$AA:$AA,0)+7))</f>
        <v>0</v>
      </c>
      <c r="AR175" s="373"/>
      <c r="AS175" s="372">
        <f>ABS(INDEX(AS:AS,MATCH(AS172,$AA:$AA,0)+5)+INDEX(AS:AS,MATCH(AS172,$AA:$AA,0)+6)+INDEX(AS:AS,MATCH(AS172,$AA:$AA,0)+7))</f>
        <v>0</v>
      </c>
      <c r="AT175" s="373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6.05" customHeight="1" x14ac:dyDescent="0.35">
      <c r="B176" s="365" t="str">
        <f t="shared" si="208"/>
        <v>Spieler 2</v>
      </c>
      <c r="C176" s="366" t="str">
        <f t="shared" si="208"/>
        <v/>
      </c>
      <c r="D176" s="339">
        <f>IF(AC176=301,"",AC176)</f>
        <v>0</v>
      </c>
      <c r="E176" s="339" t="str">
        <f>IF(AD176=0,"",AD176)</f>
        <v/>
      </c>
      <c r="F176" s="339">
        <f>IF(AE176=301,"",AE176)</f>
        <v>0</v>
      </c>
      <c r="G176" s="339" t="str">
        <f>IF(AF176=0,"",AF176)</f>
        <v/>
      </c>
      <c r="H176" s="339">
        <f>IF(AG176=301,"",AG176)</f>
        <v>0</v>
      </c>
      <c r="I176" s="339" t="str">
        <f>IF(AH176=0,"",AH176)</f>
        <v/>
      </c>
      <c r="J176" s="339">
        <f>IF(AI176=301,"",AI176)</f>
        <v>0</v>
      </c>
      <c r="K176" s="339" t="str">
        <f>IF(AJ176=0,"",AJ176)</f>
        <v/>
      </c>
      <c r="L176" s="339">
        <f>IF(AK176=301,"",AK176)</f>
        <v>0</v>
      </c>
      <c r="M176" s="339" t="str">
        <f>IF(AL176=0,"",AL176)</f>
        <v/>
      </c>
      <c r="N176" s="339">
        <f>IF(AM176=301,"",AM176)</f>
        <v>0</v>
      </c>
      <c r="O176" s="339" t="str">
        <f>IF(AN176=0,"",AN176)</f>
        <v/>
      </c>
      <c r="P176" s="339">
        <f>IF(AO176=301,"",AO176)</f>
        <v>0</v>
      </c>
      <c r="Q176" s="339" t="str">
        <f>IF(AP176=0,"",AP176)</f>
        <v/>
      </c>
      <c r="R176" s="339">
        <f>IF(AQ176=301,"",AQ176)</f>
        <v>0</v>
      </c>
      <c r="S176" s="339" t="str">
        <f>IF(AR176=0,"",AR176)</f>
        <v/>
      </c>
      <c r="T176" s="339">
        <f>IF(AS176=301,"",AS176)</f>
        <v>0</v>
      </c>
      <c r="U176" s="339" t="str">
        <f>IF(AT176=0,"",AT176)</f>
        <v/>
      </c>
      <c r="V176" s="340"/>
      <c r="W176" s="340"/>
      <c r="AA176" s="91" t="s">
        <v>2</v>
      </c>
      <c r="AB176" s="92"/>
      <c r="AC176" s="374">
        <f>ABS(INDEX(AC:AC,MATCH(AC172,$AA:$AA,0)+8)+INDEX(AC:AC,MATCH(AC172,$AA:$AA,0)+9)+INDEX(AC:AC,MATCH(AC172,$AA:$AA,0)+10))</f>
        <v>0</v>
      </c>
      <c r="AD176" s="375"/>
      <c r="AE176" s="374">
        <f>ABS(INDEX(AE:AE,MATCH(AE172,$AA:$AA,0)+8)+INDEX(AE:AE,MATCH(AE172,$AA:$AA,0)+9)+INDEX(AE:AE,MATCH(AE172,$AA:$AA,0)+10))</f>
        <v>0</v>
      </c>
      <c r="AF176" s="375"/>
      <c r="AG176" s="374">
        <f>ABS(INDEX(AG:AG,MATCH(AG172,$AA:$AA,0)+8)+INDEX(AG:AG,MATCH(AG172,$AA:$AA,0)+9)+INDEX(AG:AG,MATCH(AG172,$AA:$AA,0)+10))</f>
        <v>0</v>
      </c>
      <c r="AH176" s="375"/>
      <c r="AI176" s="374">
        <f>ABS(INDEX(AI:AI,MATCH(AI172,$AA:$AA,0)+8)+INDEX(AI:AI,MATCH(AI172,$AA:$AA,0)+9)+INDEX(AI:AI,MATCH(AI172,$AA:$AA,0)+10))</f>
        <v>0</v>
      </c>
      <c r="AJ176" s="375"/>
      <c r="AK176" s="374">
        <f>ABS(INDEX(AK:AK,MATCH(AK172,$AA:$AA,0)+8)+INDEX(AK:AK,MATCH(AK172,$AA:$AA,0)+9)+INDEX(AK:AK,MATCH(AK172,$AA:$AA,0)+10))</f>
        <v>0</v>
      </c>
      <c r="AL176" s="375"/>
      <c r="AM176" s="374">
        <f>ABS(INDEX(AM:AM,MATCH(AM172,$AA:$AA,0)+8)+INDEX(AM:AM,MATCH(AM172,$AA:$AA,0)+9)+INDEX(AM:AM,MATCH(AM172,$AA:$AA,0)+10))</f>
        <v>0</v>
      </c>
      <c r="AN176" s="375"/>
      <c r="AO176" s="374">
        <f>ABS(INDEX(AO:AO,MATCH(AO172,$AA:$AA,0)+8)+INDEX(AO:AO,MATCH(AO172,$AA:$AA,0)+9)+INDEX(AO:AO,MATCH(AO172,$AA:$AA,0)+10))</f>
        <v>0</v>
      </c>
      <c r="AP176" s="375"/>
      <c r="AQ176" s="374">
        <f>ABS(INDEX(AQ:AQ,MATCH(AQ172,$AA:$AA,0)+8)+INDEX(AQ:AQ,MATCH(AQ172,$AA:$AA,0)+9)+INDEX(AQ:AQ,MATCH(AQ172,$AA:$AA,0)+10))</f>
        <v>0</v>
      </c>
      <c r="AR176" s="375"/>
      <c r="AS176" s="374">
        <f>ABS(INDEX(AS:AS,MATCH(AS172,$AA:$AA,0)+8)+INDEX(AS:AS,MATCH(AS172,$AA:$AA,0)+9)+INDEX(AS:AS,MATCH(AS172,$AA:$AA,0)+10))</f>
        <v>0</v>
      </c>
      <c r="AT176" s="375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6.05" customHeight="1" x14ac:dyDescent="0.35">
      <c r="B177" s="365" t="str">
        <f t="shared" si="208"/>
        <v>Spieler 3</v>
      </c>
      <c r="C177" s="366" t="str">
        <f t="shared" si="208"/>
        <v/>
      </c>
      <c r="D177" s="339">
        <f>IF(AC177=301,"",AC177)</f>
        <v>0</v>
      </c>
      <c r="E177" s="339" t="str">
        <f>IF(AD177=0,"",AD177)</f>
        <v/>
      </c>
      <c r="F177" s="339">
        <f>IF(AE177=301,"",AE177)</f>
        <v>0</v>
      </c>
      <c r="G177" s="339" t="str">
        <f>IF(AF177=0,"",AF177)</f>
        <v/>
      </c>
      <c r="H177" s="339">
        <f>IF(AG177=301,"",AG177)</f>
        <v>0</v>
      </c>
      <c r="I177" s="339" t="str">
        <f>IF(AH177=0,"",AH177)</f>
        <v/>
      </c>
      <c r="J177" s="339">
        <f>IF(AI177=301,"",AI177)</f>
        <v>0</v>
      </c>
      <c r="K177" s="339" t="str">
        <f>IF(AJ177=0,"",AJ177)</f>
        <v/>
      </c>
      <c r="L177" s="339">
        <f>IF(AK177=301,"",AK177)</f>
        <v>0</v>
      </c>
      <c r="M177" s="339" t="str">
        <f>IF(AL177=0,"",AL177)</f>
        <v/>
      </c>
      <c r="N177" s="339">
        <f>IF(AM177=301,"",AM177)</f>
        <v>0</v>
      </c>
      <c r="O177" s="339" t="str">
        <f>IF(AN177=0,"",AN177)</f>
        <v/>
      </c>
      <c r="P177" s="339">
        <f>IF(AO177=301,"",AO177)</f>
        <v>0</v>
      </c>
      <c r="Q177" s="339" t="str">
        <f>IF(AP177=0,"",AP177)</f>
        <v/>
      </c>
      <c r="R177" s="339">
        <f>IF(AQ177=301,"",AQ177)</f>
        <v>0</v>
      </c>
      <c r="S177" s="339" t="str">
        <f>IF(AR177=0,"",AR177)</f>
        <v/>
      </c>
      <c r="T177" s="339">
        <f>IF(AS177=301,"",AS177)</f>
        <v>0</v>
      </c>
      <c r="U177" s="339" t="str">
        <f>IF(AT177=0,"",AT177)</f>
        <v/>
      </c>
      <c r="V177" s="340"/>
      <c r="W177" s="340"/>
      <c r="AA177" s="91" t="s">
        <v>3</v>
      </c>
      <c r="AB177" s="92"/>
      <c r="AC177" s="374">
        <f>ABS(INDEX(AC:AC,MATCH(AC172,$AA:$AA,0)+11)+INDEX(AC:AC,MATCH(AC172,$AA:$AA,0)+12)+INDEX(AC:AC,MATCH(AC172,$AA:$AA,0)+13))</f>
        <v>0</v>
      </c>
      <c r="AD177" s="375"/>
      <c r="AE177" s="374">
        <f>ABS(INDEX(AE:AE,MATCH(AE172,$AA:$AA,0)+11)+INDEX(AE:AE,MATCH(AE172,$AA:$AA,0)+12)+INDEX(AE:AE,MATCH(AE172,$AA:$AA,0)+13))</f>
        <v>0</v>
      </c>
      <c r="AF177" s="375"/>
      <c r="AG177" s="374">
        <f>ABS(INDEX(AG:AG,MATCH(AG172,$AA:$AA,0)+11)+INDEX(AG:AG,MATCH(AG172,$AA:$AA,0)+12)+INDEX(AG:AG,MATCH(AG172,$AA:$AA,0)+13))</f>
        <v>0</v>
      </c>
      <c r="AH177" s="375"/>
      <c r="AI177" s="374">
        <f>ABS(INDEX(AI:AI,MATCH(AI172,$AA:$AA,0)+11)+INDEX(AI:AI,MATCH(AI172,$AA:$AA,0)+12)+INDEX(AI:AI,MATCH(AI172,$AA:$AA,0)+13))</f>
        <v>0</v>
      </c>
      <c r="AJ177" s="375"/>
      <c r="AK177" s="374">
        <f>ABS(INDEX(AK:AK,MATCH(AK172,$AA:$AA,0)+11)+INDEX(AK:AK,MATCH(AK172,$AA:$AA,0)+12)+INDEX(AK:AK,MATCH(AK172,$AA:$AA,0)+13))</f>
        <v>0</v>
      </c>
      <c r="AL177" s="375"/>
      <c r="AM177" s="374">
        <f>ABS(INDEX(AM:AM,MATCH(AM172,$AA:$AA,0)+11)+INDEX(AM:AM,MATCH(AM172,$AA:$AA,0)+12)+INDEX(AM:AM,MATCH(AM172,$AA:$AA,0)+13))</f>
        <v>0</v>
      </c>
      <c r="AN177" s="375"/>
      <c r="AO177" s="374">
        <f>ABS(INDEX(AO:AO,MATCH(AO172,$AA:$AA,0)+11)+INDEX(AO:AO,MATCH(AO172,$AA:$AA,0)+12)+INDEX(AO:AO,MATCH(AO172,$AA:$AA,0)+13))</f>
        <v>0</v>
      </c>
      <c r="AP177" s="375"/>
      <c r="AQ177" s="374">
        <f>ABS(INDEX(AQ:AQ,MATCH(AQ172,$AA:$AA,0)+11)+INDEX(AQ:AQ,MATCH(AQ172,$AA:$AA,0)+12)+INDEX(AQ:AQ,MATCH(AQ172,$AA:$AA,0)+13))</f>
        <v>0</v>
      </c>
      <c r="AR177" s="375"/>
      <c r="AS177" s="374">
        <f>ABS(INDEX(AS:AS,MATCH(AS172,$AA:$AA,0)+11)+INDEX(AS:AS,MATCH(AS172,$AA:$AA,0)+12)+INDEX(AS:AS,MATCH(AS172,$AA:$AA,0)+13))</f>
        <v>0</v>
      </c>
      <c r="AT177" s="375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6.05" customHeight="1" x14ac:dyDescent="0.35">
      <c r="B178" s="365" t="str">
        <f t="shared" si="208"/>
        <v>Spieler 4</v>
      </c>
      <c r="C178" s="366" t="str">
        <f t="shared" si="208"/>
        <v/>
      </c>
      <c r="D178" s="339">
        <f>IF(AC178=301,"",AC178)</f>
        <v>0</v>
      </c>
      <c r="E178" s="339" t="str">
        <f>IF(AD178=0,"",AD178)</f>
        <v/>
      </c>
      <c r="F178" s="339">
        <f>IF(AE178=301,"",AE178)</f>
        <v>0</v>
      </c>
      <c r="G178" s="339" t="str">
        <f>IF(AF178=0,"",AF178)</f>
        <v/>
      </c>
      <c r="H178" s="339">
        <f>IF(AG178=301,"",AG178)</f>
        <v>0</v>
      </c>
      <c r="I178" s="339" t="str">
        <f>IF(AH178=0,"",AH178)</f>
        <v/>
      </c>
      <c r="J178" s="339">
        <f>IF(AI178=301,"",AI178)</f>
        <v>0</v>
      </c>
      <c r="K178" s="339" t="str">
        <f>IF(AJ178=0,"",AJ178)</f>
        <v/>
      </c>
      <c r="L178" s="339">
        <f>IF(AK178=301,"",AK178)</f>
        <v>0</v>
      </c>
      <c r="M178" s="339" t="str">
        <f>IF(AL178=0,"",AL178)</f>
        <v/>
      </c>
      <c r="N178" s="339">
        <f>IF(AM178=301,"",AM178)</f>
        <v>0</v>
      </c>
      <c r="O178" s="339" t="str">
        <f>IF(AN178=0,"",AN178)</f>
        <v/>
      </c>
      <c r="P178" s="339">
        <f>IF(AO178=301,"",AO178)</f>
        <v>0</v>
      </c>
      <c r="Q178" s="339" t="str">
        <f>IF(AP178=0,"",AP178)</f>
        <v/>
      </c>
      <c r="R178" s="339">
        <f>IF(AQ178=301,"",AQ178)</f>
        <v>0</v>
      </c>
      <c r="S178" s="339" t="str">
        <f>IF(AR178=0,"",AR178)</f>
        <v/>
      </c>
      <c r="T178" s="339">
        <f>IF(AS178=301,"",AS178)</f>
        <v>0</v>
      </c>
      <c r="U178" s="339" t="str">
        <f>IF(AT178=0,"",AT178)</f>
        <v/>
      </c>
      <c r="V178" s="340"/>
      <c r="W178" s="340"/>
      <c r="AA178" s="91" t="s">
        <v>11</v>
      </c>
      <c r="AB178" s="92"/>
      <c r="AC178" s="374">
        <f>ABS(INDEX(AC:AC,MATCH(AC172,$AA:$AA,0)+14)+INDEX(AC:AC,MATCH(AC172,$AA:$AA,0)+15)+INDEX(AC:AC,MATCH(AC172,$AA:$AA,0)+16))</f>
        <v>0</v>
      </c>
      <c r="AD178" s="375"/>
      <c r="AE178" s="374">
        <f>ABS(INDEX(AE:AE,MATCH(AE172,$AA:$AA,0)+14)+INDEX(AE:AE,MATCH(AE172,$AA:$AA,0)+15)+INDEX(AE:AE,MATCH(AE172,$AA:$AA,0)+16))</f>
        <v>0</v>
      </c>
      <c r="AF178" s="375"/>
      <c r="AG178" s="374">
        <f>ABS(INDEX(AG:AG,MATCH(AG172,$AA:$AA,0)+14)+INDEX(AG:AG,MATCH(AG172,$AA:$AA,0)+15)+INDEX(AG:AG,MATCH(AG172,$AA:$AA,0)+16))</f>
        <v>0</v>
      </c>
      <c r="AH178" s="375"/>
      <c r="AI178" s="374">
        <f>ABS(INDEX(AI:AI,MATCH(AI172,$AA:$AA,0)+14)+INDEX(AI:AI,MATCH(AI172,$AA:$AA,0)+15)+INDEX(AI:AI,MATCH(AI172,$AA:$AA,0)+16))</f>
        <v>0</v>
      </c>
      <c r="AJ178" s="375"/>
      <c r="AK178" s="374">
        <f>ABS(INDEX(AK:AK,MATCH(AK172,$AA:$AA,0)+14)+INDEX(AK:AK,MATCH(AK172,$AA:$AA,0)+15)+INDEX(AK:AK,MATCH(AK172,$AA:$AA,0)+16))</f>
        <v>0</v>
      </c>
      <c r="AL178" s="375"/>
      <c r="AM178" s="374">
        <f>ABS(INDEX(AM:AM,MATCH(AM172,$AA:$AA,0)+14)+INDEX(AM:AM,MATCH(AM172,$AA:$AA,0)+15)+INDEX(AM:AM,MATCH(AM172,$AA:$AA,0)+16))</f>
        <v>0</v>
      </c>
      <c r="AN178" s="375"/>
      <c r="AO178" s="374">
        <f>ABS(INDEX(AO:AO,MATCH(AO172,$AA:$AA,0)+14)+INDEX(AO:AO,MATCH(AO172,$AA:$AA,0)+15)+INDEX(AO:AO,MATCH(AO172,$AA:$AA,0)+16))</f>
        <v>0</v>
      </c>
      <c r="AP178" s="375"/>
      <c r="AQ178" s="374">
        <f>ABS(INDEX(AQ:AQ,MATCH(AQ172,$AA:$AA,0)+14)+INDEX(AQ:AQ,MATCH(AQ172,$AA:$AA,0)+15)+INDEX(AQ:AQ,MATCH(AQ172,$AA:$AA,0)+16))</f>
        <v>0</v>
      </c>
      <c r="AR178" s="375"/>
      <c r="AS178" s="374">
        <f>ABS(INDEX(AS:AS,MATCH(AS172,$AA:$AA,0)+14)+INDEX(AS:AS,MATCH(AS172,$AA:$AA,0)+15)+INDEX(AS:AS,MATCH(AS172,$AA:$AA,0)+16))</f>
        <v>0</v>
      </c>
      <c r="AT178" s="375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6.05" customHeight="1" x14ac:dyDescent="0.35">
      <c r="B179" s="354" t="str">
        <f t="shared" si="208"/>
        <v>Gesamt</v>
      </c>
      <c r="C179" s="355" t="str">
        <f t="shared" si="208"/>
        <v/>
      </c>
      <c r="D179" s="338">
        <f>IF(AC179=1505,"",AC179)</f>
        <v>0</v>
      </c>
      <c r="E179" s="338" t="str">
        <f>IF(AD179=0,"",AD179)</f>
        <v/>
      </c>
      <c r="F179" s="338">
        <f>IF(AE179=1505,"",AE179)</f>
        <v>0</v>
      </c>
      <c r="G179" s="338" t="str">
        <f>IF(AF179=0,"",AF179)</f>
        <v/>
      </c>
      <c r="H179" s="338">
        <f>IF(AG179=1505,"",AG179)</f>
        <v>0</v>
      </c>
      <c r="I179" s="338" t="str">
        <f>IF(AH179=0,"",AH179)</f>
        <v/>
      </c>
      <c r="J179" s="338">
        <f>IF(AI179=1505,"",AI179)</f>
        <v>0</v>
      </c>
      <c r="K179" s="338" t="str">
        <f>IF(AJ179=0,"",AJ179)</f>
        <v/>
      </c>
      <c r="L179" s="338">
        <f>IF(AK179=1505,"",AK179)</f>
        <v>0</v>
      </c>
      <c r="M179" s="338" t="str">
        <f>IF(AL179=0,"",AL179)</f>
        <v/>
      </c>
      <c r="N179" s="338">
        <f>IF(AM179=1505,"",AM179)</f>
        <v>0</v>
      </c>
      <c r="O179" s="338" t="str">
        <f>IF(AN179=0,"",AN179)</f>
        <v/>
      </c>
      <c r="P179" s="338">
        <f>IF(AO179=1505,"",AO179)</f>
        <v>0</v>
      </c>
      <c r="Q179" s="338" t="str">
        <f>IF(AP179=0,"",AP179)</f>
        <v/>
      </c>
      <c r="R179" s="338">
        <f>IF(AQ179=1505,"",AQ179)</f>
        <v>0</v>
      </c>
      <c r="S179" s="338" t="str">
        <f>IF(AR179=0,"",AR179)</f>
        <v/>
      </c>
      <c r="T179" s="338">
        <f>IF(AS179=1505,"",AS179)</f>
        <v>0</v>
      </c>
      <c r="U179" s="338" t="str">
        <f>IF(AT179=0,"",AT179)</f>
        <v/>
      </c>
      <c r="V179" s="290"/>
      <c r="W179" s="290"/>
      <c r="AA179" s="93" t="s">
        <v>1799</v>
      </c>
      <c r="AB179" s="94"/>
      <c r="AC179" s="354">
        <f>SUM(AC175:AC178)</f>
        <v>0</v>
      </c>
      <c r="AD179" s="355"/>
      <c r="AE179" s="354">
        <f>SUM(AE175:AE178)</f>
        <v>0</v>
      </c>
      <c r="AF179" s="355"/>
      <c r="AG179" s="354">
        <f>SUM(AG175:AG178)</f>
        <v>0</v>
      </c>
      <c r="AH179" s="355"/>
      <c r="AI179" s="354">
        <f>SUM(AI175:AI178)</f>
        <v>0</v>
      </c>
      <c r="AJ179" s="355"/>
      <c r="AK179" s="354">
        <f>SUM(AK175:AK178)</f>
        <v>0</v>
      </c>
      <c r="AL179" s="355"/>
      <c r="AM179" s="354">
        <f>SUM(AM175:AM178)</f>
        <v>0</v>
      </c>
      <c r="AN179" s="355"/>
      <c r="AO179" s="354">
        <f>SUM(AO175:AO178)</f>
        <v>0</v>
      </c>
      <c r="AP179" s="355"/>
      <c r="AQ179" s="354">
        <f>SUM(AQ175:AQ178)</f>
        <v>0</v>
      </c>
      <c r="AR179" s="355"/>
      <c r="AS179" s="354">
        <f>SUM(AS175:AS178)</f>
        <v>0</v>
      </c>
      <c r="AT179" s="355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3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7">
      <c r="B181" s="44" t="str">
        <f>AA181</f>
        <v>Team-Nr.</v>
      </c>
      <c r="C181" s="45"/>
      <c r="D181" s="44" t="str">
        <f>AC181</f>
        <v>Liga:</v>
      </c>
      <c r="E181" s="47"/>
      <c r="F181" s="359" t="str">
        <f>AE181</f>
        <v>Bayernliga Frauen</v>
      </c>
      <c r="G181" s="359"/>
      <c r="H181" s="359"/>
      <c r="I181" s="359"/>
      <c r="J181" s="359"/>
      <c r="K181" s="359"/>
      <c r="L181" s="359"/>
      <c r="M181" s="359"/>
      <c r="N181" s="359"/>
      <c r="O181" s="359"/>
      <c r="P181" s="359"/>
      <c r="Q181" s="359"/>
      <c r="R181" s="48"/>
      <c r="S181" s="49" t="s">
        <v>1794</v>
      </c>
      <c r="T181" s="50"/>
      <c r="U181" s="360" t="str">
        <f>AT181</f>
        <v>05.04./06.04.</v>
      </c>
      <c r="V181" s="361"/>
      <c r="W181" s="362"/>
      <c r="X181" s="363"/>
      <c r="Y181" s="364"/>
      <c r="Z181" s="364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60" t="str">
        <f>VLOOKUP(AS182,Spielorte!$A$1:$C$6,2)</f>
        <v>05.04./06.04.</v>
      </c>
      <c r="AU181" s="361"/>
      <c r="AV181" s="362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65">
      <c r="B182" s="53">
        <f>AA182</f>
        <v>7</v>
      </c>
      <c r="D182" s="46" t="s">
        <v>1793</v>
      </c>
      <c r="E182" s="54"/>
      <c r="F182" s="358" t="str">
        <f>AE182</f>
        <v>Schweinfurt Extreme Bowlingarena</v>
      </c>
      <c r="G182" s="358"/>
      <c r="H182" s="358"/>
      <c r="I182" s="358"/>
      <c r="J182" s="358"/>
      <c r="K182" s="358"/>
      <c r="L182" s="358"/>
      <c r="M182" s="358"/>
      <c r="N182" s="358"/>
      <c r="O182" s="358"/>
      <c r="P182" s="55"/>
      <c r="Q182" s="55"/>
      <c r="S182" s="49" t="s">
        <v>1791</v>
      </c>
      <c r="T182" s="56">
        <f>AS182</f>
        <v>6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Schweinfurt Extreme Bowlingarena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6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4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5" thickBot="1" x14ac:dyDescent="0.45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VLOOKUP(AA182,Schlüssel!$A$5:$DZ$14,113)</f>
        <v>3</v>
      </c>
      <c r="AE184" s="65" t="s">
        <v>10</v>
      </c>
      <c r="AF184" s="44">
        <f>VLOOKUP(AA182,Schlüssel!$A$5:$DZ$14,114)</f>
        <v>7</v>
      </c>
      <c r="AG184" s="65" t="s">
        <v>10</v>
      </c>
      <c r="AH184" s="44">
        <f>VLOOKUP(AA182,Schlüssel!$A$5:$DZ$14,115)</f>
        <v>9</v>
      </c>
      <c r="AI184" s="65" t="s">
        <v>10</v>
      </c>
      <c r="AJ184" s="44">
        <f>VLOOKUP(AA182,Schlüssel!$A$5:$DZ$14,116)</f>
        <v>6</v>
      </c>
      <c r="AK184" s="65" t="s">
        <v>10</v>
      </c>
      <c r="AL184" s="44">
        <f>VLOOKUP(AA182,Schlüssel!$A$5:$DZ$14,117)</f>
        <v>1</v>
      </c>
      <c r="AM184" s="65" t="s">
        <v>10</v>
      </c>
      <c r="AN184" s="44">
        <f>VLOOKUP(AA182,Schlüssel!$A$5:$DZ$14,118)</f>
        <v>5</v>
      </c>
      <c r="AO184" s="65" t="s">
        <v>10</v>
      </c>
      <c r="AP184" s="44">
        <f>VLOOKUP(AA182,Schlüssel!$A$5:$DZ$14,119)</f>
        <v>8</v>
      </c>
      <c r="AQ184" s="65" t="s">
        <v>10</v>
      </c>
      <c r="AR184" s="44">
        <f>VLOOKUP(AA182,Schlüssel!$A$5:$DZ$14,120)</f>
        <v>2</v>
      </c>
      <c r="AS184" s="65" t="s">
        <v>10</v>
      </c>
      <c r="AT184" s="44">
        <f>VLOOKUP(AA182,Schlüssel!$A$5:$DZ$14,121)</f>
        <v>4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35">
      <c r="B185" s="67" t="s">
        <v>1</v>
      </c>
      <c r="C185" s="68"/>
      <c r="D185" s="354" t="s">
        <v>1800</v>
      </c>
      <c r="E185" s="355"/>
      <c r="F185" s="354" t="s">
        <v>1801</v>
      </c>
      <c r="G185" s="355"/>
      <c r="H185" s="354" t="s">
        <v>1802</v>
      </c>
      <c r="I185" s="355"/>
      <c r="J185" s="354" t="s">
        <v>1803</v>
      </c>
      <c r="K185" s="355"/>
      <c r="L185" s="354" t="s">
        <v>1804</v>
      </c>
      <c r="M185" s="355"/>
      <c r="N185" s="354" t="s">
        <v>1805</v>
      </c>
      <c r="O185" s="355"/>
      <c r="P185" s="354" t="s">
        <v>1806</v>
      </c>
      <c r="Q185" s="355"/>
      <c r="R185" s="354" t="s">
        <v>1807</v>
      </c>
      <c r="S185" s="355"/>
      <c r="T185" s="354" t="s">
        <v>1808</v>
      </c>
      <c r="U185" s="355"/>
      <c r="V185" s="356" t="s">
        <v>1799</v>
      </c>
      <c r="W185" s="357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4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2" customHeight="1" x14ac:dyDescent="0.35">
      <c r="A187" s="367" t="s">
        <v>0</v>
      </c>
      <c r="B187" s="73" t="str">
        <f>IF(AA187=0,"",AA187)</f>
        <v/>
      </c>
      <c r="C187" s="74" t="str">
        <f>IF(AB187=0,"",AB187)</f>
        <v/>
      </c>
      <c r="D187" s="75" t="str">
        <f>IF(AC187=0,"",AC187)</f>
        <v/>
      </c>
      <c r="E187" s="348">
        <f>IF(AD187="","",AD187)</f>
        <v>0</v>
      </c>
      <c r="F187" s="75" t="str">
        <f t="shared" ref="F187:F200" si="209">IF(AE187=0,"",AE187)</f>
        <v/>
      </c>
      <c r="G187" s="348">
        <f>IF(AF187="","",AF187)</f>
        <v>0</v>
      </c>
      <c r="H187" s="75" t="str">
        <f t="shared" ref="H187:H200" si="210">IF(AG187=0,"",AG187)</f>
        <v/>
      </c>
      <c r="I187" s="348">
        <f>IF(AH187="","",AH187)</f>
        <v>0</v>
      </c>
      <c r="J187" s="75" t="str">
        <f t="shared" ref="J187:J200" si="211">IF(AI187=0,"",AI187)</f>
        <v/>
      </c>
      <c r="K187" s="348">
        <f>IF(AJ187="","",AJ187)</f>
        <v>0</v>
      </c>
      <c r="L187" s="75" t="str">
        <f t="shared" ref="L187:L200" si="212">IF(AK187=0,"",AK187)</f>
        <v/>
      </c>
      <c r="M187" s="348">
        <f>IF(AL187="","",AL187)</f>
        <v>0</v>
      </c>
      <c r="N187" s="75" t="str">
        <f>IF(AM187=0,"",AM187)</f>
        <v/>
      </c>
      <c r="O187" s="348">
        <f>IF(AN187="","",AN187)</f>
        <v>0</v>
      </c>
      <c r="P187" s="75" t="str">
        <f t="shared" ref="P187:P200" si="213">IF(AO187=0,"",AO187)</f>
        <v/>
      </c>
      <c r="Q187" s="348">
        <f>IF(AP187="","",AP187)</f>
        <v>0</v>
      </c>
      <c r="R187" s="75" t="str">
        <f t="shared" ref="R187:R200" si="214">IF(AQ187=0,"",AQ187)</f>
        <v/>
      </c>
      <c r="S187" s="348">
        <f>IF(AR187="","",AR187)</f>
        <v>0</v>
      </c>
      <c r="T187" s="75" t="str">
        <f t="shared" ref="T187:T200" si="215">IF(AS187=0,"",AS187)</f>
        <v/>
      </c>
      <c r="U187" s="348">
        <f>IF(AT187="","",AT187)</f>
        <v>0</v>
      </c>
      <c r="V187" s="75" t="str">
        <f t="shared" ref="V187:V200" si="216">IF(AU187=0,"",AU187)</f>
        <v/>
      </c>
      <c r="W187" s="348">
        <f>IF(AV187="","",AV187)</f>
        <v>0</v>
      </c>
      <c r="Z187" s="351" t="s">
        <v>0</v>
      </c>
      <c r="AA187" s="108" t="str">
        <f>IF(AB187=0,"",VLOOKUP(AB187,Starter!$A$1:$D$199,2,FALSE))</f>
        <v/>
      </c>
      <c r="AB187" s="99"/>
      <c r="AC187" s="185"/>
      <c r="AD187" s="109">
        <f>IF(SUM(AC187:AC189)+AC205=0,0,IF(SUM(AC187:AC189)=AC205,0.5,IF(SUM(AC187:AC189)&gt;AC205,1,0)))</f>
        <v>0</v>
      </c>
      <c r="AE187" s="185"/>
      <c r="AF187" s="109">
        <f>IF(SUM(AE187:AE189)+AE205=0,0,IF(SUM(AE187:AE189)=AE205,0.5,IF(SUM(AE187:AE189)&gt;AE205,1,0)))</f>
        <v>0</v>
      </c>
      <c r="AG187" s="185"/>
      <c r="AH187" s="109">
        <f>IF(SUM(AG187:AG189)+AG205=0,0,IF(SUM(AG187:AG189)=AG205,0.5,IF(SUM(AG187:AG189)&gt;AG205,1,0)))</f>
        <v>0</v>
      </c>
      <c r="AI187" s="185"/>
      <c r="AJ187" s="109">
        <f>IF(SUM(AI187:AI189)+AI205=0,0,IF(SUM(AI187:AI189)=AI205,0.5,IF(SUM(AI187:AI189)&gt;AI205,1,0)))</f>
        <v>0</v>
      </c>
      <c r="AK187" s="185"/>
      <c r="AL187" s="109">
        <f>IF(SUM(AK187:AK189)+AK205=0,0,IF(SUM(AK187:AK189)=AK205,0.5,IF(SUM(AK187:AK189)&gt;AK205,1,0)))</f>
        <v>0</v>
      </c>
      <c r="AM187" s="185"/>
      <c r="AN187" s="109">
        <f>IF(SUM(AM187:AM189)+AM205=0,0,IF(SUM(AM187:AM189)=AM205,0.5,IF(SUM(AM187:AM189)&gt;AM205,1,0)))</f>
        <v>0</v>
      </c>
      <c r="AO187" s="185"/>
      <c r="AP187" s="109">
        <f>IF(SUM(AO187:AO189)+AO205=0,0,IF(SUM(AO187:AO189)=AO205,0.5,IF(SUM(AO187:AO189)&gt;AO205,1,0)))</f>
        <v>0</v>
      </c>
      <c r="AQ187" s="185"/>
      <c r="AR187" s="109">
        <f>IF(SUM(AQ187:AQ189)+AQ205=0,0,IF(SUM(AQ187:AQ189)=AQ205,0.5,IF(SUM(AQ187:AQ189)&gt;AQ205,1,0)))</f>
        <v>0</v>
      </c>
      <c r="AS187" s="185"/>
      <c r="AT187" s="109">
        <f>IF(SUM(AS187:AS189)+AS205=0,0,IF(SUM(AS187:AS189)=AS205,0.5,IF(SUM(AS187:AS189)&gt;AS205,1,0)))</f>
        <v>0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0</v>
      </c>
      <c r="AV187" s="111">
        <f>SUM(AD187+AF187+AH187+AJ187+AL187+AN187+AP187+AR187+AT187)</f>
        <v>0</v>
      </c>
      <c r="AW187" s="101"/>
      <c r="AX187" s="102"/>
      <c r="AZ187" s="63"/>
      <c r="BA187" s="212"/>
      <c r="BB187" s="213"/>
      <c r="BC187" s="214"/>
      <c r="BD187" s="217">
        <f>+AB187</f>
        <v>0</v>
      </c>
      <c r="BE187" s="213">
        <f>+AU187</f>
        <v>0</v>
      </c>
      <c r="BF187" s="215">
        <f>COUNT(BH187:BP187)</f>
        <v>0</v>
      </c>
      <c r="BG187" s="215">
        <f>COUNTIF(BH187:BP187,"&gt;0")</f>
        <v>0</v>
      </c>
      <c r="BH187" s="215" t="str">
        <f t="shared" ref="BH187:BH198" si="218">IF(AC187=0,"",AC187)</f>
        <v/>
      </c>
      <c r="BI187" s="215" t="str">
        <f t="shared" ref="BI187:BI198" si="219">IF(AE187=0,"",AE187)</f>
        <v/>
      </c>
      <c r="BJ187" s="215" t="str">
        <f t="shared" ref="BJ187:BJ198" si="220">IF(AG187=0,"",AG187)</f>
        <v/>
      </c>
      <c r="BK187" s="215" t="str">
        <f t="shared" ref="BK187:BK198" si="221">IF(AI187=0,"",AI187)</f>
        <v/>
      </c>
      <c r="BL187" s="215" t="str">
        <f t="shared" ref="BL187:BL198" si="222">IF(AK187=0,"",AK187)</f>
        <v/>
      </c>
      <c r="BM187" s="215" t="str">
        <f t="shared" ref="BM187:BM198" si="223">IF(AM187=0,"",AM187)</f>
        <v/>
      </c>
      <c r="BN187" s="215" t="str">
        <f t="shared" ref="BN187:BN198" si="224">IF(AO187=0,"",AO187)</f>
        <v/>
      </c>
      <c r="BO187" s="215" t="str">
        <f t="shared" ref="BO187:BO198" si="225">IF(AQ187=0,"",AQ187)</f>
        <v/>
      </c>
      <c r="BP187" s="215" t="str">
        <f t="shared" ref="BP187:BP198" si="226">IF(AS187=0,"",AS187)</f>
        <v/>
      </c>
      <c r="BQ187" s="216"/>
      <c r="BR187" s="214"/>
      <c r="BS187" s="215">
        <f>MAX(BH187:BP187)</f>
        <v>0</v>
      </c>
      <c r="BT187" s="215">
        <f>IF(BS187&lt;MAX(BS:BS),0,BS187+ROW()/1000000000)</f>
        <v>1.8699999999999999E-7</v>
      </c>
      <c r="BU187" s="215" t="str">
        <f>+AA183</f>
        <v>Frankenpower Nürnberg</v>
      </c>
      <c r="BV187" s="214">
        <f>RANK(BT187,BT:BT)</f>
        <v>48</v>
      </c>
      <c r="BW187" s="215">
        <f>SUMIF(BH187:BP187,"&gt;0")</f>
        <v>0</v>
      </c>
      <c r="BX187" s="215">
        <f>IF(COUNTIF(BH187:BP187,"&gt;0")&lt;Spielorte!$A$23,0,BE187/Spielorte!$A$23)</f>
        <v>0</v>
      </c>
      <c r="BY187" s="215">
        <f>IF(BX187&lt;MAX(BX:BX),0,BX187+ROW()/1000000000)</f>
        <v>1.8699999999999999E-7</v>
      </c>
      <c r="BZ187" s="214">
        <f t="shared" ref="BZ187:BZ198" si="227">IF(BY187=0,0,RANK(BY187,BY:BY))</f>
        <v>48</v>
      </c>
    </row>
    <row r="188" spans="1:78" ht="17.2" customHeight="1" x14ac:dyDescent="0.35">
      <c r="A188" s="368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49"/>
      <c r="F188" s="78" t="str">
        <f t="shared" si="209"/>
        <v/>
      </c>
      <c r="G188" s="349"/>
      <c r="H188" s="78" t="str">
        <f t="shared" si="210"/>
        <v/>
      </c>
      <c r="I188" s="349"/>
      <c r="J188" s="78" t="str">
        <f t="shared" si="211"/>
        <v/>
      </c>
      <c r="K188" s="349"/>
      <c r="L188" s="78" t="str">
        <f t="shared" si="212"/>
        <v/>
      </c>
      <c r="M188" s="349"/>
      <c r="N188" s="78" t="str">
        <f t="shared" ref="N188:N200" si="229">IF(AM188=0,"",AM188)</f>
        <v/>
      </c>
      <c r="O188" s="349"/>
      <c r="P188" s="78" t="str">
        <f t="shared" si="213"/>
        <v/>
      </c>
      <c r="Q188" s="349"/>
      <c r="R188" s="78" t="str">
        <f t="shared" si="214"/>
        <v/>
      </c>
      <c r="S188" s="349"/>
      <c r="T188" s="78" t="str">
        <f t="shared" si="215"/>
        <v/>
      </c>
      <c r="U188" s="349"/>
      <c r="V188" s="78" t="str">
        <f t="shared" si="216"/>
        <v/>
      </c>
      <c r="W188" s="349"/>
      <c r="Z188" s="352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1.8799999999999999E-7</v>
      </c>
      <c r="BU188" s="215" t="str">
        <f t="shared" ref="BU188:BU198" si="236">+BU187</f>
        <v>Frankenpower Nürnberg</v>
      </c>
      <c r="BV188" s="214">
        <f t="shared" ref="BV188:BV198" si="237">RANK(BT188,BT:BT)</f>
        <v>47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1.8799999999999999E-7</v>
      </c>
      <c r="BZ188" s="214">
        <f t="shared" si="227"/>
        <v>47</v>
      </c>
    </row>
    <row r="189" spans="1:78" ht="17.2" customHeight="1" thickBot="1" x14ac:dyDescent="0.4">
      <c r="A189" s="369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50"/>
      <c r="F189" s="69" t="str">
        <f t="shared" si="209"/>
        <v/>
      </c>
      <c r="G189" s="350"/>
      <c r="H189" s="69" t="str">
        <f t="shared" si="210"/>
        <v/>
      </c>
      <c r="I189" s="350"/>
      <c r="J189" s="69" t="str">
        <f t="shared" si="211"/>
        <v/>
      </c>
      <c r="K189" s="350"/>
      <c r="L189" s="69" t="str">
        <f t="shared" si="212"/>
        <v/>
      </c>
      <c r="M189" s="350"/>
      <c r="N189" s="69" t="str">
        <f t="shared" si="229"/>
        <v/>
      </c>
      <c r="O189" s="350"/>
      <c r="P189" s="69" t="str">
        <f t="shared" si="213"/>
        <v/>
      </c>
      <c r="Q189" s="350"/>
      <c r="R189" s="69" t="str">
        <f t="shared" si="214"/>
        <v/>
      </c>
      <c r="S189" s="350"/>
      <c r="T189" s="69" t="str">
        <f t="shared" si="215"/>
        <v/>
      </c>
      <c r="U189" s="350"/>
      <c r="V189" s="69" t="str">
        <f t="shared" si="216"/>
        <v/>
      </c>
      <c r="W189" s="350"/>
      <c r="Z189" s="353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1.8900000000000001E-7</v>
      </c>
      <c r="BU189" s="215" t="str">
        <f t="shared" si="236"/>
        <v>Frankenpower Nürnberg</v>
      </c>
      <c r="BV189" s="214">
        <f t="shared" si="237"/>
        <v>46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1.8900000000000001E-7</v>
      </c>
      <c r="BZ189" s="214">
        <f t="shared" si="227"/>
        <v>46</v>
      </c>
    </row>
    <row r="190" spans="1:78" ht="17.2" customHeight="1" x14ac:dyDescent="0.35">
      <c r="A190" s="367" t="s">
        <v>2</v>
      </c>
      <c r="B190" s="73" t="str">
        <f t="shared" si="228"/>
        <v/>
      </c>
      <c r="C190" s="74" t="str">
        <f t="shared" si="228"/>
        <v/>
      </c>
      <c r="D190" s="75" t="str">
        <f t="shared" si="228"/>
        <v/>
      </c>
      <c r="E190" s="348">
        <f>IF(AD190="","",AD190)</f>
        <v>0</v>
      </c>
      <c r="F190" s="75" t="str">
        <f t="shared" si="209"/>
        <v/>
      </c>
      <c r="G190" s="348">
        <f>IF(AF190="","",AF190)</f>
        <v>0</v>
      </c>
      <c r="H190" s="75" t="str">
        <f t="shared" si="210"/>
        <v/>
      </c>
      <c r="I190" s="348">
        <f>IF(AH190="","",AH190)</f>
        <v>0</v>
      </c>
      <c r="J190" s="75" t="str">
        <f t="shared" si="211"/>
        <v/>
      </c>
      <c r="K190" s="348">
        <f>IF(AJ190="","",AJ190)</f>
        <v>0</v>
      </c>
      <c r="L190" s="75" t="str">
        <f t="shared" si="212"/>
        <v/>
      </c>
      <c r="M190" s="348">
        <f>IF(AL190="","",AL190)</f>
        <v>0</v>
      </c>
      <c r="N190" s="75" t="str">
        <f t="shared" si="229"/>
        <v/>
      </c>
      <c r="O190" s="348">
        <f>IF(AN190="","",AN190)</f>
        <v>0</v>
      </c>
      <c r="P190" s="75" t="str">
        <f t="shared" si="213"/>
        <v/>
      </c>
      <c r="Q190" s="348">
        <f>IF(AP190="","",AP190)</f>
        <v>0</v>
      </c>
      <c r="R190" s="75" t="str">
        <f t="shared" si="214"/>
        <v/>
      </c>
      <c r="S190" s="348">
        <f>IF(AR190="","",AR190)</f>
        <v>0</v>
      </c>
      <c r="T190" s="75" t="str">
        <f t="shared" si="215"/>
        <v/>
      </c>
      <c r="U190" s="348">
        <f>IF(AT190="","",AT190)</f>
        <v>0</v>
      </c>
      <c r="V190" s="75" t="str">
        <f t="shared" si="216"/>
        <v/>
      </c>
      <c r="W190" s="348">
        <f>IF(AV190="","",AV190)</f>
        <v>0</v>
      </c>
      <c r="Z190" s="351" t="s">
        <v>2</v>
      </c>
      <c r="AA190" s="108" t="str">
        <f>IF(AB190=0,"",VLOOKUP(AB190,Starter!$A$1:$D$199,2,FALSE))</f>
        <v/>
      </c>
      <c r="AB190" s="99"/>
      <c r="AC190" s="188"/>
      <c r="AD190" s="109">
        <f>IF(SUM(AC190:AC192)+AC206=0,0,IF(SUM(AC190:AC192)=AC206,0.5,IF(SUM(AC190:AC192)&gt;AC206,1,0)))</f>
        <v>0</v>
      </c>
      <c r="AE190" s="188"/>
      <c r="AF190" s="109">
        <f>IF(SUM(AE190:AE192)+AE206=0,0,IF(SUM(AE190:AE192)=AE206,0.5,IF(SUM(AE190:AE192)&gt;AE206,1,0)))</f>
        <v>0</v>
      </c>
      <c r="AG190" s="188"/>
      <c r="AH190" s="109">
        <f>IF(SUM(AG190:AG192)+AG206=0,0,IF(SUM(AG190:AG192)=AG206,0.5,IF(SUM(AG190:AG192)&gt;AG206,1,0)))</f>
        <v>0</v>
      </c>
      <c r="AI190" s="188"/>
      <c r="AJ190" s="109">
        <f>IF(SUM(AI190:AI192)+AI206=0,0,IF(SUM(AI190:AI192)=AI206,0.5,IF(SUM(AI190:AI192)&gt;AI206,1,0)))</f>
        <v>0</v>
      </c>
      <c r="AK190" s="188"/>
      <c r="AL190" s="109">
        <f>IF(SUM(AK190:AK192)+AK206=0,0,IF(SUM(AK190:AK192)=AK206,0.5,IF(SUM(AK190:AK192)&gt;AK206,1,0)))</f>
        <v>0</v>
      </c>
      <c r="AM190" s="188"/>
      <c r="AN190" s="109">
        <f>IF(ABS(SUM(AM190:AM192))+AM206=0,0,IF(ABS(SUM(AM190:AM192))=AM206,0.5,IF(ABS(SUM(AM190:AM192))&gt;AM206,1,0)))</f>
        <v>0</v>
      </c>
      <c r="AO190" s="188"/>
      <c r="AP190" s="109">
        <f>IF(SUM(AO190:AO192)+AO206=0,0,IF(SUM(AO190:AO192)=AO206,0.5,IF(SUM(AO190:AO192)&gt;AO206,1,0)))</f>
        <v>0</v>
      </c>
      <c r="AQ190" s="188"/>
      <c r="AR190" s="109">
        <f>IF(SUM(AQ190:AQ192)+AQ206=0,0,IF(SUM(AQ190:AQ192)=AQ206,0.5,IF(SUM(AQ190:AQ192)&gt;AQ206,1,0)))</f>
        <v>0</v>
      </c>
      <c r="AS190" s="188"/>
      <c r="AT190" s="109">
        <f>IF(SUM(AS190:AS192)+AS206=0,0,IF(SUM(AS190:AS192)=AS206,0.5,IF(SUM(AS190:AS192)&gt;AS206,1,0)))</f>
        <v>0</v>
      </c>
      <c r="AU190" s="110">
        <f t="shared" si="217"/>
        <v>0</v>
      </c>
      <c r="AV190" s="111">
        <f>SUM(AD190+AF190+AH190+AJ190+AL190+AN190+AP190+AR190+AT190)</f>
        <v>0</v>
      </c>
      <c r="AW190" s="101"/>
      <c r="AX190" s="102"/>
      <c r="AZ190" s="63"/>
      <c r="BA190" s="212"/>
      <c r="BB190" s="213"/>
      <c r="BC190" s="214"/>
      <c r="BD190" s="217">
        <f t="shared" si="230"/>
        <v>0</v>
      </c>
      <c r="BE190" s="213">
        <f t="shared" si="231"/>
        <v>0</v>
      </c>
      <c r="BF190" s="215">
        <f t="shared" si="232"/>
        <v>0</v>
      </c>
      <c r="BG190" s="215">
        <f t="shared" si="233"/>
        <v>0</v>
      </c>
      <c r="BH190" s="215" t="str">
        <f t="shared" si="218"/>
        <v/>
      </c>
      <c r="BI190" s="215" t="str">
        <f t="shared" si="219"/>
        <v/>
      </c>
      <c r="BJ190" s="215" t="str">
        <f t="shared" si="220"/>
        <v/>
      </c>
      <c r="BK190" s="215" t="str">
        <f t="shared" si="221"/>
        <v/>
      </c>
      <c r="BL190" s="215" t="str">
        <f t="shared" si="222"/>
        <v/>
      </c>
      <c r="BM190" s="215" t="str">
        <f t="shared" si="223"/>
        <v/>
      </c>
      <c r="BN190" s="215" t="str">
        <f t="shared" si="224"/>
        <v/>
      </c>
      <c r="BO190" s="215" t="str">
        <f t="shared" si="225"/>
        <v/>
      </c>
      <c r="BP190" s="215" t="str">
        <f t="shared" si="226"/>
        <v/>
      </c>
      <c r="BQ190" s="216"/>
      <c r="BR190" s="214"/>
      <c r="BS190" s="215">
        <f t="shared" si="234"/>
        <v>0</v>
      </c>
      <c r="BT190" s="215">
        <f t="shared" si="235"/>
        <v>1.9000000000000001E-7</v>
      </c>
      <c r="BU190" s="215" t="str">
        <f t="shared" si="236"/>
        <v>Frankenpower Nürnberg</v>
      </c>
      <c r="BV190" s="214">
        <f t="shared" si="237"/>
        <v>45</v>
      </c>
      <c r="BW190" s="215">
        <f t="shared" si="238"/>
        <v>0</v>
      </c>
      <c r="BX190" s="215">
        <f>IF(COUNTIF(BH190:BP190,"&gt;0")&lt;Spielorte!$A$23,0,BE190/Spielorte!$A$23)</f>
        <v>0</v>
      </c>
      <c r="BY190" s="215">
        <f t="shared" si="239"/>
        <v>1.9000000000000001E-7</v>
      </c>
      <c r="BZ190" s="214">
        <f t="shared" si="227"/>
        <v>45</v>
      </c>
    </row>
    <row r="191" spans="1:78" ht="17.2" customHeight="1" x14ac:dyDescent="0.35">
      <c r="A191" s="368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49"/>
      <c r="F191" s="78" t="str">
        <f t="shared" si="209"/>
        <v/>
      </c>
      <c r="G191" s="349"/>
      <c r="H191" s="78" t="str">
        <f t="shared" si="210"/>
        <v/>
      </c>
      <c r="I191" s="349"/>
      <c r="J191" s="78" t="str">
        <f t="shared" si="211"/>
        <v/>
      </c>
      <c r="K191" s="349"/>
      <c r="L191" s="78" t="str">
        <f t="shared" si="212"/>
        <v/>
      </c>
      <c r="M191" s="349"/>
      <c r="N191" s="78" t="str">
        <f t="shared" si="229"/>
        <v/>
      </c>
      <c r="O191" s="349"/>
      <c r="P191" s="78" t="str">
        <f t="shared" si="213"/>
        <v/>
      </c>
      <c r="Q191" s="349"/>
      <c r="R191" s="78" t="str">
        <f t="shared" si="214"/>
        <v/>
      </c>
      <c r="S191" s="349"/>
      <c r="T191" s="78" t="str">
        <f t="shared" si="215"/>
        <v/>
      </c>
      <c r="U191" s="349"/>
      <c r="V191" s="78" t="str">
        <f t="shared" si="216"/>
        <v/>
      </c>
      <c r="W191" s="349"/>
      <c r="Z191" s="352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1.91E-7</v>
      </c>
      <c r="BU191" s="215" t="str">
        <f t="shared" si="236"/>
        <v>Frankenpower Nürnberg</v>
      </c>
      <c r="BV191" s="214">
        <f t="shared" si="237"/>
        <v>44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1.91E-7</v>
      </c>
      <c r="BZ191" s="214">
        <f t="shared" si="227"/>
        <v>44</v>
      </c>
    </row>
    <row r="192" spans="1:78" ht="17.2" customHeight="1" thickBot="1" x14ac:dyDescent="0.4">
      <c r="A192" s="369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50"/>
      <c r="F192" s="69" t="str">
        <f t="shared" si="209"/>
        <v/>
      </c>
      <c r="G192" s="350"/>
      <c r="H192" s="69" t="str">
        <f t="shared" si="210"/>
        <v/>
      </c>
      <c r="I192" s="350"/>
      <c r="J192" s="69" t="str">
        <f t="shared" si="211"/>
        <v/>
      </c>
      <c r="K192" s="350"/>
      <c r="L192" s="69" t="str">
        <f t="shared" si="212"/>
        <v/>
      </c>
      <c r="M192" s="350"/>
      <c r="N192" s="69" t="str">
        <f t="shared" si="229"/>
        <v/>
      </c>
      <c r="O192" s="350"/>
      <c r="P192" s="69" t="str">
        <f t="shared" si="213"/>
        <v/>
      </c>
      <c r="Q192" s="350"/>
      <c r="R192" s="69" t="str">
        <f t="shared" si="214"/>
        <v/>
      </c>
      <c r="S192" s="350"/>
      <c r="T192" s="69" t="str">
        <f t="shared" si="215"/>
        <v/>
      </c>
      <c r="U192" s="350"/>
      <c r="V192" s="69" t="str">
        <f t="shared" si="216"/>
        <v/>
      </c>
      <c r="W192" s="350"/>
      <c r="Z192" s="353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1.92E-7</v>
      </c>
      <c r="BU192" s="215" t="str">
        <f t="shared" si="236"/>
        <v>Frankenpower Nürnberg</v>
      </c>
      <c r="BV192" s="214">
        <f t="shared" si="237"/>
        <v>43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1.92E-7</v>
      </c>
      <c r="BZ192" s="214">
        <f t="shared" si="227"/>
        <v>43</v>
      </c>
    </row>
    <row r="193" spans="1:78" ht="17.2" customHeight="1" x14ac:dyDescent="0.35">
      <c r="A193" s="367" t="s">
        <v>3</v>
      </c>
      <c r="B193" s="73" t="str">
        <f t="shared" si="228"/>
        <v/>
      </c>
      <c r="C193" s="74" t="str">
        <f t="shared" si="228"/>
        <v/>
      </c>
      <c r="D193" s="75" t="str">
        <f t="shared" si="228"/>
        <v/>
      </c>
      <c r="E193" s="348">
        <f>IF(AD193="","",AD193)</f>
        <v>0</v>
      </c>
      <c r="F193" s="75" t="str">
        <f t="shared" si="209"/>
        <v/>
      </c>
      <c r="G193" s="348">
        <f>IF(AF193="","",AF193)</f>
        <v>0</v>
      </c>
      <c r="H193" s="75" t="str">
        <f t="shared" si="210"/>
        <v/>
      </c>
      <c r="I193" s="348">
        <f>IF(AH193="","",AH193)</f>
        <v>0</v>
      </c>
      <c r="J193" s="75" t="str">
        <f t="shared" si="211"/>
        <v/>
      </c>
      <c r="K193" s="348">
        <f>IF(AJ193="","",AJ193)</f>
        <v>0</v>
      </c>
      <c r="L193" s="75" t="str">
        <f t="shared" si="212"/>
        <v/>
      </c>
      <c r="M193" s="348">
        <f>IF(AL193="","",AL193)</f>
        <v>0</v>
      </c>
      <c r="N193" s="75" t="str">
        <f t="shared" si="229"/>
        <v/>
      </c>
      <c r="O193" s="348">
        <f>IF(AN193="","",AN193)</f>
        <v>0</v>
      </c>
      <c r="P193" s="75" t="str">
        <f t="shared" si="213"/>
        <v/>
      </c>
      <c r="Q193" s="348">
        <f>IF(AP193="","",AP193)</f>
        <v>0</v>
      </c>
      <c r="R193" s="75" t="str">
        <f t="shared" si="214"/>
        <v/>
      </c>
      <c r="S193" s="348">
        <f>IF(AR193="","",AR193)</f>
        <v>0</v>
      </c>
      <c r="T193" s="75" t="str">
        <f t="shared" si="215"/>
        <v/>
      </c>
      <c r="U193" s="348">
        <f>IF(AT193="","",AT193)</f>
        <v>0</v>
      </c>
      <c r="V193" s="75" t="str">
        <f t="shared" si="216"/>
        <v/>
      </c>
      <c r="W193" s="348">
        <f>IF(AV193="","",AV193)</f>
        <v>0</v>
      </c>
      <c r="Z193" s="351" t="s">
        <v>3</v>
      </c>
      <c r="AA193" s="108" t="str">
        <f>IF(AB193=0,"",VLOOKUP(AB193,Starter!$A$1:$D$199,2,FALSE))</f>
        <v/>
      </c>
      <c r="AB193" s="99"/>
      <c r="AC193" s="188"/>
      <c r="AD193" s="109">
        <f>IF(SUM(AC193:AC195)+AC207=0,0,IF(SUM(AC193:AC195)=AC207,0.5,IF(SUM(AC193:AC195)&gt;AC207,1,0)))</f>
        <v>0</v>
      </c>
      <c r="AE193" s="188"/>
      <c r="AF193" s="109">
        <f>IF(SUM(AE193:AE195)+AE207=0,0,IF(SUM(AE193:AE195)=AE207,0.5,IF(SUM(AE193:AE195)&gt;AE207,1,0)))</f>
        <v>0</v>
      </c>
      <c r="AG193" s="188"/>
      <c r="AH193" s="109">
        <f>IF(SUM(AG193:AG195)+AG207=0,0,IF(SUM(AG193:AG195)=AG207,0.5,IF(SUM(AG193:AG195)&gt;AG207,1,0)))</f>
        <v>0</v>
      </c>
      <c r="AI193" s="188"/>
      <c r="AJ193" s="109">
        <f>IF(SUM(AI193:AI195)+AI207=0,0,IF(SUM(AI193:AI195)=AI207,0.5,IF(SUM(AI193:AI195)&gt;AI207,1,0)))</f>
        <v>0</v>
      </c>
      <c r="AK193" s="188"/>
      <c r="AL193" s="109">
        <f>IF(SUM(AK193:AK195)+AK207=0,0,IF(SUM(AK193:AK195)=AK207,0.5,IF(SUM(AK193:AK195)&gt;AK207,1,0)))</f>
        <v>0</v>
      </c>
      <c r="AM193" s="188"/>
      <c r="AN193" s="109">
        <f>IF(SUM(AM193:AM195)+AM207=0,0,IF(SUM(AM193:AM195)=AM207,0.5,IF(SUM(AM193:AM195)&gt;AM207,1,0)))</f>
        <v>0</v>
      </c>
      <c r="AO193" s="188"/>
      <c r="AP193" s="109">
        <f>IF(SUM(AO193:AO195)+AO207=0,0,IF(SUM(AO193:AO195)=AO207,0.5,IF(SUM(AO193:AO195)&gt;AO207,1,0)))</f>
        <v>0</v>
      </c>
      <c r="AQ193" s="188"/>
      <c r="AR193" s="109">
        <f>IF(SUM(AQ193:AQ195)+AQ207=0,0,IF(SUM(AQ193:AQ195)=AQ207,0.5,IF(SUM(AQ193:AQ195)&gt;AQ207,1,0)))</f>
        <v>0</v>
      </c>
      <c r="AS193" s="188"/>
      <c r="AT193" s="109">
        <f>IF(SUM(AS193:AS195)+AS207=0,0,IF(SUM(AS193:AS195)=AS207,0.5,IF(SUM(AS193:AS195)&gt;AS207,1,0)))</f>
        <v>0</v>
      </c>
      <c r="AU193" s="110">
        <f t="shared" si="217"/>
        <v>0</v>
      </c>
      <c r="AV193" s="111">
        <f>SUM(AD193+AF193+AH193+AJ193+AL193+AN193+AP193+AR193+AT193)</f>
        <v>0</v>
      </c>
      <c r="AW193" s="101"/>
      <c r="AX193" s="102"/>
      <c r="AZ193" s="63"/>
      <c r="BA193" s="212"/>
      <c r="BB193" s="213"/>
      <c r="BC193" s="214"/>
      <c r="BD193" s="217">
        <f t="shared" si="230"/>
        <v>0</v>
      </c>
      <c r="BE193" s="213">
        <f t="shared" si="231"/>
        <v>0</v>
      </c>
      <c r="BF193" s="215">
        <f t="shared" si="232"/>
        <v>0</v>
      </c>
      <c r="BG193" s="215">
        <f t="shared" si="233"/>
        <v>0</v>
      </c>
      <c r="BH193" s="215" t="str">
        <f t="shared" si="218"/>
        <v/>
      </c>
      <c r="BI193" s="215" t="str">
        <f t="shared" si="219"/>
        <v/>
      </c>
      <c r="BJ193" s="215" t="str">
        <f t="shared" si="220"/>
        <v/>
      </c>
      <c r="BK193" s="215" t="str">
        <f t="shared" si="221"/>
        <v/>
      </c>
      <c r="BL193" s="215" t="str">
        <f t="shared" si="222"/>
        <v/>
      </c>
      <c r="BM193" s="215" t="str">
        <f t="shared" si="223"/>
        <v/>
      </c>
      <c r="BN193" s="215" t="str">
        <f t="shared" si="224"/>
        <v/>
      </c>
      <c r="BO193" s="215" t="str">
        <f t="shared" si="225"/>
        <v/>
      </c>
      <c r="BP193" s="215" t="str">
        <f t="shared" si="226"/>
        <v/>
      </c>
      <c r="BQ193" s="216"/>
      <c r="BR193" s="214"/>
      <c r="BS193" s="215">
        <f t="shared" si="234"/>
        <v>0</v>
      </c>
      <c r="BT193" s="215">
        <f t="shared" si="235"/>
        <v>1.9299999999999999E-7</v>
      </c>
      <c r="BU193" s="215" t="str">
        <f t="shared" si="236"/>
        <v>Frankenpower Nürnberg</v>
      </c>
      <c r="BV193" s="214">
        <f t="shared" si="237"/>
        <v>42</v>
      </c>
      <c r="BW193" s="215">
        <f t="shared" si="238"/>
        <v>0</v>
      </c>
      <c r="BX193" s="215">
        <f>IF(COUNTIF(BH193:BP193,"&gt;0")&lt;Spielorte!$A$23,0,BE193/Spielorte!$A$23)</f>
        <v>0</v>
      </c>
      <c r="BY193" s="215">
        <f t="shared" si="239"/>
        <v>1.9299999999999999E-7</v>
      </c>
      <c r="BZ193" s="214">
        <f t="shared" si="227"/>
        <v>42</v>
      </c>
    </row>
    <row r="194" spans="1:78" ht="17.2" customHeight="1" x14ac:dyDescent="0.35">
      <c r="A194" s="368"/>
      <c r="B194" s="76" t="str">
        <f t="shared" si="228"/>
        <v/>
      </c>
      <c r="C194" s="77" t="str">
        <f t="shared" si="228"/>
        <v/>
      </c>
      <c r="D194" s="78" t="str">
        <f t="shared" si="228"/>
        <v/>
      </c>
      <c r="E194" s="349"/>
      <c r="F194" s="78" t="str">
        <f t="shared" si="209"/>
        <v/>
      </c>
      <c r="G194" s="349"/>
      <c r="H194" s="78" t="str">
        <f t="shared" si="210"/>
        <v/>
      </c>
      <c r="I194" s="349"/>
      <c r="J194" s="78" t="str">
        <f t="shared" si="211"/>
        <v/>
      </c>
      <c r="K194" s="349"/>
      <c r="L194" s="78" t="str">
        <f t="shared" si="212"/>
        <v/>
      </c>
      <c r="M194" s="349"/>
      <c r="N194" s="78" t="str">
        <f t="shared" si="229"/>
        <v/>
      </c>
      <c r="O194" s="349"/>
      <c r="P194" s="78" t="str">
        <f t="shared" si="213"/>
        <v/>
      </c>
      <c r="Q194" s="349"/>
      <c r="R194" s="78" t="str">
        <f t="shared" si="214"/>
        <v/>
      </c>
      <c r="S194" s="349"/>
      <c r="T194" s="78" t="str">
        <f t="shared" si="215"/>
        <v/>
      </c>
      <c r="U194" s="349"/>
      <c r="V194" s="78" t="str">
        <f t="shared" si="216"/>
        <v/>
      </c>
      <c r="W194" s="349"/>
      <c r="Z194" s="352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7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0</v>
      </c>
      <c r="BE194" s="213">
        <f t="shared" si="231"/>
        <v>0</v>
      </c>
      <c r="BF194" s="215">
        <f t="shared" si="232"/>
        <v>0</v>
      </c>
      <c r="BG194" s="215">
        <f t="shared" si="233"/>
        <v>0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 t="str">
        <f t="shared" si="222"/>
        <v/>
      </c>
      <c r="BM194" s="215" t="str">
        <f t="shared" si="223"/>
        <v/>
      </c>
      <c r="BN194" s="215" t="str">
        <f t="shared" si="224"/>
        <v/>
      </c>
      <c r="BO194" s="215" t="str">
        <f t="shared" si="225"/>
        <v/>
      </c>
      <c r="BP194" s="215" t="str">
        <f t="shared" si="226"/>
        <v/>
      </c>
      <c r="BQ194" s="216"/>
      <c r="BR194" s="214"/>
      <c r="BS194" s="215">
        <f t="shared" si="234"/>
        <v>0</v>
      </c>
      <c r="BT194" s="215">
        <f t="shared" si="235"/>
        <v>1.9399999999999999E-7</v>
      </c>
      <c r="BU194" s="215" t="str">
        <f t="shared" si="236"/>
        <v>Frankenpower Nürnberg</v>
      </c>
      <c r="BV194" s="214">
        <f t="shared" si="237"/>
        <v>41</v>
      </c>
      <c r="BW194" s="215">
        <f t="shared" si="238"/>
        <v>0</v>
      </c>
      <c r="BX194" s="215">
        <f>IF(COUNTIF(BH194:BP194,"&gt;0")&lt;Spielorte!$A$23,0,BE194/Spielorte!$A$23)</f>
        <v>0</v>
      </c>
      <c r="BY194" s="215">
        <f t="shared" si="239"/>
        <v>1.9399999999999999E-7</v>
      </c>
      <c r="BZ194" s="214">
        <f t="shared" si="227"/>
        <v>41</v>
      </c>
    </row>
    <row r="195" spans="1:78" ht="17.2" customHeight="1" thickBot="1" x14ac:dyDescent="0.4">
      <c r="A195" s="369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50"/>
      <c r="F195" s="69" t="str">
        <f t="shared" si="209"/>
        <v/>
      </c>
      <c r="G195" s="350"/>
      <c r="H195" s="69" t="str">
        <f t="shared" si="210"/>
        <v/>
      </c>
      <c r="I195" s="350"/>
      <c r="J195" s="69" t="str">
        <f t="shared" si="211"/>
        <v/>
      </c>
      <c r="K195" s="350"/>
      <c r="L195" s="69" t="str">
        <f t="shared" si="212"/>
        <v/>
      </c>
      <c r="M195" s="350"/>
      <c r="N195" s="69" t="str">
        <f t="shared" si="229"/>
        <v/>
      </c>
      <c r="O195" s="350"/>
      <c r="P195" s="69" t="str">
        <f t="shared" si="213"/>
        <v/>
      </c>
      <c r="Q195" s="350"/>
      <c r="R195" s="69" t="str">
        <f t="shared" si="214"/>
        <v/>
      </c>
      <c r="S195" s="350"/>
      <c r="T195" s="69" t="str">
        <f t="shared" si="215"/>
        <v/>
      </c>
      <c r="U195" s="350"/>
      <c r="V195" s="69" t="str">
        <f t="shared" si="216"/>
        <v/>
      </c>
      <c r="W195" s="350"/>
      <c r="Z195" s="353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1.9500000000000001E-7</v>
      </c>
      <c r="BU195" s="215" t="str">
        <f t="shared" si="236"/>
        <v>Frankenpower Nürnberg</v>
      </c>
      <c r="BV195" s="214">
        <f t="shared" si="237"/>
        <v>40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1.9500000000000001E-7</v>
      </c>
      <c r="BZ195" s="214">
        <f t="shared" si="227"/>
        <v>40</v>
      </c>
    </row>
    <row r="196" spans="1:78" ht="17.2" customHeight="1" x14ac:dyDescent="0.35">
      <c r="A196" s="367" t="s">
        <v>11</v>
      </c>
      <c r="B196" s="73" t="str">
        <f>IF(AA196=0,"",AA196)</f>
        <v/>
      </c>
      <c r="C196" s="74" t="str">
        <f t="shared" si="228"/>
        <v/>
      </c>
      <c r="D196" s="75" t="str">
        <f t="shared" si="228"/>
        <v/>
      </c>
      <c r="E196" s="348">
        <f>IF(AD196="","",AD196)</f>
        <v>0</v>
      </c>
      <c r="F196" s="75" t="str">
        <f t="shared" si="209"/>
        <v/>
      </c>
      <c r="G196" s="348">
        <f>IF(AF196="","",AF196)</f>
        <v>0</v>
      </c>
      <c r="H196" s="75" t="str">
        <f t="shared" si="210"/>
        <v/>
      </c>
      <c r="I196" s="348">
        <f>IF(AH196="","",AH196)</f>
        <v>0</v>
      </c>
      <c r="J196" s="75" t="str">
        <f t="shared" si="211"/>
        <v/>
      </c>
      <c r="K196" s="348">
        <f>IF(AJ196="","",AJ196)</f>
        <v>0</v>
      </c>
      <c r="L196" s="75" t="str">
        <f t="shared" si="212"/>
        <v/>
      </c>
      <c r="M196" s="348">
        <f>IF(AL196="","",AL196)</f>
        <v>0</v>
      </c>
      <c r="N196" s="75" t="str">
        <f t="shared" si="229"/>
        <v/>
      </c>
      <c r="O196" s="348">
        <f>IF(AN196="","",AN196)</f>
        <v>0</v>
      </c>
      <c r="P196" s="75" t="str">
        <f t="shared" si="213"/>
        <v/>
      </c>
      <c r="Q196" s="348">
        <f>IF(AP196="","",AP196)</f>
        <v>0</v>
      </c>
      <c r="R196" s="75" t="str">
        <f t="shared" si="214"/>
        <v/>
      </c>
      <c r="S196" s="348">
        <f>IF(AR196="","",AR196)</f>
        <v>0</v>
      </c>
      <c r="T196" s="75" t="str">
        <f t="shared" si="215"/>
        <v/>
      </c>
      <c r="U196" s="348">
        <f>IF(AT196="","",AT196)</f>
        <v>0</v>
      </c>
      <c r="V196" s="75" t="str">
        <f t="shared" si="216"/>
        <v/>
      </c>
      <c r="W196" s="348">
        <f>IF(AV196="","",AV196)</f>
        <v>0</v>
      </c>
      <c r="Z196" s="351" t="s">
        <v>11</v>
      </c>
      <c r="AA196" s="108" t="str">
        <f>IF(AB196=0,"",VLOOKUP(AB196,Starter!$A$1:$D$199,2,FALSE))</f>
        <v/>
      </c>
      <c r="AB196" s="99"/>
      <c r="AC196" s="188"/>
      <c r="AD196" s="109">
        <f>IF(SUM(AC196:AC198)+AC208=0,0,IF(SUM(AC196:AC198)=AC208,0.5,IF(SUM(AC196:AC198)&gt;AC208,1,0)))</f>
        <v>0</v>
      </c>
      <c r="AE196" s="188"/>
      <c r="AF196" s="109">
        <f>IF(SUM(AE196:AE198)+AE208=0,0,IF(SUM(AE196:AE198)=AE208,0.5,IF(SUM(AE196:AE198)&gt;AE208,1,0)))</f>
        <v>0</v>
      </c>
      <c r="AG196" s="188"/>
      <c r="AH196" s="109">
        <f>IF(SUM(AG196:AG198)+AG208=0,0,IF(SUM(AG196:AG198)=AG208,0.5,IF(SUM(AG196:AG198)&gt;AG208,1,0)))</f>
        <v>0</v>
      </c>
      <c r="AI196" s="188"/>
      <c r="AJ196" s="109">
        <f>IF(SUM(AI196:AI198)+AI208=0,0,IF(SUM(AI196:AI198)=AI208,0.5,IF(SUM(AI196:AI198)&gt;AI208,1,0)))</f>
        <v>0</v>
      </c>
      <c r="AK196" s="188"/>
      <c r="AL196" s="109">
        <f>IF(SUM(AK196:AK198)+AK208=0,0,IF(SUM(AK196:AK198)=AK208,0.5,IF(SUM(AK196:AK198)&gt;AK208,1,0)))</f>
        <v>0</v>
      </c>
      <c r="AM196" s="188"/>
      <c r="AN196" s="109">
        <f>IF(SUM(AM196:AM198)+AM208=0,0,IF(SUM(AM196:AM198)=AM208,0.5,IF(SUM(AM196:AM198)&gt;AM208,1,0)))</f>
        <v>0</v>
      </c>
      <c r="AO196" s="188"/>
      <c r="AP196" s="109">
        <f>IF(SUM(AO196:AO198)+AO208=0,0,IF(SUM(AO196:AO198)=AO208,0.5,IF(SUM(AO196:AO198)&gt;AO208,1,0)))</f>
        <v>0</v>
      </c>
      <c r="AQ196" s="188"/>
      <c r="AR196" s="109">
        <f>IF(SUM(AQ196:AQ198)+AQ208=0,0,IF(SUM(AQ196:AQ198)=AQ208,0.5,IF(SUM(AQ196:AQ198)&gt;AQ208,1,0)))</f>
        <v>0</v>
      </c>
      <c r="AS196" s="188"/>
      <c r="AT196" s="109">
        <f>IF(SUM(AS196:AS198)+AS208=0,0,IF(SUM(AS196:AS198)=AS208,0.5,IF(SUM(AS196:AS198)&gt;AS208,1,0)))</f>
        <v>0</v>
      </c>
      <c r="AU196" s="110">
        <f t="shared" si="217"/>
        <v>0</v>
      </c>
      <c r="AV196" s="111">
        <f>SUM(AD196+AF196+AH196+AJ196+AL196+AN196+AP196+AR196+AT196)</f>
        <v>0</v>
      </c>
      <c r="AW196" s="101"/>
      <c r="AX196" s="102"/>
      <c r="AZ196" s="63"/>
      <c r="BA196" s="212"/>
      <c r="BB196" s="213"/>
      <c r="BC196" s="214"/>
      <c r="BD196" s="217">
        <f t="shared" si="230"/>
        <v>0</v>
      </c>
      <c r="BE196" s="213">
        <f t="shared" si="231"/>
        <v>0</v>
      </c>
      <c r="BF196" s="215">
        <f t="shared" si="232"/>
        <v>0</v>
      </c>
      <c r="BG196" s="215">
        <f t="shared" si="233"/>
        <v>0</v>
      </c>
      <c r="BH196" s="215" t="str">
        <f t="shared" si="218"/>
        <v/>
      </c>
      <c r="BI196" s="215" t="str">
        <f t="shared" si="219"/>
        <v/>
      </c>
      <c r="BJ196" s="215" t="str">
        <f t="shared" si="220"/>
        <v/>
      </c>
      <c r="BK196" s="215" t="str">
        <f t="shared" si="221"/>
        <v/>
      </c>
      <c r="BL196" s="215" t="str">
        <f t="shared" si="222"/>
        <v/>
      </c>
      <c r="BM196" s="215" t="str">
        <f t="shared" si="223"/>
        <v/>
      </c>
      <c r="BN196" s="215" t="str">
        <f t="shared" si="224"/>
        <v/>
      </c>
      <c r="BO196" s="215" t="str">
        <f t="shared" si="225"/>
        <v/>
      </c>
      <c r="BP196" s="215" t="str">
        <f t="shared" si="226"/>
        <v/>
      </c>
      <c r="BQ196" s="216"/>
      <c r="BR196" s="214"/>
      <c r="BS196" s="215">
        <f t="shared" si="234"/>
        <v>0</v>
      </c>
      <c r="BT196" s="215">
        <f t="shared" si="235"/>
        <v>1.9600000000000001E-7</v>
      </c>
      <c r="BU196" s="215" t="str">
        <f t="shared" si="236"/>
        <v>Frankenpower Nürnberg</v>
      </c>
      <c r="BV196" s="214">
        <f t="shared" si="237"/>
        <v>39</v>
      </c>
      <c r="BW196" s="215">
        <f t="shared" si="238"/>
        <v>0</v>
      </c>
      <c r="BX196" s="215">
        <f>IF(COUNTIF(BH196:BP196,"&gt;0")&lt;Spielorte!$A$23,0,BE196/Spielorte!$A$23)</f>
        <v>0</v>
      </c>
      <c r="BY196" s="215">
        <f t="shared" si="239"/>
        <v>1.9600000000000001E-7</v>
      </c>
      <c r="BZ196" s="214">
        <f t="shared" si="227"/>
        <v>39</v>
      </c>
    </row>
    <row r="197" spans="1:78" ht="17.2" customHeight="1" x14ac:dyDescent="0.35">
      <c r="A197" s="368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49"/>
      <c r="F197" s="78" t="str">
        <f t="shared" si="209"/>
        <v/>
      </c>
      <c r="G197" s="349"/>
      <c r="H197" s="78" t="str">
        <f t="shared" si="210"/>
        <v/>
      </c>
      <c r="I197" s="349"/>
      <c r="J197" s="78" t="str">
        <f t="shared" si="211"/>
        <v/>
      </c>
      <c r="K197" s="349"/>
      <c r="L197" s="78" t="str">
        <f t="shared" si="212"/>
        <v/>
      </c>
      <c r="M197" s="349"/>
      <c r="N197" s="78" t="str">
        <f t="shared" si="229"/>
        <v/>
      </c>
      <c r="O197" s="349"/>
      <c r="P197" s="78" t="str">
        <f t="shared" si="213"/>
        <v/>
      </c>
      <c r="Q197" s="349"/>
      <c r="R197" s="78" t="str">
        <f t="shared" si="214"/>
        <v/>
      </c>
      <c r="S197" s="349"/>
      <c r="T197" s="78" t="str">
        <f t="shared" si="215"/>
        <v/>
      </c>
      <c r="U197" s="349"/>
      <c r="V197" s="78" t="str">
        <f t="shared" si="216"/>
        <v/>
      </c>
      <c r="W197" s="349"/>
      <c r="Z197" s="352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1.97E-7</v>
      </c>
      <c r="BU197" s="215" t="str">
        <f t="shared" si="236"/>
        <v>Frankenpower Nürnberg</v>
      </c>
      <c r="BV197" s="214">
        <f t="shared" si="237"/>
        <v>38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1.97E-7</v>
      </c>
      <c r="BZ197" s="214">
        <f t="shared" si="227"/>
        <v>38</v>
      </c>
    </row>
    <row r="198" spans="1:78" ht="17.2" customHeight="1" thickBot="1" x14ac:dyDescent="0.4">
      <c r="A198" s="369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50"/>
      <c r="F198" s="69" t="str">
        <f t="shared" si="209"/>
        <v/>
      </c>
      <c r="G198" s="350"/>
      <c r="H198" s="69" t="str">
        <f t="shared" si="210"/>
        <v/>
      </c>
      <c r="I198" s="350"/>
      <c r="J198" s="69" t="str">
        <f t="shared" si="211"/>
        <v/>
      </c>
      <c r="K198" s="350"/>
      <c r="L198" s="69" t="str">
        <f t="shared" si="212"/>
        <v/>
      </c>
      <c r="M198" s="350"/>
      <c r="N198" s="69" t="str">
        <f t="shared" si="229"/>
        <v/>
      </c>
      <c r="O198" s="350"/>
      <c r="P198" s="69" t="str">
        <f t="shared" si="213"/>
        <v/>
      </c>
      <c r="Q198" s="350"/>
      <c r="R198" s="69" t="str">
        <f t="shared" si="214"/>
        <v/>
      </c>
      <c r="S198" s="350"/>
      <c r="T198" s="69" t="str">
        <f t="shared" si="215"/>
        <v/>
      </c>
      <c r="U198" s="350"/>
      <c r="V198" s="69" t="str">
        <f t="shared" si="216"/>
        <v/>
      </c>
      <c r="W198" s="350"/>
      <c r="Z198" s="353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1.98E-7</v>
      </c>
      <c r="BU198" s="215" t="str">
        <f t="shared" si="236"/>
        <v>Frankenpower Nürnberg</v>
      </c>
      <c r="BV198" s="214">
        <f t="shared" si="237"/>
        <v>37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1.98E-7</v>
      </c>
      <c r="BZ198" s="214">
        <f t="shared" si="227"/>
        <v>37</v>
      </c>
    </row>
    <row r="199" spans="1:78" ht="27.75" customHeight="1" thickBot="1" x14ac:dyDescent="0.4">
      <c r="B199" s="81" t="str">
        <f>IF(AA199=0,"",AA199)</f>
        <v>Gesamt</v>
      </c>
      <c r="C199" s="82" t="str">
        <f t="shared" si="228"/>
        <v/>
      </c>
      <c r="D199" s="83" t="str">
        <f t="shared" si="228"/>
        <v/>
      </c>
      <c r="E199" s="84">
        <f>IF(AD199="","",AD199)</f>
        <v>0</v>
      </c>
      <c r="F199" s="83" t="str">
        <f t="shared" si="209"/>
        <v/>
      </c>
      <c r="G199" s="84">
        <f>IF(AF199="","",AF199)</f>
        <v>0</v>
      </c>
      <c r="H199" s="83" t="str">
        <f t="shared" si="210"/>
        <v/>
      </c>
      <c r="I199" s="84">
        <f>IF(AH199="","",AH199)</f>
        <v>0</v>
      </c>
      <c r="J199" s="83" t="str">
        <f t="shared" si="211"/>
        <v/>
      </c>
      <c r="K199" s="84">
        <f>IF(AJ199="","",AJ199)</f>
        <v>0</v>
      </c>
      <c r="L199" s="83" t="str">
        <f t="shared" si="212"/>
        <v/>
      </c>
      <c r="M199" s="84">
        <f>IF(AL199="","",AL199)</f>
        <v>0</v>
      </c>
      <c r="N199" s="83" t="str">
        <f t="shared" si="229"/>
        <v/>
      </c>
      <c r="O199" s="84">
        <f>IF(AN199="","",AN199)</f>
        <v>0</v>
      </c>
      <c r="P199" s="83" t="str">
        <f t="shared" si="213"/>
        <v/>
      </c>
      <c r="Q199" s="84">
        <f>IF(AP199="","",AP199)</f>
        <v>0</v>
      </c>
      <c r="R199" s="83" t="str">
        <f t="shared" si="214"/>
        <v/>
      </c>
      <c r="S199" s="84">
        <f>IF(AR199="","",AR199)</f>
        <v>0</v>
      </c>
      <c r="T199" s="83" t="str">
        <f t="shared" si="215"/>
        <v/>
      </c>
      <c r="U199" s="84">
        <f>IF(AT199="","",AT199)</f>
        <v>0</v>
      </c>
      <c r="V199" s="83" t="str">
        <f t="shared" si="216"/>
        <v/>
      </c>
      <c r="W199" s="84">
        <f>IF(AV199="","",AV199)</f>
        <v>0</v>
      </c>
      <c r="AA199" s="81" t="s">
        <v>1799</v>
      </c>
      <c r="AB199" s="120"/>
      <c r="AC199" s="211">
        <f>ABS(SUM(AC187:AC189))+ABS(SUM(AC190:AC192))+ABS(SUM(AC193:AC195))+ABS(SUM(AC196:AC198))</f>
        <v>0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0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0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0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0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0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0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0</v>
      </c>
      <c r="AT199" s="121">
        <f>IF(AS199+AS209=0,0,IF(AS199=AS209,1,IF(AS199&gt;AS209,2,0)))</f>
        <v>0</v>
      </c>
      <c r="AU199" s="122">
        <f>SUM(AC199+AE199+AG199+AI199+AK199+AM199+AO199+AQ199+AS199)</f>
        <v>0</v>
      </c>
      <c r="AV199" s="123">
        <f>SUM(AD199+AF199+AH199+AJ199+AL199+AN199+AP199+AR199+AT199)</f>
        <v>0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4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0</v>
      </c>
      <c r="F200" s="86" t="str">
        <f t="shared" si="209"/>
        <v/>
      </c>
      <c r="G200" s="87">
        <f>IF(AF200="","",AF200)</f>
        <v>0</v>
      </c>
      <c r="H200" s="86" t="str">
        <f t="shared" si="210"/>
        <v/>
      </c>
      <c r="I200" s="87">
        <f>IF(AH200="","",AH200)</f>
        <v>0</v>
      </c>
      <c r="J200" s="86" t="str">
        <f t="shared" si="211"/>
        <v/>
      </c>
      <c r="K200" s="87">
        <f>IF(AJ200="","",AJ200)</f>
        <v>0</v>
      </c>
      <c r="L200" s="86" t="str">
        <f t="shared" si="212"/>
        <v/>
      </c>
      <c r="M200" s="87">
        <f>IF(AL200="","",AL200)</f>
        <v>0</v>
      </c>
      <c r="N200" s="86" t="str">
        <f t="shared" si="229"/>
        <v/>
      </c>
      <c r="O200" s="87">
        <f>IF(AN200="","",AN200)</f>
        <v>0</v>
      </c>
      <c r="P200" s="86" t="str">
        <f t="shared" si="213"/>
        <v/>
      </c>
      <c r="Q200" s="87">
        <f>IF(AP200="","",AP200)</f>
        <v>0</v>
      </c>
      <c r="R200" s="86" t="str">
        <f t="shared" si="214"/>
        <v/>
      </c>
      <c r="S200" s="87">
        <f>IF(AR200="","",AR200)</f>
        <v>0</v>
      </c>
      <c r="T200" s="86" t="str">
        <f t="shared" si="215"/>
        <v/>
      </c>
      <c r="U200" s="87">
        <f>IF(AT200="","",AT200)</f>
        <v>0</v>
      </c>
      <c r="V200" s="86" t="str">
        <f t="shared" si="216"/>
        <v/>
      </c>
      <c r="W200" s="87">
        <f>IF(AV200="","",AV200)</f>
        <v>0</v>
      </c>
      <c r="AA200" s="85" t="s">
        <v>1814</v>
      </c>
      <c r="AB200" s="86"/>
      <c r="AC200" s="86"/>
      <c r="AD200" s="124">
        <f>SUM(AD187:AD199)</f>
        <v>0</v>
      </c>
      <c r="AE200" s="86"/>
      <c r="AF200" s="124">
        <f>SUM(AF187:AF199)</f>
        <v>0</v>
      </c>
      <c r="AG200" s="86"/>
      <c r="AH200" s="124">
        <f>SUM(AH187:AH199)</f>
        <v>0</v>
      </c>
      <c r="AI200" s="86"/>
      <c r="AJ200" s="124">
        <f>SUM(AJ187:AJ199)</f>
        <v>0</v>
      </c>
      <c r="AK200" s="86"/>
      <c r="AL200" s="124">
        <f>SUM(AL187:AL199)</f>
        <v>0</v>
      </c>
      <c r="AM200" s="86"/>
      <c r="AN200" s="124">
        <f>SUM(AN187:AN199)</f>
        <v>0</v>
      </c>
      <c r="AO200" s="86"/>
      <c r="AP200" s="124">
        <f>SUM(AP187:AP199)</f>
        <v>0</v>
      </c>
      <c r="AQ200" s="86"/>
      <c r="AR200" s="124">
        <f>SUM(AR187:AR199)</f>
        <v>0</v>
      </c>
      <c r="AS200" s="86"/>
      <c r="AT200" s="124">
        <f>SUM(AT187:AT199)</f>
        <v>0</v>
      </c>
      <c r="AU200" s="86"/>
      <c r="AV200" s="125">
        <f>SUM(AV187:AV199)</f>
        <v>0</v>
      </c>
      <c r="AW200" s="101"/>
      <c r="AX200" s="102"/>
      <c r="BA200" s="212">
        <f>+AV200</f>
        <v>0</v>
      </c>
      <c r="BB200" s="213">
        <f>+AU199</f>
        <v>0</v>
      </c>
      <c r="BC200" s="214">
        <f>+AA182</f>
        <v>7</v>
      </c>
      <c r="BF200" s="215">
        <f>SUM(BF181:BF199)</f>
        <v>0</v>
      </c>
      <c r="BQ200" s="212">
        <f>+BB200/1000000+BA200</f>
        <v>0</v>
      </c>
      <c r="BR200" s="214">
        <f>RANK(BQ200,BQ:BQ)</f>
        <v>1</v>
      </c>
      <c r="BV200" s="214"/>
      <c r="BZ200" s="214"/>
    </row>
    <row r="201" spans="1:78" ht="11.25" customHeight="1" x14ac:dyDescent="0.3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3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46">
        <f t="shared" si="240"/>
        <v>1</v>
      </c>
      <c r="E202" s="346" t="str">
        <f t="shared" si="240"/>
        <v/>
      </c>
      <c r="F202" s="346">
        <f t="shared" si="240"/>
        <v>5</v>
      </c>
      <c r="G202" s="346" t="str">
        <f t="shared" si="240"/>
        <v/>
      </c>
      <c r="H202" s="346">
        <f t="shared" si="240"/>
        <v>9</v>
      </c>
      <c r="I202" s="346" t="str">
        <f t="shared" si="240"/>
        <v/>
      </c>
      <c r="J202" s="346">
        <f t="shared" si="240"/>
        <v>2</v>
      </c>
      <c r="K202" s="346" t="str">
        <f t="shared" si="240"/>
        <v/>
      </c>
      <c r="L202" s="346">
        <f t="shared" si="240"/>
        <v>10</v>
      </c>
      <c r="M202" s="346" t="str">
        <f t="shared" si="240"/>
        <v/>
      </c>
      <c r="N202" s="346">
        <f t="shared" si="240"/>
        <v>4</v>
      </c>
      <c r="O202" s="346" t="str">
        <f t="shared" si="240"/>
        <v/>
      </c>
      <c r="P202" s="346">
        <f t="shared" si="240"/>
        <v>6</v>
      </c>
      <c r="Q202" s="346" t="str">
        <f t="shared" si="240"/>
        <v/>
      </c>
      <c r="R202" s="346">
        <f t="shared" ref="L202:U204" si="241">IF(AQ202=0,"",AQ202)</f>
        <v>3</v>
      </c>
      <c r="S202" s="346" t="str">
        <f t="shared" si="241"/>
        <v/>
      </c>
      <c r="T202" s="346">
        <f t="shared" si="241"/>
        <v>8</v>
      </c>
      <c r="U202" s="346" t="str">
        <f t="shared" si="241"/>
        <v/>
      </c>
      <c r="V202" s="347"/>
      <c r="W202" s="347"/>
      <c r="AA202" s="88" t="s">
        <v>1797</v>
      </c>
      <c r="AB202" s="89" t="s">
        <v>1798</v>
      </c>
      <c r="AC202" s="370">
        <f>VLOOKUP($AA182,Schlüssel!$A$5:$DG$14,103)</f>
        <v>1</v>
      </c>
      <c r="AD202" s="371"/>
      <c r="AE202" s="370">
        <f>VLOOKUP($AA182,Schlüssel!$A$5:$EK$14,104)</f>
        <v>5</v>
      </c>
      <c r="AF202" s="371"/>
      <c r="AG202" s="370">
        <f>VLOOKUP($AA182,Schlüssel!$A$5:$EK$14,105)</f>
        <v>9</v>
      </c>
      <c r="AH202" s="371"/>
      <c r="AI202" s="370">
        <f>VLOOKUP($AA182,Schlüssel!$A$5:$EK$14,106)</f>
        <v>2</v>
      </c>
      <c r="AJ202" s="371"/>
      <c r="AK202" s="370">
        <f>VLOOKUP($AA182,Schlüssel!$A$5:$EK$14,107)</f>
        <v>10</v>
      </c>
      <c r="AL202" s="371"/>
      <c r="AM202" s="370">
        <f>VLOOKUP($AA182,Schlüssel!$A$5:$EK$14,108)</f>
        <v>4</v>
      </c>
      <c r="AN202" s="371"/>
      <c r="AO202" s="370">
        <f>VLOOKUP($AA182,Schlüssel!$A$5:$EK$14,109)</f>
        <v>6</v>
      </c>
      <c r="AP202" s="371"/>
      <c r="AQ202" s="370">
        <f>VLOOKUP($AA182,Schlüssel!$A$5:$EK$14,110)</f>
        <v>3</v>
      </c>
      <c r="AR202" s="371"/>
      <c r="AS202" s="370">
        <f>VLOOKUP($AA182,Schlüssel!$A$5:$EK$14,111)</f>
        <v>8</v>
      </c>
      <c r="AT202" s="371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35">
      <c r="B203" s="90" t="str">
        <f t="shared" ref="B203:K204" si="242">IF(AA203=0,"",AA203)</f>
        <v/>
      </c>
      <c r="C203" s="86" t="str">
        <f t="shared" si="242"/>
        <v/>
      </c>
      <c r="D203" s="343" t="str">
        <f t="shared" si="242"/>
        <v>Praetoria Regensburg</v>
      </c>
      <c r="E203" s="344" t="str">
        <f t="shared" si="242"/>
        <v/>
      </c>
      <c r="F203" s="343" t="str">
        <f t="shared" si="242"/>
        <v xml:space="preserve">Weiß Blau Unterföhring </v>
      </c>
      <c r="G203" s="344" t="str">
        <f t="shared" si="242"/>
        <v/>
      </c>
      <c r="H203" s="343" t="str">
        <f t="shared" si="242"/>
        <v>RW Lichtenhof 69 Stein 2</v>
      </c>
      <c r="I203" s="344" t="str">
        <f t="shared" si="242"/>
        <v/>
      </c>
      <c r="J203" s="343" t="str">
        <f t="shared" si="242"/>
        <v>BK München 2</v>
      </c>
      <c r="K203" s="344" t="str">
        <f t="shared" si="242"/>
        <v/>
      </c>
      <c r="L203" s="343" t="str">
        <f t="shared" si="241"/>
        <v>BK München 4</v>
      </c>
      <c r="M203" s="344" t="str">
        <f t="shared" si="241"/>
        <v/>
      </c>
      <c r="N203" s="343" t="str">
        <f t="shared" si="241"/>
        <v>BK München 3</v>
      </c>
      <c r="O203" s="344" t="str">
        <f t="shared" si="241"/>
        <v/>
      </c>
      <c r="P203" s="343" t="str">
        <f t="shared" si="241"/>
        <v>Phönix 03 Lauf</v>
      </c>
      <c r="Q203" s="344" t="str">
        <f t="shared" si="241"/>
        <v/>
      </c>
      <c r="R203" s="343" t="str">
        <f t="shared" si="241"/>
        <v>Highroller Rosenheim</v>
      </c>
      <c r="S203" s="344" t="str">
        <f t="shared" si="241"/>
        <v/>
      </c>
      <c r="T203" s="343" t="str">
        <f t="shared" si="241"/>
        <v>EPA München 1</v>
      </c>
      <c r="U203" s="344" t="str">
        <f t="shared" si="241"/>
        <v/>
      </c>
      <c r="V203" s="345"/>
      <c r="W203" s="345"/>
      <c r="AA203" s="90"/>
      <c r="AB203" s="86"/>
      <c r="AC203" s="343" t="str">
        <f>VLOOKUP(AC202,Schlüssel!$A$5:$K$14,2)</f>
        <v>Praetoria Regensburg</v>
      </c>
      <c r="AD203" s="344"/>
      <c r="AE203" s="343" t="str">
        <f>VLOOKUP(AE202,Schlüssel!$A$5:$K$14,2)</f>
        <v xml:space="preserve">Weiß Blau Unterföhring </v>
      </c>
      <c r="AF203" s="344"/>
      <c r="AG203" s="343" t="str">
        <f>VLOOKUP(AG202,Schlüssel!$A$5:$K$14,2)</f>
        <v>RW Lichtenhof 69 Stein 2</v>
      </c>
      <c r="AH203" s="344"/>
      <c r="AI203" s="343" t="str">
        <f>VLOOKUP(AI202,Schlüssel!$A$5:$K$14,2)</f>
        <v>BK München 2</v>
      </c>
      <c r="AJ203" s="344"/>
      <c r="AK203" s="343" t="str">
        <f>VLOOKUP(AK202,Schlüssel!$A$5:$K$14,2)</f>
        <v>BK München 4</v>
      </c>
      <c r="AL203" s="344"/>
      <c r="AM203" s="343" t="str">
        <f>VLOOKUP(AM202,Schlüssel!$A$5:$K$14,2)</f>
        <v>BK München 3</v>
      </c>
      <c r="AN203" s="344"/>
      <c r="AO203" s="343" t="str">
        <f>VLOOKUP(AO202,Schlüssel!$A$5:$K$14,2)</f>
        <v>Phönix 03 Lauf</v>
      </c>
      <c r="AP203" s="344"/>
      <c r="AQ203" s="343" t="str">
        <f>VLOOKUP(AQ202,Schlüssel!$A$5:$K$14,2)</f>
        <v>Highroller Rosenheim</v>
      </c>
      <c r="AR203" s="344"/>
      <c r="AS203" s="343" t="str">
        <f>VLOOKUP(AS202,Schlüssel!$A$5:$K$14,2)</f>
        <v>EPA München 1</v>
      </c>
      <c r="AT203" s="344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35">
      <c r="B204" s="90" t="str">
        <f t="shared" si="242"/>
        <v/>
      </c>
      <c r="C204" s="86" t="str">
        <f t="shared" si="242"/>
        <v/>
      </c>
      <c r="D204" s="341" t="str">
        <f t="shared" si="242"/>
        <v/>
      </c>
      <c r="E204" s="341" t="str">
        <f t="shared" si="242"/>
        <v/>
      </c>
      <c r="F204" s="341" t="str">
        <f t="shared" si="242"/>
        <v/>
      </c>
      <c r="G204" s="341" t="str">
        <f t="shared" si="242"/>
        <v/>
      </c>
      <c r="H204" s="341" t="str">
        <f t="shared" si="242"/>
        <v/>
      </c>
      <c r="I204" s="341" t="str">
        <f t="shared" si="242"/>
        <v/>
      </c>
      <c r="J204" s="341" t="str">
        <f t="shared" si="242"/>
        <v/>
      </c>
      <c r="K204" s="341" t="str">
        <f t="shared" si="242"/>
        <v/>
      </c>
      <c r="L204" s="341" t="str">
        <f t="shared" si="241"/>
        <v/>
      </c>
      <c r="M204" s="341" t="str">
        <f t="shared" si="241"/>
        <v/>
      </c>
      <c r="N204" s="341" t="str">
        <f t="shared" si="241"/>
        <v/>
      </c>
      <c r="O204" s="341" t="str">
        <f t="shared" si="241"/>
        <v/>
      </c>
      <c r="P204" s="341" t="str">
        <f t="shared" si="241"/>
        <v/>
      </c>
      <c r="Q204" s="341" t="str">
        <f t="shared" si="241"/>
        <v/>
      </c>
      <c r="R204" s="341" t="str">
        <f t="shared" si="241"/>
        <v/>
      </c>
      <c r="S204" s="341" t="str">
        <f t="shared" si="241"/>
        <v/>
      </c>
      <c r="T204" s="341" t="str">
        <f t="shared" si="241"/>
        <v/>
      </c>
      <c r="U204" s="342" t="str">
        <f t="shared" si="241"/>
        <v/>
      </c>
      <c r="V204" s="301"/>
      <c r="W204" s="301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6.05" customHeight="1" x14ac:dyDescent="0.35">
      <c r="B205" s="365" t="str">
        <f t="shared" ref="B205:C209" si="243">IF(AA205=0,"",AA205)</f>
        <v>Spieler 1</v>
      </c>
      <c r="C205" s="366" t="str">
        <f t="shared" si="243"/>
        <v/>
      </c>
      <c r="D205" s="339">
        <f>IF(AC205=301,"",AC205)</f>
        <v>0</v>
      </c>
      <c r="E205" s="339" t="str">
        <f>IF(AD205=0,"",AD205)</f>
        <v/>
      </c>
      <c r="F205" s="339">
        <f>IF(AE205=301,"",AE205)</f>
        <v>0</v>
      </c>
      <c r="G205" s="339" t="str">
        <f>IF(AF205=0,"",AF205)</f>
        <v/>
      </c>
      <c r="H205" s="339">
        <f>IF(AG205=301,"",AG205)</f>
        <v>0</v>
      </c>
      <c r="I205" s="339" t="str">
        <f>IF(AH205=0,"",AH205)</f>
        <v/>
      </c>
      <c r="J205" s="339">
        <f>IF(AI205=301,"",AI205)</f>
        <v>0</v>
      </c>
      <c r="K205" s="339" t="str">
        <f>IF(AJ205=0,"",AJ205)</f>
        <v/>
      </c>
      <c r="L205" s="339">
        <f>IF(AK205=301,"",AK205)</f>
        <v>0</v>
      </c>
      <c r="M205" s="339" t="str">
        <f>IF(AL205=0,"",AL205)</f>
        <v/>
      </c>
      <c r="N205" s="339">
        <f>IF(AM205=301,"",AM205)</f>
        <v>0</v>
      </c>
      <c r="O205" s="339" t="str">
        <f>IF(AN205=0,"",AN205)</f>
        <v/>
      </c>
      <c r="P205" s="339">
        <f>IF(AO205=301,"",AO205)</f>
        <v>0</v>
      </c>
      <c r="Q205" s="339" t="str">
        <f>IF(AP205=0,"",AP205)</f>
        <v/>
      </c>
      <c r="R205" s="339">
        <f>IF(AQ205=301,"",AQ205)</f>
        <v>0</v>
      </c>
      <c r="S205" s="339" t="str">
        <f>IF(AR205=0,"",AR205)</f>
        <v/>
      </c>
      <c r="T205" s="339">
        <f>IF(AS205=301,"",AS205)</f>
        <v>0</v>
      </c>
      <c r="U205" s="339" t="str">
        <f>IF(AT205=0,"",AT205)</f>
        <v/>
      </c>
      <c r="V205" s="340"/>
      <c r="W205" s="340"/>
      <c r="AA205" s="91" t="s">
        <v>0</v>
      </c>
      <c r="AB205" s="92"/>
      <c r="AC205" s="372">
        <f>ABS(INDEX(AC:AC,MATCH(AC202,$AA:$AA,0)+5)+INDEX(AC:AC,MATCH(AC202,$AA:$AA,0)+6)+INDEX(AC:AC,MATCH(AC202,$AA:$AA,0)+7))</f>
        <v>0</v>
      </c>
      <c r="AD205" s="373"/>
      <c r="AE205" s="372">
        <f>ABS(INDEX(AE:AE,MATCH(AE202,$AA:$AA,0)+5)+INDEX(AE:AE,MATCH(AE202,$AA:$AA,0)+6)+INDEX(AE:AE,MATCH(AE202,$AA:$AA,0)+7))</f>
        <v>0</v>
      </c>
      <c r="AF205" s="373"/>
      <c r="AG205" s="372">
        <f>ABS(INDEX(AG:AG,MATCH(AG202,$AA:$AA,0)+5)+INDEX(AG:AG,MATCH(AG202,$AA:$AA,0)+6)+INDEX(AG:AG,MATCH(AG202,$AA:$AA,0)+7))</f>
        <v>0</v>
      </c>
      <c r="AH205" s="373"/>
      <c r="AI205" s="372">
        <f>ABS(INDEX(AI:AI,MATCH(AI202,$AA:$AA,0)+5)+INDEX(AI:AI,MATCH(AI202,$AA:$AA,0)+6)+INDEX(AI:AI,MATCH(AI202,$AA:$AA,0)+7))</f>
        <v>0</v>
      </c>
      <c r="AJ205" s="373"/>
      <c r="AK205" s="372">
        <f>ABS(INDEX(AK:AK,MATCH(AK202,$AA:$AA,0)+5)+INDEX(AK:AK,MATCH(AK202,$AA:$AA,0)+6)+INDEX(AK:AK,MATCH(AK202,$AA:$AA,0)+7))</f>
        <v>0</v>
      </c>
      <c r="AL205" s="373"/>
      <c r="AM205" s="372">
        <f>ABS(INDEX(AM:AM,MATCH(AM202,$AA:$AA,0)+5)+INDEX(AM:AM,MATCH(AM202,$AA:$AA,0)+6)+INDEX(AM:AM,MATCH(AM202,$AA:$AA,0)+7))</f>
        <v>0</v>
      </c>
      <c r="AN205" s="373"/>
      <c r="AO205" s="372">
        <f>ABS(INDEX(AO:AO,MATCH(AO202,$AA:$AA,0)+5)+INDEX(AO:AO,MATCH(AO202,$AA:$AA,0)+6)+INDEX(AO:AO,MATCH(AO202,$AA:$AA,0)+7))</f>
        <v>0</v>
      </c>
      <c r="AP205" s="373"/>
      <c r="AQ205" s="372">
        <f>ABS(INDEX(AQ:AQ,MATCH(AQ202,$AA:$AA,0)+5)+INDEX(AQ:AQ,MATCH(AQ202,$AA:$AA,0)+6)+INDEX(AQ:AQ,MATCH(AQ202,$AA:$AA,0)+7))</f>
        <v>0</v>
      </c>
      <c r="AR205" s="373"/>
      <c r="AS205" s="372">
        <f>ABS(INDEX(AS:AS,MATCH(AS202,$AA:$AA,0)+5)+INDEX(AS:AS,MATCH(AS202,$AA:$AA,0)+6)+INDEX(AS:AS,MATCH(AS202,$AA:$AA,0)+7))</f>
        <v>0</v>
      </c>
      <c r="AT205" s="373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6.05" customHeight="1" x14ac:dyDescent="0.35">
      <c r="B206" s="365" t="str">
        <f t="shared" si="243"/>
        <v>Spieler 2</v>
      </c>
      <c r="C206" s="366" t="str">
        <f t="shared" si="243"/>
        <v/>
      </c>
      <c r="D206" s="339">
        <f>IF(AC206=301,"",AC206)</f>
        <v>0</v>
      </c>
      <c r="E206" s="339" t="str">
        <f>IF(AD206=0,"",AD206)</f>
        <v/>
      </c>
      <c r="F206" s="339">
        <f>IF(AE206=301,"",AE206)</f>
        <v>0</v>
      </c>
      <c r="G206" s="339" t="str">
        <f>IF(AF206=0,"",AF206)</f>
        <v/>
      </c>
      <c r="H206" s="339">
        <f>IF(AG206=301,"",AG206)</f>
        <v>0</v>
      </c>
      <c r="I206" s="339" t="str">
        <f>IF(AH206=0,"",AH206)</f>
        <v/>
      </c>
      <c r="J206" s="339">
        <f>IF(AI206=301,"",AI206)</f>
        <v>0</v>
      </c>
      <c r="K206" s="339" t="str">
        <f>IF(AJ206=0,"",AJ206)</f>
        <v/>
      </c>
      <c r="L206" s="339">
        <f>IF(AK206=301,"",AK206)</f>
        <v>0</v>
      </c>
      <c r="M206" s="339" t="str">
        <f>IF(AL206=0,"",AL206)</f>
        <v/>
      </c>
      <c r="N206" s="339">
        <f>IF(AM206=301,"",AM206)</f>
        <v>0</v>
      </c>
      <c r="O206" s="339" t="str">
        <f>IF(AN206=0,"",AN206)</f>
        <v/>
      </c>
      <c r="P206" s="339">
        <f>IF(AO206=301,"",AO206)</f>
        <v>0</v>
      </c>
      <c r="Q206" s="339" t="str">
        <f>IF(AP206=0,"",AP206)</f>
        <v/>
      </c>
      <c r="R206" s="339">
        <f>IF(AQ206=301,"",AQ206)</f>
        <v>0</v>
      </c>
      <c r="S206" s="339" t="str">
        <f>IF(AR206=0,"",AR206)</f>
        <v/>
      </c>
      <c r="T206" s="339">
        <f>IF(AS206=301,"",AS206)</f>
        <v>0</v>
      </c>
      <c r="U206" s="339" t="str">
        <f>IF(AT206=0,"",AT206)</f>
        <v/>
      </c>
      <c r="V206" s="340"/>
      <c r="W206" s="340"/>
      <c r="AA206" s="91" t="s">
        <v>2</v>
      </c>
      <c r="AB206" s="92"/>
      <c r="AC206" s="374">
        <f>ABS(INDEX(AC:AC,MATCH(AC202,$AA:$AA,0)+8)+INDEX(AC:AC,MATCH(AC202,$AA:$AA,0)+9)+INDEX(AC:AC,MATCH(AC202,$AA:$AA,0)+10))</f>
        <v>0</v>
      </c>
      <c r="AD206" s="375"/>
      <c r="AE206" s="374">
        <f>ABS(INDEX(AE:AE,MATCH(AE202,$AA:$AA,0)+8)+INDEX(AE:AE,MATCH(AE202,$AA:$AA,0)+9)+INDEX(AE:AE,MATCH(AE202,$AA:$AA,0)+10))</f>
        <v>0</v>
      </c>
      <c r="AF206" s="375"/>
      <c r="AG206" s="374">
        <f>ABS(INDEX(AG:AG,MATCH(AG202,$AA:$AA,0)+8)+INDEX(AG:AG,MATCH(AG202,$AA:$AA,0)+9)+INDEX(AG:AG,MATCH(AG202,$AA:$AA,0)+10))</f>
        <v>0</v>
      </c>
      <c r="AH206" s="375"/>
      <c r="AI206" s="374">
        <f>ABS(INDEX(AI:AI,MATCH(AI202,$AA:$AA,0)+8)+INDEX(AI:AI,MATCH(AI202,$AA:$AA,0)+9)+INDEX(AI:AI,MATCH(AI202,$AA:$AA,0)+10))</f>
        <v>0</v>
      </c>
      <c r="AJ206" s="375"/>
      <c r="AK206" s="374">
        <f>ABS(INDEX(AK:AK,MATCH(AK202,$AA:$AA,0)+8)+INDEX(AK:AK,MATCH(AK202,$AA:$AA,0)+9)+INDEX(AK:AK,MATCH(AK202,$AA:$AA,0)+10))</f>
        <v>0</v>
      </c>
      <c r="AL206" s="375"/>
      <c r="AM206" s="374">
        <f>ABS(INDEX(AM:AM,MATCH(AM202,$AA:$AA,0)+8)+INDEX(AM:AM,MATCH(AM202,$AA:$AA,0)+9)+INDEX(AM:AM,MATCH(AM202,$AA:$AA,0)+10))</f>
        <v>0</v>
      </c>
      <c r="AN206" s="375"/>
      <c r="AO206" s="374">
        <f>ABS(INDEX(AO:AO,MATCH(AO202,$AA:$AA,0)+8)+INDEX(AO:AO,MATCH(AO202,$AA:$AA,0)+9)+INDEX(AO:AO,MATCH(AO202,$AA:$AA,0)+10))</f>
        <v>0</v>
      </c>
      <c r="AP206" s="375"/>
      <c r="AQ206" s="374">
        <f>ABS(INDEX(AQ:AQ,MATCH(AQ202,$AA:$AA,0)+8)+INDEX(AQ:AQ,MATCH(AQ202,$AA:$AA,0)+9)+INDEX(AQ:AQ,MATCH(AQ202,$AA:$AA,0)+10))</f>
        <v>0</v>
      </c>
      <c r="AR206" s="375"/>
      <c r="AS206" s="374">
        <f>ABS(INDEX(AS:AS,MATCH(AS202,$AA:$AA,0)+8)+INDEX(AS:AS,MATCH(AS202,$AA:$AA,0)+9)+INDEX(AS:AS,MATCH(AS202,$AA:$AA,0)+10))</f>
        <v>0</v>
      </c>
      <c r="AT206" s="375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6.05" customHeight="1" x14ac:dyDescent="0.35">
      <c r="B207" s="365" t="str">
        <f t="shared" si="243"/>
        <v>Spieler 3</v>
      </c>
      <c r="C207" s="366" t="str">
        <f t="shared" si="243"/>
        <v/>
      </c>
      <c r="D207" s="339">
        <f>IF(AC207=301,"",AC207)</f>
        <v>0</v>
      </c>
      <c r="E207" s="339" t="str">
        <f>IF(AD207=0,"",AD207)</f>
        <v/>
      </c>
      <c r="F207" s="339">
        <f>IF(AE207=301,"",AE207)</f>
        <v>0</v>
      </c>
      <c r="G207" s="339" t="str">
        <f>IF(AF207=0,"",AF207)</f>
        <v/>
      </c>
      <c r="H207" s="339">
        <f>IF(AG207=301,"",AG207)</f>
        <v>0</v>
      </c>
      <c r="I207" s="339" t="str">
        <f>IF(AH207=0,"",AH207)</f>
        <v/>
      </c>
      <c r="J207" s="339">
        <f>IF(AI207=301,"",AI207)</f>
        <v>0</v>
      </c>
      <c r="K207" s="339" t="str">
        <f>IF(AJ207=0,"",AJ207)</f>
        <v/>
      </c>
      <c r="L207" s="339">
        <f>IF(AK207=301,"",AK207)</f>
        <v>0</v>
      </c>
      <c r="M207" s="339" t="str">
        <f>IF(AL207=0,"",AL207)</f>
        <v/>
      </c>
      <c r="N207" s="339">
        <f>IF(AM207=301,"",AM207)</f>
        <v>0</v>
      </c>
      <c r="O207" s="339" t="str">
        <f>IF(AN207=0,"",AN207)</f>
        <v/>
      </c>
      <c r="P207" s="339">
        <f>IF(AO207=301,"",AO207)</f>
        <v>0</v>
      </c>
      <c r="Q207" s="339" t="str">
        <f>IF(AP207=0,"",AP207)</f>
        <v/>
      </c>
      <c r="R207" s="339">
        <f>IF(AQ207=301,"",AQ207)</f>
        <v>0</v>
      </c>
      <c r="S207" s="339" t="str">
        <f>IF(AR207=0,"",AR207)</f>
        <v/>
      </c>
      <c r="T207" s="339">
        <f>IF(AS207=301,"",AS207)</f>
        <v>0</v>
      </c>
      <c r="U207" s="339" t="str">
        <f>IF(AT207=0,"",AT207)</f>
        <v/>
      </c>
      <c r="V207" s="340"/>
      <c r="W207" s="340"/>
      <c r="AA207" s="91" t="s">
        <v>3</v>
      </c>
      <c r="AB207" s="92"/>
      <c r="AC207" s="374">
        <f>ABS(INDEX(AC:AC,MATCH(AC202,$AA:$AA,0)+11)+INDEX(AC:AC,MATCH(AC202,$AA:$AA,0)+12)+INDEX(AC:AC,MATCH(AC202,$AA:$AA,0)+13))</f>
        <v>0</v>
      </c>
      <c r="AD207" s="375"/>
      <c r="AE207" s="374">
        <f>ABS(INDEX(AE:AE,MATCH(AE202,$AA:$AA,0)+11)+INDEX(AE:AE,MATCH(AE202,$AA:$AA,0)+12)+INDEX(AE:AE,MATCH(AE202,$AA:$AA,0)+13))</f>
        <v>0</v>
      </c>
      <c r="AF207" s="375"/>
      <c r="AG207" s="374">
        <f>ABS(INDEX(AG:AG,MATCH(AG202,$AA:$AA,0)+11)+INDEX(AG:AG,MATCH(AG202,$AA:$AA,0)+12)+INDEX(AG:AG,MATCH(AG202,$AA:$AA,0)+13))</f>
        <v>0</v>
      </c>
      <c r="AH207" s="375"/>
      <c r="AI207" s="374">
        <f>ABS(INDEX(AI:AI,MATCH(AI202,$AA:$AA,0)+11)+INDEX(AI:AI,MATCH(AI202,$AA:$AA,0)+12)+INDEX(AI:AI,MATCH(AI202,$AA:$AA,0)+13))</f>
        <v>0</v>
      </c>
      <c r="AJ207" s="375"/>
      <c r="AK207" s="374">
        <f>ABS(INDEX(AK:AK,MATCH(AK202,$AA:$AA,0)+11)+INDEX(AK:AK,MATCH(AK202,$AA:$AA,0)+12)+INDEX(AK:AK,MATCH(AK202,$AA:$AA,0)+13))</f>
        <v>0</v>
      </c>
      <c r="AL207" s="375"/>
      <c r="AM207" s="374">
        <f>ABS(INDEX(AM:AM,MATCH(AM202,$AA:$AA,0)+11)+INDEX(AM:AM,MATCH(AM202,$AA:$AA,0)+12)+INDEX(AM:AM,MATCH(AM202,$AA:$AA,0)+13))</f>
        <v>0</v>
      </c>
      <c r="AN207" s="375"/>
      <c r="AO207" s="374">
        <f>ABS(INDEX(AO:AO,MATCH(AO202,$AA:$AA,0)+11)+INDEX(AO:AO,MATCH(AO202,$AA:$AA,0)+12)+INDEX(AO:AO,MATCH(AO202,$AA:$AA,0)+13))</f>
        <v>0</v>
      </c>
      <c r="AP207" s="375"/>
      <c r="AQ207" s="374">
        <f>ABS(INDEX(AQ:AQ,MATCH(AQ202,$AA:$AA,0)+11)+INDEX(AQ:AQ,MATCH(AQ202,$AA:$AA,0)+12)+INDEX(AQ:AQ,MATCH(AQ202,$AA:$AA,0)+13))</f>
        <v>0</v>
      </c>
      <c r="AR207" s="375"/>
      <c r="AS207" s="374">
        <f>ABS(INDEX(AS:AS,MATCH(AS202,$AA:$AA,0)+11)+INDEX(AS:AS,MATCH(AS202,$AA:$AA,0)+12)+INDEX(AS:AS,MATCH(AS202,$AA:$AA,0)+13))</f>
        <v>0</v>
      </c>
      <c r="AT207" s="375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6.05" customHeight="1" x14ac:dyDescent="0.35">
      <c r="B208" s="365" t="str">
        <f t="shared" si="243"/>
        <v>Spieler 4</v>
      </c>
      <c r="C208" s="366" t="str">
        <f t="shared" si="243"/>
        <v/>
      </c>
      <c r="D208" s="339">
        <f>IF(AC208=301,"",AC208)</f>
        <v>0</v>
      </c>
      <c r="E208" s="339" t="str">
        <f>IF(AD208=0,"",AD208)</f>
        <v/>
      </c>
      <c r="F208" s="339">
        <f>IF(AE208=301,"",AE208)</f>
        <v>0</v>
      </c>
      <c r="G208" s="339" t="str">
        <f>IF(AF208=0,"",AF208)</f>
        <v/>
      </c>
      <c r="H208" s="339">
        <f>IF(AG208=301,"",AG208)</f>
        <v>0</v>
      </c>
      <c r="I208" s="339" t="str">
        <f>IF(AH208=0,"",AH208)</f>
        <v/>
      </c>
      <c r="J208" s="339">
        <f>IF(AI208=301,"",AI208)</f>
        <v>0</v>
      </c>
      <c r="K208" s="339" t="str">
        <f>IF(AJ208=0,"",AJ208)</f>
        <v/>
      </c>
      <c r="L208" s="339">
        <f>IF(AK208=301,"",AK208)</f>
        <v>0</v>
      </c>
      <c r="M208" s="339" t="str">
        <f>IF(AL208=0,"",AL208)</f>
        <v/>
      </c>
      <c r="N208" s="339">
        <f>IF(AM208=301,"",AM208)</f>
        <v>0</v>
      </c>
      <c r="O208" s="339" t="str">
        <f>IF(AN208=0,"",AN208)</f>
        <v/>
      </c>
      <c r="P208" s="339">
        <f>IF(AO208=301,"",AO208)</f>
        <v>0</v>
      </c>
      <c r="Q208" s="339" t="str">
        <f>IF(AP208=0,"",AP208)</f>
        <v/>
      </c>
      <c r="R208" s="339">
        <f>IF(AQ208=301,"",AQ208)</f>
        <v>0</v>
      </c>
      <c r="S208" s="339" t="str">
        <f>IF(AR208=0,"",AR208)</f>
        <v/>
      </c>
      <c r="T208" s="339">
        <f>IF(AS208=301,"",AS208)</f>
        <v>0</v>
      </c>
      <c r="U208" s="339" t="str">
        <f>IF(AT208=0,"",AT208)</f>
        <v/>
      </c>
      <c r="V208" s="340"/>
      <c r="W208" s="340"/>
      <c r="AA208" s="91" t="s">
        <v>11</v>
      </c>
      <c r="AB208" s="92"/>
      <c r="AC208" s="374">
        <f>ABS(INDEX(AC:AC,MATCH(AC202,$AA:$AA,0)+14)+INDEX(AC:AC,MATCH(AC202,$AA:$AA,0)+15)+INDEX(AC:AC,MATCH(AC202,$AA:$AA,0)+16))</f>
        <v>0</v>
      </c>
      <c r="AD208" s="375"/>
      <c r="AE208" s="374">
        <f>ABS(INDEX(AE:AE,MATCH(AE202,$AA:$AA,0)+14)+INDEX(AE:AE,MATCH(AE202,$AA:$AA,0)+15)+INDEX(AE:AE,MATCH(AE202,$AA:$AA,0)+16))</f>
        <v>0</v>
      </c>
      <c r="AF208" s="375"/>
      <c r="AG208" s="374">
        <f>ABS(INDEX(AG:AG,MATCH(AG202,$AA:$AA,0)+14)+INDEX(AG:AG,MATCH(AG202,$AA:$AA,0)+15)+INDEX(AG:AG,MATCH(AG202,$AA:$AA,0)+16))</f>
        <v>0</v>
      </c>
      <c r="AH208" s="375"/>
      <c r="AI208" s="374">
        <f>ABS(INDEX(AI:AI,MATCH(AI202,$AA:$AA,0)+14)+INDEX(AI:AI,MATCH(AI202,$AA:$AA,0)+15)+INDEX(AI:AI,MATCH(AI202,$AA:$AA,0)+16))</f>
        <v>0</v>
      </c>
      <c r="AJ208" s="375"/>
      <c r="AK208" s="374">
        <f>ABS(INDEX(AK:AK,MATCH(AK202,$AA:$AA,0)+14)+INDEX(AK:AK,MATCH(AK202,$AA:$AA,0)+15)+INDEX(AK:AK,MATCH(AK202,$AA:$AA,0)+16))</f>
        <v>0</v>
      </c>
      <c r="AL208" s="375"/>
      <c r="AM208" s="374">
        <f>ABS(INDEX(AM:AM,MATCH(AM202,$AA:$AA,0)+14)+INDEX(AM:AM,MATCH(AM202,$AA:$AA,0)+15)+INDEX(AM:AM,MATCH(AM202,$AA:$AA,0)+16))</f>
        <v>0</v>
      </c>
      <c r="AN208" s="375"/>
      <c r="AO208" s="374">
        <f>ABS(INDEX(AO:AO,MATCH(AO202,$AA:$AA,0)+14)+INDEX(AO:AO,MATCH(AO202,$AA:$AA,0)+15)+INDEX(AO:AO,MATCH(AO202,$AA:$AA,0)+16))</f>
        <v>0</v>
      </c>
      <c r="AP208" s="375"/>
      <c r="AQ208" s="374">
        <f>ABS(INDEX(AQ:AQ,MATCH(AQ202,$AA:$AA,0)+14)+INDEX(AQ:AQ,MATCH(AQ202,$AA:$AA,0)+15)+INDEX(AQ:AQ,MATCH(AQ202,$AA:$AA,0)+16))</f>
        <v>0</v>
      </c>
      <c r="AR208" s="375"/>
      <c r="AS208" s="374">
        <f>ABS(INDEX(AS:AS,MATCH(AS202,$AA:$AA,0)+14)+INDEX(AS:AS,MATCH(AS202,$AA:$AA,0)+15)+INDEX(AS:AS,MATCH(AS202,$AA:$AA,0)+16))</f>
        <v>0</v>
      </c>
      <c r="AT208" s="375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6.05" customHeight="1" x14ac:dyDescent="0.35">
      <c r="B209" s="354" t="str">
        <f t="shared" si="243"/>
        <v>Gesamt</v>
      </c>
      <c r="C209" s="355" t="str">
        <f t="shared" si="243"/>
        <v/>
      </c>
      <c r="D209" s="338">
        <f>IF(AC209=1505,"",AC209)</f>
        <v>0</v>
      </c>
      <c r="E209" s="338" t="str">
        <f>IF(AD209=0,"",AD209)</f>
        <v/>
      </c>
      <c r="F209" s="338">
        <f>IF(AE209=1505,"",AE209)</f>
        <v>0</v>
      </c>
      <c r="G209" s="338" t="str">
        <f>IF(AF209=0,"",AF209)</f>
        <v/>
      </c>
      <c r="H209" s="338">
        <f>IF(AG209=1505,"",AG209)</f>
        <v>0</v>
      </c>
      <c r="I209" s="338" t="str">
        <f>IF(AH209=0,"",AH209)</f>
        <v/>
      </c>
      <c r="J209" s="338">
        <f>IF(AI209=1505,"",AI209)</f>
        <v>0</v>
      </c>
      <c r="K209" s="338" t="str">
        <f>IF(AJ209=0,"",AJ209)</f>
        <v/>
      </c>
      <c r="L209" s="338">
        <f>IF(AK209=1505,"",AK209)</f>
        <v>0</v>
      </c>
      <c r="M209" s="338" t="str">
        <f>IF(AL209=0,"",AL209)</f>
        <v/>
      </c>
      <c r="N209" s="338">
        <f>IF(AM209=1505,"",AM209)</f>
        <v>0</v>
      </c>
      <c r="O209" s="338" t="str">
        <f>IF(AN209=0,"",AN209)</f>
        <v/>
      </c>
      <c r="P209" s="338">
        <f>IF(AO209=1505,"",AO209)</f>
        <v>0</v>
      </c>
      <c r="Q209" s="338" t="str">
        <f>IF(AP209=0,"",AP209)</f>
        <v/>
      </c>
      <c r="R209" s="338">
        <f>IF(AQ209=1505,"",AQ209)</f>
        <v>0</v>
      </c>
      <c r="S209" s="338" t="str">
        <f>IF(AR209=0,"",AR209)</f>
        <v/>
      </c>
      <c r="T209" s="338">
        <f>IF(AS209=1505,"",AS209)</f>
        <v>0</v>
      </c>
      <c r="U209" s="338" t="str">
        <f>IF(AT209=0,"",AT209)</f>
        <v/>
      </c>
      <c r="V209" s="290"/>
      <c r="W209" s="290"/>
      <c r="AA209" s="93" t="s">
        <v>1799</v>
      </c>
      <c r="AB209" s="94"/>
      <c r="AC209" s="354">
        <f>SUM(AC205:AC208)</f>
        <v>0</v>
      </c>
      <c r="AD209" s="355"/>
      <c r="AE209" s="354">
        <f>SUM(AE205:AE208)</f>
        <v>0</v>
      </c>
      <c r="AF209" s="355"/>
      <c r="AG209" s="354">
        <f>SUM(AG205:AG208)</f>
        <v>0</v>
      </c>
      <c r="AH209" s="355"/>
      <c r="AI209" s="354">
        <f>SUM(AI205:AI208)</f>
        <v>0</v>
      </c>
      <c r="AJ209" s="355"/>
      <c r="AK209" s="354">
        <f>SUM(AK205:AK208)</f>
        <v>0</v>
      </c>
      <c r="AL209" s="355"/>
      <c r="AM209" s="354">
        <f>SUM(AM205:AM208)</f>
        <v>0</v>
      </c>
      <c r="AN209" s="355"/>
      <c r="AO209" s="354">
        <f>SUM(AO205:AO208)</f>
        <v>0</v>
      </c>
      <c r="AP209" s="355"/>
      <c r="AQ209" s="354">
        <f>SUM(AQ205:AQ208)</f>
        <v>0</v>
      </c>
      <c r="AR209" s="355"/>
      <c r="AS209" s="354">
        <f>SUM(AS205:AS208)</f>
        <v>0</v>
      </c>
      <c r="AT209" s="355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3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7">
      <c r="B211" s="44" t="str">
        <f>AA211</f>
        <v>Team-Nr.</v>
      </c>
      <c r="C211" s="45"/>
      <c r="D211" s="44" t="str">
        <f>AC211</f>
        <v>Liga:</v>
      </c>
      <c r="E211" s="47"/>
      <c r="F211" s="359" t="str">
        <f>AE211</f>
        <v>Bayernliga Frauen</v>
      </c>
      <c r="G211" s="359"/>
      <c r="H211" s="359"/>
      <c r="I211" s="359"/>
      <c r="J211" s="359"/>
      <c r="K211" s="359"/>
      <c r="L211" s="359"/>
      <c r="M211" s="359"/>
      <c r="N211" s="359"/>
      <c r="O211" s="359"/>
      <c r="P211" s="359"/>
      <c r="Q211" s="359"/>
      <c r="R211" s="48"/>
      <c r="S211" s="49" t="s">
        <v>1794</v>
      </c>
      <c r="T211" s="50"/>
      <c r="U211" s="360" t="str">
        <f>AT211</f>
        <v>05.04./06.04.</v>
      </c>
      <c r="V211" s="361"/>
      <c r="W211" s="362"/>
      <c r="X211" s="363"/>
      <c r="Y211" s="364"/>
      <c r="Z211" s="364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60" t="str">
        <f>VLOOKUP(AS212,Spielorte!$A$1:$C$6,2)</f>
        <v>05.04./06.04.</v>
      </c>
      <c r="AU211" s="361"/>
      <c r="AV211" s="362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65">
      <c r="B212" s="53">
        <f>AA212</f>
        <v>8</v>
      </c>
      <c r="D212" s="46" t="s">
        <v>1793</v>
      </c>
      <c r="E212" s="54"/>
      <c r="F212" s="358" t="str">
        <f>AE212</f>
        <v>Schweinfurt Extreme Bowlingarena</v>
      </c>
      <c r="G212" s="358"/>
      <c r="H212" s="358"/>
      <c r="I212" s="358"/>
      <c r="J212" s="358"/>
      <c r="K212" s="358"/>
      <c r="L212" s="358"/>
      <c r="M212" s="358"/>
      <c r="N212" s="358"/>
      <c r="O212" s="358"/>
      <c r="P212" s="55"/>
      <c r="Q212" s="55"/>
      <c r="S212" s="49" t="s">
        <v>1791</v>
      </c>
      <c r="T212" s="56">
        <f>AS212</f>
        <v>6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Schweinfurt Extreme Bowlingarena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6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4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5" thickBot="1" x14ac:dyDescent="0.45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VLOOKUP(AA212,Schlüssel!$A$5:$DZ$14,113)</f>
        <v>2</v>
      </c>
      <c r="AE214" s="65" t="s">
        <v>10</v>
      </c>
      <c r="AF214" s="44">
        <f>VLOOKUP(AA212,Schlüssel!$A$5:$DZ$14,114)</f>
        <v>9</v>
      </c>
      <c r="AG214" s="65" t="s">
        <v>10</v>
      </c>
      <c r="AH214" s="44">
        <f>VLOOKUP(AA212,Schlüssel!$A$5:$DZ$14,115)</f>
        <v>8</v>
      </c>
      <c r="AI214" s="65" t="s">
        <v>10</v>
      </c>
      <c r="AJ214" s="44">
        <f>VLOOKUP(AA212,Schlüssel!$A$5:$DZ$14,116)</f>
        <v>1</v>
      </c>
      <c r="AK214" s="65" t="s">
        <v>10</v>
      </c>
      <c r="AL214" s="44">
        <f>VLOOKUP(AA212,Schlüssel!$A$5:$DZ$14,117)</f>
        <v>5</v>
      </c>
      <c r="AM214" s="65" t="s">
        <v>10</v>
      </c>
      <c r="AN214" s="44">
        <f>VLOOKUP(AA212,Schlüssel!$A$5:$DZ$14,118)</f>
        <v>4</v>
      </c>
      <c r="AO214" s="65" t="s">
        <v>10</v>
      </c>
      <c r="AP214" s="44">
        <f>VLOOKUP(AA212,Schlüssel!$A$5:$DZ$14,119)</f>
        <v>10</v>
      </c>
      <c r="AQ214" s="65" t="s">
        <v>10</v>
      </c>
      <c r="AR214" s="44">
        <f>VLOOKUP(AA212,Schlüssel!$A$5:$DZ$14,120)</f>
        <v>7</v>
      </c>
      <c r="AS214" s="65" t="s">
        <v>10</v>
      </c>
      <c r="AT214" s="44">
        <f>VLOOKUP(AA212,Schlüssel!$A$5:$DZ$14,121)</f>
        <v>3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35">
      <c r="B215" s="67" t="s">
        <v>1</v>
      </c>
      <c r="C215" s="68"/>
      <c r="D215" s="354" t="s">
        <v>1800</v>
      </c>
      <c r="E215" s="355"/>
      <c r="F215" s="354" t="s">
        <v>1801</v>
      </c>
      <c r="G215" s="355"/>
      <c r="H215" s="354" t="s">
        <v>1802</v>
      </c>
      <c r="I215" s="355"/>
      <c r="J215" s="354" t="s">
        <v>1803</v>
      </c>
      <c r="K215" s="355"/>
      <c r="L215" s="354" t="s">
        <v>1804</v>
      </c>
      <c r="M215" s="355"/>
      <c r="N215" s="354" t="s">
        <v>1805</v>
      </c>
      <c r="O215" s="355"/>
      <c r="P215" s="354" t="s">
        <v>1806</v>
      </c>
      <c r="Q215" s="355"/>
      <c r="R215" s="354" t="s">
        <v>1807</v>
      </c>
      <c r="S215" s="355"/>
      <c r="T215" s="354" t="s">
        <v>1808</v>
      </c>
      <c r="U215" s="355"/>
      <c r="V215" s="356" t="s">
        <v>1799</v>
      </c>
      <c r="W215" s="357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4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2" customHeight="1" x14ac:dyDescent="0.35">
      <c r="A217" s="367" t="s">
        <v>0</v>
      </c>
      <c r="B217" s="73" t="str">
        <f>IF(AA217=0,"",AA217)</f>
        <v/>
      </c>
      <c r="C217" s="74" t="str">
        <f>IF(AB217=0,"",AB217)</f>
        <v/>
      </c>
      <c r="D217" s="75" t="str">
        <f>IF(AC217=0,"",AC217)</f>
        <v/>
      </c>
      <c r="E217" s="348">
        <f>IF(AD217="","",AD217)</f>
        <v>0</v>
      </c>
      <c r="F217" s="75" t="str">
        <f t="shared" ref="F217:F230" si="244">IF(AE217=0,"",AE217)</f>
        <v/>
      </c>
      <c r="G217" s="348">
        <f>IF(AF217="","",AF217)</f>
        <v>0</v>
      </c>
      <c r="H217" s="75" t="str">
        <f t="shared" ref="H217:H230" si="245">IF(AG217=0,"",AG217)</f>
        <v/>
      </c>
      <c r="I217" s="348">
        <f>IF(AH217="","",AH217)</f>
        <v>0</v>
      </c>
      <c r="J217" s="75" t="str">
        <f t="shared" ref="J217:J230" si="246">IF(AI217=0,"",AI217)</f>
        <v/>
      </c>
      <c r="K217" s="348">
        <f>IF(AJ217="","",AJ217)</f>
        <v>0</v>
      </c>
      <c r="L217" s="75" t="str">
        <f t="shared" ref="L217:L230" si="247">IF(AK217=0,"",AK217)</f>
        <v/>
      </c>
      <c r="M217" s="348">
        <f>IF(AL217="","",AL217)</f>
        <v>0</v>
      </c>
      <c r="N217" s="75" t="str">
        <f>IF(AM217=0,"",AM217)</f>
        <v/>
      </c>
      <c r="O217" s="348">
        <f>IF(AN217="","",AN217)</f>
        <v>0</v>
      </c>
      <c r="P217" s="75" t="str">
        <f t="shared" ref="P217:P230" si="248">IF(AO217=0,"",AO217)</f>
        <v/>
      </c>
      <c r="Q217" s="348">
        <f>IF(AP217="","",AP217)</f>
        <v>0</v>
      </c>
      <c r="R217" s="75" t="str">
        <f t="shared" ref="R217:R230" si="249">IF(AQ217=0,"",AQ217)</f>
        <v/>
      </c>
      <c r="S217" s="348">
        <f>IF(AR217="","",AR217)</f>
        <v>0</v>
      </c>
      <c r="T217" s="75" t="str">
        <f t="shared" ref="T217:T230" si="250">IF(AS217=0,"",AS217)</f>
        <v/>
      </c>
      <c r="U217" s="348">
        <f>IF(AT217="","",AT217)</f>
        <v>0</v>
      </c>
      <c r="V217" s="75" t="str">
        <f t="shared" ref="V217:V230" si="251">IF(AU217=0,"",AU217)</f>
        <v/>
      </c>
      <c r="W217" s="348">
        <f>IF(AV217="","",AV217)</f>
        <v>0</v>
      </c>
      <c r="Z217" s="351" t="s">
        <v>0</v>
      </c>
      <c r="AA217" s="108" t="str">
        <f>IF(AB217=0,"",VLOOKUP(AB217,Starter!$A$1:$D$199,2,FALSE))</f>
        <v/>
      </c>
      <c r="AB217" s="99"/>
      <c r="AC217" s="185"/>
      <c r="AD217" s="109">
        <f>IF(SUM(AC217:AC219)+AC235=0,0,IF(SUM(AC217:AC219)=AC235,0.5,IF(SUM(AC217:AC219)&gt;AC235,1,0)))</f>
        <v>0</v>
      </c>
      <c r="AE217" s="185"/>
      <c r="AF217" s="109">
        <f>IF(SUM(AE217:AE219)+AE235=0,0,IF(SUM(AE217:AE219)=AE235,0.5,IF(SUM(AE217:AE219)&gt;AE235,1,0)))</f>
        <v>0</v>
      </c>
      <c r="AG217" s="185"/>
      <c r="AH217" s="109">
        <f>IF(SUM(AG217:AG219)+AG235=0,0,IF(SUM(AG217:AG219)=AG235,0.5,IF(SUM(AG217:AG219)&gt;AG235,1,0)))</f>
        <v>0</v>
      </c>
      <c r="AI217" s="185"/>
      <c r="AJ217" s="109">
        <f>IF(SUM(AI217:AI219)+AI235=0,0,IF(SUM(AI217:AI219)=AI235,0.5,IF(SUM(AI217:AI219)&gt;AI235,1,0)))</f>
        <v>0</v>
      </c>
      <c r="AK217" s="185"/>
      <c r="AL217" s="109">
        <f>IF(SUM(AK217:AK219)+AK235=0,0,IF(SUM(AK217:AK219)=AK235,0.5,IF(SUM(AK217:AK219)&gt;AK235,1,0)))</f>
        <v>0</v>
      </c>
      <c r="AM217" s="185"/>
      <c r="AN217" s="109">
        <f>IF(SUM(AM217:AM219)+AM235=0,0,IF(SUM(AM217:AM219)=AM235,0.5,IF(SUM(AM217:AM219)&gt;AM235,1,0)))</f>
        <v>0</v>
      </c>
      <c r="AO217" s="185"/>
      <c r="AP217" s="109">
        <f>IF(SUM(AO217:AO219)+AO235=0,0,IF(SUM(AO217:AO219)=AO235,0.5,IF(SUM(AO217:AO219)&gt;AO235,1,0)))</f>
        <v>0</v>
      </c>
      <c r="AQ217" s="185"/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0</v>
      </c>
      <c r="AV217" s="111">
        <f>SUM(AD217+AF217+AH217+AJ217+AL217+AN217+AP217+AR217+AT217)</f>
        <v>0</v>
      </c>
      <c r="AW217" s="101"/>
      <c r="AX217" s="102"/>
      <c r="AZ217" s="63"/>
      <c r="BA217" s="212"/>
      <c r="BB217" s="213"/>
      <c r="BC217" s="214"/>
      <c r="BD217" s="217">
        <f>+AB217</f>
        <v>0</v>
      </c>
      <c r="BE217" s="213">
        <f>+AU217</f>
        <v>0</v>
      </c>
      <c r="BF217" s="215">
        <f>COUNT(BH217:BP217)</f>
        <v>0</v>
      </c>
      <c r="BG217" s="215">
        <f>COUNTIF(BH217:BP217,"&gt;0")</f>
        <v>0</v>
      </c>
      <c r="BH217" s="215" t="str">
        <f t="shared" ref="BH217:BH228" si="253">IF(AC217=0,"",AC217)</f>
        <v/>
      </c>
      <c r="BI217" s="215" t="str">
        <f t="shared" ref="BI217:BI228" si="254">IF(AE217=0,"",AE217)</f>
        <v/>
      </c>
      <c r="BJ217" s="215" t="str">
        <f t="shared" ref="BJ217:BJ228" si="255">IF(AG217=0,"",AG217)</f>
        <v/>
      </c>
      <c r="BK217" s="215" t="str">
        <f t="shared" ref="BK217:BK228" si="256">IF(AI217=0,"",AI217)</f>
        <v/>
      </c>
      <c r="BL217" s="215" t="str">
        <f t="shared" ref="BL217:BL228" si="257">IF(AK217=0,"",AK217)</f>
        <v/>
      </c>
      <c r="BM217" s="215" t="str">
        <f t="shared" ref="BM217:BM228" si="258">IF(AM217=0,"",AM217)</f>
        <v/>
      </c>
      <c r="BN217" s="215" t="str">
        <f t="shared" ref="BN217:BN228" si="259">IF(AO217=0,"",AO217)</f>
        <v/>
      </c>
      <c r="BO217" s="215" t="str">
        <f t="shared" ref="BO217:BO228" si="260">IF(AQ217=0,"",AQ217)</f>
        <v/>
      </c>
      <c r="BP217" s="215" t="str">
        <f t="shared" ref="BP217:BP228" si="261">IF(AS217=0,"",AS217)</f>
        <v/>
      </c>
      <c r="BQ217" s="216"/>
      <c r="BR217" s="214"/>
      <c r="BS217" s="215">
        <f>MAX(BH217:BP217)</f>
        <v>0</v>
      </c>
      <c r="BT217" s="215">
        <f>IF(BS217&lt;MAX(BS:BS),0,BS217+ROW()/1000000000)</f>
        <v>2.17E-7</v>
      </c>
      <c r="BU217" s="215" t="str">
        <f>+AA213</f>
        <v>EPA München 1</v>
      </c>
      <c r="BV217" s="214">
        <f>RANK(BT217,BT:BT)</f>
        <v>36</v>
      </c>
      <c r="BW217" s="215">
        <f>SUMIF(BH217:BP217,"&gt;0")</f>
        <v>0</v>
      </c>
      <c r="BX217" s="215">
        <f>IF(COUNTIF(BH217:BP217,"&gt;0")&lt;Spielorte!$A$23,0,BE217/Spielorte!$A$23)</f>
        <v>0</v>
      </c>
      <c r="BY217" s="215">
        <f>IF(BX217&lt;MAX(BX:BX),0,BX217+ROW()/1000000000)</f>
        <v>2.17E-7</v>
      </c>
      <c r="BZ217" s="214">
        <f t="shared" ref="BZ217:BZ228" si="262">IF(BY217=0,0,RANK(BY217,BY:BY))</f>
        <v>36</v>
      </c>
    </row>
    <row r="218" spans="1:78" ht="17.2" customHeight="1" x14ac:dyDescent="0.35">
      <c r="A218" s="368"/>
      <c r="B218" s="76" t="str">
        <f t="shared" ref="B218:D230" si="263">IF(AA218=0,"",AA218)</f>
        <v/>
      </c>
      <c r="C218" s="77" t="str">
        <f t="shared" si="263"/>
        <v/>
      </c>
      <c r="D218" s="78" t="str">
        <f t="shared" si="263"/>
        <v/>
      </c>
      <c r="E218" s="349"/>
      <c r="F218" s="78" t="str">
        <f t="shared" si="244"/>
        <v/>
      </c>
      <c r="G218" s="349"/>
      <c r="H218" s="78" t="str">
        <f t="shared" si="245"/>
        <v/>
      </c>
      <c r="I218" s="349"/>
      <c r="J218" s="78" t="str">
        <f t="shared" si="246"/>
        <v/>
      </c>
      <c r="K218" s="349"/>
      <c r="L218" s="78" t="str">
        <f t="shared" si="247"/>
        <v/>
      </c>
      <c r="M218" s="349"/>
      <c r="N218" s="78" t="str">
        <f t="shared" ref="N218:N230" si="264">IF(AM218=0,"",AM218)</f>
        <v/>
      </c>
      <c r="O218" s="349"/>
      <c r="P218" s="78" t="str">
        <f t="shared" si="248"/>
        <v/>
      </c>
      <c r="Q218" s="349"/>
      <c r="R218" s="78" t="str">
        <f t="shared" si="249"/>
        <v/>
      </c>
      <c r="S218" s="349"/>
      <c r="T218" s="78" t="str">
        <f t="shared" si="250"/>
        <v/>
      </c>
      <c r="U218" s="349"/>
      <c r="V218" s="78" t="str">
        <f t="shared" si="251"/>
        <v/>
      </c>
      <c r="W218" s="349"/>
      <c r="Z218" s="352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52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0</v>
      </c>
      <c r="BE218" s="213">
        <f t="shared" ref="BE218:BE228" si="266">+AU218</f>
        <v>0</v>
      </c>
      <c r="BF218" s="215">
        <f t="shared" ref="BF218:BF228" si="267">COUNT(BH218:BP218)</f>
        <v>0</v>
      </c>
      <c r="BG218" s="215">
        <f t="shared" ref="BG218:BG228" si="268">COUNTIF(BH218:BP218,"&gt;0")</f>
        <v>0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 t="str">
        <f t="shared" si="261"/>
        <v/>
      </c>
      <c r="BQ218" s="216"/>
      <c r="BR218" s="214"/>
      <c r="BS218" s="215">
        <f t="shared" ref="BS218:BS228" si="269">MAX(BH218:BP218)</f>
        <v>0</v>
      </c>
      <c r="BT218" s="215">
        <f t="shared" ref="BT218:BT228" si="270">IF(BS218&lt;MAX(BS:BS),0,BS218+ROW()/1000000000)</f>
        <v>2.1799999999999999E-7</v>
      </c>
      <c r="BU218" s="215" t="str">
        <f t="shared" ref="BU218:BU228" si="271">+BU217</f>
        <v>EPA München 1</v>
      </c>
      <c r="BV218" s="214">
        <f t="shared" ref="BV218:BV228" si="272">RANK(BT218,BT:BT)</f>
        <v>35</v>
      </c>
      <c r="BW218" s="215">
        <f t="shared" ref="BW218:BW228" si="273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2.1799999999999999E-7</v>
      </c>
      <c r="BZ218" s="214">
        <f t="shared" si="262"/>
        <v>35</v>
      </c>
    </row>
    <row r="219" spans="1:78" ht="17.2" customHeight="1" thickBot="1" x14ac:dyDescent="0.4">
      <c r="A219" s="369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50"/>
      <c r="F219" s="69" t="str">
        <f t="shared" si="244"/>
        <v/>
      </c>
      <c r="G219" s="350"/>
      <c r="H219" s="69" t="str">
        <f t="shared" si="245"/>
        <v/>
      </c>
      <c r="I219" s="350"/>
      <c r="J219" s="69" t="str">
        <f t="shared" si="246"/>
        <v/>
      </c>
      <c r="K219" s="350"/>
      <c r="L219" s="69" t="str">
        <f t="shared" si="247"/>
        <v/>
      </c>
      <c r="M219" s="350"/>
      <c r="N219" s="69" t="str">
        <f t="shared" si="264"/>
        <v/>
      </c>
      <c r="O219" s="350"/>
      <c r="P219" s="69" t="str">
        <f t="shared" si="248"/>
        <v/>
      </c>
      <c r="Q219" s="350"/>
      <c r="R219" s="69" t="str">
        <f t="shared" si="249"/>
        <v/>
      </c>
      <c r="S219" s="350"/>
      <c r="T219" s="69" t="str">
        <f t="shared" si="250"/>
        <v/>
      </c>
      <c r="U219" s="350"/>
      <c r="V219" s="69" t="str">
        <f t="shared" si="251"/>
        <v/>
      </c>
      <c r="W219" s="350"/>
      <c r="Z219" s="353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2.1899999999999999E-7</v>
      </c>
      <c r="BU219" s="215" t="str">
        <f t="shared" si="271"/>
        <v>EPA München 1</v>
      </c>
      <c r="BV219" s="214">
        <f t="shared" si="272"/>
        <v>34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2.1899999999999999E-7</v>
      </c>
      <c r="BZ219" s="214">
        <f t="shared" si="262"/>
        <v>34</v>
      </c>
    </row>
    <row r="220" spans="1:78" ht="17.2" customHeight="1" x14ac:dyDescent="0.35">
      <c r="A220" s="367" t="s">
        <v>2</v>
      </c>
      <c r="B220" s="73" t="str">
        <f t="shared" si="263"/>
        <v/>
      </c>
      <c r="C220" s="74" t="str">
        <f t="shared" si="263"/>
        <v/>
      </c>
      <c r="D220" s="75" t="str">
        <f t="shared" si="263"/>
        <v/>
      </c>
      <c r="E220" s="348">
        <f>IF(AD220="","",AD220)</f>
        <v>0</v>
      </c>
      <c r="F220" s="75" t="str">
        <f t="shared" si="244"/>
        <v/>
      </c>
      <c r="G220" s="348">
        <f>IF(AF220="","",AF220)</f>
        <v>0</v>
      </c>
      <c r="H220" s="75" t="str">
        <f t="shared" si="245"/>
        <v/>
      </c>
      <c r="I220" s="348">
        <f>IF(AH220="","",AH220)</f>
        <v>0</v>
      </c>
      <c r="J220" s="75" t="str">
        <f t="shared" si="246"/>
        <v/>
      </c>
      <c r="K220" s="348">
        <f>IF(AJ220="","",AJ220)</f>
        <v>0</v>
      </c>
      <c r="L220" s="75" t="str">
        <f t="shared" si="247"/>
        <v/>
      </c>
      <c r="M220" s="348">
        <f>IF(AL220="","",AL220)</f>
        <v>0</v>
      </c>
      <c r="N220" s="75" t="str">
        <f t="shared" si="264"/>
        <v/>
      </c>
      <c r="O220" s="348">
        <f>IF(AN220="","",AN220)</f>
        <v>0</v>
      </c>
      <c r="P220" s="75" t="str">
        <f t="shared" si="248"/>
        <v/>
      </c>
      <c r="Q220" s="348">
        <f>IF(AP220="","",AP220)</f>
        <v>0</v>
      </c>
      <c r="R220" s="75" t="str">
        <f t="shared" si="249"/>
        <v/>
      </c>
      <c r="S220" s="348">
        <f>IF(AR220="","",AR220)</f>
        <v>0</v>
      </c>
      <c r="T220" s="75" t="str">
        <f t="shared" si="250"/>
        <v/>
      </c>
      <c r="U220" s="348">
        <f>IF(AT220="","",AT220)</f>
        <v>0</v>
      </c>
      <c r="V220" s="75" t="str">
        <f t="shared" si="251"/>
        <v/>
      </c>
      <c r="W220" s="348">
        <f>IF(AV220="","",AV220)</f>
        <v>0</v>
      </c>
      <c r="Z220" s="351" t="s">
        <v>2</v>
      </c>
      <c r="AA220" s="108" t="str">
        <f>IF(AB220=0,"",VLOOKUP(AB220,Starter!$A$1:$D$199,2,FALSE))</f>
        <v/>
      </c>
      <c r="AB220" s="99"/>
      <c r="AC220" s="188"/>
      <c r="AD220" s="109">
        <f>IF(SUM(AC220:AC222)+AC236=0,0,IF(SUM(AC220:AC222)=AC236,0.5,IF(SUM(AC220:AC222)&gt;AC236,1,0)))</f>
        <v>0</v>
      </c>
      <c r="AE220" s="188"/>
      <c r="AF220" s="109">
        <f>IF(SUM(AE220:AE222)+AE236=0,0,IF(SUM(AE220:AE222)=AE236,0.5,IF(SUM(AE220:AE222)&gt;AE236,1,0)))</f>
        <v>0</v>
      </c>
      <c r="AG220" s="188"/>
      <c r="AH220" s="109">
        <f>IF(SUM(AG220:AG222)+AG236=0,0,IF(SUM(AG220:AG222)=AG236,0.5,IF(SUM(AG220:AG222)&gt;AG236,1,0)))</f>
        <v>0</v>
      </c>
      <c r="AI220" s="188"/>
      <c r="AJ220" s="109">
        <f>IF(SUM(AI220:AI222)+AI236=0,0,IF(SUM(AI220:AI222)=AI236,0.5,IF(SUM(AI220:AI222)&gt;AI236,1,0)))</f>
        <v>0</v>
      </c>
      <c r="AK220" s="188"/>
      <c r="AL220" s="109">
        <f>IF(SUM(AK220:AK222)+AK236=0,0,IF(SUM(AK220:AK222)=AK236,0.5,IF(SUM(AK220:AK222)&gt;AK236,1,0)))</f>
        <v>0</v>
      </c>
      <c r="AM220" s="188"/>
      <c r="AN220" s="109">
        <f>IF(SUM(AM220:AM222)+AM236=0,0,IF(SUM(AM220:AM222)=AM236,0.5,IF(SUM(AM220:AM222)&gt;AM236,1,0)))</f>
        <v>0</v>
      </c>
      <c r="AO220" s="188"/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0</v>
      </c>
      <c r="AS220" s="188"/>
      <c r="AT220" s="109">
        <f>IF(SUM(AS220:AS222)+AS236=0,0,IF(SUM(AS220:AS222)=AS236,0.5,IF(SUM(AS220:AS222)&gt;AS236,1,0)))</f>
        <v>0</v>
      </c>
      <c r="AU220" s="110">
        <f t="shared" si="252"/>
        <v>0</v>
      </c>
      <c r="AV220" s="111">
        <f>SUM(AD220+AF220+AH220+AJ220+AL220+AN220+AP220+AR220+AT220)</f>
        <v>0</v>
      </c>
      <c r="AW220" s="101"/>
      <c r="AX220" s="102"/>
      <c r="AZ220" s="63"/>
      <c r="BA220" s="212"/>
      <c r="BB220" s="213"/>
      <c r="BC220" s="214"/>
      <c r="BD220" s="217">
        <f t="shared" si="265"/>
        <v>0</v>
      </c>
      <c r="BE220" s="213">
        <f t="shared" si="266"/>
        <v>0</v>
      </c>
      <c r="BF220" s="215">
        <f t="shared" si="267"/>
        <v>0</v>
      </c>
      <c r="BG220" s="215">
        <f t="shared" si="268"/>
        <v>0</v>
      </c>
      <c r="BH220" s="215" t="str">
        <f t="shared" si="253"/>
        <v/>
      </c>
      <c r="BI220" s="215" t="str">
        <f t="shared" si="254"/>
        <v/>
      </c>
      <c r="BJ220" s="215" t="str">
        <f t="shared" si="255"/>
        <v/>
      </c>
      <c r="BK220" s="215" t="str">
        <f t="shared" si="256"/>
        <v/>
      </c>
      <c r="BL220" s="215" t="str">
        <f t="shared" si="257"/>
        <v/>
      </c>
      <c r="BM220" s="215" t="str">
        <f t="shared" si="258"/>
        <v/>
      </c>
      <c r="BN220" s="215" t="str">
        <f t="shared" si="259"/>
        <v/>
      </c>
      <c r="BO220" s="215" t="str">
        <f t="shared" si="260"/>
        <v/>
      </c>
      <c r="BP220" s="215" t="str">
        <f t="shared" si="261"/>
        <v/>
      </c>
      <c r="BQ220" s="216"/>
      <c r="BR220" s="214"/>
      <c r="BS220" s="215">
        <f t="shared" si="269"/>
        <v>0</v>
      </c>
      <c r="BT220" s="215">
        <f t="shared" si="270"/>
        <v>2.2000000000000001E-7</v>
      </c>
      <c r="BU220" s="215" t="str">
        <f t="shared" si="271"/>
        <v>EPA München 1</v>
      </c>
      <c r="BV220" s="214">
        <f t="shared" si="272"/>
        <v>33</v>
      </c>
      <c r="BW220" s="215">
        <f t="shared" si="273"/>
        <v>0</v>
      </c>
      <c r="BX220" s="215">
        <f>IF(COUNTIF(BH220:BP220,"&gt;0")&lt;Spielorte!$A$23,0,BE220/Spielorte!$A$23)</f>
        <v>0</v>
      </c>
      <c r="BY220" s="215">
        <f t="shared" si="274"/>
        <v>2.2000000000000001E-7</v>
      </c>
      <c r="BZ220" s="214">
        <f t="shared" si="262"/>
        <v>33</v>
      </c>
    </row>
    <row r="221" spans="1:78" ht="17.2" customHeight="1" x14ac:dyDescent="0.35">
      <c r="A221" s="368"/>
      <c r="B221" s="76" t="str">
        <f t="shared" si="263"/>
        <v/>
      </c>
      <c r="C221" s="77" t="str">
        <f t="shared" si="263"/>
        <v/>
      </c>
      <c r="D221" s="78" t="str">
        <f t="shared" si="263"/>
        <v/>
      </c>
      <c r="E221" s="349"/>
      <c r="F221" s="78" t="str">
        <f t="shared" si="244"/>
        <v/>
      </c>
      <c r="G221" s="349"/>
      <c r="H221" s="78" t="str">
        <f t="shared" si="245"/>
        <v/>
      </c>
      <c r="I221" s="349"/>
      <c r="J221" s="78" t="str">
        <f t="shared" si="246"/>
        <v/>
      </c>
      <c r="K221" s="349"/>
      <c r="L221" s="78" t="str">
        <f t="shared" si="247"/>
        <v/>
      </c>
      <c r="M221" s="349"/>
      <c r="N221" s="78" t="str">
        <f t="shared" si="264"/>
        <v/>
      </c>
      <c r="O221" s="349"/>
      <c r="P221" s="78" t="str">
        <f t="shared" si="248"/>
        <v/>
      </c>
      <c r="Q221" s="349"/>
      <c r="R221" s="78" t="str">
        <f t="shared" si="249"/>
        <v/>
      </c>
      <c r="S221" s="349"/>
      <c r="T221" s="78" t="str">
        <f t="shared" si="250"/>
        <v/>
      </c>
      <c r="U221" s="349"/>
      <c r="V221" s="78" t="str">
        <f t="shared" si="251"/>
        <v/>
      </c>
      <c r="W221" s="349"/>
      <c r="Z221" s="352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52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0</v>
      </c>
      <c r="BE221" s="213">
        <f t="shared" si="266"/>
        <v>0</v>
      </c>
      <c r="BF221" s="215">
        <f t="shared" si="267"/>
        <v>0</v>
      </c>
      <c r="BG221" s="215">
        <f t="shared" si="268"/>
        <v>0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 t="str">
        <f t="shared" si="258"/>
        <v/>
      </c>
      <c r="BN221" s="215" t="str">
        <f t="shared" si="259"/>
        <v/>
      </c>
      <c r="BO221" s="215" t="str">
        <f t="shared" si="260"/>
        <v/>
      </c>
      <c r="BP221" s="215" t="str">
        <f t="shared" si="261"/>
        <v/>
      </c>
      <c r="BQ221" s="216"/>
      <c r="BR221" s="214"/>
      <c r="BS221" s="215">
        <f t="shared" si="269"/>
        <v>0</v>
      </c>
      <c r="BT221" s="215">
        <f t="shared" si="270"/>
        <v>2.2100000000000001E-7</v>
      </c>
      <c r="BU221" s="215" t="str">
        <f t="shared" si="271"/>
        <v>EPA München 1</v>
      </c>
      <c r="BV221" s="214">
        <f t="shared" si="272"/>
        <v>32</v>
      </c>
      <c r="BW221" s="215">
        <f t="shared" si="273"/>
        <v>0</v>
      </c>
      <c r="BX221" s="215">
        <f>IF(COUNTIF(BH221:BP221,"&gt;0")&lt;Spielorte!$A$23,0,BE221/Spielorte!$A$23)</f>
        <v>0</v>
      </c>
      <c r="BY221" s="215">
        <f t="shared" si="274"/>
        <v>2.2100000000000001E-7</v>
      </c>
      <c r="BZ221" s="214">
        <f t="shared" si="262"/>
        <v>32</v>
      </c>
    </row>
    <row r="222" spans="1:78" ht="17.2" customHeight="1" thickBot="1" x14ac:dyDescent="0.4">
      <c r="A222" s="369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50"/>
      <c r="F222" s="69" t="str">
        <f t="shared" si="244"/>
        <v/>
      </c>
      <c r="G222" s="350"/>
      <c r="H222" s="69" t="str">
        <f t="shared" si="245"/>
        <v/>
      </c>
      <c r="I222" s="350"/>
      <c r="J222" s="69" t="str">
        <f t="shared" si="246"/>
        <v/>
      </c>
      <c r="K222" s="350"/>
      <c r="L222" s="69" t="str">
        <f t="shared" si="247"/>
        <v/>
      </c>
      <c r="M222" s="350"/>
      <c r="N222" s="69" t="str">
        <f t="shared" si="264"/>
        <v/>
      </c>
      <c r="O222" s="350"/>
      <c r="P222" s="69" t="str">
        <f t="shared" si="248"/>
        <v/>
      </c>
      <c r="Q222" s="350"/>
      <c r="R222" s="69" t="str">
        <f t="shared" si="249"/>
        <v/>
      </c>
      <c r="S222" s="350"/>
      <c r="T222" s="69" t="str">
        <f t="shared" si="250"/>
        <v/>
      </c>
      <c r="U222" s="350"/>
      <c r="V222" s="69" t="str">
        <f t="shared" si="251"/>
        <v/>
      </c>
      <c r="W222" s="350"/>
      <c r="Z222" s="353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2.22E-7</v>
      </c>
      <c r="BU222" s="215" t="str">
        <f t="shared" si="271"/>
        <v>EPA München 1</v>
      </c>
      <c r="BV222" s="214">
        <f t="shared" si="272"/>
        <v>31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2.22E-7</v>
      </c>
      <c r="BZ222" s="214">
        <f t="shared" si="262"/>
        <v>31</v>
      </c>
    </row>
    <row r="223" spans="1:78" ht="17.2" customHeight="1" x14ac:dyDescent="0.35">
      <c r="A223" s="367" t="s">
        <v>3</v>
      </c>
      <c r="B223" s="73" t="str">
        <f t="shared" si="263"/>
        <v/>
      </c>
      <c r="C223" s="74" t="str">
        <f t="shared" si="263"/>
        <v/>
      </c>
      <c r="D223" s="75" t="str">
        <f t="shared" si="263"/>
        <v/>
      </c>
      <c r="E223" s="348">
        <f>IF(AD223="","",AD223)</f>
        <v>0</v>
      </c>
      <c r="F223" s="75" t="str">
        <f t="shared" si="244"/>
        <v/>
      </c>
      <c r="G223" s="348">
        <f>IF(AF223="","",AF223)</f>
        <v>0</v>
      </c>
      <c r="H223" s="75" t="str">
        <f t="shared" si="245"/>
        <v/>
      </c>
      <c r="I223" s="348">
        <f>IF(AH223="","",AH223)</f>
        <v>0</v>
      </c>
      <c r="J223" s="75" t="str">
        <f t="shared" si="246"/>
        <v/>
      </c>
      <c r="K223" s="348">
        <f>IF(AJ223="","",AJ223)</f>
        <v>0</v>
      </c>
      <c r="L223" s="75" t="str">
        <f t="shared" si="247"/>
        <v/>
      </c>
      <c r="M223" s="348">
        <f>IF(AL223="","",AL223)</f>
        <v>0</v>
      </c>
      <c r="N223" s="75" t="str">
        <f t="shared" si="264"/>
        <v/>
      </c>
      <c r="O223" s="348">
        <f>IF(AN223="","",AN223)</f>
        <v>0</v>
      </c>
      <c r="P223" s="75" t="str">
        <f t="shared" si="248"/>
        <v/>
      </c>
      <c r="Q223" s="348">
        <f>IF(AP223="","",AP223)</f>
        <v>0</v>
      </c>
      <c r="R223" s="75" t="str">
        <f t="shared" si="249"/>
        <v/>
      </c>
      <c r="S223" s="348">
        <f>IF(AR223="","",AR223)</f>
        <v>0</v>
      </c>
      <c r="T223" s="75" t="str">
        <f t="shared" si="250"/>
        <v/>
      </c>
      <c r="U223" s="348">
        <f>IF(AT223="","",AT223)</f>
        <v>0</v>
      </c>
      <c r="V223" s="75" t="str">
        <f t="shared" si="251"/>
        <v/>
      </c>
      <c r="W223" s="348">
        <f>IF(AV223="","",AV223)</f>
        <v>0</v>
      </c>
      <c r="Z223" s="351" t="s">
        <v>3</v>
      </c>
      <c r="AA223" s="108" t="str">
        <f>IF(AB223=0,"",VLOOKUP(AB223,Starter!$A$1:$D$199,2,FALSE))</f>
        <v/>
      </c>
      <c r="AB223" s="99"/>
      <c r="AC223" s="188"/>
      <c r="AD223" s="109">
        <f>IF(SUM(AC223:AC225)+AC237=0,0,IF(SUM(AC223:AC225)=AC237,0.5,IF(SUM(AC223:AC225)&gt;AC237,1,0)))</f>
        <v>0</v>
      </c>
      <c r="AE223" s="188"/>
      <c r="AF223" s="109">
        <f>IF(SUM(AE223:AE225)+AE237=0,0,IF(SUM(AE223:AE225)=AE237,0.5,IF(SUM(AE223:AE225)&gt;AE237,1,0)))</f>
        <v>0</v>
      </c>
      <c r="AG223" s="188"/>
      <c r="AH223" s="109">
        <f>IF(SUM(AG223:AG225)+AG237=0,0,IF(SUM(AG223:AG225)=AG237,0.5,IF(SUM(AG223:AG225)&gt;AG237,1,0)))</f>
        <v>0</v>
      </c>
      <c r="AI223" s="188"/>
      <c r="AJ223" s="109">
        <f>IF(SUM(AI223:AI225)+AI237=0,0,IF(SUM(AI223:AI225)=AI237,0.5,IF(SUM(AI223:AI225)&gt;AI237,1,0)))</f>
        <v>0</v>
      </c>
      <c r="AK223" s="188"/>
      <c r="AL223" s="109">
        <f>IF(SUM(AK223:AK225)+AK237=0,0,IF(SUM(AK223:AK225)=AK237,0.5,IF(SUM(AK223:AK225)&gt;AK237,1,0)))</f>
        <v>0</v>
      </c>
      <c r="AM223" s="188"/>
      <c r="AN223" s="109">
        <f>IF(SUM(AM223:AM225)+AM237=0,0,IF(SUM(AM223:AM225)=AM237,0.5,IF(SUM(AM223:AM225)&gt;AM237,1,0)))</f>
        <v>0</v>
      </c>
      <c r="AO223" s="188"/>
      <c r="AP223" s="109">
        <f>IF(SUM(AO223:AO225)+AO237=0,0,IF(SUM(AO223:AO225)=AO237,0.5,IF(SUM(AO223:AO225)&gt;AO237,1,0)))</f>
        <v>0</v>
      </c>
      <c r="AQ223" s="188"/>
      <c r="AR223" s="109">
        <f>IF(SUM(AQ223:AQ225)+AQ237=0,0,IF(SUM(AQ223:AQ225)=AQ237,0.5,IF(SUM(AQ223:AQ225)&gt;AQ237,1,0)))</f>
        <v>0</v>
      </c>
      <c r="AS223" s="188"/>
      <c r="AT223" s="109">
        <f>IF(SUM(AS223:AS225)+AS237=0,0,IF(SUM(AS223:AS225)=AS237,0.5,IF(SUM(AS223:AS225)&gt;AS237,1,0)))</f>
        <v>0</v>
      </c>
      <c r="AU223" s="110">
        <f t="shared" si="252"/>
        <v>0</v>
      </c>
      <c r="AV223" s="111">
        <f>SUM(AD223+AF223+AH223+AJ223+AL223+AN223+AP223+AR223+AT223)</f>
        <v>0</v>
      </c>
      <c r="AW223" s="101"/>
      <c r="AX223" s="102"/>
      <c r="AZ223" s="63"/>
      <c r="BA223" s="212"/>
      <c r="BB223" s="213"/>
      <c r="BC223" s="214"/>
      <c r="BD223" s="217">
        <f t="shared" si="265"/>
        <v>0</v>
      </c>
      <c r="BE223" s="213">
        <f t="shared" si="266"/>
        <v>0</v>
      </c>
      <c r="BF223" s="215">
        <f t="shared" si="267"/>
        <v>0</v>
      </c>
      <c r="BG223" s="215">
        <f t="shared" si="268"/>
        <v>0</v>
      </c>
      <c r="BH223" s="215" t="str">
        <f t="shared" si="253"/>
        <v/>
      </c>
      <c r="BI223" s="215" t="str">
        <f t="shared" si="254"/>
        <v/>
      </c>
      <c r="BJ223" s="215" t="str">
        <f t="shared" si="255"/>
        <v/>
      </c>
      <c r="BK223" s="215" t="str">
        <f t="shared" si="256"/>
        <v/>
      </c>
      <c r="BL223" s="215" t="str">
        <f t="shared" si="257"/>
        <v/>
      </c>
      <c r="BM223" s="215" t="str">
        <f t="shared" si="258"/>
        <v/>
      </c>
      <c r="BN223" s="215" t="str">
        <f t="shared" si="259"/>
        <v/>
      </c>
      <c r="BO223" s="215" t="str">
        <f t="shared" si="260"/>
        <v/>
      </c>
      <c r="BP223" s="215" t="str">
        <f t="shared" si="261"/>
        <v/>
      </c>
      <c r="BQ223" s="216"/>
      <c r="BR223" s="214"/>
      <c r="BS223" s="215">
        <f t="shared" si="269"/>
        <v>0</v>
      </c>
      <c r="BT223" s="215">
        <f t="shared" si="270"/>
        <v>2.23E-7</v>
      </c>
      <c r="BU223" s="215" t="str">
        <f t="shared" si="271"/>
        <v>EPA München 1</v>
      </c>
      <c r="BV223" s="214">
        <f t="shared" si="272"/>
        <v>30</v>
      </c>
      <c r="BW223" s="215">
        <f t="shared" si="273"/>
        <v>0</v>
      </c>
      <c r="BX223" s="215">
        <f>IF(COUNTIF(BH223:BP223,"&gt;0")&lt;Spielorte!$A$23,0,BE223/Spielorte!$A$23)</f>
        <v>0</v>
      </c>
      <c r="BY223" s="215">
        <f t="shared" si="274"/>
        <v>2.23E-7</v>
      </c>
      <c r="BZ223" s="214">
        <f t="shared" si="262"/>
        <v>30</v>
      </c>
    </row>
    <row r="224" spans="1:78" ht="17.2" customHeight="1" x14ac:dyDescent="0.35">
      <c r="A224" s="368"/>
      <c r="B224" s="76" t="str">
        <f t="shared" si="263"/>
        <v/>
      </c>
      <c r="C224" s="77" t="str">
        <f t="shared" si="263"/>
        <v/>
      </c>
      <c r="D224" s="78" t="str">
        <f t="shared" si="263"/>
        <v/>
      </c>
      <c r="E224" s="349"/>
      <c r="F224" s="78" t="str">
        <f t="shared" si="244"/>
        <v/>
      </c>
      <c r="G224" s="349"/>
      <c r="H224" s="78" t="str">
        <f t="shared" si="245"/>
        <v/>
      </c>
      <c r="I224" s="349"/>
      <c r="J224" s="78" t="str">
        <f t="shared" si="246"/>
        <v/>
      </c>
      <c r="K224" s="349"/>
      <c r="L224" s="78" t="str">
        <f t="shared" si="247"/>
        <v/>
      </c>
      <c r="M224" s="349"/>
      <c r="N224" s="78" t="str">
        <f t="shared" si="264"/>
        <v/>
      </c>
      <c r="O224" s="349"/>
      <c r="P224" s="78" t="str">
        <f t="shared" si="248"/>
        <v/>
      </c>
      <c r="Q224" s="349"/>
      <c r="R224" s="78" t="str">
        <f t="shared" si="249"/>
        <v/>
      </c>
      <c r="S224" s="349"/>
      <c r="T224" s="78" t="str">
        <f t="shared" si="250"/>
        <v/>
      </c>
      <c r="U224" s="349"/>
      <c r="V224" s="78" t="str">
        <f t="shared" si="251"/>
        <v/>
      </c>
      <c r="W224" s="349"/>
      <c r="Z224" s="352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52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0</v>
      </c>
      <c r="BE224" s="213">
        <f t="shared" si="266"/>
        <v>0</v>
      </c>
      <c r="BF224" s="215">
        <f t="shared" si="267"/>
        <v>0</v>
      </c>
      <c r="BG224" s="215">
        <f t="shared" si="268"/>
        <v>0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 t="str">
        <f t="shared" si="257"/>
        <v/>
      </c>
      <c r="BM224" s="215" t="str">
        <f t="shared" si="258"/>
        <v/>
      </c>
      <c r="BN224" s="215" t="str">
        <f t="shared" si="259"/>
        <v/>
      </c>
      <c r="BO224" s="215" t="str">
        <f t="shared" si="260"/>
        <v/>
      </c>
      <c r="BP224" s="215" t="str">
        <f t="shared" si="261"/>
        <v/>
      </c>
      <c r="BQ224" s="216"/>
      <c r="BR224" s="214"/>
      <c r="BS224" s="215">
        <f t="shared" si="269"/>
        <v>0</v>
      </c>
      <c r="BT224" s="215">
        <f t="shared" si="270"/>
        <v>2.2399999999999999E-7</v>
      </c>
      <c r="BU224" s="215" t="str">
        <f t="shared" si="271"/>
        <v>EPA München 1</v>
      </c>
      <c r="BV224" s="214">
        <f t="shared" si="272"/>
        <v>29</v>
      </c>
      <c r="BW224" s="215">
        <f t="shared" si="273"/>
        <v>0</v>
      </c>
      <c r="BX224" s="215">
        <f>IF(COUNTIF(BH224:BP224,"&gt;0")&lt;Spielorte!$A$23,0,BE224/Spielorte!$A$23)</f>
        <v>0</v>
      </c>
      <c r="BY224" s="215">
        <f t="shared" si="274"/>
        <v>2.2399999999999999E-7</v>
      </c>
      <c r="BZ224" s="214">
        <f t="shared" si="262"/>
        <v>29</v>
      </c>
    </row>
    <row r="225" spans="1:78" ht="17.2" customHeight="1" thickBot="1" x14ac:dyDescent="0.4">
      <c r="A225" s="369"/>
      <c r="B225" s="79" t="str">
        <f t="shared" si="263"/>
        <v/>
      </c>
      <c r="C225" s="80" t="str">
        <f t="shared" si="263"/>
        <v/>
      </c>
      <c r="D225" s="69" t="str">
        <f t="shared" si="263"/>
        <v/>
      </c>
      <c r="E225" s="350"/>
      <c r="F225" s="69" t="str">
        <f t="shared" si="244"/>
        <v/>
      </c>
      <c r="G225" s="350"/>
      <c r="H225" s="69" t="str">
        <f t="shared" si="245"/>
        <v/>
      </c>
      <c r="I225" s="350"/>
      <c r="J225" s="69" t="str">
        <f t="shared" si="246"/>
        <v/>
      </c>
      <c r="K225" s="350"/>
      <c r="L225" s="69" t="str">
        <f t="shared" si="247"/>
        <v/>
      </c>
      <c r="M225" s="350"/>
      <c r="N225" s="69" t="str">
        <f t="shared" si="264"/>
        <v/>
      </c>
      <c r="O225" s="350"/>
      <c r="P225" s="69" t="str">
        <f t="shared" si="248"/>
        <v/>
      </c>
      <c r="Q225" s="350"/>
      <c r="R225" s="69" t="str">
        <f t="shared" si="249"/>
        <v/>
      </c>
      <c r="S225" s="350"/>
      <c r="T225" s="69" t="str">
        <f t="shared" si="250"/>
        <v/>
      </c>
      <c r="U225" s="350"/>
      <c r="V225" s="69" t="str">
        <f t="shared" si="251"/>
        <v/>
      </c>
      <c r="W225" s="350"/>
      <c r="Z225" s="353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52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0</v>
      </c>
      <c r="BE225" s="213">
        <f t="shared" si="266"/>
        <v>0</v>
      </c>
      <c r="BF225" s="215">
        <f t="shared" si="267"/>
        <v>0</v>
      </c>
      <c r="BG225" s="215">
        <f t="shared" si="268"/>
        <v>0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 t="str">
        <f t="shared" si="261"/>
        <v/>
      </c>
      <c r="BQ225" s="216"/>
      <c r="BR225" s="214"/>
      <c r="BS225" s="215">
        <f t="shared" si="269"/>
        <v>0</v>
      </c>
      <c r="BT225" s="215">
        <f t="shared" si="270"/>
        <v>2.2499999999999999E-7</v>
      </c>
      <c r="BU225" s="215" t="str">
        <f t="shared" si="271"/>
        <v>EPA München 1</v>
      </c>
      <c r="BV225" s="214">
        <f t="shared" si="272"/>
        <v>28</v>
      </c>
      <c r="BW225" s="215">
        <f t="shared" si="273"/>
        <v>0</v>
      </c>
      <c r="BX225" s="215">
        <f>IF(COUNTIF(BH225:BP225,"&gt;0")&lt;Spielorte!$A$23,0,BE225/Spielorte!$A$23)</f>
        <v>0</v>
      </c>
      <c r="BY225" s="215">
        <f t="shared" si="274"/>
        <v>2.2499999999999999E-7</v>
      </c>
      <c r="BZ225" s="214">
        <f t="shared" si="262"/>
        <v>28</v>
      </c>
    </row>
    <row r="226" spans="1:78" ht="17.2" customHeight="1" x14ac:dyDescent="0.35">
      <c r="A226" s="367" t="s">
        <v>11</v>
      </c>
      <c r="B226" s="73" t="str">
        <f>IF(AA226=0,"",AA226)</f>
        <v/>
      </c>
      <c r="C226" s="74" t="str">
        <f t="shared" si="263"/>
        <v/>
      </c>
      <c r="D226" s="75" t="str">
        <f t="shared" si="263"/>
        <v/>
      </c>
      <c r="E226" s="348">
        <f>IF(AD226="","",AD226)</f>
        <v>0</v>
      </c>
      <c r="F226" s="75" t="str">
        <f t="shared" si="244"/>
        <v/>
      </c>
      <c r="G226" s="348">
        <f>IF(AF226="","",AF226)</f>
        <v>0</v>
      </c>
      <c r="H226" s="75" t="str">
        <f t="shared" si="245"/>
        <v/>
      </c>
      <c r="I226" s="348">
        <f>IF(AH226="","",AH226)</f>
        <v>0</v>
      </c>
      <c r="J226" s="75" t="str">
        <f t="shared" si="246"/>
        <v/>
      </c>
      <c r="K226" s="348">
        <f>IF(AJ226="","",AJ226)</f>
        <v>0</v>
      </c>
      <c r="L226" s="75" t="str">
        <f t="shared" si="247"/>
        <v/>
      </c>
      <c r="M226" s="348">
        <f>IF(AL226="","",AL226)</f>
        <v>0</v>
      </c>
      <c r="N226" s="75" t="str">
        <f t="shared" si="264"/>
        <v/>
      </c>
      <c r="O226" s="348">
        <f>IF(AN226="","",AN226)</f>
        <v>0</v>
      </c>
      <c r="P226" s="75" t="str">
        <f t="shared" si="248"/>
        <v/>
      </c>
      <c r="Q226" s="348">
        <f>IF(AP226="","",AP226)</f>
        <v>0</v>
      </c>
      <c r="R226" s="75" t="str">
        <f t="shared" si="249"/>
        <v/>
      </c>
      <c r="S226" s="348">
        <f>IF(AR226="","",AR226)</f>
        <v>0</v>
      </c>
      <c r="T226" s="75" t="str">
        <f t="shared" si="250"/>
        <v/>
      </c>
      <c r="U226" s="348">
        <f>IF(AT226="","",AT226)</f>
        <v>0</v>
      </c>
      <c r="V226" s="75" t="str">
        <f t="shared" si="251"/>
        <v/>
      </c>
      <c r="W226" s="348">
        <f>IF(AV226="","",AV226)</f>
        <v>0</v>
      </c>
      <c r="Z226" s="351" t="s">
        <v>11</v>
      </c>
      <c r="AA226" s="108" t="str">
        <f>IF(AB226=0,"",VLOOKUP(AB226,Starter!$A$1:$D$199,2,FALSE))</f>
        <v/>
      </c>
      <c r="AB226" s="99"/>
      <c r="AC226" s="188"/>
      <c r="AD226" s="109">
        <f>IF(SUM(AC226:AC228)+AC238=0,0,IF(SUM(AC226:AC228)=AC238,0.5,IF(SUM(AC226:AC228)&gt;AC238,1,0)))</f>
        <v>0</v>
      </c>
      <c r="AE226" s="188"/>
      <c r="AF226" s="109">
        <f>IF(SUM(AE226:AE228)+AE238=0,0,IF(SUM(AE226:AE228)=AE238,0.5,IF(SUM(AE226:AE228)&gt;AE238,1,0)))</f>
        <v>0</v>
      </c>
      <c r="AG226" s="188"/>
      <c r="AH226" s="109">
        <f>IF(SUM(AG226:AG228)+AG238=0,0,IF(SUM(AG226:AG228)=AG238,0.5,IF(SUM(AG226:AG228)&gt;AG238,1,0)))</f>
        <v>0</v>
      </c>
      <c r="AI226" s="188"/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0</v>
      </c>
      <c r="AM226" s="188"/>
      <c r="AN226" s="109">
        <f>IF(SUM(AM226:AM228)+AM238=0,0,IF(SUM(AM226:AM228)=AM238,0.5,IF(SUM(AM226:AM228)&gt;AM238,1,0)))</f>
        <v>0</v>
      </c>
      <c r="AO226" s="188"/>
      <c r="AP226" s="109">
        <f>IF(SUM(AO226:AO228)+AO238=0,0,IF(SUM(AO226:AO228)=AO238,0.5,IF(SUM(AO226:AO228)&gt;AO238,1,0)))</f>
        <v>0</v>
      </c>
      <c r="AQ226" s="188"/>
      <c r="AR226" s="109">
        <f>IF(SUM(AQ226:AQ228)+AQ238=0,0,IF(SUM(AQ226:AQ228)=AQ238,0.5,IF(SUM(AQ226:AQ228)&gt;AQ238,1,0)))</f>
        <v>0</v>
      </c>
      <c r="AS226" s="188"/>
      <c r="AT226" s="109">
        <f>IF(SUM(AS226:AS228)+AS238=0,0,IF(SUM(AS226:AS228)=AS238,0.5,IF(SUM(AS226:AS228)&gt;AS238,1,0)))</f>
        <v>0</v>
      </c>
      <c r="AU226" s="110">
        <f t="shared" si="252"/>
        <v>0</v>
      </c>
      <c r="AV226" s="111">
        <f>SUM(AD226+AF226+AH226+AJ226+AL226+AN226+AP226+AR226+AT226)</f>
        <v>0</v>
      </c>
      <c r="AW226" s="101"/>
      <c r="AX226" s="102"/>
      <c r="AZ226" s="63"/>
      <c r="BA226" s="212"/>
      <c r="BB226" s="213"/>
      <c r="BC226" s="214"/>
      <c r="BD226" s="217">
        <f t="shared" si="265"/>
        <v>0</v>
      </c>
      <c r="BE226" s="213">
        <f t="shared" si="266"/>
        <v>0</v>
      </c>
      <c r="BF226" s="215">
        <f t="shared" si="267"/>
        <v>0</v>
      </c>
      <c r="BG226" s="215">
        <f t="shared" si="268"/>
        <v>0</v>
      </c>
      <c r="BH226" s="215" t="str">
        <f t="shared" si="253"/>
        <v/>
      </c>
      <c r="BI226" s="215" t="str">
        <f t="shared" si="254"/>
        <v/>
      </c>
      <c r="BJ226" s="215" t="str">
        <f t="shared" si="255"/>
        <v/>
      </c>
      <c r="BK226" s="215" t="str">
        <f t="shared" si="256"/>
        <v/>
      </c>
      <c r="BL226" s="215" t="str">
        <f t="shared" si="257"/>
        <v/>
      </c>
      <c r="BM226" s="215" t="str">
        <f t="shared" si="258"/>
        <v/>
      </c>
      <c r="BN226" s="215" t="str">
        <f t="shared" si="259"/>
        <v/>
      </c>
      <c r="BO226" s="215" t="str">
        <f t="shared" si="260"/>
        <v/>
      </c>
      <c r="BP226" s="215" t="str">
        <f t="shared" si="261"/>
        <v/>
      </c>
      <c r="BQ226" s="216"/>
      <c r="BR226" s="214"/>
      <c r="BS226" s="215">
        <f t="shared" si="269"/>
        <v>0</v>
      </c>
      <c r="BT226" s="215">
        <f t="shared" si="270"/>
        <v>2.2600000000000001E-7</v>
      </c>
      <c r="BU226" s="215" t="str">
        <f t="shared" si="271"/>
        <v>EPA München 1</v>
      </c>
      <c r="BV226" s="214">
        <f t="shared" si="272"/>
        <v>27</v>
      </c>
      <c r="BW226" s="215">
        <f t="shared" si="273"/>
        <v>0</v>
      </c>
      <c r="BX226" s="215">
        <f>IF(COUNTIF(BH226:BP226,"&gt;0")&lt;Spielorte!$A$23,0,BE226/Spielorte!$A$23)</f>
        <v>0</v>
      </c>
      <c r="BY226" s="215">
        <f t="shared" si="274"/>
        <v>2.2600000000000001E-7</v>
      </c>
      <c r="BZ226" s="214">
        <f t="shared" si="262"/>
        <v>27</v>
      </c>
    </row>
    <row r="227" spans="1:78" ht="17.2" customHeight="1" x14ac:dyDescent="0.35">
      <c r="A227" s="368"/>
      <c r="B227" s="76" t="str">
        <f>IF(AA227=0,"",AA227)</f>
        <v/>
      </c>
      <c r="C227" s="77" t="str">
        <f t="shared" si="263"/>
        <v/>
      </c>
      <c r="D227" s="78" t="str">
        <f t="shared" si="263"/>
        <v/>
      </c>
      <c r="E227" s="349"/>
      <c r="F227" s="78" t="str">
        <f t="shared" si="244"/>
        <v/>
      </c>
      <c r="G227" s="349"/>
      <c r="H227" s="78" t="str">
        <f t="shared" si="245"/>
        <v/>
      </c>
      <c r="I227" s="349"/>
      <c r="J227" s="78" t="str">
        <f t="shared" si="246"/>
        <v/>
      </c>
      <c r="K227" s="349"/>
      <c r="L227" s="78" t="str">
        <f t="shared" si="247"/>
        <v/>
      </c>
      <c r="M227" s="349"/>
      <c r="N227" s="78" t="str">
        <f t="shared" si="264"/>
        <v/>
      </c>
      <c r="O227" s="349"/>
      <c r="P227" s="78" t="str">
        <f t="shared" si="248"/>
        <v/>
      </c>
      <c r="Q227" s="349"/>
      <c r="R227" s="78" t="str">
        <f t="shared" si="249"/>
        <v/>
      </c>
      <c r="S227" s="349"/>
      <c r="T227" s="78" t="str">
        <f t="shared" si="250"/>
        <v/>
      </c>
      <c r="U227" s="349"/>
      <c r="V227" s="78" t="str">
        <f t="shared" si="251"/>
        <v/>
      </c>
      <c r="W227" s="349"/>
      <c r="Z227" s="352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0</v>
      </c>
      <c r="BE227" s="213">
        <f t="shared" si="266"/>
        <v>0</v>
      </c>
      <c r="BF227" s="215">
        <f t="shared" si="267"/>
        <v>0</v>
      </c>
      <c r="BG227" s="215">
        <f t="shared" si="268"/>
        <v>0</v>
      </c>
      <c r="BH227" s="215" t="str">
        <f t="shared" si="253"/>
        <v/>
      </c>
      <c r="BI227" s="215" t="str">
        <f t="shared" si="254"/>
        <v/>
      </c>
      <c r="BJ227" s="215" t="str">
        <f t="shared" si="255"/>
        <v/>
      </c>
      <c r="BK227" s="215" t="str">
        <f t="shared" si="256"/>
        <v/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0</v>
      </c>
      <c r="BT227" s="215">
        <f t="shared" si="270"/>
        <v>2.2700000000000001E-7</v>
      </c>
      <c r="BU227" s="215" t="str">
        <f t="shared" si="271"/>
        <v>EPA München 1</v>
      </c>
      <c r="BV227" s="214">
        <f t="shared" si="272"/>
        <v>26</v>
      </c>
      <c r="BW227" s="215">
        <f t="shared" si="273"/>
        <v>0</v>
      </c>
      <c r="BX227" s="215">
        <f>IF(COUNTIF(BH227:BP227,"&gt;0")&lt;Spielorte!$A$23,0,BE227/Spielorte!$A$23)</f>
        <v>0</v>
      </c>
      <c r="BY227" s="215">
        <f t="shared" si="274"/>
        <v>2.2700000000000001E-7</v>
      </c>
      <c r="BZ227" s="214">
        <f t="shared" si="262"/>
        <v>26</v>
      </c>
    </row>
    <row r="228" spans="1:78" ht="17.2" customHeight="1" thickBot="1" x14ac:dyDescent="0.4">
      <c r="A228" s="369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50"/>
      <c r="F228" s="69" t="str">
        <f t="shared" si="244"/>
        <v/>
      </c>
      <c r="G228" s="350"/>
      <c r="H228" s="69" t="str">
        <f t="shared" si="245"/>
        <v/>
      </c>
      <c r="I228" s="350"/>
      <c r="J228" s="69" t="str">
        <f t="shared" si="246"/>
        <v/>
      </c>
      <c r="K228" s="350"/>
      <c r="L228" s="69" t="str">
        <f t="shared" si="247"/>
        <v/>
      </c>
      <c r="M228" s="350"/>
      <c r="N228" s="69" t="str">
        <f t="shared" si="264"/>
        <v/>
      </c>
      <c r="O228" s="350"/>
      <c r="P228" s="69" t="str">
        <f t="shared" si="248"/>
        <v/>
      </c>
      <c r="Q228" s="350"/>
      <c r="R228" s="69" t="str">
        <f t="shared" si="249"/>
        <v/>
      </c>
      <c r="S228" s="350"/>
      <c r="T228" s="69" t="str">
        <f t="shared" si="250"/>
        <v/>
      </c>
      <c r="U228" s="350"/>
      <c r="V228" s="69" t="str">
        <f t="shared" si="251"/>
        <v/>
      </c>
      <c r="W228" s="350"/>
      <c r="Z228" s="353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2.28E-7</v>
      </c>
      <c r="BU228" s="215" t="str">
        <f t="shared" si="271"/>
        <v>EPA München 1</v>
      </c>
      <c r="BV228" s="214">
        <f t="shared" si="272"/>
        <v>25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2.28E-7</v>
      </c>
      <c r="BZ228" s="214">
        <f t="shared" si="262"/>
        <v>25</v>
      </c>
    </row>
    <row r="229" spans="1:78" ht="27.75" customHeight="1" thickBot="1" x14ac:dyDescent="0.4">
      <c r="B229" s="81" t="str">
        <f>IF(AA229=0,"",AA229)</f>
        <v>Gesamt</v>
      </c>
      <c r="C229" s="82" t="str">
        <f t="shared" si="263"/>
        <v/>
      </c>
      <c r="D229" s="83" t="str">
        <f t="shared" si="263"/>
        <v/>
      </c>
      <c r="E229" s="84">
        <f>IF(AD229="","",AD229)</f>
        <v>0</v>
      </c>
      <c r="F229" s="83" t="str">
        <f t="shared" si="244"/>
        <v/>
      </c>
      <c r="G229" s="84">
        <f>IF(AF229="","",AF229)</f>
        <v>0</v>
      </c>
      <c r="H229" s="83" t="str">
        <f t="shared" si="245"/>
        <v/>
      </c>
      <c r="I229" s="84">
        <f>IF(AH229="","",AH229)</f>
        <v>0</v>
      </c>
      <c r="J229" s="83" t="str">
        <f t="shared" si="246"/>
        <v/>
      </c>
      <c r="K229" s="84">
        <f>IF(AJ229="","",AJ229)</f>
        <v>0</v>
      </c>
      <c r="L229" s="83" t="str">
        <f t="shared" si="247"/>
        <v/>
      </c>
      <c r="M229" s="84">
        <f>IF(AL229="","",AL229)</f>
        <v>0</v>
      </c>
      <c r="N229" s="83" t="str">
        <f t="shared" si="264"/>
        <v/>
      </c>
      <c r="O229" s="84">
        <f>IF(AN229="","",AN229)</f>
        <v>0</v>
      </c>
      <c r="P229" s="83" t="str">
        <f t="shared" si="248"/>
        <v/>
      </c>
      <c r="Q229" s="84">
        <f>IF(AP229="","",AP229)</f>
        <v>0</v>
      </c>
      <c r="R229" s="83" t="str">
        <f t="shared" si="249"/>
        <v/>
      </c>
      <c r="S229" s="84">
        <f>IF(AR229="","",AR229)</f>
        <v>0</v>
      </c>
      <c r="T229" s="83" t="str">
        <f t="shared" si="250"/>
        <v/>
      </c>
      <c r="U229" s="84">
        <f>IF(AT229="","",AT229)</f>
        <v>0</v>
      </c>
      <c r="V229" s="83" t="str">
        <f t="shared" si="251"/>
        <v/>
      </c>
      <c r="W229" s="84">
        <f>IF(AV229="","",AV229)</f>
        <v>0</v>
      </c>
      <c r="AA229" s="81" t="s">
        <v>1799</v>
      </c>
      <c r="AB229" s="120"/>
      <c r="AC229" s="211">
        <f>ABS(SUM(AC217:AC219))+ABS(SUM(AC220:AC222))+ABS(SUM(AC223:AC225))+ABS(SUM(AC226:AC228))</f>
        <v>0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0</v>
      </c>
      <c r="AF229" s="121">
        <f>IF(AE229+AE239=0,0,IF(AE229=AE239,1,IF(AE229&gt;AE239,2,0)))</f>
        <v>0</v>
      </c>
      <c r="AG229" s="211">
        <f>ABS(SUM(AG217:AG219))+ABS(SUM(AG220:AG222))+ABS(SUM(AG223:AG225))+ABS(SUM(AG226:AG228))</f>
        <v>0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0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0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0</v>
      </c>
      <c r="AN229" s="121">
        <f>IF(AM229+AM239=0,0,IF(AM229=AM239,1,IF(AM229&gt;AM239,2,0)))</f>
        <v>0</v>
      </c>
      <c r="AO229" s="211">
        <f>ABS(SUM(AO217:AO219))+ABS(SUM(AO220:AO222))+ABS(SUM(AO223:AO225))+ABS(SUM(AO226:AO228))</f>
        <v>0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0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0</v>
      </c>
      <c r="AT229" s="121">
        <f>IF(AS229+AS239=0,0,IF(AS229=AS239,1,IF(AS229&gt;AS239,2,0)))</f>
        <v>0</v>
      </c>
      <c r="AU229" s="122">
        <f>SUM(AC229+AE229+AG229+AI229+AK229+AM229+AO229+AQ229+AS229)</f>
        <v>0</v>
      </c>
      <c r="AV229" s="123">
        <f>SUM(AD229+AF229+AH229+AJ229+AL229+AN229+AP229+AR229+AT229)</f>
        <v>0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4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0</v>
      </c>
      <c r="F230" s="86" t="str">
        <f t="shared" si="244"/>
        <v/>
      </c>
      <c r="G230" s="87">
        <f>IF(AF230="","",AF230)</f>
        <v>0</v>
      </c>
      <c r="H230" s="86" t="str">
        <f t="shared" si="245"/>
        <v/>
      </c>
      <c r="I230" s="87">
        <f>IF(AH230="","",AH230)</f>
        <v>0</v>
      </c>
      <c r="J230" s="86" t="str">
        <f t="shared" si="246"/>
        <v/>
      </c>
      <c r="K230" s="87">
        <f>IF(AJ230="","",AJ230)</f>
        <v>0</v>
      </c>
      <c r="L230" s="86" t="str">
        <f t="shared" si="247"/>
        <v/>
      </c>
      <c r="M230" s="87">
        <f>IF(AL230="","",AL230)</f>
        <v>0</v>
      </c>
      <c r="N230" s="86" t="str">
        <f t="shared" si="264"/>
        <v/>
      </c>
      <c r="O230" s="87">
        <f>IF(AN230="","",AN230)</f>
        <v>0</v>
      </c>
      <c r="P230" s="86" t="str">
        <f t="shared" si="248"/>
        <v/>
      </c>
      <c r="Q230" s="87">
        <f>IF(AP230="","",AP230)</f>
        <v>0</v>
      </c>
      <c r="R230" s="86" t="str">
        <f t="shared" si="249"/>
        <v/>
      </c>
      <c r="S230" s="87">
        <f>IF(AR230="","",AR230)</f>
        <v>0</v>
      </c>
      <c r="T230" s="86" t="str">
        <f t="shared" si="250"/>
        <v/>
      </c>
      <c r="U230" s="87">
        <f>IF(AT230="","",AT230)</f>
        <v>0</v>
      </c>
      <c r="V230" s="86" t="str">
        <f t="shared" si="251"/>
        <v/>
      </c>
      <c r="W230" s="87">
        <f>IF(AV230="","",AV230)</f>
        <v>0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0</v>
      </c>
      <c r="AG230" s="86"/>
      <c r="AH230" s="124">
        <f>SUM(AH217:AH229)</f>
        <v>0</v>
      </c>
      <c r="AI230" s="86"/>
      <c r="AJ230" s="124">
        <f>SUM(AJ217:AJ229)</f>
        <v>0</v>
      </c>
      <c r="AK230" s="86"/>
      <c r="AL230" s="124">
        <f>SUM(AL217:AL229)</f>
        <v>0</v>
      </c>
      <c r="AM230" s="86"/>
      <c r="AN230" s="124">
        <f>SUM(AN217:AN229)</f>
        <v>0</v>
      </c>
      <c r="AO230" s="86"/>
      <c r="AP230" s="124">
        <f>SUM(AP217:AP229)</f>
        <v>0</v>
      </c>
      <c r="AQ230" s="86"/>
      <c r="AR230" s="124">
        <f>SUM(AR217:AR229)</f>
        <v>0</v>
      </c>
      <c r="AS230" s="86"/>
      <c r="AT230" s="124">
        <f>SUM(AT217:AT229)</f>
        <v>0</v>
      </c>
      <c r="AU230" s="86"/>
      <c r="AV230" s="125">
        <f>SUM(AV217:AV229)</f>
        <v>0</v>
      </c>
      <c r="AW230" s="101"/>
      <c r="AX230" s="102"/>
      <c r="BA230" s="212">
        <f>+AV230</f>
        <v>0</v>
      </c>
      <c r="BB230" s="213">
        <f>+AU229</f>
        <v>0</v>
      </c>
      <c r="BC230" s="214">
        <f>+AA212</f>
        <v>8</v>
      </c>
      <c r="BF230" s="215">
        <f>SUM(BF211:BF229)</f>
        <v>0</v>
      </c>
      <c r="BQ230" s="212">
        <f>+BB230/1000000+BA230</f>
        <v>0</v>
      </c>
      <c r="BR230" s="214">
        <f>RANK(BQ230,BQ:BQ)</f>
        <v>1</v>
      </c>
      <c r="BV230" s="214"/>
      <c r="BZ230" s="214"/>
    </row>
    <row r="231" spans="1:78" ht="11.25" customHeight="1" x14ac:dyDescent="0.3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3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46">
        <f t="shared" si="275"/>
        <v>10</v>
      </c>
      <c r="E232" s="346" t="str">
        <f t="shared" si="275"/>
        <v/>
      </c>
      <c r="F232" s="346">
        <f t="shared" si="275"/>
        <v>1</v>
      </c>
      <c r="G232" s="346" t="str">
        <f t="shared" si="275"/>
        <v/>
      </c>
      <c r="H232" s="346">
        <f t="shared" si="275"/>
        <v>2</v>
      </c>
      <c r="I232" s="346" t="str">
        <f t="shared" si="275"/>
        <v/>
      </c>
      <c r="J232" s="346">
        <f t="shared" si="275"/>
        <v>5</v>
      </c>
      <c r="K232" s="346" t="str">
        <f t="shared" si="275"/>
        <v/>
      </c>
      <c r="L232" s="346">
        <f t="shared" si="275"/>
        <v>3</v>
      </c>
      <c r="M232" s="346" t="str">
        <f t="shared" si="275"/>
        <v/>
      </c>
      <c r="N232" s="346">
        <f t="shared" si="275"/>
        <v>6</v>
      </c>
      <c r="O232" s="346" t="str">
        <f t="shared" si="275"/>
        <v/>
      </c>
      <c r="P232" s="346">
        <f t="shared" si="275"/>
        <v>9</v>
      </c>
      <c r="Q232" s="346" t="str">
        <f t="shared" si="275"/>
        <v/>
      </c>
      <c r="R232" s="346">
        <f t="shared" ref="L232:U234" si="276">IF(AQ232=0,"",AQ232)</f>
        <v>4</v>
      </c>
      <c r="S232" s="346" t="str">
        <f t="shared" si="276"/>
        <v/>
      </c>
      <c r="T232" s="346">
        <f t="shared" si="276"/>
        <v>7</v>
      </c>
      <c r="U232" s="346" t="str">
        <f t="shared" si="276"/>
        <v/>
      </c>
      <c r="V232" s="347"/>
      <c r="W232" s="347"/>
      <c r="AA232" s="88" t="s">
        <v>1797</v>
      </c>
      <c r="AB232" s="89" t="s">
        <v>1798</v>
      </c>
      <c r="AC232" s="370">
        <f>VLOOKUP($AA212,Schlüssel!$A$5:$DG$14,103)</f>
        <v>10</v>
      </c>
      <c r="AD232" s="371"/>
      <c r="AE232" s="370">
        <f>VLOOKUP($AA212,Schlüssel!$A$5:$EK$14,104)</f>
        <v>1</v>
      </c>
      <c r="AF232" s="371"/>
      <c r="AG232" s="370">
        <f>VLOOKUP($AA212,Schlüssel!$A$5:$EK$14,105)</f>
        <v>2</v>
      </c>
      <c r="AH232" s="371"/>
      <c r="AI232" s="370">
        <f>VLOOKUP($AA212,Schlüssel!$A$5:$EK$14,106)</f>
        <v>5</v>
      </c>
      <c r="AJ232" s="371"/>
      <c r="AK232" s="370">
        <f>VLOOKUP($AA212,Schlüssel!$A$5:$EK$14,107)</f>
        <v>3</v>
      </c>
      <c r="AL232" s="371"/>
      <c r="AM232" s="370">
        <f>VLOOKUP($AA212,Schlüssel!$A$5:$EK$14,108)</f>
        <v>6</v>
      </c>
      <c r="AN232" s="371"/>
      <c r="AO232" s="370">
        <f>VLOOKUP($AA212,Schlüssel!$A$5:$EK$14,109)</f>
        <v>9</v>
      </c>
      <c r="AP232" s="371"/>
      <c r="AQ232" s="370">
        <f>VLOOKUP($AA212,Schlüssel!$A$5:$EK$14,110)</f>
        <v>4</v>
      </c>
      <c r="AR232" s="371"/>
      <c r="AS232" s="370">
        <f>VLOOKUP($AA212,Schlüssel!$A$5:$EK$14,111)</f>
        <v>7</v>
      </c>
      <c r="AT232" s="371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35">
      <c r="B233" s="90" t="str">
        <f t="shared" ref="B233:K234" si="277">IF(AA233=0,"",AA233)</f>
        <v/>
      </c>
      <c r="C233" s="86" t="str">
        <f t="shared" si="277"/>
        <v/>
      </c>
      <c r="D233" s="343" t="str">
        <f t="shared" si="277"/>
        <v>BK München 4</v>
      </c>
      <c r="E233" s="344" t="str">
        <f t="shared" si="277"/>
        <v/>
      </c>
      <c r="F233" s="343" t="str">
        <f t="shared" si="277"/>
        <v>Praetoria Regensburg</v>
      </c>
      <c r="G233" s="344" t="str">
        <f t="shared" si="277"/>
        <v/>
      </c>
      <c r="H233" s="343" t="str">
        <f t="shared" si="277"/>
        <v>BK München 2</v>
      </c>
      <c r="I233" s="344" t="str">
        <f t="shared" si="277"/>
        <v/>
      </c>
      <c r="J233" s="343" t="str">
        <f t="shared" si="277"/>
        <v xml:space="preserve">Weiß Blau Unterföhring </v>
      </c>
      <c r="K233" s="344" t="str">
        <f t="shared" si="277"/>
        <v/>
      </c>
      <c r="L233" s="343" t="str">
        <f t="shared" si="276"/>
        <v>Highroller Rosenheim</v>
      </c>
      <c r="M233" s="344" t="str">
        <f t="shared" si="276"/>
        <v/>
      </c>
      <c r="N233" s="343" t="str">
        <f t="shared" si="276"/>
        <v>Phönix 03 Lauf</v>
      </c>
      <c r="O233" s="344" t="str">
        <f t="shared" si="276"/>
        <v/>
      </c>
      <c r="P233" s="343" t="str">
        <f t="shared" si="276"/>
        <v>RW Lichtenhof 69 Stein 2</v>
      </c>
      <c r="Q233" s="344" t="str">
        <f t="shared" si="276"/>
        <v/>
      </c>
      <c r="R233" s="343" t="str">
        <f t="shared" si="276"/>
        <v>BK München 3</v>
      </c>
      <c r="S233" s="344" t="str">
        <f t="shared" si="276"/>
        <v/>
      </c>
      <c r="T233" s="343" t="str">
        <f t="shared" si="276"/>
        <v>Frankenpower Nürnberg</v>
      </c>
      <c r="U233" s="344" t="str">
        <f t="shared" si="276"/>
        <v/>
      </c>
      <c r="V233" s="345"/>
      <c r="W233" s="345"/>
      <c r="AA233" s="90"/>
      <c r="AB233" s="86"/>
      <c r="AC233" s="343" t="str">
        <f>VLOOKUP(AC232,Schlüssel!$A$5:$K$14,2)</f>
        <v>BK München 4</v>
      </c>
      <c r="AD233" s="344"/>
      <c r="AE233" s="343" t="str">
        <f>VLOOKUP(AE232,Schlüssel!$A$5:$K$14,2)</f>
        <v>Praetoria Regensburg</v>
      </c>
      <c r="AF233" s="344"/>
      <c r="AG233" s="343" t="str">
        <f>VLOOKUP(AG232,Schlüssel!$A$5:$K$14,2)</f>
        <v>BK München 2</v>
      </c>
      <c r="AH233" s="344"/>
      <c r="AI233" s="343" t="str">
        <f>VLOOKUP(AI232,Schlüssel!$A$5:$K$14,2)</f>
        <v xml:space="preserve">Weiß Blau Unterföhring </v>
      </c>
      <c r="AJ233" s="344"/>
      <c r="AK233" s="343" t="str">
        <f>VLOOKUP(AK232,Schlüssel!$A$5:$K$14,2)</f>
        <v>Highroller Rosenheim</v>
      </c>
      <c r="AL233" s="344"/>
      <c r="AM233" s="343" t="str">
        <f>VLOOKUP(AM232,Schlüssel!$A$5:$K$14,2)</f>
        <v>Phönix 03 Lauf</v>
      </c>
      <c r="AN233" s="344"/>
      <c r="AO233" s="343" t="str">
        <f>VLOOKUP(AO232,Schlüssel!$A$5:$K$14,2)</f>
        <v>RW Lichtenhof 69 Stein 2</v>
      </c>
      <c r="AP233" s="344"/>
      <c r="AQ233" s="343" t="str">
        <f>VLOOKUP(AQ232,Schlüssel!$A$5:$K$14,2)</f>
        <v>BK München 3</v>
      </c>
      <c r="AR233" s="344"/>
      <c r="AS233" s="343" t="str">
        <f>VLOOKUP(AS232,Schlüssel!$A$5:$K$14,2)</f>
        <v>Frankenpower Nürnberg</v>
      </c>
      <c r="AT233" s="344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35">
      <c r="B234" s="90" t="str">
        <f t="shared" si="277"/>
        <v/>
      </c>
      <c r="C234" s="86" t="str">
        <f t="shared" si="277"/>
        <v/>
      </c>
      <c r="D234" s="341" t="str">
        <f t="shared" si="277"/>
        <v/>
      </c>
      <c r="E234" s="341" t="str">
        <f t="shared" si="277"/>
        <v/>
      </c>
      <c r="F234" s="341" t="str">
        <f t="shared" si="277"/>
        <v/>
      </c>
      <c r="G234" s="341" t="str">
        <f t="shared" si="277"/>
        <v/>
      </c>
      <c r="H234" s="341" t="str">
        <f t="shared" si="277"/>
        <v/>
      </c>
      <c r="I234" s="341" t="str">
        <f t="shared" si="277"/>
        <v/>
      </c>
      <c r="J234" s="341" t="str">
        <f t="shared" si="277"/>
        <v/>
      </c>
      <c r="K234" s="341" t="str">
        <f t="shared" si="277"/>
        <v/>
      </c>
      <c r="L234" s="341" t="str">
        <f t="shared" si="276"/>
        <v/>
      </c>
      <c r="M234" s="341" t="str">
        <f t="shared" si="276"/>
        <v/>
      </c>
      <c r="N234" s="341" t="str">
        <f t="shared" si="276"/>
        <v/>
      </c>
      <c r="O234" s="341" t="str">
        <f t="shared" si="276"/>
        <v/>
      </c>
      <c r="P234" s="341" t="str">
        <f t="shared" si="276"/>
        <v/>
      </c>
      <c r="Q234" s="341" t="str">
        <f t="shared" si="276"/>
        <v/>
      </c>
      <c r="R234" s="341" t="str">
        <f t="shared" si="276"/>
        <v/>
      </c>
      <c r="S234" s="341" t="str">
        <f t="shared" si="276"/>
        <v/>
      </c>
      <c r="T234" s="341" t="str">
        <f t="shared" si="276"/>
        <v/>
      </c>
      <c r="U234" s="342" t="str">
        <f t="shared" si="276"/>
        <v/>
      </c>
      <c r="V234" s="301"/>
      <c r="W234" s="301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6.05" customHeight="1" x14ac:dyDescent="0.35">
      <c r="B235" s="365" t="str">
        <f t="shared" ref="B235:C239" si="278">IF(AA235=0,"",AA235)</f>
        <v>Spieler 1</v>
      </c>
      <c r="C235" s="366" t="str">
        <f t="shared" si="278"/>
        <v/>
      </c>
      <c r="D235" s="339">
        <f>IF(AC235=301,"",AC235)</f>
        <v>0</v>
      </c>
      <c r="E235" s="339" t="str">
        <f>IF(AD235=0,"",AD235)</f>
        <v/>
      </c>
      <c r="F235" s="339">
        <f>IF(AE235=301,"",AE235)</f>
        <v>0</v>
      </c>
      <c r="G235" s="339" t="str">
        <f>IF(AF235=0,"",AF235)</f>
        <v/>
      </c>
      <c r="H235" s="339">
        <f>IF(AG235=301,"",AG235)</f>
        <v>0</v>
      </c>
      <c r="I235" s="339" t="str">
        <f>IF(AH235=0,"",AH235)</f>
        <v/>
      </c>
      <c r="J235" s="339">
        <f>IF(AI235=301,"",AI235)</f>
        <v>0</v>
      </c>
      <c r="K235" s="339" t="str">
        <f>IF(AJ235=0,"",AJ235)</f>
        <v/>
      </c>
      <c r="L235" s="339">
        <f>IF(AK235=301,"",AK235)</f>
        <v>0</v>
      </c>
      <c r="M235" s="339" t="str">
        <f>IF(AL235=0,"",AL235)</f>
        <v/>
      </c>
      <c r="N235" s="339">
        <f>IF(AM235=301,"",AM235)</f>
        <v>0</v>
      </c>
      <c r="O235" s="339" t="str">
        <f>IF(AN235=0,"",AN235)</f>
        <v/>
      </c>
      <c r="P235" s="339">
        <f>IF(AO235=301,"",AO235)</f>
        <v>0</v>
      </c>
      <c r="Q235" s="339" t="str">
        <f>IF(AP235=0,"",AP235)</f>
        <v/>
      </c>
      <c r="R235" s="339">
        <f>IF(AQ235=301,"",AQ235)</f>
        <v>0</v>
      </c>
      <c r="S235" s="339" t="str">
        <f>IF(AR235=0,"",AR235)</f>
        <v/>
      </c>
      <c r="T235" s="339">
        <f>IF(AS235=301,"",AS235)</f>
        <v>0</v>
      </c>
      <c r="U235" s="339" t="str">
        <f>IF(AT235=0,"",AT235)</f>
        <v/>
      </c>
      <c r="V235" s="340"/>
      <c r="W235" s="340"/>
      <c r="AA235" s="91" t="s">
        <v>0</v>
      </c>
      <c r="AB235" s="92"/>
      <c r="AC235" s="372">
        <f>ABS(INDEX(AC:AC,MATCH(AC232,$AA:$AA,0)+5)+INDEX(AC:AC,MATCH(AC232,$AA:$AA,0)+6)+INDEX(AC:AC,MATCH(AC232,$AA:$AA,0)+7))</f>
        <v>0</v>
      </c>
      <c r="AD235" s="373"/>
      <c r="AE235" s="372">
        <f>ABS(INDEX(AE:AE,MATCH(AE232,$AA:$AA,0)+5)+INDEX(AE:AE,MATCH(AE232,$AA:$AA,0)+6)+INDEX(AE:AE,MATCH(AE232,$AA:$AA,0)+7))</f>
        <v>0</v>
      </c>
      <c r="AF235" s="373"/>
      <c r="AG235" s="372">
        <f>ABS(INDEX(AG:AG,MATCH(AG232,$AA:$AA,0)+5)+INDEX(AG:AG,MATCH(AG232,$AA:$AA,0)+6)+INDEX(AG:AG,MATCH(AG232,$AA:$AA,0)+7))</f>
        <v>0</v>
      </c>
      <c r="AH235" s="373"/>
      <c r="AI235" s="372">
        <f>ABS(INDEX(AI:AI,MATCH(AI232,$AA:$AA,0)+5)+INDEX(AI:AI,MATCH(AI232,$AA:$AA,0)+6)+INDEX(AI:AI,MATCH(AI232,$AA:$AA,0)+7))</f>
        <v>0</v>
      </c>
      <c r="AJ235" s="373"/>
      <c r="AK235" s="372">
        <f>ABS(INDEX(AK:AK,MATCH(AK232,$AA:$AA,0)+5)+INDEX(AK:AK,MATCH(AK232,$AA:$AA,0)+6)+INDEX(AK:AK,MATCH(AK232,$AA:$AA,0)+7))</f>
        <v>0</v>
      </c>
      <c r="AL235" s="373"/>
      <c r="AM235" s="372">
        <f>ABS(INDEX(AM:AM,MATCH(AM232,$AA:$AA,0)+5)+INDEX(AM:AM,MATCH(AM232,$AA:$AA,0)+6)+INDEX(AM:AM,MATCH(AM232,$AA:$AA,0)+7))</f>
        <v>0</v>
      </c>
      <c r="AN235" s="373"/>
      <c r="AO235" s="372">
        <f>ABS(INDEX(AO:AO,MATCH(AO232,$AA:$AA,0)+5)+INDEX(AO:AO,MATCH(AO232,$AA:$AA,0)+6)+INDEX(AO:AO,MATCH(AO232,$AA:$AA,0)+7))</f>
        <v>0</v>
      </c>
      <c r="AP235" s="373"/>
      <c r="AQ235" s="372">
        <f>ABS(INDEX(AQ:AQ,MATCH(AQ232,$AA:$AA,0)+5)+INDEX(AQ:AQ,MATCH(AQ232,$AA:$AA,0)+6)+INDEX(AQ:AQ,MATCH(AQ232,$AA:$AA,0)+7))</f>
        <v>0</v>
      </c>
      <c r="AR235" s="373"/>
      <c r="AS235" s="372">
        <f>ABS(INDEX(AS:AS,MATCH(AS232,$AA:$AA,0)+5)+INDEX(AS:AS,MATCH(AS232,$AA:$AA,0)+6)+INDEX(AS:AS,MATCH(AS232,$AA:$AA,0)+7))</f>
        <v>0</v>
      </c>
      <c r="AT235" s="373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6.05" customHeight="1" x14ac:dyDescent="0.35">
      <c r="B236" s="365" t="str">
        <f t="shared" si="278"/>
        <v>Spieler 2</v>
      </c>
      <c r="C236" s="366" t="str">
        <f t="shared" si="278"/>
        <v/>
      </c>
      <c r="D236" s="339">
        <f>IF(AC236=301,"",AC236)</f>
        <v>0</v>
      </c>
      <c r="E236" s="339" t="str">
        <f>IF(AD236=0,"",AD236)</f>
        <v/>
      </c>
      <c r="F236" s="339">
        <f>IF(AE236=301,"",AE236)</f>
        <v>0</v>
      </c>
      <c r="G236" s="339" t="str">
        <f>IF(AF236=0,"",AF236)</f>
        <v/>
      </c>
      <c r="H236" s="339">
        <f>IF(AG236=301,"",AG236)</f>
        <v>0</v>
      </c>
      <c r="I236" s="339" t="str">
        <f>IF(AH236=0,"",AH236)</f>
        <v/>
      </c>
      <c r="J236" s="339">
        <f>IF(AI236=301,"",AI236)</f>
        <v>0</v>
      </c>
      <c r="K236" s="339" t="str">
        <f>IF(AJ236=0,"",AJ236)</f>
        <v/>
      </c>
      <c r="L236" s="339">
        <f>IF(AK236=301,"",AK236)</f>
        <v>0</v>
      </c>
      <c r="M236" s="339" t="str">
        <f>IF(AL236=0,"",AL236)</f>
        <v/>
      </c>
      <c r="N236" s="339">
        <f>IF(AM236=301,"",AM236)</f>
        <v>0</v>
      </c>
      <c r="O236" s="339" t="str">
        <f>IF(AN236=0,"",AN236)</f>
        <v/>
      </c>
      <c r="P236" s="339">
        <f>IF(AO236=301,"",AO236)</f>
        <v>0</v>
      </c>
      <c r="Q236" s="339" t="str">
        <f>IF(AP236=0,"",AP236)</f>
        <v/>
      </c>
      <c r="R236" s="339">
        <f>IF(AQ236=301,"",AQ236)</f>
        <v>0</v>
      </c>
      <c r="S236" s="339" t="str">
        <f>IF(AR236=0,"",AR236)</f>
        <v/>
      </c>
      <c r="T236" s="339">
        <f>IF(AS236=301,"",AS236)</f>
        <v>0</v>
      </c>
      <c r="U236" s="339" t="str">
        <f>IF(AT236=0,"",AT236)</f>
        <v/>
      </c>
      <c r="V236" s="340"/>
      <c r="W236" s="340"/>
      <c r="AA236" s="91" t="s">
        <v>2</v>
      </c>
      <c r="AB236" s="92"/>
      <c r="AC236" s="374">
        <f>ABS(INDEX(AC:AC,MATCH(AC232,$AA:$AA,0)+8)+INDEX(AC:AC,MATCH(AC232,$AA:$AA,0)+9)+INDEX(AC:AC,MATCH(AC232,$AA:$AA,0)+10))</f>
        <v>0</v>
      </c>
      <c r="AD236" s="375"/>
      <c r="AE236" s="374">
        <f>ABS(INDEX(AE:AE,MATCH(AE232,$AA:$AA,0)+8)+INDEX(AE:AE,MATCH(AE232,$AA:$AA,0)+9)+INDEX(AE:AE,MATCH(AE232,$AA:$AA,0)+10))</f>
        <v>0</v>
      </c>
      <c r="AF236" s="375"/>
      <c r="AG236" s="374">
        <f>ABS(INDEX(AG:AG,MATCH(AG232,$AA:$AA,0)+8)+INDEX(AG:AG,MATCH(AG232,$AA:$AA,0)+9)+INDEX(AG:AG,MATCH(AG232,$AA:$AA,0)+10))</f>
        <v>0</v>
      </c>
      <c r="AH236" s="375"/>
      <c r="AI236" s="374">
        <f>ABS(INDEX(AI:AI,MATCH(AI232,$AA:$AA,0)+8)+INDEX(AI:AI,MATCH(AI232,$AA:$AA,0)+9)+INDEX(AI:AI,MATCH(AI232,$AA:$AA,0)+10))</f>
        <v>0</v>
      </c>
      <c r="AJ236" s="375"/>
      <c r="AK236" s="374">
        <f>ABS(INDEX(AK:AK,MATCH(AK232,$AA:$AA,0)+8)+INDEX(AK:AK,MATCH(AK232,$AA:$AA,0)+9)+INDEX(AK:AK,MATCH(AK232,$AA:$AA,0)+10))</f>
        <v>0</v>
      </c>
      <c r="AL236" s="375"/>
      <c r="AM236" s="374">
        <f>ABS(INDEX(AM:AM,MATCH(AM232,$AA:$AA,0)+8)+INDEX(AM:AM,MATCH(AM232,$AA:$AA,0)+9)+INDEX(AM:AM,MATCH(AM232,$AA:$AA,0)+10))</f>
        <v>0</v>
      </c>
      <c r="AN236" s="375"/>
      <c r="AO236" s="374">
        <f>ABS(INDEX(AO:AO,MATCH(AO232,$AA:$AA,0)+8)+INDEX(AO:AO,MATCH(AO232,$AA:$AA,0)+9)+INDEX(AO:AO,MATCH(AO232,$AA:$AA,0)+10))</f>
        <v>0</v>
      </c>
      <c r="AP236" s="375"/>
      <c r="AQ236" s="374">
        <f>ABS(INDEX(AQ:AQ,MATCH(AQ232,$AA:$AA,0)+8)+INDEX(AQ:AQ,MATCH(AQ232,$AA:$AA,0)+9)+INDEX(AQ:AQ,MATCH(AQ232,$AA:$AA,0)+10))</f>
        <v>0</v>
      </c>
      <c r="AR236" s="375"/>
      <c r="AS236" s="374">
        <f>ABS(INDEX(AS:AS,MATCH(AS232,$AA:$AA,0)+8)+INDEX(AS:AS,MATCH(AS232,$AA:$AA,0)+9)+INDEX(AS:AS,MATCH(AS232,$AA:$AA,0)+10))</f>
        <v>0</v>
      </c>
      <c r="AT236" s="375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6.05" customHeight="1" x14ac:dyDescent="0.35">
      <c r="B237" s="365" t="str">
        <f t="shared" si="278"/>
        <v>Spieler 3</v>
      </c>
      <c r="C237" s="366" t="str">
        <f t="shared" si="278"/>
        <v/>
      </c>
      <c r="D237" s="339">
        <f>IF(AC237=301,"",AC237)</f>
        <v>0</v>
      </c>
      <c r="E237" s="339" t="str">
        <f>IF(AD237=0,"",AD237)</f>
        <v/>
      </c>
      <c r="F237" s="339">
        <f>IF(AE237=301,"",AE237)</f>
        <v>0</v>
      </c>
      <c r="G237" s="339" t="str">
        <f>IF(AF237=0,"",AF237)</f>
        <v/>
      </c>
      <c r="H237" s="339">
        <f>IF(AG237=301,"",AG237)</f>
        <v>0</v>
      </c>
      <c r="I237" s="339" t="str">
        <f>IF(AH237=0,"",AH237)</f>
        <v/>
      </c>
      <c r="J237" s="339">
        <f>IF(AI237=301,"",AI237)</f>
        <v>0</v>
      </c>
      <c r="K237" s="339" t="str">
        <f>IF(AJ237=0,"",AJ237)</f>
        <v/>
      </c>
      <c r="L237" s="339">
        <f>IF(AK237=301,"",AK237)</f>
        <v>0</v>
      </c>
      <c r="M237" s="339" t="str">
        <f>IF(AL237=0,"",AL237)</f>
        <v/>
      </c>
      <c r="N237" s="339">
        <f>IF(AM237=301,"",AM237)</f>
        <v>0</v>
      </c>
      <c r="O237" s="339" t="str">
        <f>IF(AN237=0,"",AN237)</f>
        <v/>
      </c>
      <c r="P237" s="339">
        <f>IF(AO237=301,"",AO237)</f>
        <v>0</v>
      </c>
      <c r="Q237" s="339" t="str">
        <f>IF(AP237=0,"",AP237)</f>
        <v/>
      </c>
      <c r="R237" s="339">
        <f>IF(AQ237=301,"",AQ237)</f>
        <v>0</v>
      </c>
      <c r="S237" s="339" t="str">
        <f>IF(AR237=0,"",AR237)</f>
        <v/>
      </c>
      <c r="T237" s="339">
        <f>IF(AS237=301,"",AS237)</f>
        <v>0</v>
      </c>
      <c r="U237" s="339" t="str">
        <f>IF(AT237=0,"",AT237)</f>
        <v/>
      </c>
      <c r="V237" s="340"/>
      <c r="W237" s="340"/>
      <c r="AA237" s="91" t="s">
        <v>3</v>
      </c>
      <c r="AB237" s="92"/>
      <c r="AC237" s="374">
        <f>ABS(INDEX(AC:AC,MATCH(AC232,$AA:$AA,0)+11)+INDEX(AC:AC,MATCH(AC232,$AA:$AA,0)+12)+INDEX(AC:AC,MATCH(AC232,$AA:$AA,0)+13))</f>
        <v>0</v>
      </c>
      <c r="AD237" s="375"/>
      <c r="AE237" s="374">
        <f>ABS(INDEX(AE:AE,MATCH(AE232,$AA:$AA,0)+11)+INDEX(AE:AE,MATCH(AE232,$AA:$AA,0)+12)+INDEX(AE:AE,MATCH(AE232,$AA:$AA,0)+13))</f>
        <v>0</v>
      </c>
      <c r="AF237" s="375"/>
      <c r="AG237" s="374">
        <f>ABS(INDEX(AG:AG,MATCH(AG232,$AA:$AA,0)+11)+INDEX(AG:AG,MATCH(AG232,$AA:$AA,0)+12)+INDEX(AG:AG,MATCH(AG232,$AA:$AA,0)+13))</f>
        <v>0</v>
      </c>
      <c r="AH237" s="375"/>
      <c r="AI237" s="374">
        <f>ABS(INDEX(AI:AI,MATCH(AI232,$AA:$AA,0)+11)+INDEX(AI:AI,MATCH(AI232,$AA:$AA,0)+12)+INDEX(AI:AI,MATCH(AI232,$AA:$AA,0)+13))</f>
        <v>0</v>
      </c>
      <c r="AJ237" s="375"/>
      <c r="AK237" s="374">
        <f>ABS(INDEX(AK:AK,MATCH(AK232,$AA:$AA,0)+11)+INDEX(AK:AK,MATCH(AK232,$AA:$AA,0)+12)+INDEX(AK:AK,MATCH(AK232,$AA:$AA,0)+13))</f>
        <v>0</v>
      </c>
      <c r="AL237" s="375"/>
      <c r="AM237" s="374">
        <f>ABS(INDEX(AM:AM,MATCH(AM232,$AA:$AA,0)+11)+INDEX(AM:AM,MATCH(AM232,$AA:$AA,0)+12)+INDEX(AM:AM,MATCH(AM232,$AA:$AA,0)+13))</f>
        <v>0</v>
      </c>
      <c r="AN237" s="375"/>
      <c r="AO237" s="374">
        <f>ABS(INDEX(AO:AO,MATCH(AO232,$AA:$AA,0)+11)+INDEX(AO:AO,MATCH(AO232,$AA:$AA,0)+12)+INDEX(AO:AO,MATCH(AO232,$AA:$AA,0)+13))</f>
        <v>0</v>
      </c>
      <c r="AP237" s="375"/>
      <c r="AQ237" s="374">
        <f>ABS(INDEX(AQ:AQ,MATCH(AQ232,$AA:$AA,0)+11)+INDEX(AQ:AQ,MATCH(AQ232,$AA:$AA,0)+12)+INDEX(AQ:AQ,MATCH(AQ232,$AA:$AA,0)+13))</f>
        <v>0</v>
      </c>
      <c r="AR237" s="375"/>
      <c r="AS237" s="374">
        <f>ABS(INDEX(AS:AS,MATCH(AS232,$AA:$AA,0)+11)+INDEX(AS:AS,MATCH(AS232,$AA:$AA,0)+12)+INDEX(AS:AS,MATCH(AS232,$AA:$AA,0)+13))</f>
        <v>0</v>
      </c>
      <c r="AT237" s="375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6.05" customHeight="1" x14ac:dyDescent="0.35">
      <c r="B238" s="365" t="str">
        <f t="shared" si="278"/>
        <v>Spieler 4</v>
      </c>
      <c r="C238" s="366" t="str">
        <f t="shared" si="278"/>
        <v/>
      </c>
      <c r="D238" s="339">
        <f>IF(AC238=301,"",AC238)</f>
        <v>0</v>
      </c>
      <c r="E238" s="339" t="str">
        <f>IF(AD238=0,"",AD238)</f>
        <v/>
      </c>
      <c r="F238" s="339">
        <f>IF(AE238=301,"",AE238)</f>
        <v>0</v>
      </c>
      <c r="G238" s="339" t="str">
        <f>IF(AF238=0,"",AF238)</f>
        <v/>
      </c>
      <c r="H238" s="339">
        <f>IF(AG238=301,"",AG238)</f>
        <v>0</v>
      </c>
      <c r="I238" s="339" t="str">
        <f>IF(AH238=0,"",AH238)</f>
        <v/>
      </c>
      <c r="J238" s="339">
        <f>IF(AI238=301,"",AI238)</f>
        <v>0</v>
      </c>
      <c r="K238" s="339" t="str">
        <f>IF(AJ238=0,"",AJ238)</f>
        <v/>
      </c>
      <c r="L238" s="339">
        <f>IF(AK238=301,"",AK238)</f>
        <v>0</v>
      </c>
      <c r="M238" s="339" t="str">
        <f>IF(AL238=0,"",AL238)</f>
        <v/>
      </c>
      <c r="N238" s="339">
        <f>IF(AM238=301,"",AM238)</f>
        <v>0</v>
      </c>
      <c r="O238" s="339" t="str">
        <f>IF(AN238=0,"",AN238)</f>
        <v/>
      </c>
      <c r="P238" s="339">
        <f>IF(AO238=301,"",AO238)</f>
        <v>0</v>
      </c>
      <c r="Q238" s="339" t="str">
        <f>IF(AP238=0,"",AP238)</f>
        <v/>
      </c>
      <c r="R238" s="339">
        <f>IF(AQ238=301,"",AQ238)</f>
        <v>0</v>
      </c>
      <c r="S238" s="339" t="str">
        <f>IF(AR238=0,"",AR238)</f>
        <v/>
      </c>
      <c r="T238" s="339">
        <f>IF(AS238=301,"",AS238)</f>
        <v>0</v>
      </c>
      <c r="U238" s="339" t="str">
        <f>IF(AT238=0,"",AT238)</f>
        <v/>
      </c>
      <c r="V238" s="340"/>
      <c r="W238" s="340"/>
      <c r="AA238" s="91" t="s">
        <v>11</v>
      </c>
      <c r="AB238" s="92"/>
      <c r="AC238" s="374">
        <f>ABS(INDEX(AC:AC,MATCH(AC232,$AA:$AA,0)+14)+INDEX(AC:AC,MATCH(AC232,$AA:$AA,0)+15)+INDEX(AC:AC,MATCH(AC232,$AA:$AA,0)+16))</f>
        <v>0</v>
      </c>
      <c r="AD238" s="375"/>
      <c r="AE238" s="374">
        <f>ABS(INDEX(AE:AE,MATCH(AE232,$AA:$AA,0)+14)+INDEX(AE:AE,MATCH(AE232,$AA:$AA,0)+15)+INDEX(AE:AE,MATCH(AE232,$AA:$AA,0)+16))</f>
        <v>0</v>
      </c>
      <c r="AF238" s="375"/>
      <c r="AG238" s="374">
        <f>ABS(INDEX(AG:AG,MATCH(AG232,$AA:$AA,0)+14)+INDEX(AG:AG,MATCH(AG232,$AA:$AA,0)+15)+INDEX(AG:AG,MATCH(AG232,$AA:$AA,0)+16))</f>
        <v>0</v>
      </c>
      <c r="AH238" s="375"/>
      <c r="AI238" s="374">
        <f>ABS(INDEX(AI:AI,MATCH(AI232,$AA:$AA,0)+14)+INDEX(AI:AI,MATCH(AI232,$AA:$AA,0)+15)+INDEX(AI:AI,MATCH(AI232,$AA:$AA,0)+16))</f>
        <v>0</v>
      </c>
      <c r="AJ238" s="375"/>
      <c r="AK238" s="374">
        <f>ABS(INDEX(AK:AK,MATCH(AK232,$AA:$AA,0)+14)+INDEX(AK:AK,MATCH(AK232,$AA:$AA,0)+15)+INDEX(AK:AK,MATCH(AK232,$AA:$AA,0)+16))</f>
        <v>0</v>
      </c>
      <c r="AL238" s="375"/>
      <c r="AM238" s="374">
        <f>ABS(INDEX(AM:AM,MATCH(AM232,$AA:$AA,0)+14)+INDEX(AM:AM,MATCH(AM232,$AA:$AA,0)+15)+INDEX(AM:AM,MATCH(AM232,$AA:$AA,0)+16))</f>
        <v>0</v>
      </c>
      <c r="AN238" s="375"/>
      <c r="AO238" s="374">
        <f>ABS(INDEX(AO:AO,MATCH(AO232,$AA:$AA,0)+14)+INDEX(AO:AO,MATCH(AO232,$AA:$AA,0)+15)+INDEX(AO:AO,MATCH(AO232,$AA:$AA,0)+16))</f>
        <v>0</v>
      </c>
      <c r="AP238" s="375"/>
      <c r="AQ238" s="374">
        <f>ABS(INDEX(AQ:AQ,MATCH(AQ232,$AA:$AA,0)+14)+INDEX(AQ:AQ,MATCH(AQ232,$AA:$AA,0)+15)+INDEX(AQ:AQ,MATCH(AQ232,$AA:$AA,0)+16))</f>
        <v>0</v>
      </c>
      <c r="AR238" s="375"/>
      <c r="AS238" s="374">
        <f>ABS(INDEX(AS:AS,MATCH(AS232,$AA:$AA,0)+14)+INDEX(AS:AS,MATCH(AS232,$AA:$AA,0)+15)+INDEX(AS:AS,MATCH(AS232,$AA:$AA,0)+16))</f>
        <v>0</v>
      </c>
      <c r="AT238" s="375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6.05" customHeight="1" x14ac:dyDescent="0.35">
      <c r="B239" s="354" t="str">
        <f t="shared" si="278"/>
        <v>Gesamt</v>
      </c>
      <c r="C239" s="355" t="str">
        <f t="shared" si="278"/>
        <v/>
      </c>
      <c r="D239" s="338">
        <f>IF(AC239=1505,"",AC239)</f>
        <v>0</v>
      </c>
      <c r="E239" s="338" t="str">
        <f>IF(AD239=0,"",AD239)</f>
        <v/>
      </c>
      <c r="F239" s="338">
        <f>IF(AE239=1505,"",AE239)</f>
        <v>0</v>
      </c>
      <c r="G239" s="338" t="str">
        <f>IF(AF239=0,"",AF239)</f>
        <v/>
      </c>
      <c r="H239" s="338">
        <f>IF(AG239=1505,"",AG239)</f>
        <v>0</v>
      </c>
      <c r="I239" s="338" t="str">
        <f>IF(AH239=0,"",AH239)</f>
        <v/>
      </c>
      <c r="J239" s="338">
        <f>IF(AI239=1505,"",AI239)</f>
        <v>0</v>
      </c>
      <c r="K239" s="338" t="str">
        <f>IF(AJ239=0,"",AJ239)</f>
        <v/>
      </c>
      <c r="L239" s="338">
        <f>IF(AK239=1505,"",AK239)</f>
        <v>0</v>
      </c>
      <c r="M239" s="338" t="str">
        <f>IF(AL239=0,"",AL239)</f>
        <v/>
      </c>
      <c r="N239" s="338">
        <f>IF(AM239=1505,"",AM239)</f>
        <v>0</v>
      </c>
      <c r="O239" s="338" t="str">
        <f>IF(AN239=0,"",AN239)</f>
        <v/>
      </c>
      <c r="P239" s="338">
        <f>IF(AO239=1505,"",AO239)</f>
        <v>0</v>
      </c>
      <c r="Q239" s="338" t="str">
        <f>IF(AP239=0,"",AP239)</f>
        <v/>
      </c>
      <c r="R239" s="338">
        <f>IF(AQ239=1505,"",AQ239)</f>
        <v>0</v>
      </c>
      <c r="S239" s="338" t="str">
        <f>IF(AR239=0,"",AR239)</f>
        <v/>
      </c>
      <c r="T239" s="338">
        <f>IF(AS239=1505,"",AS239)</f>
        <v>0</v>
      </c>
      <c r="U239" s="338" t="str">
        <f>IF(AT239=0,"",AT239)</f>
        <v/>
      </c>
      <c r="V239" s="290"/>
      <c r="W239" s="290"/>
      <c r="AA239" s="93" t="s">
        <v>1799</v>
      </c>
      <c r="AB239" s="94"/>
      <c r="AC239" s="354">
        <f>SUM(AC235:AC238)</f>
        <v>0</v>
      </c>
      <c r="AD239" s="355"/>
      <c r="AE239" s="354">
        <f>SUM(AE235:AE238)</f>
        <v>0</v>
      </c>
      <c r="AF239" s="355"/>
      <c r="AG239" s="354">
        <f>SUM(AG235:AG238)</f>
        <v>0</v>
      </c>
      <c r="AH239" s="355"/>
      <c r="AI239" s="354">
        <f>SUM(AI235:AI238)</f>
        <v>0</v>
      </c>
      <c r="AJ239" s="355"/>
      <c r="AK239" s="354">
        <f>SUM(AK235:AK238)</f>
        <v>0</v>
      </c>
      <c r="AL239" s="355"/>
      <c r="AM239" s="354">
        <f>SUM(AM235:AM238)</f>
        <v>0</v>
      </c>
      <c r="AN239" s="355"/>
      <c r="AO239" s="354">
        <f>SUM(AO235:AO238)</f>
        <v>0</v>
      </c>
      <c r="AP239" s="355"/>
      <c r="AQ239" s="354">
        <f>SUM(AQ235:AQ238)</f>
        <v>0</v>
      </c>
      <c r="AR239" s="355"/>
      <c r="AS239" s="354">
        <f>SUM(AS235:AS238)</f>
        <v>0</v>
      </c>
      <c r="AT239" s="355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3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7">
      <c r="B241" s="44" t="str">
        <f>AA241</f>
        <v>Team-Nr.</v>
      </c>
      <c r="C241" s="45"/>
      <c r="D241" s="44" t="str">
        <f>AC241</f>
        <v>Liga:</v>
      </c>
      <c r="E241" s="47"/>
      <c r="F241" s="359" t="str">
        <f>AE241</f>
        <v>Bayernliga Frauen</v>
      </c>
      <c r="G241" s="359"/>
      <c r="H241" s="359"/>
      <c r="I241" s="359"/>
      <c r="J241" s="359"/>
      <c r="K241" s="359"/>
      <c r="L241" s="359"/>
      <c r="M241" s="359"/>
      <c r="N241" s="359"/>
      <c r="O241" s="359"/>
      <c r="P241" s="359"/>
      <c r="Q241" s="359"/>
      <c r="R241" s="48"/>
      <c r="S241" s="49" t="s">
        <v>1794</v>
      </c>
      <c r="T241" s="50"/>
      <c r="U241" s="360" t="str">
        <f>AT241</f>
        <v>05.04./06.04.</v>
      </c>
      <c r="V241" s="361"/>
      <c r="W241" s="362"/>
      <c r="X241" s="363"/>
      <c r="Y241" s="364"/>
      <c r="Z241" s="364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60" t="str">
        <f>VLOOKUP(AS242,Spielorte!$A$1:$C$6,2)</f>
        <v>05.04./06.04.</v>
      </c>
      <c r="AU241" s="361"/>
      <c r="AV241" s="362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65">
      <c r="B242" s="53">
        <f>AA242</f>
        <v>9</v>
      </c>
      <c r="D242" s="46" t="s">
        <v>1793</v>
      </c>
      <c r="E242" s="54"/>
      <c r="F242" s="358" t="str">
        <f>AE242</f>
        <v>Schweinfurt Extreme Bowlingarena</v>
      </c>
      <c r="G242" s="358"/>
      <c r="H242" s="358"/>
      <c r="I242" s="358"/>
      <c r="J242" s="358"/>
      <c r="K242" s="358"/>
      <c r="L242" s="358"/>
      <c r="M242" s="358"/>
      <c r="N242" s="358"/>
      <c r="O242" s="358"/>
      <c r="P242" s="55"/>
      <c r="Q242" s="55"/>
      <c r="S242" s="49" t="s">
        <v>1791</v>
      </c>
      <c r="T242" s="56">
        <f>AS242</f>
        <v>6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Schweinfurt Extreme Bowlingarena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6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4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5" thickBot="1" x14ac:dyDescent="0.45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VLOOKUP(AA242,Schlüssel!$A$5:$DZ$14,113)</f>
        <v>6</v>
      </c>
      <c r="AE244" s="65" t="s">
        <v>10</v>
      </c>
      <c r="AF244" s="44">
        <f>VLOOKUP(AA242,Schlüssel!$A$5:$DZ$14,114)</f>
        <v>1</v>
      </c>
      <c r="AG244" s="65" t="s">
        <v>10</v>
      </c>
      <c r="AH244" s="44">
        <f>VLOOKUP(AA242,Schlüssel!$A$5:$DZ$14,115)</f>
        <v>10</v>
      </c>
      <c r="AI244" s="65" t="s">
        <v>10</v>
      </c>
      <c r="AJ244" s="44">
        <f>VLOOKUP(AA242,Schlüssel!$A$5:$DZ$14,116)</f>
        <v>3</v>
      </c>
      <c r="AK244" s="65" t="s">
        <v>10</v>
      </c>
      <c r="AL244" s="44">
        <f>VLOOKUP(AA242,Schlüssel!$A$5:$DZ$14,117)</f>
        <v>8</v>
      </c>
      <c r="AM244" s="65" t="s">
        <v>10</v>
      </c>
      <c r="AN244" s="44">
        <f>VLOOKUP(AA242,Schlüssel!$A$5:$DZ$14,118)</f>
        <v>2</v>
      </c>
      <c r="AO244" s="65" t="s">
        <v>10</v>
      </c>
      <c r="AP244" s="44">
        <f>VLOOKUP(AA242,Schlüssel!$A$5:$DZ$14,119)</f>
        <v>9</v>
      </c>
      <c r="AQ244" s="65" t="s">
        <v>10</v>
      </c>
      <c r="AR244" s="44">
        <f>VLOOKUP(AA242,Schlüssel!$A$5:$DZ$14,120)</f>
        <v>5</v>
      </c>
      <c r="AS244" s="65" t="s">
        <v>10</v>
      </c>
      <c r="AT244" s="44">
        <f>VLOOKUP(AA242,Schlüssel!$A$5:$DZ$14,121)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35">
      <c r="B245" s="67" t="s">
        <v>1</v>
      </c>
      <c r="C245" s="68"/>
      <c r="D245" s="354" t="s">
        <v>1800</v>
      </c>
      <c r="E245" s="355"/>
      <c r="F245" s="354" t="s">
        <v>1801</v>
      </c>
      <c r="G245" s="355"/>
      <c r="H245" s="354" t="s">
        <v>1802</v>
      </c>
      <c r="I245" s="355"/>
      <c r="J245" s="354" t="s">
        <v>1803</v>
      </c>
      <c r="K245" s="355"/>
      <c r="L245" s="354" t="s">
        <v>1804</v>
      </c>
      <c r="M245" s="355"/>
      <c r="N245" s="354" t="s">
        <v>1805</v>
      </c>
      <c r="O245" s="355"/>
      <c r="P245" s="354" t="s">
        <v>1806</v>
      </c>
      <c r="Q245" s="355"/>
      <c r="R245" s="354" t="s">
        <v>1807</v>
      </c>
      <c r="S245" s="355"/>
      <c r="T245" s="354" t="s">
        <v>1808</v>
      </c>
      <c r="U245" s="355"/>
      <c r="V245" s="356" t="s">
        <v>1799</v>
      </c>
      <c r="W245" s="357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4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2" customHeight="1" x14ac:dyDescent="0.35">
      <c r="A247" s="367" t="s">
        <v>0</v>
      </c>
      <c r="B247" s="73" t="str">
        <f>IF(AA247=0,"",AA247)</f>
        <v/>
      </c>
      <c r="C247" s="74" t="str">
        <f>IF(AB247=0,"",AB247)</f>
        <v/>
      </c>
      <c r="D247" s="75" t="str">
        <f>IF(AC247=0,"",AC247)</f>
        <v/>
      </c>
      <c r="E247" s="348">
        <f>IF(AD247="","",AD247)</f>
        <v>0</v>
      </c>
      <c r="F247" s="75" t="str">
        <f t="shared" ref="F247:F260" si="279">IF(AE247=0,"",AE247)</f>
        <v/>
      </c>
      <c r="G247" s="348">
        <f>IF(AF247="","",AF247)</f>
        <v>0</v>
      </c>
      <c r="H247" s="75" t="str">
        <f t="shared" ref="H247:H260" si="280">IF(AG247=0,"",AG247)</f>
        <v/>
      </c>
      <c r="I247" s="348">
        <f>IF(AH247="","",AH247)</f>
        <v>0</v>
      </c>
      <c r="J247" s="75" t="str">
        <f t="shared" ref="J247:J260" si="281">IF(AI247=0,"",AI247)</f>
        <v/>
      </c>
      <c r="K247" s="348">
        <f>IF(AJ247="","",AJ247)</f>
        <v>0</v>
      </c>
      <c r="L247" s="75" t="str">
        <f t="shared" ref="L247:L260" si="282">IF(AK247=0,"",AK247)</f>
        <v/>
      </c>
      <c r="M247" s="348">
        <f>IF(AL247="","",AL247)</f>
        <v>0</v>
      </c>
      <c r="N247" s="75" t="str">
        <f>IF(AM247=0,"",AM247)</f>
        <v/>
      </c>
      <c r="O247" s="348">
        <f>IF(AN247="","",AN247)</f>
        <v>0</v>
      </c>
      <c r="P247" s="75" t="str">
        <f t="shared" ref="P247:P260" si="283">IF(AO247=0,"",AO247)</f>
        <v/>
      </c>
      <c r="Q247" s="348">
        <f>IF(AP247="","",AP247)</f>
        <v>0</v>
      </c>
      <c r="R247" s="75" t="str">
        <f t="shared" ref="R247:R260" si="284">IF(AQ247=0,"",AQ247)</f>
        <v/>
      </c>
      <c r="S247" s="348">
        <f>IF(AR247="","",AR247)</f>
        <v>0</v>
      </c>
      <c r="T247" s="75" t="str">
        <f t="shared" ref="T247:T260" si="285">IF(AS247=0,"",AS247)</f>
        <v/>
      </c>
      <c r="U247" s="348">
        <f>IF(AT247="","",AT247)</f>
        <v>0</v>
      </c>
      <c r="V247" s="75" t="str">
        <f t="shared" ref="V247:V260" si="286">IF(AU247=0,"",AU247)</f>
        <v/>
      </c>
      <c r="W247" s="348">
        <f>IF(AV247="","",AV247)</f>
        <v>0</v>
      </c>
      <c r="Z247" s="351" t="s">
        <v>0</v>
      </c>
      <c r="AA247" s="108" t="str">
        <f>IF(AB247=0,"",VLOOKUP(AB247,Starter!$A$1:$D$199,2,FALSE))</f>
        <v/>
      </c>
      <c r="AB247" s="99"/>
      <c r="AC247" s="185"/>
      <c r="AD247" s="109">
        <f>IF(SUM(AC247:AC249)+AC265=0,0,IF(SUM(AC247:AC249)=AC265,0.5,IF(SUM(AC247:AC249)&gt;AC265,1,0)))</f>
        <v>0</v>
      </c>
      <c r="AE247" s="185"/>
      <c r="AF247" s="109">
        <f>IF(SUM(AE247:AE249)+AE265=0,0,IF(SUM(AE247:AE249)=AE265,0.5,IF(SUM(AE247:AE249)&gt;AE265,1,0)))</f>
        <v>0</v>
      </c>
      <c r="AG247" s="185"/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0</v>
      </c>
      <c r="AK247" s="185"/>
      <c r="AL247" s="109">
        <f>IF(SUM(AK247:AK249)+AK265=0,0,IF(SUM(AK247:AK249)=AK265,0.5,IF(SUM(AK247:AK249)&gt;AK265,1,0)))</f>
        <v>0</v>
      </c>
      <c r="AM247" s="185"/>
      <c r="AN247" s="109">
        <f>IF(SUM(AM247:AM249)+AM265=0,0,IF(SUM(AM247:AM249)=AM265,0.5,IF(SUM(AM247:AM249)&gt;AM265,1,0)))</f>
        <v>0</v>
      </c>
      <c r="AO247" s="185"/>
      <c r="AP247" s="109">
        <f>IF(SUM(AO247:AO249)+AO265=0,0,IF(SUM(AO247:AO249)=AO265,0.5,IF(SUM(AO247:AO249)&gt;AO265,1,0)))</f>
        <v>0</v>
      </c>
      <c r="AQ247" s="185"/>
      <c r="AR247" s="109">
        <f>IF(SUM(AQ247:AQ249)+AQ265=0,0,IF(SUM(AQ247:AQ249)=AQ265,0.5,IF(SUM(AQ247:AQ249)&gt;AQ265,1,0)))</f>
        <v>0</v>
      </c>
      <c r="AS247" s="185"/>
      <c r="AT247" s="109">
        <f>IF(SUM(AS247:AS249)+AS265=0,0,IF(SUM(AS247:AS249)=AS265,0.5,IF(SUM(AS247:AS249)&gt;AS265,1,0)))</f>
        <v>0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0</v>
      </c>
      <c r="AV247" s="111">
        <f>SUM(AD247+AF247+AH247+AJ247+AL247+AN247+AP247+AR247+AT247)</f>
        <v>0</v>
      </c>
      <c r="AW247" s="101"/>
      <c r="AX247" s="102"/>
      <c r="AZ247" s="63"/>
      <c r="BA247" s="212"/>
      <c r="BB247" s="213"/>
      <c r="BC247" s="214"/>
      <c r="BD247" s="217">
        <f>+AB247</f>
        <v>0</v>
      </c>
      <c r="BE247" s="213">
        <f>+AU247</f>
        <v>0</v>
      </c>
      <c r="BF247" s="215">
        <f>COUNT(BH247:BP247)</f>
        <v>0</v>
      </c>
      <c r="BG247" s="215">
        <f>COUNTIF(BH247:BP247,"&gt;0")</f>
        <v>0</v>
      </c>
      <c r="BH247" s="215" t="str">
        <f t="shared" ref="BH247:BH258" si="288">IF(AC247=0,"",AC247)</f>
        <v/>
      </c>
      <c r="BI247" s="215" t="str">
        <f t="shared" ref="BI247:BI258" si="289">IF(AE247=0,"",AE247)</f>
        <v/>
      </c>
      <c r="BJ247" s="215" t="str">
        <f t="shared" ref="BJ247:BJ258" si="290">IF(AG247=0,"",AG247)</f>
        <v/>
      </c>
      <c r="BK247" s="215" t="str">
        <f t="shared" ref="BK247:BK258" si="291">IF(AI247=0,"",AI247)</f>
        <v/>
      </c>
      <c r="BL247" s="215" t="str">
        <f t="shared" ref="BL247:BL258" si="292">IF(AK247=0,"",AK247)</f>
        <v/>
      </c>
      <c r="BM247" s="215" t="str">
        <f t="shared" ref="BM247:BM258" si="293">IF(AM247=0,"",AM247)</f>
        <v/>
      </c>
      <c r="BN247" s="215" t="str">
        <f t="shared" ref="BN247:BN258" si="294">IF(AO247=0,"",AO247)</f>
        <v/>
      </c>
      <c r="BO247" s="215" t="str">
        <f t="shared" ref="BO247:BO258" si="295">IF(AQ247=0,"",AQ247)</f>
        <v/>
      </c>
      <c r="BP247" s="215" t="str">
        <f t="shared" ref="BP247:BP258" si="296">IF(AS247=0,"",AS247)</f>
        <v/>
      </c>
      <c r="BQ247" s="216"/>
      <c r="BR247" s="214"/>
      <c r="BS247" s="215">
        <f>MAX(BH247:BP247)</f>
        <v>0</v>
      </c>
      <c r="BT247" s="215">
        <f>IF(BS247&lt;MAX(BS:BS),0,BS247+ROW()/1000000000)</f>
        <v>2.4699999999999998E-7</v>
      </c>
      <c r="BU247" s="215" t="str">
        <f>+AA243</f>
        <v>RW Lichtenhof 69 Stein 2</v>
      </c>
      <c r="BV247" s="214">
        <f>RANK(BT247,BT:BT)</f>
        <v>24</v>
      </c>
      <c r="BW247" s="215">
        <f>SUMIF(BH247:BP247,"&gt;0")</f>
        <v>0</v>
      </c>
      <c r="BX247" s="215">
        <f>IF(COUNTIF(BH247:BP247,"&gt;0")&lt;Spielorte!$A$23,0,BE247/Spielorte!$A$23)</f>
        <v>0</v>
      </c>
      <c r="BY247" s="215">
        <f>IF(BX247&lt;MAX(BX:BX),0,BX247+ROW()/1000000000)</f>
        <v>2.4699999999999998E-7</v>
      </c>
      <c r="BZ247" s="214">
        <f t="shared" ref="BZ247:BZ258" si="297">IF(BY247=0,0,RANK(BY247,BY:BY))</f>
        <v>24</v>
      </c>
    </row>
    <row r="248" spans="1:78" ht="17.2" customHeight="1" x14ac:dyDescent="0.35">
      <c r="A248" s="368"/>
      <c r="B248" s="76" t="str">
        <f t="shared" ref="B248:D260" si="298">IF(AA248=0,"",AA248)</f>
        <v/>
      </c>
      <c r="C248" s="77" t="str">
        <f t="shared" si="298"/>
        <v/>
      </c>
      <c r="D248" s="78" t="str">
        <f t="shared" si="298"/>
        <v/>
      </c>
      <c r="E248" s="349"/>
      <c r="F248" s="78" t="str">
        <f t="shared" si="279"/>
        <v/>
      </c>
      <c r="G248" s="349"/>
      <c r="H248" s="78" t="str">
        <f t="shared" si="280"/>
        <v/>
      </c>
      <c r="I248" s="349"/>
      <c r="J248" s="78" t="str">
        <f t="shared" si="281"/>
        <v/>
      </c>
      <c r="K248" s="349"/>
      <c r="L248" s="78" t="str">
        <f t="shared" si="282"/>
        <v/>
      </c>
      <c r="M248" s="349"/>
      <c r="N248" s="78" t="str">
        <f t="shared" ref="N248:N260" si="299">IF(AM248=0,"",AM248)</f>
        <v/>
      </c>
      <c r="O248" s="349"/>
      <c r="P248" s="78" t="str">
        <f t="shared" si="283"/>
        <v/>
      </c>
      <c r="Q248" s="349"/>
      <c r="R248" s="78" t="str">
        <f t="shared" si="284"/>
        <v/>
      </c>
      <c r="S248" s="349"/>
      <c r="T248" s="78" t="str">
        <f t="shared" si="285"/>
        <v/>
      </c>
      <c r="U248" s="349"/>
      <c r="V248" s="78" t="str">
        <f t="shared" si="286"/>
        <v/>
      </c>
      <c r="W248" s="349"/>
      <c r="Z248" s="352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0</v>
      </c>
      <c r="BE248" s="213">
        <f t="shared" ref="BE248:BE258" si="301">+AU248</f>
        <v>0</v>
      </c>
      <c r="BF248" s="215">
        <f t="shared" ref="BF248:BF258" si="302">COUNT(BH248:BP248)</f>
        <v>0</v>
      </c>
      <c r="BG248" s="215">
        <f t="shared" ref="BG248:BG258" si="303">COUNTIF(BH248:BP248,"&gt;0")</f>
        <v>0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 t="str">
        <f t="shared" si="291"/>
        <v/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0</v>
      </c>
      <c r="BT248" s="215">
        <f t="shared" ref="BT248:BT258" si="305">IF(BS248&lt;MAX(BS:BS),0,BS248+ROW()/1000000000)</f>
        <v>2.48E-7</v>
      </c>
      <c r="BU248" s="215" t="str">
        <f t="shared" ref="BU248:BU258" si="306">+BU247</f>
        <v>RW Lichtenhof 69 Stein 2</v>
      </c>
      <c r="BV248" s="214">
        <f t="shared" ref="BV248:BV258" si="307">RANK(BT248,BT:BT)</f>
        <v>23</v>
      </c>
      <c r="BW248" s="215">
        <f t="shared" ref="BW248:BW258" si="308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2.48E-7</v>
      </c>
      <c r="BZ248" s="214">
        <f t="shared" si="297"/>
        <v>23</v>
      </c>
    </row>
    <row r="249" spans="1:78" ht="17.2" customHeight="1" thickBot="1" x14ac:dyDescent="0.4">
      <c r="A249" s="369"/>
      <c r="B249" s="79" t="str">
        <f t="shared" si="298"/>
        <v/>
      </c>
      <c r="C249" s="80" t="str">
        <f t="shared" si="298"/>
        <v/>
      </c>
      <c r="D249" s="69" t="str">
        <f t="shared" si="298"/>
        <v/>
      </c>
      <c r="E249" s="350"/>
      <c r="F249" s="69" t="str">
        <f t="shared" si="279"/>
        <v/>
      </c>
      <c r="G249" s="350"/>
      <c r="H249" s="69" t="str">
        <f t="shared" si="280"/>
        <v/>
      </c>
      <c r="I249" s="350"/>
      <c r="J249" s="69" t="str">
        <f t="shared" si="281"/>
        <v/>
      </c>
      <c r="K249" s="350"/>
      <c r="L249" s="69" t="str">
        <f t="shared" si="282"/>
        <v/>
      </c>
      <c r="M249" s="350"/>
      <c r="N249" s="69" t="str">
        <f t="shared" si="299"/>
        <v/>
      </c>
      <c r="O249" s="350"/>
      <c r="P249" s="69" t="str">
        <f t="shared" si="283"/>
        <v/>
      </c>
      <c r="Q249" s="350"/>
      <c r="R249" s="69" t="str">
        <f t="shared" si="284"/>
        <v/>
      </c>
      <c r="S249" s="350"/>
      <c r="T249" s="69" t="str">
        <f t="shared" si="285"/>
        <v/>
      </c>
      <c r="U249" s="350"/>
      <c r="V249" s="69" t="str">
        <f t="shared" si="286"/>
        <v/>
      </c>
      <c r="W249" s="350"/>
      <c r="Z249" s="353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7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0</v>
      </c>
      <c r="BE249" s="213">
        <f t="shared" si="301"/>
        <v>0</v>
      </c>
      <c r="BF249" s="215">
        <f t="shared" si="302"/>
        <v>0</v>
      </c>
      <c r="BG249" s="215">
        <f t="shared" si="303"/>
        <v>0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 t="str">
        <f t="shared" si="294"/>
        <v/>
      </c>
      <c r="BO249" s="215" t="str">
        <f t="shared" si="295"/>
        <v/>
      </c>
      <c r="BP249" s="215" t="str">
        <f t="shared" si="296"/>
        <v/>
      </c>
      <c r="BQ249" s="216"/>
      <c r="BR249" s="214"/>
      <c r="BS249" s="215">
        <f t="shared" si="304"/>
        <v>0</v>
      </c>
      <c r="BT249" s="215">
        <f t="shared" si="305"/>
        <v>2.4900000000000002E-7</v>
      </c>
      <c r="BU249" s="215" t="str">
        <f t="shared" si="306"/>
        <v>RW Lichtenhof 69 Stein 2</v>
      </c>
      <c r="BV249" s="214">
        <f t="shared" si="307"/>
        <v>22</v>
      </c>
      <c r="BW249" s="215">
        <f t="shared" si="308"/>
        <v>0</v>
      </c>
      <c r="BX249" s="215">
        <f>IF(COUNTIF(BH249:BP249,"&gt;0")&lt;Spielorte!$A$23,0,BE249/Spielorte!$A$23)</f>
        <v>0</v>
      </c>
      <c r="BY249" s="215">
        <f t="shared" si="309"/>
        <v>2.4900000000000002E-7</v>
      </c>
      <c r="BZ249" s="214">
        <f t="shared" si="297"/>
        <v>22</v>
      </c>
    </row>
    <row r="250" spans="1:78" ht="17.2" customHeight="1" x14ac:dyDescent="0.35">
      <c r="A250" s="367" t="s">
        <v>2</v>
      </c>
      <c r="B250" s="73" t="str">
        <f t="shared" si="298"/>
        <v/>
      </c>
      <c r="C250" s="74" t="str">
        <f t="shared" si="298"/>
        <v/>
      </c>
      <c r="D250" s="75" t="str">
        <f t="shared" si="298"/>
        <v/>
      </c>
      <c r="E250" s="348">
        <f>IF(AD250="","",AD250)</f>
        <v>0</v>
      </c>
      <c r="F250" s="75" t="str">
        <f t="shared" si="279"/>
        <v/>
      </c>
      <c r="G250" s="348">
        <f>IF(AF250="","",AF250)</f>
        <v>0</v>
      </c>
      <c r="H250" s="75" t="str">
        <f t="shared" si="280"/>
        <v/>
      </c>
      <c r="I250" s="348">
        <f>IF(AH250="","",AH250)</f>
        <v>0</v>
      </c>
      <c r="J250" s="75" t="str">
        <f t="shared" si="281"/>
        <v/>
      </c>
      <c r="K250" s="348">
        <f>IF(AJ250="","",AJ250)</f>
        <v>0</v>
      </c>
      <c r="L250" s="75" t="str">
        <f t="shared" si="282"/>
        <v/>
      </c>
      <c r="M250" s="348">
        <f>IF(AL250="","",AL250)</f>
        <v>0</v>
      </c>
      <c r="N250" s="75" t="str">
        <f t="shared" si="299"/>
        <v/>
      </c>
      <c r="O250" s="348">
        <f>IF(AN250="","",AN250)</f>
        <v>0</v>
      </c>
      <c r="P250" s="75" t="str">
        <f t="shared" si="283"/>
        <v/>
      </c>
      <c r="Q250" s="348">
        <f>IF(AP250="","",AP250)</f>
        <v>0</v>
      </c>
      <c r="R250" s="75" t="str">
        <f t="shared" si="284"/>
        <v/>
      </c>
      <c r="S250" s="348">
        <f>IF(AR250="","",AR250)</f>
        <v>0</v>
      </c>
      <c r="T250" s="75" t="str">
        <f t="shared" si="285"/>
        <v/>
      </c>
      <c r="U250" s="348">
        <f>IF(AT250="","",AT250)</f>
        <v>0</v>
      </c>
      <c r="V250" s="75" t="str">
        <f t="shared" si="286"/>
        <v/>
      </c>
      <c r="W250" s="348">
        <f>IF(AV250="","",AV250)</f>
        <v>0</v>
      </c>
      <c r="Z250" s="351" t="s">
        <v>2</v>
      </c>
      <c r="AA250" s="108" t="str">
        <f>IF(AB250=0,"",VLOOKUP(AB250,Starter!$A$1:$D$199,2,FALSE))</f>
        <v/>
      </c>
      <c r="AB250" s="99"/>
      <c r="AC250" s="188"/>
      <c r="AD250" s="109">
        <f>IF(SUM(AC250:AC252)+AC266=0,0,IF(SUM(AC250:AC252)=AC266,0.5,IF(SUM(AC250:AC252)&gt;AC266,1,0)))</f>
        <v>0</v>
      </c>
      <c r="AE250" s="188"/>
      <c r="AF250" s="109">
        <f>IF(SUM(AE250:AE252)+AE266=0,0,IF(SUM(AE250:AE252)=AE266,0.5,IF(SUM(AE250:AE252)&gt;AE266,1,0)))</f>
        <v>0</v>
      </c>
      <c r="AG250" s="188"/>
      <c r="AH250" s="109">
        <f>IF(SUM(AG250:AG252)+AG266=0,0,IF(SUM(AG250:AG252)=AG266,0.5,IF(SUM(AG250:AG252)&gt;AG266,1,0)))</f>
        <v>0</v>
      </c>
      <c r="AI250" s="188"/>
      <c r="AJ250" s="109">
        <f>IF(SUM(AI250:AI252)+AI266=0,0,IF(SUM(AI250:AI252)=AI266,0.5,IF(SUM(AI250:AI252)&gt;AI266,1,0)))</f>
        <v>0</v>
      </c>
      <c r="AK250" s="188"/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0</v>
      </c>
      <c r="AO250" s="188"/>
      <c r="AP250" s="109">
        <f>IF(SUM(AO250:AO252)+AO266=0,0,IF(SUM(AO250:AO252)=AO266,0.5,IF(SUM(AO250:AO252)&gt;AO266,1,0)))</f>
        <v>0</v>
      </c>
      <c r="AQ250" s="188"/>
      <c r="AR250" s="109">
        <f>IF(SUM(AQ250:AQ252)+AQ266=0,0,IF(SUM(AQ250:AQ252)=AQ266,0.5,IF(SUM(AQ250:AQ252)&gt;AQ266,1,0)))</f>
        <v>0</v>
      </c>
      <c r="AS250" s="188"/>
      <c r="AT250" s="109">
        <f>IF(SUM(AS250:AS252)+AS266=0,0,IF(SUM(AS250:AS252)=AS266,0.5,IF(SUM(AS250:AS252)&gt;AS266,1,0)))</f>
        <v>0</v>
      </c>
      <c r="AU250" s="110">
        <f t="shared" si="287"/>
        <v>0</v>
      </c>
      <c r="AV250" s="111">
        <f>SUM(AD250+AF250+AH250+AJ250+AL250+AN250+AP250+AR250+AT250)</f>
        <v>0</v>
      </c>
      <c r="AW250" s="101"/>
      <c r="AX250" s="102"/>
      <c r="AZ250" s="63"/>
      <c r="BA250" s="212"/>
      <c r="BB250" s="213"/>
      <c r="BC250" s="214"/>
      <c r="BD250" s="217">
        <f t="shared" si="300"/>
        <v>0</v>
      </c>
      <c r="BE250" s="213">
        <f t="shared" si="301"/>
        <v>0</v>
      </c>
      <c r="BF250" s="215">
        <f t="shared" si="302"/>
        <v>0</v>
      </c>
      <c r="BG250" s="215">
        <f t="shared" si="303"/>
        <v>0</v>
      </c>
      <c r="BH250" s="215" t="str">
        <f t="shared" si="288"/>
        <v/>
      </c>
      <c r="BI250" s="215" t="str">
        <f t="shared" si="289"/>
        <v/>
      </c>
      <c r="BJ250" s="215" t="str">
        <f t="shared" si="290"/>
        <v/>
      </c>
      <c r="BK250" s="215" t="str">
        <f t="shared" si="291"/>
        <v/>
      </c>
      <c r="BL250" s="215" t="str">
        <f t="shared" si="292"/>
        <v/>
      </c>
      <c r="BM250" s="215" t="str">
        <f t="shared" si="293"/>
        <v/>
      </c>
      <c r="BN250" s="215" t="str">
        <f t="shared" si="294"/>
        <v/>
      </c>
      <c r="BO250" s="215" t="str">
        <f t="shared" si="295"/>
        <v/>
      </c>
      <c r="BP250" s="215" t="str">
        <f t="shared" si="296"/>
        <v/>
      </c>
      <c r="BQ250" s="216"/>
      <c r="BR250" s="214"/>
      <c r="BS250" s="215">
        <f t="shared" si="304"/>
        <v>0</v>
      </c>
      <c r="BT250" s="215">
        <f t="shared" si="305"/>
        <v>2.4999999999999999E-7</v>
      </c>
      <c r="BU250" s="215" t="str">
        <f t="shared" si="306"/>
        <v>RW Lichtenhof 69 Stein 2</v>
      </c>
      <c r="BV250" s="214">
        <f t="shared" si="307"/>
        <v>21</v>
      </c>
      <c r="BW250" s="215">
        <f t="shared" si="308"/>
        <v>0</v>
      </c>
      <c r="BX250" s="215">
        <f>IF(COUNTIF(BH250:BP250,"&gt;0")&lt;Spielorte!$A$23,0,BE250/Spielorte!$A$23)</f>
        <v>0</v>
      </c>
      <c r="BY250" s="215">
        <f t="shared" si="309"/>
        <v>2.4999999999999999E-7</v>
      </c>
      <c r="BZ250" s="214">
        <f t="shared" si="297"/>
        <v>21</v>
      </c>
    </row>
    <row r="251" spans="1:78" ht="17.2" customHeight="1" x14ac:dyDescent="0.35">
      <c r="A251" s="368"/>
      <c r="B251" s="76" t="str">
        <f t="shared" si="298"/>
        <v/>
      </c>
      <c r="C251" s="77" t="str">
        <f t="shared" si="298"/>
        <v/>
      </c>
      <c r="D251" s="78" t="str">
        <f t="shared" si="298"/>
        <v/>
      </c>
      <c r="E251" s="349"/>
      <c r="F251" s="78" t="str">
        <f t="shared" si="279"/>
        <v/>
      </c>
      <c r="G251" s="349"/>
      <c r="H251" s="78" t="str">
        <f t="shared" si="280"/>
        <v/>
      </c>
      <c r="I251" s="349"/>
      <c r="J251" s="78" t="str">
        <f t="shared" si="281"/>
        <v/>
      </c>
      <c r="K251" s="349"/>
      <c r="L251" s="78" t="str">
        <f t="shared" si="282"/>
        <v/>
      </c>
      <c r="M251" s="349"/>
      <c r="N251" s="78" t="str">
        <f t="shared" si="299"/>
        <v/>
      </c>
      <c r="O251" s="349"/>
      <c r="P251" s="78" t="str">
        <f t="shared" si="283"/>
        <v/>
      </c>
      <c r="Q251" s="349"/>
      <c r="R251" s="78" t="str">
        <f t="shared" si="284"/>
        <v/>
      </c>
      <c r="S251" s="349"/>
      <c r="T251" s="78" t="str">
        <f t="shared" si="285"/>
        <v/>
      </c>
      <c r="U251" s="349"/>
      <c r="V251" s="78" t="str">
        <f t="shared" si="286"/>
        <v/>
      </c>
      <c r="W251" s="349"/>
      <c r="Z251" s="352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0</v>
      </c>
      <c r="BE251" s="213">
        <f t="shared" si="301"/>
        <v>0</v>
      </c>
      <c r="BF251" s="215">
        <f t="shared" si="302"/>
        <v>0</v>
      </c>
      <c r="BG251" s="215">
        <f t="shared" si="303"/>
        <v>0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0</v>
      </c>
      <c r="BT251" s="215">
        <f t="shared" si="305"/>
        <v>2.5100000000000001E-7</v>
      </c>
      <c r="BU251" s="215" t="str">
        <f t="shared" si="306"/>
        <v>RW Lichtenhof 69 Stein 2</v>
      </c>
      <c r="BV251" s="214">
        <f t="shared" si="307"/>
        <v>20</v>
      </c>
      <c r="BW251" s="215">
        <f t="shared" si="308"/>
        <v>0</v>
      </c>
      <c r="BX251" s="215">
        <f>IF(COUNTIF(BH251:BP251,"&gt;0")&lt;Spielorte!$A$23,0,BE251/Spielorte!$A$23)</f>
        <v>0</v>
      </c>
      <c r="BY251" s="215">
        <f t="shared" si="309"/>
        <v>2.5100000000000001E-7</v>
      </c>
      <c r="BZ251" s="214">
        <f t="shared" si="297"/>
        <v>20</v>
      </c>
    </row>
    <row r="252" spans="1:78" ht="17.2" customHeight="1" thickBot="1" x14ac:dyDescent="0.4">
      <c r="A252" s="369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50"/>
      <c r="F252" s="69" t="str">
        <f t="shared" si="279"/>
        <v/>
      </c>
      <c r="G252" s="350"/>
      <c r="H252" s="69" t="str">
        <f t="shared" si="280"/>
        <v/>
      </c>
      <c r="I252" s="350"/>
      <c r="J252" s="69" t="str">
        <f t="shared" si="281"/>
        <v/>
      </c>
      <c r="K252" s="350"/>
      <c r="L252" s="69" t="str">
        <f t="shared" si="282"/>
        <v/>
      </c>
      <c r="M252" s="350"/>
      <c r="N252" s="69" t="str">
        <f t="shared" si="299"/>
        <v/>
      </c>
      <c r="O252" s="350"/>
      <c r="P252" s="69" t="str">
        <f t="shared" si="283"/>
        <v/>
      </c>
      <c r="Q252" s="350"/>
      <c r="R252" s="69" t="str">
        <f t="shared" si="284"/>
        <v/>
      </c>
      <c r="S252" s="350"/>
      <c r="T252" s="69" t="str">
        <f t="shared" si="285"/>
        <v/>
      </c>
      <c r="U252" s="350"/>
      <c r="V252" s="69" t="str">
        <f t="shared" si="286"/>
        <v/>
      </c>
      <c r="W252" s="350"/>
      <c r="Z252" s="353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2.5199999999999998E-7</v>
      </c>
      <c r="BU252" s="215" t="str">
        <f t="shared" si="306"/>
        <v>RW Lichtenhof 69 Stein 2</v>
      </c>
      <c r="BV252" s="214">
        <f t="shared" si="307"/>
        <v>19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2.5199999999999998E-7</v>
      </c>
      <c r="BZ252" s="214">
        <f t="shared" si="297"/>
        <v>19</v>
      </c>
    </row>
    <row r="253" spans="1:78" ht="17.2" customHeight="1" x14ac:dyDescent="0.35">
      <c r="A253" s="367" t="s">
        <v>3</v>
      </c>
      <c r="B253" s="73" t="str">
        <f t="shared" si="298"/>
        <v/>
      </c>
      <c r="C253" s="74" t="str">
        <f t="shared" si="298"/>
        <v/>
      </c>
      <c r="D253" s="75" t="str">
        <f t="shared" si="298"/>
        <v/>
      </c>
      <c r="E253" s="348">
        <f>IF(AD253="","",AD253)</f>
        <v>0</v>
      </c>
      <c r="F253" s="75" t="str">
        <f t="shared" si="279"/>
        <v/>
      </c>
      <c r="G253" s="348">
        <f>IF(AF253="","",AF253)</f>
        <v>0</v>
      </c>
      <c r="H253" s="75" t="str">
        <f t="shared" si="280"/>
        <v/>
      </c>
      <c r="I253" s="348">
        <f>IF(AH253="","",AH253)</f>
        <v>0</v>
      </c>
      <c r="J253" s="75" t="str">
        <f t="shared" si="281"/>
        <v/>
      </c>
      <c r="K253" s="348">
        <f>IF(AJ253="","",AJ253)</f>
        <v>0</v>
      </c>
      <c r="L253" s="75" t="str">
        <f t="shared" si="282"/>
        <v/>
      </c>
      <c r="M253" s="348">
        <f>IF(AL253="","",AL253)</f>
        <v>0</v>
      </c>
      <c r="N253" s="75" t="str">
        <f t="shared" si="299"/>
        <v/>
      </c>
      <c r="O253" s="348">
        <f>IF(AN253="","",AN253)</f>
        <v>0</v>
      </c>
      <c r="P253" s="75" t="str">
        <f t="shared" si="283"/>
        <v/>
      </c>
      <c r="Q253" s="348">
        <f>IF(AP253="","",AP253)</f>
        <v>0</v>
      </c>
      <c r="R253" s="75" t="str">
        <f t="shared" si="284"/>
        <v/>
      </c>
      <c r="S253" s="348">
        <f>IF(AR253="","",AR253)</f>
        <v>0</v>
      </c>
      <c r="T253" s="75" t="str">
        <f t="shared" si="285"/>
        <v/>
      </c>
      <c r="U253" s="348">
        <f>IF(AT253="","",AT253)</f>
        <v>0</v>
      </c>
      <c r="V253" s="75" t="str">
        <f t="shared" si="286"/>
        <v/>
      </c>
      <c r="W253" s="348">
        <f>IF(AV253="","",AV253)</f>
        <v>0</v>
      </c>
      <c r="Z253" s="351" t="s">
        <v>3</v>
      </c>
      <c r="AA253" s="108" t="str">
        <f>IF(AB253=0,"",VLOOKUP(AB253,Starter!$A$1:$D$199,2,FALSE))</f>
        <v/>
      </c>
      <c r="AB253" s="99"/>
      <c r="AC253" s="188"/>
      <c r="AD253" s="109">
        <f>IF(SUM(AC253:AC255)+AC267=0,0,IF(SUM(AC253:AC255)=AC267,0.5,IF(SUM(AC253:AC255)&gt;AC267,1,0)))</f>
        <v>0</v>
      </c>
      <c r="AE253" s="188"/>
      <c r="AF253" s="109">
        <f>IF(SUM(AE253:AE255)+AE267=0,0,IF(SUM(AE253:AE255)=AE267,0.5,IF(SUM(AE253:AE255)&gt;AE267,1,0)))</f>
        <v>0</v>
      </c>
      <c r="AG253" s="188"/>
      <c r="AH253" s="109">
        <f>IF(SUM(AG253:AG255)+AG267=0,0,IF(SUM(AG253:AG255)=AG267,0.5,IF(SUM(AG253:AG255)&gt;AG267,1,0)))</f>
        <v>0</v>
      </c>
      <c r="AI253" s="188"/>
      <c r="AJ253" s="109">
        <f>IF(SUM(AI253:AI255)+AI267=0,0,IF(SUM(AI253:AI255)=AI267,0.5,IF(SUM(AI253:AI255)&gt;AI267,1,0)))</f>
        <v>0</v>
      </c>
      <c r="AK253" s="188"/>
      <c r="AL253" s="109">
        <f>IF(SUM(AK253:AK255)+AK267=0,0,IF(SUM(AK253:AK255)=AK267,0.5,IF(SUM(AK253:AK255)&gt;AK267,1,0)))</f>
        <v>0</v>
      </c>
      <c r="AM253" s="188"/>
      <c r="AN253" s="109">
        <f>IF(SUM(AM253:AM255)+AM267=0,0,IF(SUM(AM253:AM255)=AM267,0.5,IF(SUM(AM253:AM255)&gt;AM267,1,0)))</f>
        <v>0</v>
      </c>
      <c r="AO253" s="188"/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0</v>
      </c>
      <c r="AU253" s="110">
        <f t="shared" si="287"/>
        <v>0</v>
      </c>
      <c r="AV253" s="111">
        <f>SUM(AD253+AF253+AH253+AJ253+AL253+AN253+AP253+AR253+AT253)</f>
        <v>0</v>
      </c>
      <c r="AW253" s="101"/>
      <c r="AX253" s="102"/>
      <c r="AZ253" s="63"/>
      <c r="BA253" s="212"/>
      <c r="BB253" s="213"/>
      <c r="BC253" s="214"/>
      <c r="BD253" s="217">
        <f t="shared" si="300"/>
        <v>0</v>
      </c>
      <c r="BE253" s="213">
        <f t="shared" si="301"/>
        <v>0</v>
      </c>
      <c r="BF253" s="215">
        <f t="shared" si="302"/>
        <v>0</v>
      </c>
      <c r="BG253" s="215">
        <f t="shared" si="303"/>
        <v>0</v>
      </c>
      <c r="BH253" s="215" t="str">
        <f t="shared" si="288"/>
        <v/>
      </c>
      <c r="BI253" s="215" t="str">
        <f t="shared" si="289"/>
        <v/>
      </c>
      <c r="BJ253" s="215" t="str">
        <f t="shared" si="290"/>
        <v/>
      </c>
      <c r="BK253" s="215" t="str">
        <f t="shared" si="291"/>
        <v/>
      </c>
      <c r="BL253" s="215" t="str">
        <f t="shared" si="292"/>
        <v/>
      </c>
      <c r="BM253" s="215" t="str">
        <f t="shared" si="293"/>
        <v/>
      </c>
      <c r="BN253" s="215" t="str">
        <f t="shared" si="294"/>
        <v/>
      </c>
      <c r="BO253" s="215" t="str">
        <f t="shared" si="295"/>
        <v/>
      </c>
      <c r="BP253" s="215" t="str">
        <f t="shared" si="296"/>
        <v/>
      </c>
      <c r="BQ253" s="216"/>
      <c r="BR253" s="214"/>
      <c r="BS253" s="215">
        <f t="shared" si="304"/>
        <v>0</v>
      </c>
      <c r="BT253" s="215">
        <f t="shared" si="305"/>
        <v>2.53E-7</v>
      </c>
      <c r="BU253" s="215" t="str">
        <f t="shared" si="306"/>
        <v>RW Lichtenhof 69 Stein 2</v>
      </c>
      <c r="BV253" s="214">
        <f t="shared" si="307"/>
        <v>18</v>
      </c>
      <c r="BW253" s="215">
        <f t="shared" si="308"/>
        <v>0</v>
      </c>
      <c r="BX253" s="215">
        <f>IF(COUNTIF(BH253:BP253,"&gt;0")&lt;Spielorte!$A$23,0,BE253/Spielorte!$A$23)</f>
        <v>0</v>
      </c>
      <c r="BY253" s="215">
        <f t="shared" si="309"/>
        <v>2.53E-7</v>
      </c>
      <c r="BZ253" s="214">
        <f t="shared" si="297"/>
        <v>18</v>
      </c>
    </row>
    <row r="254" spans="1:78" ht="17.2" customHeight="1" x14ac:dyDescent="0.35">
      <c r="A254" s="368"/>
      <c r="B254" s="76" t="str">
        <f t="shared" si="298"/>
        <v/>
      </c>
      <c r="C254" s="77" t="str">
        <f t="shared" si="298"/>
        <v/>
      </c>
      <c r="D254" s="78" t="str">
        <f t="shared" si="298"/>
        <v/>
      </c>
      <c r="E254" s="349"/>
      <c r="F254" s="78" t="str">
        <f t="shared" si="279"/>
        <v/>
      </c>
      <c r="G254" s="349"/>
      <c r="H254" s="78" t="str">
        <f t="shared" si="280"/>
        <v/>
      </c>
      <c r="I254" s="349"/>
      <c r="J254" s="78" t="str">
        <f t="shared" si="281"/>
        <v/>
      </c>
      <c r="K254" s="349"/>
      <c r="L254" s="78" t="str">
        <f t="shared" si="282"/>
        <v/>
      </c>
      <c r="M254" s="349"/>
      <c r="N254" s="78" t="str">
        <f t="shared" si="299"/>
        <v/>
      </c>
      <c r="O254" s="349"/>
      <c r="P254" s="78" t="str">
        <f t="shared" si="283"/>
        <v/>
      </c>
      <c r="Q254" s="349"/>
      <c r="R254" s="78" t="str">
        <f t="shared" si="284"/>
        <v/>
      </c>
      <c r="S254" s="349"/>
      <c r="T254" s="78" t="str">
        <f t="shared" si="285"/>
        <v/>
      </c>
      <c r="U254" s="349"/>
      <c r="V254" s="78" t="str">
        <f t="shared" si="286"/>
        <v/>
      </c>
      <c r="W254" s="349"/>
      <c r="Z254" s="352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7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0</v>
      </c>
      <c r="BE254" s="213">
        <f t="shared" si="301"/>
        <v>0</v>
      </c>
      <c r="BF254" s="215">
        <f t="shared" si="302"/>
        <v>0</v>
      </c>
      <c r="BG254" s="215">
        <f t="shared" si="303"/>
        <v>0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 t="str">
        <f t="shared" si="295"/>
        <v/>
      </c>
      <c r="BP254" s="215" t="str">
        <f t="shared" si="296"/>
        <v/>
      </c>
      <c r="BQ254" s="216"/>
      <c r="BR254" s="214"/>
      <c r="BS254" s="215">
        <f t="shared" si="304"/>
        <v>0</v>
      </c>
      <c r="BT254" s="215">
        <f t="shared" si="305"/>
        <v>2.5400000000000002E-7</v>
      </c>
      <c r="BU254" s="215" t="str">
        <f t="shared" si="306"/>
        <v>RW Lichtenhof 69 Stein 2</v>
      </c>
      <c r="BV254" s="214">
        <f t="shared" si="307"/>
        <v>17</v>
      </c>
      <c r="BW254" s="215">
        <f t="shared" si="308"/>
        <v>0</v>
      </c>
      <c r="BX254" s="215">
        <f>IF(COUNTIF(BH254:BP254,"&gt;0")&lt;Spielorte!$A$23,0,BE254/Spielorte!$A$23)</f>
        <v>0</v>
      </c>
      <c r="BY254" s="215">
        <f t="shared" si="309"/>
        <v>2.5400000000000002E-7</v>
      </c>
      <c r="BZ254" s="214">
        <f t="shared" si="297"/>
        <v>17</v>
      </c>
    </row>
    <row r="255" spans="1:78" ht="17.2" customHeight="1" thickBot="1" x14ac:dyDescent="0.4">
      <c r="A255" s="369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50"/>
      <c r="F255" s="69" t="str">
        <f t="shared" si="279"/>
        <v/>
      </c>
      <c r="G255" s="350"/>
      <c r="H255" s="69" t="str">
        <f t="shared" si="280"/>
        <v/>
      </c>
      <c r="I255" s="350"/>
      <c r="J255" s="69" t="str">
        <f t="shared" si="281"/>
        <v/>
      </c>
      <c r="K255" s="350"/>
      <c r="L255" s="69" t="str">
        <f t="shared" si="282"/>
        <v/>
      </c>
      <c r="M255" s="350"/>
      <c r="N255" s="69" t="str">
        <f t="shared" si="299"/>
        <v/>
      </c>
      <c r="O255" s="350"/>
      <c r="P255" s="69" t="str">
        <f t="shared" si="283"/>
        <v/>
      </c>
      <c r="Q255" s="350"/>
      <c r="R255" s="69" t="str">
        <f t="shared" si="284"/>
        <v/>
      </c>
      <c r="S255" s="350"/>
      <c r="T255" s="69" t="str">
        <f t="shared" si="285"/>
        <v/>
      </c>
      <c r="U255" s="350"/>
      <c r="V255" s="69" t="str">
        <f t="shared" si="286"/>
        <v/>
      </c>
      <c r="W255" s="350"/>
      <c r="Z255" s="353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2.5499999999999999E-7</v>
      </c>
      <c r="BU255" s="215" t="str">
        <f t="shared" si="306"/>
        <v>RW Lichtenhof 69 Stein 2</v>
      </c>
      <c r="BV255" s="214">
        <f t="shared" si="307"/>
        <v>16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2.5499999999999999E-7</v>
      </c>
      <c r="BZ255" s="214">
        <f t="shared" si="297"/>
        <v>16</v>
      </c>
    </row>
    <row r="256" spans="1:78" ht="17.2" customHeight="1" x14ac:dyDescent="0.35">
      <c r="A256" s="367" t="s">
        <v>11</v>
      </c>
      <c r="B256" s="73" t="str">
        <f>IF(AA256=0,"",AA256)</f>
        <v/>
      </c>
      <c r="C256" s="74" t="str">
        <f t="shared" si="298"/>
        <v/>
      </c>
      <c r="D256" s="75" t="str">
        <f t="shared" si="298"/>
        <v/>
      </c>
      <c r="E256" s="348">
        <f>IF(AD256="","",AD256)</f>
        <v>0</v>
      </c>
      <c r="F256" s="75" t="str">
        <f t="shared" si="279"/>
        <v/>
      </c>
      <c r="G256" s="348">
        <f>IF(AF256="","",AF256)</f>
        <v>0</v>
      </c>
      <c r="H256" s="75" t="str">
        <f t="shared" si="280"/>
        <v/>
      </c>
      <c r="I256" s="348">
        <f>IF(AH256="","",AH256)</f>
        <v>0</v>
      </c>
      <c r="J256" s="75" t="str">
        <f t="shared" si="281"/>
        <v/>
      </c>
      <c r="K256" s="348">
        <f>IF(AJ256="","",AJ256)</f>
        <v>0</v>
      </c>
      <c r="L256" s="75" t="str">
        <f t="shared" si="282"/>
        <v/>
      </c>
      <c r="M256" s="348">
        <f>IF(AL256="","",AL256)</f>
        <v>0</v>
      </c>
      <c r="N256" s="75" t="str">
        <f t="shared" si="299"/>
        <v/>
      </c>
      <c r="O256" s="348">
        <f>IF(AN256="","",AN256)</f>
        <v>0</v>
      </c>
      <c r="P256" s="75" t="str">
        <f t="shared" si="283"/>
        <v/>
      </c>
      <c r="Q256" s="348">
        <f>IF(AP256="","",AP256)</f>
        <v>0</v>
      </c>
      <c r="R256" s="75" t="str">
        <f t="shared" si="284"/>
        <v/>
      </c>
      <c r="S256" s="348">
        <f>IF(AR256="","",AR256)</f>
        <v>0</v>
      </c>
      <c r="T256" s="75" t="str">
        <f t="shared" si="285"/>
        <v/>
      </c>
      <c r="U256" s="348">
        <f>IF(AT256="","",AT256)</f>
        <v>0</v>
      </c>
      <c r="V256" s="75" t="str">
        <f t="shared" si="286"/>
        <v/>
      </c>
      <c r="W256" s="348">
        <f>IF(AV256="","",AV256)</f>
        <v>0</v>
      </c>
      <c r="Z256" s="351" t="s">
        <v>11</v>
      </c>
      <c r="AA256" s="108" t="str">
        <f>IF(AB256=0,"",VLOOKUP(AB256,Starter!$A$1:$D$199,2,FALSE))</f>
        <v/>
      </c>
      <c r="AB256" s="99"/>
      <c r="AC256" s="188"/>
      <c r="AD256" s="109">
        <f>IF(SUM(AC256:AC258)+AC268=0,0,IF(SUM(AC256:AC258)=AC268,0.5,IF(SUM(AC256:AC258)&gt;AC268,1,0)))</f>
        <v>0</v>
      </c>
      <c r="AE256" s="188"/>
      <c r="AF256" s="109">
        <f>IF(SUM(AE256:AE258)+AE268=0,0,IF(SUM(AE256:AE258)=AE268,0.5,IF(SUM(AE256:AE258)&gt;AE268,1,0)))</f>
        <v>0</v>
      </c>
      <c r="AG256" s="188"/>
      <c r="AH256" s="109">
        <f>IF(SUM(AG256:AG258)+AG268=0,0,IF(SUM(AG256:AG258)=AG268,0.5,IF(SUM(AG256:AG258)&gt;AG268,1,0)))</f>
        <v>0</v>
      </c>
      <c r="AI256" s="188"/>
      <c r="AJ256" s="109">
        <f>IF(SUM(AI256:AI258)+AI268=0,0,IF(SUM(AI256:AI258)=AI268,0.5,IF(SUM(AI256:AI258)&gt;AI268,1,0)))</f>
        <v>0</v>
      </c>
      <c r="AK256" s="188"/>
      <c r="AL256" s="109">
        <f>IF(SUM(AK256:AK258)+AK268=0,0,IF(SUM(AK256:AK258)=AK268,0.5,IF(SUM(AK256:AK258)&gt;AK268,1,0)))</f>
        <v>0</v>
      </c>
      <c r="AM256" s="188"/>
      <c r="AN256" s="109">
        <f>IF(SUM(AM256:AM258)+AM268=0,0,IF(SUM(AM256:AM258)=AM268,0.5,IF(SUM(AM256:AM258)&gt;AM268,1,0)))</f>
        <v>0</v>
      </c>
      <c r="AO256" s="188"/>
      <c r="AP256" s="109">
        <f>IF(SUM(AO256:AO258)+AO268=0,0,IF(SUM(AO256:AO258)=AO268,0.5,IF(SUM(AO256:AO258)&gt;AO268,1,0)))</f>
        <v>0</v>
      </c>
      <c r="AQ256" s="188"/>
      <c r="AR256" s="109">
        <f>IF(SUM(AQ256:AQ258)+AQ268=0,0,IF(SUM(AQ256:AQ258)=AQ268,0.5,IF(SUM(AQ256:AQ258)&gt;AQ268,1,0)))</f>
        <v>0</v>
      </c>
      <c r="AS256" s="188"/>
      <c r="AT256" s="109">
        <f>IF(SUM(AS256:AS258)+AS268=0,0,IF(SUM(AS256:AS258)=AS268,0.5,IF(SUM(AS256:AS258)&gt;AS268,1,0)))</f>
        <v>0</v>
      </c>
      <c r="AU256" s="110">
        <f t="shared" si="287"/>
        <v>0</v>
      </c>
      <c r="AV256" s="111">
        <f>SUM(AD256+AF256+AH256+AJ256+AL256+AN256+AP256+AR256+AT256)</f>
        <v>0</v>
      </c>
      <c r="AW256" s="101"/>
      <c r="AX256" s="102"/>
      <c r="AZ256" s="63"/>
      <c r="BA256" s="212"/>
      <c r="BB256" s="213"/>
      <c r="BC256" s="214"/>
      <c r="BD256" s="217">
        <f t="shared" si="300"/>
        <v>0</v>
      </c>
      <c r="BE256" s="213">
        <f t="shared" si="301"/>
        <v>0</v>
      </c>
      <c r="BF256" s="215">
        <f t="shared" si="302"/>
        <v>0</v>
      </c>
      <c r="BG256" s="215">
        <f t="shared" si="303"/>
        <v>0</v>
      </c>
      <c r="BH256" s="215" t="str">
        <f t="shared" si="288"/>
        <v/>
      </c>
      <c r="BI256" s="215" t="str">
        <f t="shared" si="289"/>
        <v/>
      </c>
      <c r="BJ256" s="215" t="str">
        <f t="shared" si="290"/>
        <v/>
      </c>
      <c r="BK256" s="215" t="str">
        <f t="shared" si="291"/>
        <v/>
      </c>
      <c r="BL256" s="215" t="str">
        <f t="shared" si="292"/>
        <v/>
      </c>
      <c r="BM256" s="215" t="str">
        <f t="shared" si="293"/>
        <v/>
      </c>
      <c r="BN256" s="215" t="str">
        <f t="shared" si="294"/>
        <v/>
      </c>
      <c r="BO256" s="215" t="str">
        <f t="shared" si="295"/>
        <v/>
      </c>
      <c r="BP256" s="215" t="str">
        <f t="shared" si="296"/>
        <v/>
      </c>
      <c r="BQ256" s="216"/>
      <c r="BR256" s="214"/>
      <c r="BS256" s="215">
        <f t="shared" si="304"/>
        <v>0</v>
      </c>
      <c r="BT256" s="215">
        <f t="shared" si="305"/>
        <v>2.5600000000000002E-7</v>
      </c>
      <c r="BU256" s="215" t="str">
        <f t="shared" si="306"/>
        <v>RW Lichtenhof 69 Stein 2</v>
      </c>
      <c r="BV256" s="214">
        <f t="shared" si="307"/>
        <v>15</v>
      </c>
      <c r="BW256" s="215">
        <f t="shared" si="308"/>
        <v>0</v>
      </c>
      <c r="BX256" s="215">
        <f>IF(COUNTIF(BH256:BP256,"&gt;0")&lt;Spielorte!$A$23,0,BE256/Spielorte!$A$23)</f>
        <v>0</v>
      </c>
      <c r="BY256" s="215">
        <f t="shared" si="309"/>
        <v>2.5600000000000002E-7</v>
      </c>
      <c r="BZ256" s="214">
        <f t="shared" si="297"/>
        <v>15</v>
      </c>
    </row>
    <row r="257" spans="1:78" ht="17.2" customHeight="1" x14ac:dyDescent="0.35">
      <c r="A257" s="368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49"/>
      <c r="F257" s="78" t="str">
        <f t="shared" si="279"/>
        <v/>
      </c>
      <c r="G257" s="349"/>
      <c r="H257" s="78" t="str">
        <f t="shared" si="280"/>
        <v/>
      </c>
      <c r="I257" s="349"/>
      <c r="J257" s="78" t="str">
        <f t="shared" si="281"/>
        <v/>
      </c>
      <c r="K257" s="349"/>
      <c r="L257" s="78" t="str">
        <f t="shared" si="282"/>
        <v/>
      </c>
      <c r="M257" s="349"/>
      <c r="N257" s="78" t="str">
        <f t="shared" si="299"/>
        <v/>
      </c>
      <c r="O257" s="349"/>
      <c r="P257" s="78" t="str">
        <f t="shared" si="283"/>
        <v/>
      </c>
      <c r="Q257" s="349"/>
      <c r="R257" s="78" t="str">
        <f t="shared" si="284"/>
        <v/>
      </c>
      <c r="S257" s="349"/>
      <c r="T257" s="78" t="str">
        <f t="shared" si="285"/>
        <v/>
      </c>
      <c r="U257" s="349"/>
      <c r="V257" s="78" t="str">
        <f t="shared" si="286"/>
        <v/>
      </c>
      <c r="W257" s="349"/>
      <c r="Z257" s="352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2.5699999999999999E-7</v>
      </c>
      <c r="BU257" s="215" t="str">
        <f t="shared" si="306"/>
        <v>RW Lichtenhof 69 Stein 2</v>
      </c>
      <c r="BV257" s="214">
        <f t="shared" si="307"/>
        <v>14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2.5699999999999999E-7</v>
      </c>
      <c r="BZ257" s="214">
        <f t="shared" si="297"/>
        <v>14</v>
      </c>
    </row>
    <row r="258" spans="1:78" ht="17.2" customHeight="1" thickBot="1" x14ac:dyDescent="0.4">
      <c r="A258" s="369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50"/>
      <c r="F258" s="69" t="str">
        <f t="shared" si="279"/>
        <v/>
      </c>
      <c r="G258" s="350"/>
      <c r="H258" s="69" t="str">
        <f t="shared" si="280"/>
        <v/>
      </c>
      <c r="I258" s="350"/>
      <c r="J258" s="69" t="str">
        <f t="shared" si="281"/>
        <v/>
      </c>
      <c r="K258" s="350"/>
      <c r="L258" s="69" t="str">
        <f t="shared" si="282"/>
        <v/>
      </c>
      <c r="M258" s="350"/>
      <c r="N258" s="69" t="str">
        <f t="shared" si="299"/>
        <v/>
      </c>
      <c r="O258" s="350"/>
      <c r="P258" s="69" t="str">
        <f t="shared" si="283"/>
        <v/>
      </c>
      <c r="Q258" s="350"/>
      <c r="R258" s="69" t="str">
        <f t="shared" si="284"/>
        <v/>
      </c>
      <c r="S258" s="350"/>
      <c r="T258" s="69" t="str">
        <f t="shared" si="285"/>
        <v/>
      </c>
      <c r="U258" s="350"/>
      <c r="V258" s="69" t="str">
        <f t="shared" si="286"/>
        <v/>
      </c>
      <c r="W258" s="350"/>
      <c r="Z258" s="353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2.5800000000000001E-7</v>
      </c>
      <c r="BU258" s="215" t="str">
        <f t="shared" si="306"/>
        <v>RW Lichtenhof 69 Stein 2</v>
      </c>
      <c r="BV258" s="214">
        <f t="shared" si="307"/>
        <v>13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2.5800000000000001E-7</v>
      </c>
      <c r="BZ258" s="214">
        <f t="shared" si="297"/>
        <v>13</v>
      </c>
    </row>
    <row r="259" spans="1:78" ht="27.75" customHeight="1" thickBot="1" x14ac:dyDescent="0.4">
      <c r="B259" s="81" t="str">
        <f>IF(AA259=0,"",AA259)</f>
        <v>Gesamt</v>
      </c>
      <c r="C259" s="82" t="str">
        <f t="shared" si="298"/>
        <v/>
      </c>
      <c r="D259" s="83" t="str">
        <f t="shared" si="298"/>
        <v/>
      </c>
      <c r="E259" s="84">
        <f>IF(AD259="","",AD259)</f>
        <v>0</v>
      </c>
      <c r="F259" s="83" t="str">
        <f t="shared" si="279"/>
        <v/>
      </c>
      <c r="G259" s="84">
        <f>IF(AF259="","",AF259)</f>
        <v>0</v>
      </c>
      <c r="H259" s="83" t="str">
        <f t="shared" si="280"/>
        <v/>
      </c>
      <c r="I259" s="84">
        <f>IF(AH259="","",AH259)</f>
        <v>0</v>
      </c>
      <c r="J259" s="83" t="str">
        <f t="shared" si="281"/>
        <v/>
      </c>
      <c r="K259" s="84">
        <f>IF(AJ259="","",AJ259)</f>
        <v>0</v>
      </c>
      <c r="L259" s="83" t="str">
        <f t="shared" si="282"/>
        <v/>
      </c>
      <c r="M259" s="84">
        <f>IF(AL259="","",AL259)</f>
        <v>0</v>
      </c>
      <c r="N259" s="83" t="str">
        <f t="shared" si="299"/>
        <v/>
      </c>
      <c r="O259" s="84">
        <f>IF(AN259="","",AN259)</f>
        <v>0</v>
      </c>
      <c r="P259" s="83" t="str">
        <f t="shared" si="283"/>
        <v/>
      </c>
      <c r="Q259" s="84">
        <f>IF(AP259="","",AP259)</f>
        <v>0</v>
      </c>
      <c r="R259" s="83" t="str">
        <f t="shared" si="284"/>
        <v/>
      </c>
      <c r="S259" s="84">
        <f>IF(AR259="","",AR259)</f>
        <v>0</v>
      </c>
      <c r="T259" s="83" t="str">
        <f t="shared" si="285"/>
        <v/>
      </c>
      <c r="U259" s="84">
        <f>IF(AT259="","",AT259)</f>
        <v>0</v>
      </c>
      <c r="V259" s="83" t="str">
        <f t="shared" si="286"/>
        <v/>
      </c>
      <c r="W259" s="84">
        <f>IF(AV259="","",AV259)</f>
        <v>0</v>
      </c>
      <c r="AA259" s="81" t="s">
        <v>1799</v>
      </c>
      <c r="AB259" s="120"/>
      <c r="AC259" s="211">
        <f>ABS(SUM(AC247:AC249))+ABS(SUM(AC250:AC252))+ABS(SUM(AC253:AC255))+ABS(SUM(AC256:AC258))</f>
        <v>0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0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0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0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0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0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0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0</v>
      </c>
      <c r="AT259" s="121">
        <f>IF(AS259+AS269=0,0,IF(AS259=AS269,1,IF(AS259&gt;AS269,2,0)))</f>
        <v>0</v>
      </c>
      <c r="AU259" s="122">
        <f>SUM(AC259+AE259+AG259+AI259+AK259+AM259+AO259+AQ259+AS259)</f>
        <v>0</v>
      </c>
      <c r="AV259" s="123">
        <f>SUM(AD259+AF259+AH259+AJ259+AL259+AN259+AP259+AR259+AT259)</f>
        <v>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4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0</v>
      </c>
      <c r="F260" s="86" t="str">
        <f t="shared" si="279"/>
        <v/>
      </c>
      <c r="G260" s="87">
        <f>IF(AF260="","",AF260)</f>
        <v>0</v>
      </c>
      <c r="H260" s="86" t="str">
        <f t="shared" si="280"/>
        <v/>
      </c>
      <c r="I260" s="87">
        <f>IF(AH260="","",AH260)</f>
        <v>0</v>
      </c>
      <c r="J260" s="86" t="str">
        <f t="shared" si="281"/>
        <v/>
      </c>
      <c r="K260" s="87">
        <f>IF(AJ260="","",AJ260)</f>
        <v>0</v>
      </c>
      <c r="L260" s="86" t="str">
        <f t="shared" si="282"/>
        <v/>
      </c>
      <c r="M260" s="87">
        <f>IF(AL260="","",AL260)</f>
        <v>0</v>
      </c>
      <c r="N260" s="86" t="str">
        <f t="shared" si="299"/>
        <v/>
      </c>
      <c r="O260" s="87">
        <f>IF(AN260="","",AN260)</f>
        <v>0</v>
      </c>
      <c r="P260" s="86" t="str">
        <f t="shared" si="283"/>
        <v/>
      </c>
      <c r="Q260" s="87">
        <f>IF(AP260="","",AP260)</f>
        <v>0</v>
      </c>
      <c r="R260" s="86" t="str">
        <f t="shared" si="284"/>
        <v/>
      </c>
      <c r="S260" s="87">
        <f>IF(AR260="","",AR260)</f>
        <v>0</v>
      </c>
      <c r="T260" s="86" t="str">
        <f t="shared" si="285"/>
        <v/>
      </c>
      <c r="U260" s="87">
        <f>IF(AT260="","",AT260)</f>
        <v>0</v>
      </c>
      <c r="V260" s="86" t="str">
        <f t="shared" si="286"/>
        <v/>
      </c>
      <c r="W260" s="87">
        <f>IF(AV260="","",AV260)</f>
        <v>0</v>
      </c>
      <c r="AA260" s="85" t="s">
        <v>1814</v>
      </c>
      <c r="AB260" s="86"/>
      <c r="AC260" s="86"/>
      <c r="AD260" s="124">
        <f>SUM(AD247:AD259)</f>
        <v>0</v>
      </c>
      <c r="AE260" s="86"/>
      <c r="AF260" s="124">
        <f>SUM(AF247:AF259)</f>
        <v>0</v>
      </c>
      <c r="AG260" s="86"/>
      <c r="AH260" s="124">
        <f>SUM(AH247:AH259)</f>
        <v>0</v>
      </c>
      <c r="AI260" s="86"/>
      <c r="AJ260" s="124">
        <f>SUM(AJ247:AJ259)</f>
        <v>0</v>
      </c>
      <c r="AK260" s="86"/>
      <c r="AL260" s="124">
        <f>SUM(AL247:AL259)</f>
        <v>0</v>
      </c>
      <c r="AM260" s="86"/>
      <c r="AN260" s="124">
        <f>SUM(AN247:AN259)</f>
        <v>0</v>
      </c>
      <c r="AO260" s="86"/>
      <c r="AP260" s="124">
        <f>SUM(AP247:AP259)</f>
        <v>0</v>
      </c>
      <c r="AQ260" s="86"/>
      <c r="AR260" s="124">
        <f>SUM(AR247:AR259)</f>
        <v>0</v>
      </c>
      <c r="AS260" s="86"/>
      <c r="AT260" s="124">
        <f>SUM(AT247:AT259)</f>
        <v>0</v>
      </c>
      <c r="AU260" s="86"/>
      <c r="AV260" s="125">
        <f>SUM(AV247:AV259)</f>
        <v>0</v>
      </c>
      <c r="AW260" s="101"/>
      <c r="AX260" s="102"/>
      <c r="BA260" s="212">
        <f>+AV260</f>
        <v>0</v>
      </c>
      <c r="BB260" s="213">
        <f>+AU259</f>
        <v>0</v>
      </c>
      <c r="BC260" s="214">
        <f>+AA242</f>
        <v>9</v>
      </c>
      <c r="BF260" s="215">
        <f>SUM(BF241:BF259)</f>
        <v>0</v>
      </c>
      <c r="BQ260" s="212">
        <f>+BB260/1000000+BA260</f>
        <v>0</v>
      </c>
      <c r="BR260" s="214">
        <f>RANK(BQ260,BQ:BQ)</f>
        <v>1</v>
      </c>
      <c r="BV260" s="214"/>
      <c r="BZ260" s="214"/>
    </row>
    <row r="261" spans="1:78" ht="11.25" customHeight="1" x14ac:dyDescent="0.3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3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46">
        <f t="shared" si="310"/>
        <v>4</v>
      </c>
      <c r="E262" s="346" t="str">
        <f t="shared" si="310"/>
        <v/>
      </c>
      <c r="F262" s="346">
        <f t="shared" si="310"/>
        <v>3</v>
      </c>
      <c r="G262" s="346" t="str">
        <f t="shared" si="310"/>
        <v/>
      </c>
      <c r="H262" s="346">
        <f t="shared" si="310"/>
        <v>7</v>
      </c>
      <c r="I262" s="346" t="str">
        <f t="shared" si="310"/>
        <v/>
      </c>
      <c r="J262" s="346">
        <f t="shared" si="310"/>
        <v>6</v>
      </c>
      <c r="K262" s="346" t="str">
        <f t="shared" si="310"/>
        <v/>
      </c>
      <c r="L262" s="346">
        <f t="shared" si="310"/>
        <v>5</v>
      </c>
      <c r="M262" s="346" t="str">
        <f t="shared" si="310"/>
        <v/>
      </c>
      <c r="N262" s="346">
        <f t="shared" si="310"/>
        <v>1</v>
      </c>
      <c r="O262" s="346" t="str">
        <f t="shared" si="310"/>
        <v/>
      </c>
      <c r="P262" s="346">
        <f t="shared" si="310"/>
        <v>8</v>
      </c>
      <c r="Q262" s="346" t="str">
        <f t="shared" si="310"/>
        <v/>
      </c>
      <c r="R262" s="346">
        <f t="shared" ref="L262:U264" si="311">IF(AQ262=0,"",AQ262)</f>
        <v>2</v>
      </c>
      <c r="S262" s="346" t="str">
        <f t="shared" si="311"/>
        <v/>
      </c>
      <c r="T262" s="346">
        <f t="shared" si="311"/>
        <v>10</v>
      </c>
      <c r="U262" s="346" t="str">
        <f t="shared" si="311"/>
        <v/>
      </c>
      <c r="V262" s="347"/>
      <c r="W262" s="347"/>
      <c r="AA262" s="88" t="s">
        <v>1797</v>
      </c>
      <c r="AB262" s="89" t="s">
        <v>1798</v>
      </c>
      <c r="AC262" s="370">
        <f>VLOOKUP($AA242,Schlüssel!$A$5:$DG$14,103)</f>
        <v>4</v>
      </c>
      <c r="AD262" s="371"/>
      <c r="AE262" s="370">
        <f>VLOOKUP($AA242,Schlüssel!$A$5:$EK$14,104)</f>
        <v>3</v>
      </c>
      <c r="AF262" s="371"/>
      <c r="AG262" s="370">
        <f>VLOOKUP($AA242,Schlüssel!$A$5:$EK$14,105)</f>
        <v>7</v>
      </c>
      <c r="AH262" s="371"/>
      <c r="AI262" s="370">
        <f>VLOOKUP($AA242,Schlüssel!$A$5:$EK$14,106)</f>
        <v>6</v>
      </c>
      <c r="AJ262" s="371"/>
      <c r="AK262" s="370">
        <f>VLOOKUP($AA242,Schlüssel!$A$5:$EK$14,107)</f>
        <v>5</v>
      </c>
      <c r="AL262" s="371"/>
      <c r="AM262" s="370">
        <f>VLOOKUP($AA242,Schlüssel!$A$5:$EK$14,108)</f>
        <v>1</v>
      </c>
      <c r="AN262" s="371"/>
      <c r="AO262" s="370">
        <f>VLOOKUP($AA242,Schlüssel!$A$5:$EK$14,109)</f>
        <v>8</v>
      </c>
      <c r="AP262" s="371"/>
      <c r="AQ262" s="370">
        <f>VLOOKUP($AA242,Schlüssel!$A$5:$EK$14,110)</f>
        <v>2</v>
      </c>
      <c r="AR262" s="371"/>
      <c r="AS262" s="370">
        <f>VLOOKUP($AA242,Schlüssel!$A$5:$EK$14,111)</f>
        <v>10</v>
      </c>
      <c r="AT262" s="371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35">
      <c r="B263" s="90" t="str">
        <f t="shared" ref="B263:K264" si="312">IF(AA263=0,"",AA263)</f>
        <v/>
      </c>
      <c r="C263" s="86" t="str">
        <f t="shared" si="312"/>
        <v/>
      </c>
      <c r="D263" s="343" t="str">
        <f t="shared" si="312"/>
        <v>BK München 3</v>
      </c>
      <c r="E263" s="344" t="str">
        <f t="shared" si="312"/>
        <v/>
      </c>
      <c r="F263" s="343" t="str">
        <f t="shared" si="312"/>
        <v>Highroller Rosenheim</v>
      </c>
      <c r="G263" s="344" t="str">
        <f t="shared" si="312"/>
        <v/>
      </c>
      <c r="H263" s="343" t="str">
        <f t="shared" si="312"/>
        <v>Frankenpower Nürnberg</v>
      </c>
      <c r="I263" s="344" t="str">
        <f t="shared" si="312"/>
        <v/>
      </c>
      <c r="J263" s="343" t="str">
        <f t="shared" si="312"/>
        <v>Phönix 03 Lauf</v>
      </c>
      <c r="K263" s="344" t="str">
        <f t="shared" si="312"/>
        <v/>
      </c>
      <c r="L263" s="343" t="str">
        <f t="shared" si="311"/>
        <v xml:space="preserve">Weiß Blau Unterföhring </v>
      </c>
      <c r="M263" s="344" t="str">
        <f t="shared" si="311"/>
        <v/>
      </c>
      <c r="N263" s="343" t="str">
        <f t="shared" si="311"/>
        <v>Praetoria Regensburg</v>
      </c>
      <c r="O263" s="344" t="str">
        <f t="shared" si="311"/>
        <v/>
      </c>
      <c r="P263" s="343" t="str">
        <f t="shared" si="311"/>
        <v>EPA München 1</v>
      </c>
      <c r="Q263" s="344" t="str">
        <f t="shared" si="311"/>
        <v/>
      </c>
      <c r="R263" s="343" t="str">
        <f t="shared" si="311"/>
        <v>BK München 2</v>
      </c>
      <c r="S263" s="344" t="str">
        <f t="shared" si="311"/>
        <v/>
      </c>
      <c r="T263" s="343" t="str">
        <f t="shared" si="311"/>
        <v>BK München 4</v>
      </c>
      <c r="U263" s="344" t="str">
        <f t="shared" si="311"/>
        <v/>
      </c>
      <c r="V263" s="345"/>
      <c r="W263" s="345"/>
      <c r="AA263" s="90"/>
      <c r="AB263" s="86"/>
      <c r="AC263" s="343" t="str">
        <f>VLOOKUP(AC262,Schlüssel!$A$5:$K$14,2)</f>
        <v>BK München 3</v>
      </c>
      <c r="AD263" s="344"/>
      <c r="AE263" s="343" t="str">
        <f>VLOOKUP(AE262,Schlüssel!$A$5:$K$14,2)</f>
        <v>Highroller Rosenheim</v>
      </c>
      <c r="AF263" s="344"/>
      <c r="AG263" s="343" t="str">
        <f>VLOOKUP(AG262,Schlüssel!$A$5:$K$14,2)</f>
        <v>Frankenpower Nürnberg</v>
      </c>
      <c r="AH263" s="344"/>
      <c r="AI263" s="343" t="str">
        <f>VLOOKUP(AI262,Schlüssel!$A$5:$K$14,2)</f>
        <v>Phönix 03 Lauf</v>
      </c>
      <c r="AJ263" s="344"/>
      <c r="AK263" s="343" t="str">
        <f>VLOOKUP(AK262,Schlüssel!$A$5:$K$14,2)</f>
        <v xml:space="preserve">Weiß Blau Unterföhring </v>
      </c>
      <c r="AL263" s="344"/>
      <c r="AM263" s="343" t="str">
        <f>VLOOKUP(AM262,Schlüssel!$A$5:$K$14,2)</f>
        <v>Praetoria Regensburg</v>
      </c>
      <c r="AN263" s="344"/>
      <c r="AO263" s="343" t="str">
        <f>VLOOKUP(AO262,Schlüssel!$A$5:$K$14,2)</f>
        <v>EPA München 1</v>
      </c>
      <c r="AP263" s="344"/>
      <c r="AQ263" s="343" t="str">
        <f>VLOOKUP(AQ262,Schlüssel!$A$5:$K$14,2)</f>
        <v>BK München 2</v>
      </c>
      <c r="AR263" s="344"/>
      <c r="AS263" s="343" t="str">
        <f>VLOOKUP(AS262,Schlüssel!$A$5:$K$14,2)</f>
        <v>BK München 4</v>
      </c>
      <c r="AT263" s="344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35">
      <c r="B264" s="90" t="str">
        <f t="shared" si="312"/>
        <v/>
      </c>
      <c r="C264" s="86" t="str">
        <f t="shared" si="312"/>
        <v/>
      </c>
      <c r="D264" s="341" t="str">
        <f t="shared" si="312"/>
        <v/>
      </c>
      <c r="E264" s="341" t="str">
        <f t="shared" si="312"/>
        <v/>
      </c>
      <c r="F264" s="341" t="str">
        <f t="shared" si="312"/>
        <v/>
      </c>
      <c r="G264" s="341" t="str">
        <f t="shared" si="312"/>
        <v/>
      </c>
      <c r="H264" s="341" t="str">
        <f t="shared" si="312"/>
        <v/>
      </c>
      <c r="I264" s="341" t="str">
        <f t="shared" si="312"/>
        <v/>
      </c>
      <c r="J264" s="341" t="str">
        <f t="shared" si="312"/>
        <v/>
      </c>
      <c r="K264" s="341" t="str">
        <f t="shared" si="312"/>
        <v/>
      </c>
      <c r="L264" s="341" t="str">
        <f t="shared" si="311"/>
        <v/>
      </c>
      <c r="M264" s="341" t="str">
        <f t="shared" si="311"/>
        <v/>
      </c>
      <c r="N264" s="341" t="str">
        <f t="shared" si="311"/>
        <v/>
      </c>
      <c r="O264" s="341" t="str">
        <f t="shared" si="311"/>
        <v/>
      </c>
      <c r="P264" s="341" t="str">
        <f t="shared" si="311"/>
        <v/>
      </c>
      <c r="Q264" s="341" t="str">
        <f t="shared" si="311"/>
        <v/>
      </c>
      <c r="R264" s="341" t="str">
        <f t="shared" si="311"/>
        <v/>
      </c>
      <c r="S264" s="341" t="str">
        <f t="shared" si="311"/>
        <v/>
      </c>
      <c r="T264" s="341" t="str">
        <f t="shared" si="311"/>
        <v/>
      </c>
      <c r="U264" s="342" t="str">
        <f t="shared" si="311"/>
        <v/>
      </c>
      <c r="V264" s="301"/>
      <c r="W264" s="301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6.05" customHeight="1" x14ac:dyDescent="0.35">
      <c r="B265" s="365" t="str">
        <f t="shared" ref="B265:C269" si="313">IF(AA265=0,"",AA265)</f>
        <v>Spieler 1</v>
      </c>
      <c r="C265" s="366" t="str">
        <f t="shared" si="313"/>
        <v/>
      </c>
      <c r="D265" s="339">
        <f>IF(AC265=301,"",AC265)</f>
        <v>0</v>
      </c>
      <c r="E265" s="339" t="str">
        <f>IF(AD265=0,"",AD265)</f>
        <v/>
      </c>
      <c r="F265" s="339">
        <f>IF(AE265=301,"",AE265)</f>
        <v>0</v>
      </c>
      <c r="G265" s="339" t="str">
        <f>IF(AF265=0,"",AF265)</f>
        <v/>
      </c>
      <c r="H265" s="339">
        <f>IF(AG265=301,"",AG265)</f>
        <v>0</v>
      </c>
      <c r="I265" s="339" t="str">
        <f>IF(AH265=0,"",AH265)</f>
        <v/>
      </c>
      <c r="J265" s="339">
        <f>IF(AI265=301,"",AI265)</f>
        <v>0</v>
      </c>
      <c r="K265" s="339" t="str">
        <f>IF(AJ265=0,"",AJ265)</f>
        <v/>
      </c>
      <c r="L265" s="339">
        <f>IF(AK265=301,"",AK265)</f>
        <v>0</v>
      </c>
      <c r="M265" s="339" t="str">
        <f>IF(AL265=0,"",AL265)</f>
        <v/>
      </c>
      <c r="N265" s="339">
        <f>IF(AM265=301,"",AM265)</f>
        <v>0</v>
      </c>
      <c r="O265" s="339" t="str">
        <f>IF(AN265=0,"",AN265)</f>
        <v/>
      </c>
      <c r="P265" s="339">
        <f>IF(AO265=301,"",AO265)</f>
        <v>0</v>
      </c>
      <c r="Q265" s="339" t="str">
        <f>IF(AP265=0,"",AP265)</f>
        <v/>
      </c>
      <c r="R265" s="339">
        <f>IF(AQ265=301,"",AQ265)</f>
        <v>0</v>
      </c>
      <c r="S265" s="339" t="str">
        <f>IF(AR265=0,"",AR265)</f>
        <v/>
      </c>
      <c r="T265" s="339">
        <f>IF(AS265=301,"",AS265)</f>
        <v>0</v>
      </c>
      <c r="U265" s="339" t="str">
        <f>IF(AT265=0,"",AT265)</f>
        <v/>
      </c>
      <c r="V265" s="340"/>
      <c r="W265" s="340"/>
      <c r="AA265" s="91" t="s">
        <v>0</v>
      </c>
      <c r="AB265" s="92"/>
      <c r="AC265" s="372">
        <f>ABS(INDEX(AC:AC,MATCH(AC262,$AA:$AA,0)+5)+INDEX(AC:AC,MATCH(AC262,$AA:$AA,0)+6)+INDEX(AC:AC,MATCH(AC262,$AA:$AA,0)+7))</f>
        <v>0</v>
      </c>
      <c r="AD265" s="373"/>
      <c r="AE265" s="372">
        <f>ABS(INDEX(AE:AE,MATCH(AE262,$AA:$AA,0)+5)+INDEX(AE:AE,MATCH(AE262,$AA:$AA,0)+6)+INDEX(AE:AE,MATCH(AE262,$AA:$AA,0)+7))</f>
        <v>0</v>
      </c>
      <c r="AF265" s="373"/>
      <c r="AG265" s="372">
        <f>ABS(INDEX(AG:AG,MATCH(AG262,$AA:$AA,0)+5)+INDEX(AG:AG,MATCH(AG262,$AA:$AA,0)+6)+INDEX(AG:AG,MATCH(AG262,$AA:$AA,0)+7))</f>
        <v>0</v>
      </c>
      <c r="AH265" s="373"/>
      <c r="AI265" s="372">
        <f>ABS(INDEX(AI:AI,MATCH(AI262,$AA:$AA,0)+5)+INDEX(AI:AI,MATCH(AI262,$AA:$AA,0)+6)+INDEX(AI:AI,MATCH(AI262,$AA:$AA,0)+7))</f>
        <v>0</v>
      </c>
      <c r="AJ265" s="373"/>
      <c r="AK265" s="372">
        <f>ABS(INDEX(AK:AK,MATCH(AK262,$AA:$AA,0)+5)+INDEX(AK:AK,MATCH(AK262,$AA:$AA,0)+6)+INDEX(AK:AK,MATCH(AK262,$AA:$AA,0)+7))</f>
        <v>0</v>
      </c>
      <c r="AL265" s="373"/>
      <c r="AM265" s="372">
        <f>ABS(INDEX(AM:AM,MATCH(AM262,$AA:$AA,0)+5)+INDEX(AM:AM,MATCH(AM262,$AA:$AA,0)+6)+INDEX(AM:AM,MATCH(AM262,$AA:$AA,0)+7))</f>
        <v>0</v>
      </c>
      <c r="AN265" s="373"/>
      <c r="AO265" s="372">
        <f>ABS(INDEX(AO:AO,MATCH(AO262,$AA:$AA,0)+5)+INDEX(AO:AO,MATCH(AO262,$AA:$AA,0)+6)+INDEX(AO:AO,MATCH(AO262,$AA:$AA,0)+7))</f>
        <v>0</v>
      </c>
      <c r="AP265" s="373"/>
      <c r="AQ265" s="372">
        <f>ABS(INDEX(AQ:AQ,MATCH(AQ262,$AA:$AA,0)+5)+INDEX(AQ:AQ,MATCH(AQ262,$AA:$AA,0)+6)+INDEX(AQ:AQ,MATCH(AQ262,$AA:$AA,0)+7))</f>
        <v>0</v>
      </c>
      <c r="AR265" s="373"/>
      <c r="AS265" s="372">
        <f>ABS(INDEX(AS:AS,MATCH(AS262,$AA:$AA,0)+5)+INDEX(AS:AS,MATCH(AS262,$AA:$AA,0)+6)+INDEX(AS:AS,MATCH(AS262,$AA:$AA,0)+7))</f>
        <v>0</v>
      </c>
      <c r="AT265" s="373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6.05" customHeight="1" x14ac:dyDescent="0.35">
      <c r="B266" s="365" t="str">
        <f t="shared" si="313"/>
        <v>Spieler 2</v>
      </c>
      <c r="C266" s="366" t="str">
        <f t="shared" si="313"/>
        <v/>
      </c>
      <c r="D266" s="339">
        <f>IF(AC266=301,"",AC266)</f>
        <v>0</v>
      </c>
      <c r="E266" s="339" t="str">
        <f>IF(AD266=0,"",AD266)</f>
        <v/>
      </c>
      <c r="F266" s="339">
        <f>IF(AE266=301,"",AE266)</f>
        <v>0</v>
      </c>
      <c r="G266" s="339" t="str">
        <f>IF(AF266=0,"",AF266)</f>
        <v/>
      </c>
      <c r="H266" s="339">
        <f>IF(AG266=301,"",AG266)</f>
        <v>0</v>
      </c>
      <c r="I266" s="339" t="str">
        <f>IF(AH266=0,"",AH266)</f>
        <v/>
      </c>
      <c r="J266" s="339">
        <f>IF(AI266=301,"",AI266)</f>
        <v>0</v>
      </c>
      <c r="K266" s="339" t="str">
        <f>IF(AJ266=0,"",AJ266)</f>
        <v/>
      </c>
      <c r="L266" s="339">
        <f>IF(AK266=301,"",AK266)</f>
        <v>0</v>
      </c>
      <c r="M266" s="339" t="str">
        <f>IF(AL266=0,"",AL266)</f>
        <v/>
      </c>
      <c r="N266" s="339">
        <f>IF(AM266=301,"",AM266)</f>
        <v>0</v>
      </c>
      <c r="O266" s="339" t="str">
        <f>IF(AN266=0,"",AN266)</f>
        <v/>
      </c>
      <c r="P266" s="339">
        <f>IF(AO266=301,"",AO266)</f>
        <v>0</v>
      </c>
      <c r="Q266" s="339" t="str">
        <f>IF(AP266=0,"",AP266)</f>
        <v/>
      </c>
      <c r="R266" s="339">
        <f>IF(AQ266=301,"",AQ266)</f>
        <v>0</v>
      </c>
      <c r="S266" s="339" t="str">
        <f>IF(AR266=0,"",AR266)</f>
        <v/>
      </c>
      <c r="T266" s="339">
        <f>IF(AS266=301,"",AS266)</f>
        <v>0</v>
      </c>
      <c r="U266" s="339" t="str">
        <f>IF(AT266=0,"",AT266)</f>
        <v/>
      </c>
      <c r="V266" s="340"/>
      <c r="W266" s="340"/>
      <c r="AA266" s="91" t="s">
        <v>2</v>
      </c>
      <c r="AB266" s="92"/>
      <c r="AC266" s="374">
        <f>ABS(INDEX(AC:AC,MATCH(AC262,$AA:$AA,0)+8)+INDEX(AC:AC,MATCH(AC262,$AA:$AA,0)+9)+INDEX(AC:AC,MATCH(AC262,$AA:$AA,0)+10))</f>
        <v>0</v>
      </c>
      <c r="AD266" s="375"/>
      <c r="AE266" s="374">
        <f>ABS(INDEX(AE:AE,MATCH(AE262,$AA:$AA,0)+8)+INDEX(AE:AE,MATCH(AE262,$AA:$AA,0)+9)+INDEX(AE:AE,MATCH(AE262,$AA:$AA,0)+10))</f>
        <v>0</v>
      </c>
      <c r="AF266" s="375"/>
      <c r="AG266" s="374">
        <f>ABS(INDEX(AG:AG,MATCH(AG262,$AA:$AA,0)+8)+INDEX(AG:AG,MATCH(AG262,$AA:$AA,0)+9)+INDEX(AG:AG,MATCH(AG262,$AA:$AA,0)+10))</f>
        <v>0</v>
      </c>
      <c r="AH266" s="375"/>
      <c r="AI266" s="374">
        <f>ABS(INDEX(AI:AI,MATCH(AI262,$AA:$AA,0)+8)+INDEX(AI:AI,MATCH(AI262,$AA:$AA,0)+9)+INDEX(AI:AI,MATCH(AI262,$AA:$AA,0)+10))</f>
        <v>0</v>
      </c>
      <c r="AJ266" s="375"/>
      <c r="AK266" s="374">
        <f>ABS(INDEX(AK:AK,MATCH(AK262,$AA:$AA,0)+8)+INDEX(AK:AK,MATCH(AK262,$AA:$AA,0)+9)+INDEX(AK:AK,MATCH(AK262,$AA:$AA,0)+10))</f>
        <v>0</v>
      </c>
      <c r="AL266" s="375"/>
      <c r="AM266" s="374">
        <f>ABS(INDEX(AM:AM,MATCH(AM262,$AA:$AA,0)+8)+INDEX(AM:AM,MATCH(AM262,$AA:$AA,0)+9)+INDEX(AM:AM,MATCH(AM262,$AA:$AA,0)+10))</f>
        <v>0</v>
      </c>
      <c r="AN266" s="375"/>
      <c r="AO266" s="374">
        <f>ABS(INDEX(AO:AO,MATCH(AO262,$AA:$AA,0)+8)+INDEX(AO:AO,MATCH(AO262,$AA:$AA,0)+9)+INDEX(AO:AO,MATCH(AO262,$AA:$AA,0)+10))</f>
        <v>0</v>
      </c>
      <c r="AP266" s="375"/>
      <c r="AQ266" s="374">
        <f>ABS(INDEX(AQ:AQ,MATCH(AQ262,$AA:$AA,0)+8)+INDEX(AQ:AQ,MATCH(AQ262,$AA:$AA,0)+9)+INDEX(AQ:AQ,MATCH(AQ262,$AA:$AA,0)+10))</f>
        <v>0</v>
      </c>
      <c r="AR266" s="375"/>
      <c r="AS266" s="374">
        <f>ABS(INDEX(AS:AS,MATCH(AS262,$AA:$AA,0)+8)+INDEX(AS:AS,MATCH(AS262,$AA:$AA,0)+9)+INDEX(AS:AS,MATCH(AS262,$AA:$AA,0)+10))</f>
        <v>0</v>
      </c>
      <c r="AT266" s="375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6.05" customHeight="1" x14ac:dyDescent="0.35">
      <c r="B267" s="365" t="str">
        <f t="shared" si="313"/>
        <v>Spieler 3</v>
      </c>
      <c r="C267" s="366" t="str">
        <f t="shared" si="313"/>
        <v/>
      </c>
      <c r="D267" s="339">
        <f>IF(AC267=301,"",AC267)</f>
        <v>0</v>
      </c>
      <c r="E267" s="339" t="str">
        <f>IF(AD267=0,"",AD267)</f>
        <v/>
      </c>
      <c r="F267" s="339">
        <f>IF(AE267=301,"",AE267)</f>
        <v>0</v>
      </c>
      <c r="G267" s="339" t="str">
        <f>IF(AF267=0,"",AF267)</f>
        <v/>
      </c>
      <c r="H267" s="339">
        <f>IF(AG267=301,"",AG267)</f>
        <v>0</v>
      </c>
      <c r="I267" s="339" t="str">
        <f>IF(AH267=0,"",AH267)</f>
        <v/>
      </c>
      <c r="J267" s="339">
        <f>IF(AI267=301,"",AI267)</f>
        <v>0</v>
      </c>
      <c r="K267" s="339" t="str">
        <f>IF(AJ267=0,"",AJ267)</f>
        <v/>
      </c>
      <c r="L267" s="339">
        <f>IF(AK267=301,"",AK267)</f>
        <v>0</v>
      </c>
      <c r="M267" s="339" t="str">
        <f>IF(AL267=0,"",AL267)</f>
        <v/>
      </c>
      <c r="N267" s="339">
        <f>IF(AM267=301,"",AM267)</f>
        <v>0</v>
      </c>
      <c r="O267" s="339" t="str">
        <f>IF(AN267=0,"",AN267)</f>
        <v/>
      </c>
      <c r="P267" s="339">
        <f>IF(AO267=301,"",AO267)</f>
        <v>0</v>
      </c>
      <c r="Q267" s="339" t="str">
        <f>IF(AP267=0,"",AP267)</f>
        <v/>
      </c>
      <c r="R267" s="339">
        <f>IF(AQ267=301,"",AQ267)</f>
        <v>0</v>
      </c>
      <c r="S267" s="339" t="str">
        <f>IF(AR267=0,"",AR267)</f>
        <v/>
      </c>
      <c r="T267" s="339">
        <f>IF(AS267=301,"",AS267)</f>
        <v>0</v>
      </c>
      <c r="U267" s="339" t="str">
        <f>IF(AT267=0,"",AT267)</f>
        <v/>
      </c>
      <c r="V267" s="340"/>
      <c r="W267" s="340"/>
      <c r="AA267" s="91" t="s">
        <v>3</v>
      </c>
      <c r="AB267" s="92"/>
      <c r="AC267" s="374">
        <f>ABS(INDEX(AC:AC,MATCH(AC262,$AA:$AA,0)+11)+INDEX(AC:AC,MATCH(AC262,$AA:$AA,0)+12)+INDEX(AC:AC,MATCH(AC262,$AA:$AA,0)+13))</f>
        <v>0</v>
      </c>
      <c r="AD267" s="375"/>
      <c r="AE267" s="374">
        <f>ABS(INDEX(AE:AE,MATCH(AE262,$AA:$AA,0)+11)+INDEX(AE:AE,MATCH(AE262,$AA:$AA,0)+12)+INDEX(AE:AE,MATCH(AE262,$AA:$AA,0)+13))</f>
        <v>0</v>
      </c>
      <c r="AF267" s="375"/>
      <c r="AG267" s="374">
        <f>ABS(INDEX(AG:AG,MATCH(AG262,$AA:$AA,0)+11)+INDEX(AG:AG,MATCH(AG262,$AA:$AA,0)+12)+INDEX(AG:AG,MATCH(AG262,$AA:$AA,0)+13))</f>
        <v>0</v>
      </c>
      <c r="AH267" s="375"/>
      <c r="AI267" s="374">
        <f>ABS(INDEX(AI:AI,MATCH(AI262,$AA:$AA,0)+11)+INDEX(AI:AI,MATCH(AI262,$AA:$AA,0)+12)+INDEX(AI:AI,MATCH(AI262,$AA:$AA,0)+13))</f>
        <v>0</v>
      </c>
      <c r="AJ267" s="375"/>
      <c r="AK267" s="374">
        <f>ABS(INDEX(AK:AK,MATCH(AK262,$AA:$AA,0)+11)+INDEX(AK:AK,MATCH(AK262,$AA:$AA,0)+12)+INDEX(AK:AK,MATCH(AK262,$AA:$AA,0)+13))</f>
        <v>0</v>
      </c>
      <c r="AL267" s="375"/>
      <c r="AM267" s="374">
        <f>ABS(INDEX(AM:AM,MATCH(AM262,$AA:$AA,0)+11)+INDEX(AM:AM,MATCH(AM262,$AA:$AA,0)+12)+INDEX(AM:AM,MATCH(AM262,$AA:$AA,0)+13))</f>
        <v>0</v>
      </c>
      <c r="AN267" s="375"/>
      <c r="AO267" s="374">
        <f>ABS(INDEX(AO:AO,MATCH(AO262,$AA:$AA,0)+11)+INDEX(AO:AO,MATCH(AO262,$AA:$AA,0)+12)+INDEX(AO:AO,MATCH(AO262,$AA:$AA,0)+13))</f>
        <v>0</v>
      </c>
      <c r="AP267" s="375"/>
      <c r="AQ267" s="374">
        <f>ABS(INDEX(AQ:AQ,MATCH(AQ262,$AA:$AA,0)+11)+INDEX(AQ:AQ,MATCH(AQ262,$AA:$AA,0)+12)+INDEX(AQ:AQ,MATCH(AQ262,$AA:$AA,0)+13))</f>
        <v>0</v>
      </c>
      <c r="AR267" s="375"/>
      <c r="AS267" s="374">
        <f>ABS(INDEX(AS:AS,MATCH(AS262,$AA:$AA,0)+11)+INDEX(AS:AS,MATCH(AS262,$AA:$AA,0)+12)+INDEX(AS:AS,MATCH(AS262,$AA:$AA,0)+13))</f>
        <v>0</v>
      </c>
      <c r="AT267" s="375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6.05" customHeight="1" x14ac:dyDescent="0.35">
      <c r="B268" s="365" t="str">
        <f t="shared" si="313"/>
        <v>Spieler 4</v>
      </c>
      <c r="C268" s="366" t="str">
        <f t="shared" si="313"/>
        <v/>
      </c>
      <c r="D268" s="339">
        <f>IF(AC268=301,"",AC268)</f>
        <v>0</v>
      </c>
      <c r="E268" s="339" t="str">
        <f>IF(AD268=0,"",AD268)</f>
        <v/>
      </c>
      <c r="F268" s="339">
        <f>IF(AE268=301,"",AE268)</f>
        <v>0</v>
      </c>
      <c r="G268" s="339" t="str">
        <f>IF(AF268=0,"",AF268)</f>
        <v/>
      </c>
      <c r="H268" s="339">
        <f>IF(AG268=301,"",AG268)</f>
        <v>0</v>
      </c>
      <c r="I268" s="339" t="str">
        <f>IF(AH268=0,"",AH268)</f>
        <v/>
      </c>
      <c r="J268" s="339">
        <f>IF(AI268=301,"",AI268)</f>
        <v>0</v>
      </c>
      <c r="K268" s="339" t="str">
        <f>IF(AJ268=0,"",AJ268)</f>
        <v/>
      </c>
      <c r="L268" s="339">
        <f>IF(AK268=301,"",AK268)</f>
        <v>0</v>
      </c>
      <c r="M268" s="339" t="str">
        <f>IF(AL268=0,"",AL268)</f>
        <v/>
      </c>
      <c r="N268" s="339">
        <f>IF(AM268=301,"",AM268)</f>
        <v>0</v>
      </c>
      <c r="O268" s="339" t="str">
        <f>IF(AN268=0,"",AN268)</f>
        <v/>
      </c>
      <c r="P268" s="339">
        <f>IF(AO268=301,"",AO268)</f>
        <v>0</v>
      </c>
      <c r="Q268" s="339" t="str">
        <f>IF(AP268=0,"",AP268)</f>
        <v/>
      </c>
      <c r="R268" s="339">
        <f>IF(AQ268=301,"",AQ268)</f>
        <v>0</v>
      </c>
      <c r="S268" s="339" t="str">
        <f>IF(AR268=0,"",AR268)</f>
        <v/>
      </c>
      <c r="T268" s="339">
        <f>IF(AS268=301,"",AS268)</f>
        <v>0</v>
      </c>
      <c r="U268" s="339" t="str">
        <f>IF(AT268=0,"",AT268)</f>
        <v/>
      </c>
      <c r="V268" s="340"/>
      <c r="W268" s="340"/>
      <c r="AA268" s="91" t="s">
        <v>11</v>
      </c>
      <c r="AB268" s="92"/>
      <c r="AC268" s="374">
        <f>ABS(INDEX(AC:AC,MATCH(AC262,$AA:$AA,0)+14)+INDEX(AC:AC,MATCH(AC262,$AA:$AA,0)+15)+INDEX(AC:AC,MATCH(AC262,$AA:$AA,0)+16))</f>
        <v>0</v>
      </c>
      <c r="AD268" s="375"/>
      <c r="AE268" s="374">
        <f>ABS(INDEX(AE:AE,MATCH(AE262,$AA:$AA,0)+14)+INDEX(AE:AE,MATCH(AE262,$AA:$AA,0)+15)+INDEX(AE:AE,MATCH(AE262,$AA:$AA,0)+16))</f>
        <v>0</v>
      </c>
      <c r="AF268" s="375"/>
      <c r="AG268" s="374">
        <f>ABS(INDEX(AG:AG,MATCH(AG262,$AA:$AA,0)+14)+INDEX(AG:AG,MATCH(AG262,$AA:$AA,0)+15)+INDEX(AG:AG,MATCH(AG262,$AA:$AA,0)+16))</f>
        <v>0</v>
      </c>
      <c r="AH268" s="375"/>
      <c r="AI268" s="374">
        <f>ABS(INDEX(AI:AI,MATCH(AI262,$AA:$AA,0)+14)+INDEX(AI:AI,MATCH(AI262,$AA:$AA,0)+15)+INDEX(AI:AI,MATCH(AI262,$AA:$AA,0)+16))</f>
        <v>0</v>
      </c>
      <c r="AJ268" s="375"/>
      <c r="AK268" s="374">
        <f>ABS(INDEX(AK:AK,MATCH(AK262,$AA:$AA,0)+14)+INDEX(AK:AK,MATCH(AK262,$AA:$AA,0)+15)+INDEX(AK:AK,MATCH(AK262,$AA:$AA,0)+16))</f>
        <v>0</v>
      </c>
      <c r="AL268" s="375"/>
      <c r="AM268" s="374">
        <f>ABS(INDEX(AM:AM,MATCH(AM262,$AA:$AA,0)+14)+INDEX(AM:AM,MATCH(AM262,$AA:$AA,0)+15)+INDEX(AM:AM,MATCH(AM262,$AA:$AA,0)+16))</f>
        <v>0</v>
      </c>
      <c r="AN268" s="375"/>
      <c r="AO268" s="374">
        <f>ABS(INDEX(AO:AO,MATCH(AO262,$AA:$AA,0)+14)+INDEX(AO:AO,MATCH(AO262,$AA:$AA,0)+15)+INDEX(AO:AO,MATCH(AO262,$AA:$AA,0)+16))</f>
        <v>0</v>
      </c>
      <c r="AP268" s="375"/>
      <c r="AQ268" s="374">
        <f>ABS(INDEX(AQ:AQ,MATCH(AQ262,$AA:$AA,0)+14)+INDEX(AQ:AQ,MATCH(AQ262,$AA:$AA,0)+15)+INDEX(AQ:AQ,MATCH(AQ262,$AA:$AA,0)+16))</f>
        <v>0</v>
      </c>
      <c r="AR268" s="375"/>
      <c r="AS268" s="374">
        <f>ABS(INDEX(AS:AS,MATCH(AS262,$AA:$AA,0)+14)+INDEX(AS:AS,MATCH(AS262,$AA:$AA,0)+15)+INDEX(AS:AS,MATCH(AS262,$AA:$AA,0)+16))</f>
        <v>0</v>
      </c>
      <c r="AT268" s="375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6.05" customHeight="1" x14ac:dyDescent="0.35">
      <c r="B269" s="354" t="str">
        <f t="shared" si="313"/>
        <v>Gesamt</v>
      </c>
      <c r="C269" s="355" t="str">
        <f t="shared" si="313"/>
        <v/>
      </c>
      <c r="D269" s="338">
        <f>IF(AC269=1505,"",AC269)</f>
        <v>0</v>
      </c>
      <c r="E269" s="338" t="str">
        <f>IF(AD269=0,"",AD269)</f>
        <v/>
      </c>
      <c r="F269" s="338">
        <f>IF(AE269=1505,"",AE269)</f>
        <v>0</v>
      </c>
      <c r="G269" s="338" t="str">
        <f>IF(AF269=0,"",AF269)</f>
        <v/>
      </c>
      <c r="H269" s="338">
        <f>IF(AG269=1505,"",AG269)</f>
        <v>0</v>
      </c>
      <c r="I269" s="338" t="str">
        <f>IF(AH269=0,"",AH269)</f>
        <v/>
      </c>
      <c r="J269" s="338">
        <f>IF(AI269=1505,"",AI269)</f>
        <v>0</v>
      </c>
      <c r="K269" s="338" t="str">
        <f>IF(AJ269=0,"",AJ269)</f>
        <v/>
      </c>
      <c r="L269" s="338">
        <f>IF(AK269=1505,"",AK269)</f>
        <v>0</v>
      </c>
      <c r="M269" s="338" t="str">
        <f>IF(AL269=0,"",AL269)</f>
        <v/>
      </c>
      <c r="N269" s="338">
        <f>IF(AM269=1505,"",AM269)</f>
        <v>0</v>
      </c>
      <c r="O269" s="338" t="str">
        <f>IF(AN269=0,"",AN269)</f>
        <v/>
      </c>
      <c r="P269" s="338">
        <f>IF(AO269=1505,"",AO269)</f>
        <v>0</v>
      </c>
      <c r="Q269" s="338" t="str">
        <f>IF(AP269=0,"",AP269)</f>
        <v/>
      </c>
      <c r="R269" s="338">
        <f>IF(AQ269=1505,"",AQ269)</f>
        <v>0</v>
      </c>
      <c r="S269" s="338" t="str">
        <f>IF(AR269=0,"",AR269)</f>
        <v/>
      </c>
      <c r="T269" s="338">
        <f>IF(AS269=1505,"",AS269)</f>
        <v>0</v>
      </c>
      <c r="U269" s="338" t="str">
        <f>IF(AT269=0,"",AT269)</f>
        <v/>
      </c>
      <c r="V269" s="290"/>
      <c r="W269" s="290"/>
      <c r="AA269" s="93" t="s">
        <v>1799</v>
      </c>
      <c r="AB269" s="94"/>
      <c r="AC269" s="354">
        <f>SUM(AC265:AC268)</f>
        <v>0</v>
      </c>
      <c r="AD269" s="355"/>
      <c r="AE269" s="354">
        <f>SUM(AE265:AE268)</f>
        <v>0</v>
      </c>
      <c r="AF269" s="355"/>
      <c r="AG269" s="354">
        <f>SUM(AG265:AG268)</f>
        <v>0</v>
      </c>
      <c r="AH269" s="355"/>
      <c r="AI269" s="354">
        <f>SUM(AI265:AI268)</f>
        <v>0</v>
      </c>
      <c r="AJ269" s="355"/>
      <c r="AK269" s="354">
        <f>SUM(AK265:AK268)</f>
        <v>0</v>
      </c>
      <c r="AL269" s="355"/>
      <c r="AM269" s="354">
        <f>SUM(AM265:AM268)</f>
        <v>0</v>
      </c>
      <c r="AN269" s="355"/>
      <c r="AO269" s="354">
        <f>SUM(AO265:AO268)</f>
        <v>0</v>
      </c>
      <c r="AP269" s="355"/>
      <c r="AQ269" s="354">
        <f>SUM(AQ265:AQ268)</f>
        <v>0</v>
      </c>
      <c r="AR269" s="355"/>
      <c r="AS269" s="354">
        <f>SUM(AS265:AS268)</f>
        <v>0</v>
      </c>
      <c r="AT269" s="355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3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7">
      <c r="B271" s="44" t="str">
        <f>AA271</f>
        <v>Team-Nr.</v>
      </c>
      <c r="C271" s="45"/>
      <c r="D271" s="44" t="str">
        <f>AC271</f>
        <v>Liga:</v>
      </c>
      <c r="E271" s="47"/>
      <c r="F271" s="359" t="str">
        <f>AE271</f>
        <v>Bayernliga Frauen</v>
      </c>
      <c r="G271" s="359"/>
      <c r="H271" s="359"/>
      <c r="I271" s="359"/>
      <c r="J271" s="359"/>
      <c r="K271" s="359"/>
      <c r="L271" s="359"/>
      <c r="M271" s="359"/>
      <c r="N271" s="359"/>
      <c r="O271" s="359"/>
      <c r="P271" s="359"/>
      <c r="Q271" s="359"/>
      <c r="R271" s="48"/>
      <c r="S271" s="49" t="s">
        <v>1794</v>
      </c>
      <c r="T271" s="50"/>
      <c r="U271" s="360" t="str">
        <f>AT271</f>
        <v>05.04./06.04.</v>
      </c>
      <c r="V271" s="361"/>
      <c r="W271" s="362"/>
      <c r="X271" s="363"/>
      <c r="Y271" s="364"/>
      <c r="Z271" s="364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60" t="str">
        <f>VLOOKUP(AS272,Spielorte!$A$1:$C$6,2)</f>
        <v>05.04./06.04.</v>
      </c>
      <c r="AU271" s="361"/>
      <c r="AV271" s="362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65">
      <c r="B272" s="53">
        <f>AA272</f>
        <v>10</v>
      </c>
      <c r="D272" s="46" t="s">
        <v>1793</v>
      </c>
      <c r="E272" s="54"/>
      <c r="F272" s="358" t="str">
        <f>AE272</f>
        <v>Schweinfurt Extreme Bowlingarena</v>
      </c>
      <c r="G272" s="358"/>
      <c r="H272" s="358"/>
      <c r="I272" s="358"/>
      <c r="J272" s="358"/>
      <c r="K272" s="358"/>
      <c r="L272" s="358"/>
      <c r="M272" s="358"/>
      <c r="N272" s="358"/>
      <c r="O272" s="358"/>
      <c r="P272" s="55"/>
      <c r="Q272" s="55"/>
      <c r="S272" s="49" t="s">
        <v>1791</v>
      </c>
      <c r="T272" s="56">
        <f>AS272</f>
        <v>6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Schweinfurt Extreme Bowlingarena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6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4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5" thickBot="1" x14ac:dyDescent="0.45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VLOOKUP(AA272,Schlüssel!$A$5:$DZ$14,113)</f>
        <v>1</v>
      </c>
      <c r="AE274" s="65" t="s">
        <v>10</v>
      </c>
      <c r="AF274" s="44">
        <f>VLOOKUP(AA272,Schlüssel!$A$5:$DZ$14,114)</f>
        <v>5</v>
      </c>
      <c r="AG274" s="65" t="s">
        <v>10</v>
      </c>
      <c r="AH274" s="44">
        <f>VLOOKUP(AA272,Schlüssel!$A$5:$DZ$14,115)</f>
        <v>4</v>
      </c>
      <c r="AI274" s="65" t="s">
        <v>10</v>
      </c>
      <c r="AJ274" s="44">
        <f>VLOOKUP(AA272,Schlüssel!$A$5:$DZ$14,116)</f>
        <v>10</v>
      </c>
      <c r="AK274" s="65" t="s">
        <v>10</v>
      </c>
      <c r="AL274" s="44">
        <f>VLOOKUP(AA272,Schlüssel!$A$5:$DZ$14,117)</f>
        <v>2</v>
      </c>
      <c r="AM274" s="65" t="s">
        <v>10</v>
      </c>
      <c r="AN274" s="44">
        <f>VLOOKUP(AA272,Schlüssel!$A$5:$DZ$14,118)</f>
        <v>7</v>
      </c>
      <c r="AO274" s="65" t="s">
        <v>10</v>
      </c>
      <c r="AP274" s="44">
        <f>VLOOKUP(AA272,Schlüssel!$A$5:$DZ$14,119)</f>
        <v>6</v>
      </c>
      <c r="AQ274" s="65" t="s">
        <v>10</v>
      </c>
      <c r="AR274" s="44">
        <f>VLOOKUP(AA272,Schlüssel!$A$5:$DZ$14,120)</f>
        <v>3</v>
      </c>
      <c r="AS274" s="65" t="s">
        <v>10</v>
      </c>
      <c r="AT274" s="44">
        <f>VLOOKUP(AA272,Schlüssel!$A$5:$DZ$14,121)</f>
        <v>8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35">
      <c r="B275" s="67" t="s">
        <v>1</v>
      </c>
      <c r="C275" s="68"/>
      <c r="D275" s="354" t="s">
        <v>1800</v>
      </c>
      <c r="E275" s="355"/>
      <c r="F275" s="354" t="s">
        <v>1801</v>
      </c>
      <c r="G275" s="355"/>
      <c r="H275" s="354" t="s">
        <v>1802</v>
      </c>
      <c r="I275" s="355"/>
      <c r="J275" s="354" t="s">
        <v>1803</v>
      </c>
      <c r="K275" s="355"/>
      <c r="L275" s="354" t="s">
        <v>1804</v>
      </c>
      <c r="M275" s="355"/>
      <c r="N275" s="354" t="s">
        <v>1805</v>
      </c>
      <c r="O275" s="355"/>
      <c r="P275" s="354" t="s">
        <v>1806</v>
      </c>
      <c r="Q275" s="355"/>
      <c r="R275" s="354" t="s">
        <v>1807</v>
      </c>
      <c r="S275" s="355"/>
      <c r="T275" s="354" t="s">
        <v>1808</v>
      </c>
      <c r="U275" s="355"/>
      <c r="V275" s="356" t="s">
        <v>1799</v>
      </c>
      <c r="W275" s="357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4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2" customHeight="1" x14ac:dyDescent="0.35">
      <c r="A277" s="367" t="s">
        <v>0</v>
      </c>
      <c r="B277" s="73" t="str">
        <f>IF(AA277=0,"",AA277)</f>
        <v/>
      </c>
      <c r="C277" s="74" t="str">
        <f>IF(AB277=0,"",AB277)</f>
        <v/>
      </c>
      <c r="D277" s="75" t="str">
        <f>IF(AC277=0,"",AC277)</f>
        <v/>
      </c>
      <c r="E277" s="348">
        <f>IF(AD277="","",AD277)</f>
        <v>0</v>
      </c>
      <c r="F277" s="75" t="str">
        <f t="shared" ref="F277:F290" si="314">IF(AE277=0,"",AE277)</f>
        <v/>
      </c>
      <c r="G277" s="348">
        <f>IF(AF277="","",AF277)</f>
        <v>0</v>
      </c>
      <c r="H277" s="75" t="str">
        <f t="shared" ref="H277:H290" si="315">IF(AG277=0,"",AG277)</f>
        <v/>
      </c>
      <c r="I277" s="348">
        <f>IF(AH277="","",AH277)</f>
        <v>0</v>
      </c>
      <c r="J277" s="75" t="str">
        <f t="shared" ref="J277:J290" si="316">IF(AI277=0,"",AI277)</f>
        <v/>
      </c>
      <c r="K277" s="348">
        <f>IF(AJ277="","",AJ277)</f>
        <v>0</v>
      </c>
      <c r="L277" s="75" t="str">
        <f t="shared" ref="L277:L290" si="317">IF(AK277=0,"",AK277)</f>
        <v/>
      </c>
      <c r="M277" s="348">
        <f>IF(AL277="","",AL277)</f>
        <v>0</v>
      </c>
      <c r="N277" s="75" t="str">
        <f>IF(AM277=0,"",AM277)</f>
        <v/>
      </c>
      <c r="O277" s="348">
        <f>IF(AN277="","",AN277)</f>
        <v>0</v>
      </c>
      <c r="P277" s="75" t="str">
        <f t="shared" ref="P277:P290" si="318">IF(AO277=0,"",AO277)</f>
        <v/>
      </c>
      <c r="Q277" s="348">
        <f>IF(AP277="","",AP277)</f>
        <v>0</v>
      </c>
      <c r="R277" s="75" t="str">
        <f t="shared" ref="R277:R290" si="319">IF(AQ277=0,"",AQ277)</f>
        <v/>
      </c>
      <c r="S277" s="348">
        <f>IF(AR277="","",AR277)</f>
        <v>0</v>
      </c>
      <c r="T277" s="75" t="str">
        <f t="shared" ref="T277:T290" si="320">IF(AS277=0,"",AS277)</f>
        <v/>
      </c>
      <c r="U277" s="348">
        <f>IF(AT277="","",AT277)</f>
        <v>0</v>
      </c>
      <c r="V277" s="75" t="str">
        <f t="shared" ref="V277:V290" si="321">IF(AU277=0,"",AU277)</f>
        <v/>
      </c>
      <c r="W277" s="348">
        <f>IF(AV277="","",AV277)</f>
        <v>0</v>
      </c>
      <c r="Z277" s="351" t="s">
        <v>0</v>
      </c>
      <c r="AA277" s="108" t="str">
        <f>IF(AB277=0,"",VLOOKUP(AB277,Starter!$A$1:$D$199,2,FALSE))</f>
        <v/>
      </c>
      <c r="AB277" s="99"/>
      <c r="AC277" s="185"/>
      <c r="AD277" s="109">
        <f>IF(SUM(AC277:AC279)+AC295=0,0,IF(SUM(AC277:AC279)=AC295,0.5,IF(SUM(AC277:AC279)&gt;AC295,1,0)))</f>
        <v>0</v>
      </c>
      <c r="AE277" s="185"/>
      <c r="AF277" s="109">
        <f>IF(SUM(AE277:AE279)+AE295=0,0,IF(SUM(AE277:AE279)=AE295,0.5,IF(SUM(AE277:AE279)&gt;AE295,1,0)))</f>
        <v>0</v>
      </c>
      <c r="AG277" s="185"/>
      <c r="AH277" s="109">
        <f>IF(SUM(AG277:AG279)+AG295=0,0,IF(SUM(AG277:AG279)=AG295,0.5,IF(SUM(AG277:AG279)&gt;AG295,1,0)))</f>
        <v>0</v>
      </c>
      <c r="AI277" s="185"/>
      <c r="AJ277" s="109">
        <f>IF(SUM(AI277:AI279)+AI295=0,0,IF(SUM(AI277:AI279)=AI295,0.5,IF(SUM(AI277:AI279)&gt;AI295,1,0)))</f>
        <v>0</v>
      </c>
      <c r="AK277" s="185"/>
      <c r="AL277" s="109">
        <f>IF(SUM(AK277:AK279)+AK295=0,0,IF(SUM(AK277:AK279)=AK295,0.5,IF(SUM(AK277:AK279)&gt;AK295,1,0)))</f>
        <v>0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0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0</v>
      </c>
      <c r="AV277" s="111">
        <f>SUM(AD277+AF277+AH277+AJ277+AL277+AN277+AP277+AR277+AT277)</f>
        <v>0</v>
      </c>
      <c r="AW277" s="101"/>
      <c r="AX277" s="102"/>
      <c r="AZ277" s="63"/>
      <c r="BA277" s="212"/>
      <c r="BB277" s="213"/>
      <c r="BC277" s="214"/>
      <c r="BD277" s="217">
        <f>+AB277</f>
        <v>0</v>
      </c>
      <c r="BE277" s="213">
        <f>+AU277</f>
        <v>0</v>
      </c>
      <c r="BF277" s="215">
        <f>COUNT(BH277:BP277)</f>
        <v>0</v>
      </c>
      <c r="BG277" s="215">
        <f>COUNTIF(BH277:BP277,"&gt;0")</f>
        <v>0</v>
      </c>
      <c r="BH277" s="215" t="str">
        <f t="shared" ref="BH277:BH288" si="323">IF(AC277=0,"",AC277)</f>
        <v/>
      </c>
      <c r="BI277" s="215" t="str">
        <f t="shared" ref="BI277:BI288" si="324">IF(AE277=0,"",AE277)</f>
        <v/>
      </c>
      <c r="BJ277" s="215" t="str">
        <f t="shared" ref="BJ277:BJ288" si="325">IF(AG277=0,"",AG277)</f>
        <v/>
      </c>
      <c r="BK277" s="215" t="str">
        <f t="shared" ref="BK277:BK288" si="326">IF(AI277=0,"",AI277)</f>
        <v/>
      </c>
      <c r="BL277" s="215" t="str">
        <f t="shared" ref="BL277:BL288" si="327">IF(AK277=0,"",AK277)</f>
        <v/>
      </c>
      <c r="BM277" s="215" t="str">
        <f t="shared" ref="BM277:BM288" si="328">IF(AM277=0,"",AM277)</f>
        <v/>
      </c>
      <c r="BN277" s="215" t="str">
        <f t="shared" ref="BN277:BN288" si="329">IF(AO277=0,"",AO277)</f>
        <v/>
      </c>
      <c r="BO277" s="215" t="str">
        <f t="shared" ref="BO277:BO288" si="330">IF(AQ277=0,"",AQ277)</f>
        <v/>
      </c>
      <c r="BP277" s="215" t="str">
        <f t="shared" ref="BP277:BP288" si="331">IF(AS277=0,"",AS277)</f>
        <v/>
      </c>
      <c r="BQ277" s="216"/>
      <c r="BR277" s="214"/>
      <c r="BS277" s="215">
        <f>MAX(BH277:BP277)</f>
        <v>0</v>
      </c>
      <c r="BT277" s="215">
        <f>IF(BS277&lt;MAX(BS:BS),0,BS277+ROW()/1000000000)</f>
        <v>2.7700000000000001E-7</v>
      </c>
      <c r="BU277" s="215" t="str">
        <f>+AA273</f>
        <v>BK München 4</v>
      </c>
      <c r="BV277" s="214">
        <f>RANK(BT277,BT:BT)</f>
        <v>12</v>
      </c>
      <c r="BW277" s="215">
        <f>SUMIF(BH277:BP277,"&gt;0")</f>
        <v>0</v>
      </c>
      <c r="BX277" s="215">
        <f>IF(COUNTIF(BH277:BP277,"&gt;0")&lt;Spielorte!$A$23,0,BE277/Spielorte!$A$23)</f>
        <v>0</v>
      </c>
      <c r="BY277" s="215">
        <f>IF(BX277&lt;MAX(BX:BX),0,BX277+ROW()/1000000000)</f>
        <v>2.7700000000000001E-7</v>
      </c>
      <c r="BZ277" s="214">
        <f t="shared" ref="BZ277:BZ288" si="332">IF(BY277=0,0,RANK(BY277,BY:BY))</f>
        <v>12</v>
      </c>
    </row>
    <row r="278" spans="1:78" ht="17.2" customHeight="1" x14ac:dyDescent="0.35">
      <c r="A278" s="368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49"/>
      <c r="F278" s="78" t="str">
        <f t="shared" si="314"/>
        <v/>
      </c>
      <c r="G278" s="349"/>
      <c r="H278" s="78" t="str">
        <f t="shared" si="315"/>
        <v/>
      </c>
      <c r="I278" s="349"/>
      <c r="J278" s="78" t="str">
        <f t="shared" si="316"/>
        <v/>
      </c>
      <c r="K278" s="349"/>
      <c r="L278" s="78" t="str">
        <f t="shared" si="317"/>
        <v/>
      </c>
      <c r="M278" s="349"/>
      <c r="N278" s="78" t="str">
        <f t="shared" ref="N278:N290" si="334">IF(AM278=0,"",AM278)</f>
        <v/>
      </c>
      <c r="O278" s="349"/>
      <c r="P278" s="78" t="str">
        <f t="shared" si="318"/>
        <v/>
      </c>
      <c r="Q278" s="349"/>
      <c r="R278" s="78" t="str">
        <f t="shared" si="319"/>
        <v/>
      </c>
      <c r="S278" s="349"/>
      <c r="T278" s="78" t="str">
        <f t="shared" si="320"/>
        <v/>
      </c>
      <c r="U278" s="349"/>
      <c r="V278" s="78" t="str">
        <f t="shared" si="321"/>
        <v/>
      </c>
      <c r="W278" s="349"/>
      <c r="Z278" s="352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2.7799999999999997E-7</v>
      </c>
      <c r="BU278" s="215" t="str">
        <f t="shared" ref="BU278:BU288" si="341">+BU277</f>
        <v>BK München 4</v>
      </c>
      <c r="BV278" s="214">
        <f t="shared" ref="BV278:BV288" si="342">RANK(BT278,BT:BT)</f>
        <v>11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2.7799999999999997E-7</v>
      </c>
      <c r="BZ278" s="214">
        <f t="shared" si="332"/>
        <v>11</v>
      </c>
    </row>
    <row r="279" spans="1:78" ht="17.2" customHeight="1" thickBot="1" x14ac:dyDescent="0.4">
      <c r="A279" s="369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50"/>
      <c r="F279" s="69" t="str">
        <f t="shared" si="314"/>
        <v/>
      </c>
      <c r="G279" s="350"/>
      <c r="H279" s="69" t="str">
        <f t="shared" si="315"/>
        <v/>
      </c>
      <c r="I279" s="350"/>
      <c r="J279" s="69" t="str">
        <f t="shared" si="316"/>
        <v/>
      </c>
      <c r="K279" s="350"/>
      <c r="L279" s="69" t="str">
        <f t="shared" si="317"/>
        <v/>
      </c>
      <c r="M279" s="350"/>
      <c r="N279" s="69" t="str">
        <f t="shared" si="334"/>
        <v/>
      </c>
      <c r="O279" s="350"/>
      <c r="P279" s="69" t="str">
        <f t="shared" si="318"/>
        <v/>
      </c>
      <c r="Q279" s="350"/>
      <c r="R279" s="69" t="str">
        <f t="shared" si="319"/>
        <v/>
      </c>
      <c r="S279" s="350"/>
      <c r="T279" s="69" t="str">
        <f t="shared" si="320"/>
        <v/>
      </c>
      <c r="U279" s="350"/>
      <c r="V279" s="69" t="str">
        <f t="shared" si="321"/>
        <v/>
      </c>
      <c r="W279" s="350"/>
      <c r="Z279" s="353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2.79E-7</v>
      </c>
      <c r="BU279" s="215" t="str">
        <f t="shared" si="341"/>
        <v>BK München 4</v>
      </c>
      <c r="BV279" s="214">
        <f t="shared" si="342"/>
        <v>10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2.79E-7</v>
      </c>
      <c r="BZ279" s="214">
        <f t="shared" si="332"/>
        <v>10</v>
      </c>
    </row>
    <row r="280" spans="1:78" ht="17.2" customHeight="1" x14ac:dyDescent="0.35">
      <c r="A280" s="367" t="s">
        <v>2</v>
      </c>
      <c r="B280" s="73" t="str">
        <f t="shared" si="333"/>
        <v/>
      </c>
      <c r="C280" s="74" t="str">
        <f t="shared" si="333"/>
        <v/>
      </c>
      <c r="D280" s="75" t="str">
        <f t="shared" si="333"/>
        <v/>
      </c>
      <c r="E280" s="348">
        <f>IF(AD280="","",AD280)</f>
        <v>0</v>
      </c>
      <c r="F280" s="75" t="str">
        <f t="shared" si="314"/>
        <v/>
      </c>
      <c r="G280" s="348">
        <f>IF(AF280="","",AF280)</f>
        <v>0</v>
      </c>
      <c r="H280" s="75" t="str">
        <f t="shared" si="315"/>
        <v/>
      </c>
      <c r="I280" s="348">
        <f>IF(AH280="","",AH280)</f>
        <v>0</v>
      </c>
      <c r="J280" s="75" t="str">
        <f t="shared" si="316"/>
        <v/>
      </c>
      <c r="K280" s="348">
        <f>IF(AJ280="","",AJ280)</f>
        <v>0</v>
      </c>
      <c r="L280" s="75" t="str">
        <f t="shared" si="317"/>
        <v/>
      </c>
      <c r="M280" s="348">
        <f>IF(AL280="","",AL280)</f>
        <v>0</v>
      </c>
      <c r="N280" s="75" t="str">
        <f t="shared" si="334"/>
        <v/>
      </c>
      <c r="O280" s="348">
        <f>IF(AN280="","",AN280)</f>
        <v>0</v>
      </c>
      <c r="P280" s="75" t="str">
        <f t="shared" si="318"/>
        <v/>
      </c>
      <c r="Q280" s="348">
        <f>IF(AP280="","",AP280)</f>
        <v>0</v>
      </c>
      <c r="R280" s="75" t="str">
        <f t="shared" si="319"/>
        <v/>
      </c>
      <c r="S280" s="348">
        <f>IF(AR280="","",AR280)</f>
        <v>0</v>
      </c>
      <c r="T280" s="75" t="str">
        <f t="shared" si="320"/>
        <v/>
      </c>
      <c r="U280" s="348">
        <f>IF(AT280="","",AT280)</f>
        <v>0</v>
      </c>
      <c r="V280" s="75" t="str">
        <f t="shared" si="321"/>
        <v/>
      </c>
      <c r="W280" s="348">
        <f>IF(AV280="","",AV280)</f>
        <v>0</v>
      </c>
      <c r="Z280" s="351" t="s">
        <v>2</v>
      </c>
      <c r="AA280" s="108" t="str">
        <f>IF(AB280=0,"",VLOOKUP(AB280,Starter!$A$1:$D$199,2,FALSE))</f>
        <v/>
      </c>
      <c r="AB280" s="99"/>
      <c r="AC280" s="188"/>
      <c r="AD280" s="109">
        <f>IF(SUM(AC280:AC282)+AC296=0,0,IF(SUM(AC280:AC282)=AC296,0.5,IF(SUM(AC280:AC282)&gt;AC296,1,0)))</f>
        <v>0</v>
      </c>
      <c r="AE280" s="188"/>
      <c r="AF280" s="109">
        <f>IF(SUM(AE280:AE282)+AE296=0,0,IF(SUM(AE280:AE282)=AE296,0.5,IF(SUM(AE280:AE282)&gt;AE296,1,0)))</f>
        <v>0</v>
      </c>
      <c r="AG280" s="188"/>
      <c r="AH280" s="109">
        <f>IF(SUM(AG280:AG282)+AG296=0,0,IF(SUM(AG280:AG282)=AG296,0.5,IF(SUM(AG280:AG282)&gt;AG296,1,0)))</f>
        <v>0</v>
      </c>
      <c r="AI280" s="188"/>
      <c r="AJ280" s="109">
        <f>IF(SUM(AI280:AI282)+AI296=0,0,IF(SUM(AI280:AI282)=AI296,0.5,IF(SUM(AI280:AI282)&gt;AI296,1,0)))</f>
        <v>0</v>
      </c>
      <c r="AK280" s="188"/>
      <c r="AL280" s="109">
        <f>IF(SUM(AK280:AK282)+AK296=0,0,IF(SUM(AK280:AK282)=AK296,0.5,IF(SUM(AK280:AK282)&gt;AK296,1,0)))</f>
        <v>0</v>
      </c>
      <c r="AM280" s="188"/>
      <c r="AN280" s="109">
        <f>IF(SUM(AM280:AM282)+AM296=0,0,IF(SUM(AM280:AM282)=AM296,0.5,IF(SUM(AM280:AM282)&gt;AM296,1,0)))</f>
        <v>0</v>
      </c>
      <c r="AO280" s="188"/>
      <c r="AP280" s="109">
        <f>IF(SUM(AO280:AO282)+AO296=0,0,IF(SUM(AO280:AO282)=AO296,0.5,IF(SUM(AO280:AO282)&gt;AO296,1,0)))</f>
        <v>0</v>
      </c>
      <c r="AQ280" s="188"/>
      <c r="AR280" s="109">
        <f>IF(SUM(AQ280:AQ282)+AQ296=0,0,IF(SUM(AQ280:AQ282)=AQ296,0.5,IF(SUM(AQ280:AQ282)&gt;AQ296,1,0)))</f>
        <v>0</v>
      </c>
      <c r="AS280" s="188"/>
      <c r="AT280" s="109">
        <f>IF(SUM(AS280:AS282)+AS296=0,0,IF(SUM(AS280:AS282)=AS296,0.5,IF(SUM(AS280:AS282)&gt;AS296,1,0)))</f>
        <v>0</v>
      </c>
      <c r="AU280" s="110">
        <f t="shared" si="322"/>
        <v>0</v>
      </c>
      <c r="AV280" s="111">
        <f>SUM(AD280+AF280+AH280+AJ280+AL280+AN280+AP280+AR280+AT280)</f>
        <v>0</v>
      </c>
      <c r="AW280" s="101"/>
      <c r="AX280" s="102"/>
      <c r="AZ280" s="63"/>
      <c r="BA280" s="212"/>
      <c r="BB280" s="213"/>
      <c r="BC280" s="214"/>
      <c r="BD280" s="217">
        <f t="shared" si="335"/>
        <v>0</v>
      </c>
      <c r="BE280" s="213">
        <f t="shared" si="336"/>
        <v>0</v>
      </c>
      <c r="BF280" s="215">
        <f t="shared" si="337"/>
        <v>0</v>
      </c>
      <c r="BG280" s="215">
        <f t="shared" si="338"/>
        <v>0</v>
      </c>
      <c r="BH280" s="215" t="str">
        <f t="shared" si="323"/>
        <v/>
      </c>
      <c r="BI280" s="215" t="str">
        <f t="shared" si="324"/>
        <v/>
      </c>
      <c r="BJ280" s="215" t="str">
        <f t="shared" si="325"/>
        <v/>
      </c>
      <c r="BK280" s="215" t="str">
        <f t="shared" si="326"/>
        <v/>
      </c>
      <c r="BL280" s="215" t="str">
        <f t="shared" si="327"/>
        <v/>
      </c>
      <c r="BM280" s="215" t="str">
        <f t="shared" si="328"/>
        <v/>
      </c>
      <c r="BN280" s="215" t="str">
        <f t="shared" si="329"/>
        <v/>
      </c>
      <c r="BO280" s="215" t="str">
        <f t="shared" si="330"/>
        <v/>
      </c>
      <c r="BP280" s="215" t="str">
        <f t="shared" si="331"/>
        <v/>
      </c>
      <c r="BQ280" s="216"/>
      <c r="BR280" s="214"/>
      <c r="BS280" s="215">
        <f t="shared" si="339"/>
        <v>0</v>
      </c>
      <c r="BT280" s="215">
        <f t="shared" si="340"/>
        <v>2.8000000000000002E-7</v>
      </c>
      <c r="BU280" s="215" t="str">
        <f t="shared" si="341"/>
        <v>BK München 4</v>
      </c>
      <c r="BV280" s="214">
        <f t="shared" si="342"/>
        <v>9</v>
      </c>
      <c r="BW280" s="215">
        <f t="shared" si="343"/>
        <v>0</v>
      </c>
      <c r="BX280" s="215">
        <f>IF(COUNTIF(BH280:BP280,"&gt;0")&lt;Spielorte!$A$23,0,BE280/Spielorte!$A$23)</f>
        <v>0</v>
      </c>
      <c r="BY280" s="215">
        <f t="shared" si="344"/>
        <v>2.8000000000000002E-7</v>
      </c>
      <c r="BZ280" s="214">
        <f t="shared" si="332"/>
        <v>9</v>
      </c>
    </row>
    <row r="281" spans="1:78" ht="17.2" customHeight="1" x14ac:dyDescent="0.35">
      <c r="A281" s="368"/>
      <c r="B281" s="76" t="str">
        <f t="shared" si="333"/>
        <v/>
      </c>
      <c r="C281" s="77" t="str">
        <f t="shared" si="333"/>
        <v/>
      </c>
      <c r="D281" s="78" t="str">
        <f t="shared" si="333"/>
        <v/>
      </c>
      <c r="E281" s="349"/>
      <c r="F281" s="78" t="str">
        <f t="shared" si="314"/>
        <v/>
      </c>
      <c r="G281" s="349"/>
      <c r="H281" s="78" t="str">
        <f t="shared" si="315"/>
        <v/>
      </c>
      <c r="I281" s="349"/>
      <c r="J281" s="78" t="str">
        <f t="shared" si="316"/>
        <v/>
      </c>
      <c r="K281" s="349"/>
      <c r="L281" s="78" t="str">
        <f t="shared" si="317"/>
        <v/>
      </c>
      <c r="M281" s="349"/>
      <c r="N281" s="78" t="str">
        <f t="shared" si="334"/>
        <v/>
      </c>
      <c r="O281" s="349"/>
      <c r="P281" s="78" t="str">
        <f t="shared" si="318"/>
        <v/>
      </c>
      <c r="Q281" s="349"/>
      <c r="R281" s="78" t="str">
        <f t="shared" si="319"/>
        <v/>
      </c>
      <c r="S281" s="349"/>
      <c r="T281" s="78" t="str">
        <f t="shared" si="320"/>
        <v/>
      </c>
      <c r="U281" s="349"/>
      <c r="V281" s="78" t="str">
        <f t="shared" si="321"/>
        <v/>
      </c>
      <c r="W281" s="349"/>
      <c r="Z281" s="352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22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0</v>
      </c>
      <c r="BE281" s="213">
        <f t="shared" si="336"/>
        <v>0</v>
      </c>
      <c r="BF281" s="215">
        <f t="shared" si="337"/>
        <v>0</v>
      </c>
      <c r="BG281" s="215">
        <f t="shared" si="338"/>
        <v>0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 t="str">
        <f t="shared" si="328"/>
        <v/>
      </c>
      <c r="BN281" s="215" t="str">
        <f t="shared" si="329"/>
        <v/>
      </c>
      <c r="BO281" s="215" t="str">
        <f t="shared" si="330"/>
        <v/>
      </c>
      <c r="BP281" s="215" t="str">
        <f t="shared" si="331"/>
        <v/>
      </c>
      <c r="BQ281" s="216"/>
      <c r="BR281" s="214"/>
      <c r="BS281" s="215">
        <f t="shared" si="339"/>
        <v>0</v>
      </c>
      <c r="BT281" s="215">
        <f t="shared" si="340"/>
        <v>2.8099999999999999E-7</v>
      </c>
      <c r="BU281" s="215" t="str">
        <f t="shared" si="341"/>
        <v>BK München 4</v>
      </c>
      <c r="BV281" s="214">
        <f t="shared" si="342"/>
        <v>8</v>
      </c>
      <c r="BW281" s="215">
        <f t="shared" si="343"/>
        <v>0</v>
      </c>
      <c r="BX281" s="215">
        <f>IF(COUNTIF(BH281:BP281,"&gt;0")&lt;Spielorte!$A$23,0,BE281/Spielorte!$A$23)</f>
        <v>0</v>
      </c>
      <c r="BY281" s="215">
        <f t="shared" si="344"/>
        <v>2.8099999999999999E-7</v>
      </c>
      <c r="BZ281" s="214">
        <f t="shared" si="332"/>
        <v>8</v>
      </c>
    </row>
    <row r="282" spans="1:78" ht="17.2" customHeight="1" thickBot="1" x14ac:dyDescent="0.4">
      <c r="A282" s="369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50"/>
      <c r="F282" s="69" t="str">
        <f t="shared" si="314"/>
        <v/>
      </c>
      <c r="G282" s="350"/>
      <c r="H282" s="69" t="str">
        <f t="shared" si="315"/>
        <v/>
      </c>
      <c r="I282" s="350"/>
      <c r="J282" s="69" t="str">
        <f t="shared" si="316"/>
        <v/>
      </c>
      <c r="K282" s="350"/>
      <c r="L282" s="69" t="str">
        <f t="shared" si="317"/>
        <v/>
      </c>
      <c r="M282" s="350"/>
      <c r="N282" s="69" t="str">
        <f t="shared" si="334"/>
        <v/>
      </c>
      <c r="O282" s="350"/>
      <c r="P282" s="69" t="str">
        <f t="shared" si="318"/>
        <v/>
      </c>
      <c r="Q282" s="350"/>
      <c r="R282" s="69" t="str">
        <f t="shared" si="319"/>
        <v/>
      </c>
      <c r="S282" s="350"/>
      <c r="T282" s="69" t="str">
        <f t="shared" si="320"/>
        <v/>
      </c>
      <c r="U282" s="350"/>
      <c r="V282" s="69" t="str">
        <f t="shared" si="321"/>
        <v/>
      </c>
      <c r="W282" s="350"/>
      <c r="Z282" s="353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2.8200000000000001E-7</v>
      </c>
      <c r="BU282" s="215" t="str">
        <f t="shared" si="341"/>
        <v>BK München 4</v>
      </c>
      <c r="BV282" s="214">
        <f t="shared" si="342"/>
        <v>7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2.8200000000000001E-7</v>
      </c>
      <c r="BZ282" s="214">
        <f t="shared" si="332"/>
        <v>7</v>
      </c>
    </row>
    <row r="283" spans="1:78" ht="17.2" customHeight="1" x14ac:dyDescent="0.35">
      <c r="A283" s="367" t="s">
        <v>3</v>
      </c>
      <c r="B283" s="73" t="str">
        <f t="shared" si="333"/>
        <v/>
      </c>
      <c r="C283" s="74" t="str">
        <f t="shared" si="333"/>
        <v/>
      </c>
      <c r="D283" s="75" t="str">
        <f t="shared" si="333"/>
        <v/>
      </c>
      <c r="E283" s="348">
        <f>IF(AD283="","",AD283)</f>
        <v>0</v>
      </c>
      <c r="F283" s="75" t="str">
        <f t="shared" si="314"/>
        <v/>
      </c>
      <c r="G283" s="348">
        <f>IF(AF283="","",AF283)</f>
        <v>0</v>
      </c>
      <c r="H283" s="75" t="str">
        <f t="shared" si="315"/>
        <v/>
      </c>
      <c r="I283" s="348">
        <f>IF(AH283="","",AH283)</f>
        <v>0</v>
      </c>
      <c r="J283" s="75" t="str">
        <f t="shared" si="316"/>
        <v/>
      </c>
      <c r="K283" s="348">
        <f>IF(AJ283="","",AJ283)</f>
        <v>0</v>
      </c>
      <c r="L283" s="75" t="str">
        <f t="shared" si="317"/>
        <v/>
      </c>
      <c r="M283" s="348">
        <f>IF(AL283="","",AL283)</f>
        <v>0</v>
      </c>
      <c r="N283" s="75" t="str">
        <f t="shared" si="334"/>
        <v/>
      </c>
      <c r="O283" s="348">
        <f>IF(AN283="","",AN283)</f>
        <v>0</v>
      </c>
      <c r="P283" s="75" t="str">
        <f t="shared" si="318"/>
        <v/>
      </c>
      <c r="Q283" s="348">
        <f>IF(AP283="","",AP283)</f>
        <v>0</v>
      </c>
      <c r="R283" s="75" t="str">
        <f t="shared" si="319"/>
        <v/>
      </c>
      <c r="S283" s="348">
        <f>IF(AR283="","",AR283)</f>
        <v>0</v>
      </c>
      <c r="T283" s="75" t="str">
        <f t="shared" si="320"/>
        <v/>
      </c>
      <c r="U283" s="348">
        <f>IF(AT283="","",AT283)</f>
        <v>0</v>
      </c>
      <c r="V283" s="75" t="str">
        <f t="shared" si="321"/>
        <v/>
      </c>
      <c r="W283" s="348">
        <f>IF(AV283="","",AV283)</f>
        <v>0</v>
      </c>
      <c r="Z283" s="351" t="s">
        <v>3</v>
      </c>
      <c r="AA283" s="108" t="str">
        <f>IF(AB283=0,"",VLOOKUP(AB283,Starter!$A$1:$D$199,2,FALSE))</f>
        <v/>
      </c>
      <c r="AB283" s="99"/>
      <c r="AC283" s="188"/>
      <c r="AD283" s="109">
        <f>IF(SUM(AC283:AC285)+AC297=0,0,IF(SUM(AC283:AC285)=AC297,0.5,IF(SUM(AC283:AC285)&gt;AC297,1,0)))</f>
        <v>0</v>
      </c>
      <c r="AE283" s="188"/>
      <c r="AF283" s="109">
        <f>IF(SUM(AE283:AE285)+AE297=0,0,IF(SUM(AE283:AE285)=AE297,0.5,IF(SUM(AE283:AE285)&gt;AE297,1,0)))</f>
        <v>0</v>
      </c>
      <c r="AG283" s="188"/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0</v>
      </c>
      <c r="AK283" s="188"/>
      <c r="AL283" s="109">
        <f>IF(SUM(AK283:AK285)+AK297=0,0,IF(SUM(AK283:AK285)=AK297,0.5,IF(SUM(AK283:AK285)&gt;AK297,1,0)))</f>
        <v>0</v>
      </c>
      <c r="AM283" s="188"/>
      <c r="AN283" s="109">
        <f>IF(SUM(AM283:AM285)+AM297=0,0,IF(SUM(AM283:AM285)=AM297,0.5,IF(SUM(AM283:AM285)&gt;AM297,1,0)))</f>
        <v>0</v>
      </c>
      <c r="AO283" s="188"/>
      <c r="AP283" s="109">
        <f>IF(SUM(AO283:AO285)+AO297=0,0,IF(SUM(AO283:AO285)=AO297,0.5,IF(SUM(AO283:AO285)&gt;AO297,1,0)))</f>
        <v>0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0</v>
      </c>
      <c r="AU283" s="110">
        <f t="shared" si="322"/>
        <v>0</v>
      </c>
      <c r="AV283" s="111">
        <f>SUM(AD283+AF283+AH283+AJ283+AL283+AN283+AP283+AR283+AT283)</f>
        <v>0</v>
      </c>
      <c r="AW283" s="101"/>
      <c r="AX283" s="102"/>
      <c r="AZ283" s="63"/>
      <c r="BA283" s="212"/>
      <c r="BB283" s="213"/>
      <c r="BC283" s="214"/>
      <c r="BD283" s="217">
        <f t="shared" si="335"/>
        <v>0</v>
      </c>
      <c r="BE283" s="213">
        <f t="shared" si="336"/>
        <v>0</v>
      </c>
      <c r="BF283" s="215">
        <f t="shared" si="337"/>
        <v>0</v>
      </c>
      <c r="BG283" s="215">
        <f t="shared" si="338"/>
        <v>0</v>
      </c>
      <c r="BH283" s="215" t="str">
        <f t="shared" si="323"/>
        <v/>
      </c>
      <c r="BI283" s="215" t="str">
        <f t="shared" si="324"/>
        <v/>
      </c>
      <c r="BJ283" s="215" t="str">
        <f t="shared" si="325"/>
        <v/>
      </c>
      <c r="BK283" s="215" t="str">
        <f t="shared" si="326"/>
        <v/>
      </c>
      <c r="BL283" s="215" t="str">
        <f t="shared" si="327"/>
        <v/>
      </c>
      <c r="BM283" s="215" t="str">
        <f t="shared" si="328"/>
        <v/>
      </c>
      <c r="BN283" s="215" t="str">
        <f t="shared" si="329"/>
        <v/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0</v>
      </c>
      <c r="BT283" s="215">
        <f t="shared" si="340"/>
        <v>2.8299999999999998E-7</v>
      </c>
      <c r="BU283" s="215" t="str">
        <f t="shared" si="341"/>
        <v>BK München 4</v>
      </c>
      <c r="BV283" s="214">
        <f t="shared" si="342"/>
        <v>6</v>
      </c>
      <c r="BW283" s="215">
        <f t="shared" si="343"/>
        <v>0</v>
      </c>
      <c r="BX283" s="215">
        <f>IF(COUNTIF(BH283:BP283,"&gt;0")&lt;Spielorte!$A$23,0,BE283/Spielorte!$A$23)</f>
        <v>0</v>
      </c>
      <c r="BY283" s="215">
        <f t="shared" si="344"/>
        <v>2.8299999999999998E-7</v>
      </c>
      <c r="BZ283" s="214">
        <f t="shared" si="332"/>
        <v>6</v>
      </c>
    </row>
    <row r="284" spans="1:78" ht="17.2" customHeight="1" x14ac:dyDescent="0.35">
      <c r="A284" s="368"/>
      <c r="B284" s="76" t="str">
        <f t="shared" si="333"/>
        <v/>
      </c>
      <c r="C284" s="77" t="str">
        <f t="shared" si="333"/>
        <v/>
      </c>
      <c r="D284" s="78" t="str">
        <f t="shared" si="333"/>
        <v/>
      </c>
      <c r="E284" s="349"/>
      <c r="F284" s="78" t="str">
        <f t="shared" si="314"/>
        <v/>
      </c>
      <c r="G284" s="349"/>
      <c r="H284" s="78" t="str">
        <f t="shared" si="315"/>
        <v/>
      </c>
      <c r="I284" s="349"/>
      <c r="J284" s="78" t="str">
        <f t="shared" si="316"/>
        <v/>
      </c>
      <c r="K284" s="349"/>
      <c r="L284" s="78" t="str">
        <f t="shared" si="317"/>
        <v/>
      </c>
      <c r="M284" s="349"/>
      <c r="N284" s="78" t="str">
        <f t="shared" si="334"/>
        <v/>
      </c>
      <c r="O284" s="349"/>
      <c r="P284" s="78" t="str">
        <f t="shared" si="318"/>
        <v/>
      </c>
      <c r="Q284" s="349"/>
      <c r="R284" s="78" t="str">
        <f t="shared" si="319"/>
        <v/>
      </c>
      <c r="S284" s="349"/>
      <c r="T284" s="78" t="str">
        <f t="shared" si="320"/>
        <v/>
      </c>
      <c r="U284" s="349"/>
      <c r="V284" s="78" t="str">
        <f t="shared" si="321"/>
        <v/>
      </c>
      <c r="W284" s="349"/>
      <c r="Z284" s="352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22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0</v>
      </c>
      <c r="BE284" s="213">
        <f t="shared" si="336"/>
        <v>0</v>
      </c>
      <c r="BF284" s="215">
        <f t="shared" si="337"/>
        <v>0</v>
      </c>
      <c r="BG284" s="215">
        <f t="shared" si="338"/>
        <v>0</v>
      </c>
      <c r="BH284" s="215" t="str">
        <f t="shared" si="323"/>
        <v/>
      </c>
      <c r="BI284" s="215" t="str">
        <f t="shared" si="324"/>
        <v/>
      </c>
      <c r="BJ284" s="215" t="str">
        <f t="shared" si="325"/>
        <v/>
      </c>
      <c r="BK284" s="215" t="str">
        <f t="shared" si="326"/>
        <v/>
      </c>
      <c r="BL284" s="215" t="str">
        <f t="shared" si="327"/>
        <v/>
      </c>
      <c r="BM284" s="215" t="str">
        <f t="shared" si="328"/>
        <v/>
      </c>
      <c r="BN284" s="215" t="str">
        <f t="shared" si="329"/>
        <v/>
      </c>
      <c r="BO284" s="215" t="str">
        <f t="shared" si="330"/>
        <v/>
      </c>
      <c r="BP284" s="215" t="str">
        <f t="shared" si="331"/>
        <v/>
      </c>
      <c r="BQ284" s="216"/>
      <c r="BR284" s="214"/>
      <c r="BS284" s="215">
        <f t="shared" si="339"/>
        <v>0</v>
      </c>
      <c r="BT284" s="215">
        <f t="shared" si="340"/>
        <v>2.84E-7</v>
      </c>
      <c r="BU284" s="215" t="str">
        <f t="shared" si="341"/>
        <v>BK München 4</v>
      </c>
      <c r="BV284" s="214">
        <f t="shared" si="342"/>
        <v>5</v>
      </c>
      <c r="BW284" s="215">
        <f t="shared" si="343"/>
        <v>0</v>
      </c>
      <c r="BX284" s="215">
        <f>IF(COUNTIF(BH284:BP284,"&gt;0")&lt;Spielorte!$A$23,0,BE284/Spielorte!$A$23)</f>
        <v>0</v>
      </c>
      <c r="BY284" s="215">
        <f t="shared" si="344"/>
        <v>2.84E-7</v>
      </c>
      <c r="BZ284" s="214">
        <f t="shared" si="332"/>
        <v>5</v>
      </c>
    </row>
    <row r="285" spans="1:78" ht="17.2" customHeight="1" thickBot="1" x14ac:dyDescent="0.4">
      <c r="A285" s="369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50"/>
      <c r="F285" s="69" t="str">
        <f t="shared" si="314"/>
        <v/>
      </c>
      <c r="G285" s="350"/>
      <c r="H285" s="69" t="str">
        <f t="shared" si="315"/>
        <v/>
      </c>
      <c r="I285" s="350"/>
      <c r="J285" s="69" t="str">
        <f t="shared" si="316"/>
        <v/>
      </c>
      <c r="K285" s="350"/>
      <c r="L285" s="69" t="str">
        <f t="shared" si="317"/>
        <v/>
      </c>
      <c r="M285" s="350"/>
      <c r="N285" s="69" t="str">
        <f t="shared" si="334"/>
        <v/>
      </c>
      <c r="O285" s="350"/>
      <c r="P285" s="69" t="str">
        <f t="shared" si="318"/>
        <v/>
      </c>
      <c r="Q285" s="350"/>
      <c r="R285" s="69" t="str">
        <f t="shared" si="319"/>
        <v/>
      </c>
      <c r="S285" s="350"/>
      <c r="T285" s="69" t="str">
        <f t="shared" si="320"/>
        <v/>
      </c>
      <c r="U285" s="350"/>
      <c r="V285" s="69" t="str">
        <f t="shared" si="321"/>
        <v/>
      </c>
      <c r="W285" s="350"/>
      <c r="Z285" s="353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2.8500000000000002E-7</v>
      </c>
      <c r="BU285" s="215" t="str">
        <f t="shared" si="341"/>
        <v>BK München 4</v>
      </c>
      <c r="BV285" s="214">
        <f t="shared" si="342"/>
        <v>4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2.8500000000000002E-7</v>
      </c>
      <c r="BZ285" s="214">
        <f t="shared" si="332"/>
        <v>4</v>
      </c>
    </row>
    <row r="286" spans="1:78" ht="17.2" customHeight="1" x14ac:dyDescent="0.35">
      <c r="A286" s="367" t="s">
        <v>11</v>
      </c>
      <c r="B286" s="73" t="str">
        <f>IF(AA286=0,"",AA286)</f>
        <v/>
      </c>
      <c r="C286" s="74" t="str">
        <f t="shared" si="333"/>
        <v/>
      </c>
      <c r="D286" s="75" t="str">
        <f t="shared" si="333"/>
        <v/>
      </c>
      <c r="E286" s="348">
        <f>IF(AD286="","",AD286)</f>
        <v>0</v>
      </c>
      <c r="F286" s="75" t="str">
        <f t="shared" si="314"/>
        <v/>
      </c>
      <c r="G286" s="348">
        <f>IF(AF286="","",AF286)</f>
        <v>0</v>
      </c>
      <c r="H286" s="75" t="str">
        <f t="shared" si="315"/>
        <v/>
      </c>
      <c r="I286" s="348">
        <f>IF(AH286="","",AH286)</f>
        <v>0</v>
      </c>
      <c r="J286" s="75" t="str">
        <f t="shared" si="316"/>
        <v/>
      </c>
      <c r="K286" s="348">
        <f>IF(AJ286="","",AJ286)</f>
        <v>0</v>
      </c>
      <c r="L286" s="75" t="str">
        <f t="shared" si="317"/>
        <v/>
      </c>
      <c r="M286" s="348">
        <f>IF(AL286="","",AL286)</f>
        <v>0</v>
      </c>
      <c r="N286" s="75" t="str">
        <f t="shared" si="334"/>
        <v/>
      </c>
      <c r="O286" s="348">
        <f>IF(AN286="","",AN286)</f>
        <v>0</v>
      </c>
      <c r="P286" s="75" t="str">
        <f t="shared" si="318"/>
        <v/>
      </c>
      <c r="Q286" s="348">
        <f>IF(AP286="","",AP286)</f>
        <v>0</v>
      </c>
      <c r="R286" s="75" t="str">
        <f t="shared" si="319"/>
        <v/>
      </c>
      <c r="S286" s="348">
        <f>IF(AR286="","",AR286)</f>
        <v>0</v>
      </c>
      <c r="T286" s="75" t="str">
        <f t="shared" si="320"/>
        <v/>
      </c>
      <c r="U286" s="348">
        <f>IF(AT286="","",AT286)</f>
        <v>0</v>
      </c>
      <c r="V286" s="75" t="str">
        <f t="shared" si="321"/>
        <v/>
      </c>
      <c r="W286" s="348">
        <f>IF(AV286="","",AV286)</f>
        <v>0</v>
      </c>
      <c r="Z286" s="351" t="s">
        <v>11</v>
      </c>
      <c r="AA286" s="108" t="str">
        <f>IF(AB286=0,"",VLOOKUP(AB286,Starter!$A$1:$D$199,2,FALSE))</f>
        <v/>
      </c>
      <c r="AB286" s="99"/>
      <c r="AC286" s="188"/>
      <c r="AD286" s="109">
        <f>IF(SUM(AC286:AC288)+AC298=0,0,IF(SUM(AC286:AC288)=AC298,0.5,IF(SUM(AC286:AC288)&gt;AC298,1,0)))</f>
        <v>0</v>
      </c>
      <c r="AE286" s="188"/>
      <c r="AF286" s="109">
        <f>IF(SUM(AE286:AE288)+AE298=0,0,IF(SUM(AE286:AE288)=AE298,0.5,IF(SUM(AE286:AE288)&gt;AE298,1,0)))</f>
        <v>0</v>
      </c>
      <c r="AG286" s="188"/>
      <c r="AH286" s="109">
        <f>IF(SUM(AG286:AG288)+AG298=0,0,IF(SUM(AG286:AG288)=AG298,0.5,IF(SUM(AG286:AG288)&gt;AG298,1,0)))</f>
        <v>0</v>
      </c>
      <c r="AI286" s="188"/>
      <c r="AJ286" s="109">
        <f>IF(SUM(AI286:AI288)+AI298=0,0,IF(SUM(AI286:AI288)=AI298,0.5,IF(SUM(AI286:AI288)&gt;AI298,1,0)))</f>
        <v>0</v>
      </c>
      <c r="AK286" s="188"/>
      <c r="AL286" s="109">
        <f>IF(SUM(AK286:AK288)+AK298=0,0,IF(SUM(AK286:AK288)=AK298,0.5,IF(SUM(AK286:AK288)&gt;AK298,1,0)))</f>
        <v>0</v>
      </c>
      <c r="AM286" s="188"/>
      <c r="AN286" s="109">
        <f>IF(SUM(AM286:AM288)+AM298=0,0,IF(SUM(AM286:AM288)=AM298,0.5,IF(SUM(AM286:AM288)&gt;AM298,1,0)))</f>
        <v>0</v>
      </c>
      <c r="AO286" s="188"/>
      <c r="AP286" s="109">
        <f>IF(SUM(AO286:AO288)+AO298=0,0,IF(SUM(AO286:AO288)=AO298,0.5,IF(SUM(AO286:AO288)&gt;AO298,1,0)))</f>
        <v>0</v>
      </c>
      <c r="AQ286" s="188"/>
      <c r="AR286" s="109">
        <f>IF(SUM(AQ286:AQ288)+AQ298=0,0,IF(SUM(AQ286:AQ288)=AQ298,0.5,IF(SUM(AQ286:AQ288)&gt;AQ298,1,0)))</f>
        <v>0</v>
      </c>
      <c r="AS286" s="188"/>
      <c r="AT286" s="109">
        <f>IF(SUM(AS286:AS288)+AS298=0,0,IF(SUM(AS286:AS288)=AS298,0.5,IF(SUM(AS286:AS288)&gt;AS298,1,0)))</f>
        <v>0</v>
      </c>
      <c r="AU286" s="110">
        <f t="shared" si="322"/>
        <v>0</v>
      </c>
      <c r="AV286" s="111">
        <f>SUM(AD286+AF286+AH286+AJ286+AL286+AN286+AP286+AR286+AT286)</f>
        <v>0</v>
      </c>
      <c r="AW286" s="101"/>
      <c r="AX286" s="102"/>
      <c r="AZ286" s="63"/>
      <c r="BA286" s="212"/>
      <c r="BB286" s="213"/>
      <c r="BC286" s="214"/>
      <c r="BD286" s="217">
        <f t="shared" si="335"/>
        <v>0</v>
      </c>
      <c r="BE286" s="213">
        <f t="shared" si="336"/>
        <v>0</v>
      </c>
      <c r="BF286" s="215">
        <f t="shared" si="337"/>
        <v>0</v>
      </c>
      <c r="BG286" s="215">
        <f t="shared" si="338"/>
        <v>0</v>
      </c>
      <c r="BH286" s="215" t="str">
        <f t="shared" si="323"/>
        <v/>
      </c>
      <c r="BI286" s="215" t="str">
        <f t="shared" si="324"/>
        <v/>
      </c>
      <c r="BJ286" s="215" t="str">
        <f t="shared" si="325"/>
        <v/>
      </c>
      <c r="BK286" s="215" t="str">
        <f t="shared" si="326"/>
        <v/>
      </c>
      <c r="BL286" s="215" t="str">
        <f t="shared" si="327"/>
        <v/>
      </c>
      <c r="BM286" s="215" t="str">
        <f t="shared" si="328"/>
        <v/>
      </c>
      <c r="BN286" s="215" t="str">
        <f t="shared" si="329"/>
        <v/>
      </c>
      <c r="BO286" s="215" t="str">
        <f t="shared" si="330"/>
        <v/>
      </c>
      <c r="BP286" s="215" t="str">
        <f t="shared" si="331"/>
        <v/>
      </c>
      <c r="BQ286" s="216"/>
      <c r="BR286" s="214"/>
      <c r="BS286" s="215">
        <f t="shared" si="339"/>
        <v>0</v>
      </c>
      <c r="BT286" s="215">
        <f t="shared" si="340"/>
        <v>2.8599999999999999E-7</v>
      </c>
      <c r="BU286" s="215" t="str">
        <f t="shared" si="341"/>
        <v>BK München 4</v>
      </c>
      <c r="BV286" s="214">
        <f t="shared" si="342"/>
        <v>3</v>
      </c>
      <c r="BW286" s="215">
        <f t="shared" si="343"/>
        <v>0</v>
      </c>
      <c r="BX286" s="215">
        <f>IF(COUNTIF(BH286:BP286,"&gt;0")&lt;Spielorte!$A$23,0,BE286/Spielorte!$A$23)</f>
        <v>0</v>
      </c>
      <c r="BY286" s="215">
        <f t="shared" si="344"/>
        <v>2.8599999999999999E-7</v>
      </c>
      <c r="BZ286" s="214">
        <f t="shared" si="332"/>
        <v>3</v>
      </c>
    </row>
    <row r="287" spans="1:78" ht="17.2" customHeight="1" x14ac:dyDescent="0.35">
      <c r="A287" s="368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49"/>
      <c r="F287" s="78" t="str">
        <f t="shared" si="314"/>
        <v/>
      </c>
      <c r="G287" s="349"/>
      <c r="H287" s="78" t="str">
        <f t="shared" si="315"/>
        <v/>
      </c>
      <c r="I287" s="349"/>
      <c r="J287" s="78" t="str">
        <f t="shared" si="316"/>
        <v/>
      </c>
      <c r="K287" s="349"/>
      <c r="L287" s="78" t="str">
        <f t="shared" si="317"/>
        <v/>
      </c>
      <c r="M287" s="349"/>
      <c r="N287" s="78" t="str">
        <f t="shared" si="334"/>
        <v/>
      </c>
      <c r="O287" s="349"/>
      <c r="P287" s="78" t="str">
        <f t="shared" si="318"/>
        <v/>
      </c>
      <c r="Q287" s="349"/>
      <c r="R287" s="78" t="str">
        <f t="shared" si="319"/>
        <v/>
      </c>
      <c r="S287" s="349"/>
      <c r="T287" s="78" t="str">
        <f t="shared" si="320"/>
        <v/>
      </c>
      <c r="U287" s="349"/>
      <c r="V287" s="78" t="str">
        <f t="shared" si="321"/>
        <v/>
      </c>
      <c r="W287" s="349"/>
      <c r="Z287" s="352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2.8700000000000002E-7</v>
      </c>
      <c r="BU287" s="215" t="str">
        <f t="shared" si="341"/>
        <v>BK München 4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2.8700000000000002E-7</v>
      </c>
      <c r="BZ287" s="214">
        <f t="shared" si="332"/>
        <v>2</v>
      </c>
    </row>
    <row r="288" spans="1:78" ht="17.2" customHeight="1" thickBot="1" x14ac:dyDescent="0.4">
      <c r="A288" s="369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50"/>
      <c r="F288" s="69" t="str">
        <f t="shared" si="314"/>
        <v/>
      </c>
      <c r="G288" s="350"/>
      <c r="H288" s="69" t="str">
        <f t="shared" si="315"/>
        <v/>
      </c>
      <c r="I288" s="350"/>
      <c r="J288" s="69" t="str">
        <f t="shared" si="316"/>
        <v/>
      </c>
      <c r="K288" s="350"/>
      <c r="L288" s="69" t="str">
        <f t="shared" si="317"/>
        <v/>
      </c>
      <c r="M288" s="350"/>
      <c r="N288" s="69" t="str">
        <f t="shared" si="334"/>
        <v/>
      </c>
      <c r="O288" s="350"/>
      <c r="P288" s="69" t="str">
        <f t="shared" si="318"/>
        <v/>
      </c>
      <c r="Q288" s="350"/>
      <c r="R288" s="69" t="str">
        <f t="shared" si="319"/>
        <v/>
      </c>
      <c r="S288" s="350"/>
      <c r="T288" s="69" t="str">
        <f t="shared" si="320"/>
        <v/>
      </c>
      <c r="U288" s="350"/>
      <c r="V288" s="69" t="str">
        <f t="shared" si="321"/>
        <v/>
      </c>
      <c r="W288" s="350"/>
      <c r="Z288" s="353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2.8799999999999998E-7</v>
      </c>
      <c r="BU288" s="215" t="str">
        <f t="shared" si="341"/>
        <v>BK München 4</v>
      </c>
      <c r="BV288" s="214">
        <f t="shared" si="342"/>
        <v>1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2.8799999999999998E-7</v>
      </c>
      <c r="BZ288" s="214">
        <f t="shared" si="332"/>
        <v>1</v>
      </c>
    </row>
    <row r="289" spans="2:78" ht="27.75" customHeight="1" thickBot="1" x14ac:dyDescent="0.4">
      <c r="B289" s="81" t="str">
        <f>IF(AA289=0,"",AA289)</f>
        <v>Gesamt</v>
      </c>
      <c r="C289" s="82" t="str">
        <f t="shared" si="333"/>
        <v/>
      </c>
      <c r="D289" s="83" t="str">
        <f t="shared" si="333"/>
        <v/>
      </c>
      <c r="E289" s="84">
        <f>IF(AD289="","",AD289)</f>
        <v>0</v>
      </c>
      <c r="F289" s="83" t="str">
        <f t="shared" si="314"/>
        <v/>
      </c>
      <c r="G289" s="84">
        <f>IF(AF289="","",AF289)</f>
        <v>0</v>
      </c>
      <c r="H289" s="83" t="str">
        <f t="shared" si="315"/>
        <v/>
      </c>
      <c r="I289" s="84">
        <f>IF(AH289="","",AH289)</f>
        <v>0</v>
      </c>
      <c r="J289" s="83" t="str">
        <f t="shared" si="316"/>
        <v/>
      </c>
      <c r="K289" s="84">
        <f>IF(AJ289="","",AJ289)</f>
        <v>0</v>
      </c>
      <c r="L289" s="83" t="str">
        <f t="shared" si="317"/>
        <v/>
      </c>
      <c r="M289" s="84">
        <f>IF(AL289="","",AL289)</f>
        <v>0</v>
      </c>
      <c r="N289" s="83" t="str">
        <f t="shared" si="334"/>
        <v/>
      </c>
      <c r="O289" s="84">
        <f>IF(AN289="","",AN289)</f>
        <v>0</v>
      </c>
      <c r="P289" s="83" t="str">
        <f t="shared" si="318"/>
        <v/>
      </c>
      <c r="Q289" s="84">
        <f>IF(AP289="","",AP289)</f>
        <v>0</v>
      </c>
      <c r="R289" s="83" t="str">
        <f t="shared" si="319"/>
        <v/>
      </c>
      <c r="S289" s="84">
        <f>IF(AR289="","",AR289)</f>
        <v>0</v>
      </c>
      <c r="T289" s="83" t="str">
        <f t="shared" si="320"/>
        <v/>
      </c>
      <c r="U289" s="84">
        <f>IF(AT289="","",AT289)</f>
        <v>0</v>
      </c>
      <c r="V289" s="83" t="str">
        <f t="shared" si="321"/>
        <v/>
      </c>
      <c r="W289" s="84">
        <f>IF(AV289="","",AV289)</f>
        <v>0</v>
      </c>
      <c r="AA289" s="81" t="s">
        <v>1799</v>
      </c>
      <c r="AB289" s="120"/>
      <c r="AC289" s="211">
        <f>ABS(SUM(AC277:AC279))+ABS(SUM(AC280:AC282))+ABS(SUM(AC283:AC285))+ABS(SUM(AC286:AC288))</f>
        <v>0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0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0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0</v>
      </c>
      <c r="AJ289" s="121">
        <f>IF(AI289+AI299=0,0,IF(AI289=AI299,1,IF(AI289&gt;AI299,2,0)))</f>
        <v>0</v>
      </c>
      <c r="AK289" s="211">
        <f>ABS(SUM(AK277:AK279))+ABS(SUM(AK280:AK282))+ABS(SUM(AK283:AK285))+ABS(SUM(AK286:AK288))</f>
        <v>0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0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0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0</v>
      </c>
      <c r="AT289" s="121">
        <f>IF(AS289+AS299=0,0,IF(AS289=AS299,1,IF(AS289&gt;AS299,2,0)))</f>
        <v>0</v>
      </c>
      <c r="AU289" s="122">
        <f>SUM(AC289+AE289+AG289+AI289+AK289+AM289+AO289+AQ289+AS289)</f>
        <v>0</v>
      </c>
      <c r="AV289" s="123">
        <f>SUM(AD289+AF289+AH289+AJ289+AL289+AN289+AP289+AR289+AT289)</f>
        <v>0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4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0</v>
      </c>
      <c r="F290" s="86" t="str">
        <f t="shared" si="314"/>
        <v/>
      </c>
      <c r="G290" s="87">
        <f>IF(AF290="","",AF290)</f>
        <v>0</v>
      </c>
      <c r="H290" s="86" t="str">
        <f t="shared" si="315"/>
        <v/>
      </c>
      <c r="I290" s="87">
        <f>IF(AH290="","",AH290)</f>
        <v>0</v>
      </c>
      <c r="J290" s="86" t="str">
        <f t="shared" si="316"/>
        <v/>
      </c>
      <c r="K290" s="87">
        <f>IF(AJ290="","",AJ290)</f>
        <v>0</v>
      </c>
      <c r="L290" s="86" t="str">
        <f t="shared" si="317"/>
        <v/>
      </c>
      <c r="M290" s="87">
        <f>IF(AL290="","",AL290)</f>
        <v>0</v>
      </c>
      <c r="N290" s="86" t="str">
        <f t="shared" si="334"/>
        <v/>
      </c>
      <c r="O290" s="87">
        <f>IF(AN290="","",AN290)</f>
        <v>0</v>
      </c>
      <c r="P290" s="86" t="str">
        <f t="shared" si="318"/>
        <v/>
      </c>
      <c r="Q290" s="87">
        <f>IF(AP290="","",AP290)</f>
        <v>0</v>
      </c>
      <c r="R290" s="86" t="str">
        <f t="shared" si="319"/>
        <v/>
      </c>
      <c r="S290" s="87">
        <f>IF(AR290="","",AR290)</f>
        <v>0</v>
      </c>
      <c r="T290" s="86" t="str">
        <f t="shared" si="320"/>
        <v/>
      </c>
      <c r="U290" s="87">
        <f>IF(AT290="","",AT290)</f>
        <v>0</v>
      </c>
      <c r="V290" s="86" t="str">
        <f t="shared" si="321"/>
        <v/>
      </c>
      <c r="W290" s="87">
        <f>IF(AV290="","",AV290)</f>
        <v>0</v>
      </c>
      <c r="AA290" s="85" t="s">
        <v>1814</v>
      </c>
      <c r="AB290" s="86"/>
      <c r="AC290" s="86"/>
      <c r="AD290" s="124">
        <f>SUM(AD277:AD289)</f>
        <v>0</v>
      </c>
      <c r="AE290" s="86"/>
      <c r="AF290" s="124">
        <f>SUM(AF277:AF289)</f>
        <v>0</v>
      </c>
      <c r="AG290" s="86"/>
      <c r="AH290" s="124">
        <f>SUM(AH277:AH289)</f>
        <v>0</v>
      </c>
      <c r="AI290" s="86"/>
      <c r="AJ290" s="124">
        <f>SUM(AJ277:AJ289)</f>
        <v>0</v>
      </c>
      <c r="AK290" s="86"/>
      <c r="AL290" s="124">
        <f>SUM(AL277:AL289)</f>
        <v>0</v>
      </c>
      <c r="AM290" s="86"/>
      <c r="AN290" s="124">
        <f>SUM(AN277:AN289)</f>
        <v>0</v>
      </c>
      <c r="AO290" s="86"/>
      <c r="AP290" s="124">
        <f>SUM(AP277:AP289)</f>
        <v>0</v>
      </c>
      <c r="AQ290" s="86"/>
      <c r="AR290" s="124">
        <f>SUM(AR277:AR289)</f>
        <v>0</v>
      </c>
      <c r="AS290" s="86"/>
      <c r="AT290" s="124">
        <f>SUM(AT277:AT289)</f>
        <v>0</v>
      </c>
      <c r="AU290" s="86"/>
      <c r="AV290" s="125">
        <f>SUM(AV277:AV289)</f>
        <v>0</v>
      </c>
      <c r="AW290" s="101"/>
      <c r="AX290" s="102"/>
      <c r="BA290" s="212">
        <f>+AV290</f>
        <v>0</v>
      </c>
      <c r="BB290" s="213">
        <f>+AU289</f>
        <v>0</v>
      </c>
      <c r="BC290" s="214">
        <f>+AA272</f>
        <v>10</v>
      </c>
      <c r="BF290" s="215">
        <f>SUM(BF271:BF289)</f>
        <v>0</v>
      </c>
      <c r="BQ290" s="212">
        <f>+BB290/1000000+BA290</f>
        <v>0</v>
      </c>
      <c r="BR290" s="214">
        <f>RANK(BQ290,BQ:BQ)</f>
        <v>1</v>
      </c>
      <c r="BV290" s="214"/>
      <c r="BZ290" s="214"/>
    </row>
    <row r="291" spans="2:78" ht="11.25" customHeight="1" x14ac:dyDescent="0.3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3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46">
        <f t="shared" si="345"/>
        <v>8</v>
      </c>
      <c r="E292" s="346" t="str">
        <f t="shared" si="345"/>
        <v/>
      </c>
      <c r="F292" s="346">
        <f t="shared" si="345"/>
        <v>6</v>
      </c>
      <c r="G292" s="346" t="str">
        <f t="shared" si="345"/>
        <v/>
      </c>
      <c r="H292" s="346">
        <f t="shared" si="345"/>
        <v>3</v>
      </c>
      <c r="I292" s="346" t="str">
        <f t="shared" si="345"/>
        <v/>
      </c>
      <c r="J292" s="346">
        <f t="shared" si="345"/>
        <v>4</v>
      </c>
      <c r="K292" s="346" t="str">
        <f t="shared" si="345"/>
        <v/>
      </c>
      <c r="L292" s="346">
        <f t="shared" si="345"/>
        <v>7</v>
      </c>
      <c r="M292" s="346" t="str">
        <f t="shared" si="345"/>
        <v/>
      </c>
      <c r="N292" s="346">
        <f t="shared" si="345"/>
        <v>2</v>
      </c>
      <c r="O292" s="346" t="str">
        <f t="shared" si="345"/>
        <v/>
      </c>
      <c r="P292" s="346">
        <f t="shared" si="345"/>
        <v>1</v>
      </c>
      <c r="Q292" s="346" t="str">
        <f t="shared" si="345"/>
        <v/>
      </c>
      <c r="R292" s="346">
        <f t="shared" ref="L292:U294" si="346">IF(AQ292=0,"",AQ292)</f>
        <v>5</v>
      </c>
      <c r="S292" s="346" t="str">
        <f t="shared" si="346"/>
        <v/>
      </c>
      <c r="T292" s="346">
        <f t="shared" si="346"/>
        <v>9</v>
      </c>
      <c r="U292" s="346" t="str">
        <f t="shared" si="346"/>
        <v/>
      </c>
      <c r="V292" s="347"/>
      <c r="W292" s="347"/>
      <c r="AA292" s="88" t="s">
        <v>1797</v>
      </c>
      <c r="AB292" s="89" t="s">
        <v>1798</v>
      </c>
      <c r="AC292" s="370">
        <f>VLOOKUP($AA272,Schlüssel!$A$5:$DG$14,103)</f>
        <v>8</v>
      </c>
      <c r="AD292" s="371"/>
      <c r="AE292" s="370">
        <f>VLOOKUP($AA272,Schlüssel!$A$5:$EK$14,104)</f>
        <v>6</v>
      </c>
      <c r="AF292" s="371"/>
      <c r="AG292" s="370">
        <f>VLOOKUP($AA272,Schlüssel!$A$5:$EK$14,105)</f>
        <v>3</v>
      </c>
      <c r="AH292" s="371"/>
      <c r="AI292" s="370">
        <f>VLOOKUP($AA272,Schlüssel!$A$5:$EK$14,106)</f>
        <v>4</v>
      </c>
      <c r="AJ292" s="371"/>
      <c r="AK292" s="370">
        <f>VLOOKUP($AA272,Schlüssel!$A$5:$EK$14,107)</f>
        <v>7</v>
      </c>
      <c r="AL292" s="371"/>
      <c r="AM292" s="370">
        <f>VLOOKUP($AA272,Schlüssel!$A$5:$EK$14,108)</f>
        <v>2</v>
      </c>
      <c r="AN292" s="371"/>
      <c r="AO292" s="370">
        <f>VLOOKUP($AA272,Schlüssel!$A$5:$EK$14,109)</f>
        <v>1</v>
      </c>
      <c r="AP292" s="371"/>
      <c r="AQ292" s="370">
        <f>VLOOKUP($AA272,Schlüssel!$A$5:$EK$14,110)</f>
        <v>5</v>
      </c>
      <c r="AR292" s="371"/>
      <c r="AS292" s="370">
        <f>VLOOKUP($AA272,Schlüssel!$A$5:$EK$14,111)</f>
        <v>9</v>
      </c>
      <c r="AT292" s="371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35">
      <c r="B293" s="90" t="str">
        <f t="shared" ref="B293:K294" si="347">IF(AA293=0,"",AA293)</f>
        <v/>
      </c>
      <c r="C293" s="86" t="str">
        <f t="shared" si="347"/>
        <v/>
      </c>
      <c r="D293" s="343" t="str">
        <f t="shared" si="347"/>
        <v>EPA München 1</v>
      </c>
      <c r="E293" s="344" t="str">
        <f t="shared" si="347"/>
        <v/>
      </c>
      <c r="F293" s="343" t="str">
        <f t="shared" si="347"/>
        <v>Phönix 03 Lauf</v>
      </c>
      <c r="G293" s="344" t="str">
        <f t="shared" si="347"/>
        <v/>
      </c>
      <c r="H293" s="343" t="str">
        <f t="shared" si="347"/>
        <v>Highroller Rosenheim</v>
      </c>
      <c r="I293" s="344" t="str">
        <f t="shared" si="347"/>
        <v/>
      </c>
      <c r="J293" s="343" t="str">
        <f t="shared" si="347"/>
        <v>BK München 3</v>
      </c>
      <c r="K293" s="344" t="str">
        <f t="shared" si="347"/>
        <v/>
      </c>
      <c r="L293" s="343" t="str">
        <f t="shared" si="346"/>
        <v>Frankenpower Nürnberg</v>
      </c>
      <c r="M293" s="344" t="str">
        <f t="shared" si="346"/>
        <v/>
      </c>
      <c r="N293" s="343" t="str">
        <f t="shared" si="346"/>
        <v>BK München 2</v>
      </c>
      <c r="O293" s="344" t="str">
        <f t="shared" si="346"/>
        <v/>
      </c>
      <c r="P293" s="343" t="str">
        <f t="shared" si="346"/>
        <v>Praetoria Regensburg</v>
      </c>
      <c r="Q293" s="344" t="str">
        <f t="shared" si="346"/>
        <v/>
      </c>
      <c r="R293" s="343" t="str">
        <f t="shared" si="346"/>
        <v xml:space="preserve">Weiß Blau Unterföhring </v>
      </c>
      <c r="S293" s="344" t="str">
        <f t="shared" si="346"/>
        <v/>
      </c>
      <c r="T293" s="343" t="str">
        <f t="shared" si="346"/>
        <v>RW Lichtenhof 69 Stein 2</v>
      </c>
      <c r="U293" s="344" t="str">
        <f t="shared" si="346"/>
        <v/>
      </c>
      <c r="V293" s="345"/>
      <c r="W293" s="345"/>
      <c r="AA293" s="90"/>
      <c r="AB293" s="86"/>
      <c r="AC293" s="343" t="str">
        <f>VLOOKUP(AC292,Schlüssel!$A$5:$K$14,2)</f>
        <v>EPA München 1</v>
      </c>
      <c r="AD293" s="344"/>
      <c r="AE293" s="343" t="str">
        <f>VLOOKUP(AE292,Schlüssel!$A$5:$K$14,2)</f>
        <v>Phönix 03 Lauf</v>
      </c>
      <c r="AF293" s="344"/>
      <c r="AG293" s="343" t="str">
        <f>VLOOKUP(AG292,Schlüssel!$A$5:$K$14,2)</f>
        <v>Highroller Rosenheim</v>
      </c>
      <c r="AH293" s="344"/>
      <c r="AI293" s="343" t="str">
        <f>VLOOKUP(AI292,Schlüssel!$A$5:$K$14,2)</f>
        <v>BK München 3</v>
      </c>
      <c r="AJ293" s="344"/>
      <c r="AK293" s="343" t="str">
        <f>VLOOKUP(AK292,Schlüssel!$A$5:$K$14,2)</f>
        <v>Frankenpower Nürnberg</v>
      </c>
      <c r="AL293" s="344"/>
      <c r="AM293" s="343" t="str">
        <f>VLOOKUP(AM292,Schlüssel!$A$5:$K$14,2)</f>
        <v>BK München 2</v>
      </c>
      <c r="AN293" s="344"/>
      <c r="AO293" s="343" t="str">
        <f>VLOOKUP(AO292,Schlüssel!$A$5:$K$14,2)</f>
        <v>Praetoria Regensburg</v>
      </c>
      <c r="AP293" s="344"/>
      <c r="AQ293" s="343" t="str">
        <f>VLOOKUP(AQ292,Schlüssel!$A$5:$K$14,2)</f>
        <v xml:space="preserve">Weiß Blau Unterföhring </v>
      </c>
      <c r="AR293" s="344"/>
      <c r="AS293" s="343" t="str">
        <f>VLOOKUP(AS292,Schlüssel!$A$5:$K$14,2)</f>
        <v>RW Lichtenhof 69 Stein 2</v>
      </c>
      <c r="AT293" s="344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35">
      <c r="B294" s="90" t="str">
        <f t="shared" si="347"/>
        <v/>
      </c>
      <c r="C294" s="86" t="str">
        <f t="shared" si="347"/>
        <v/>
      </c>
      <c r="D294" s="341" t="str">
        <f t="shared" si="347"/>
        <v/>
      </c>
      <c r="E294" s="341" t="str">
        <f t="shared" si="347"/>
        <v/>
      </c>
      <c r="F294" s="341" t="str">
        <f t="shared" si="347"/>
        <v/>
      </c>
      <c r="G294" s="341" t="str">
        <f t="shared" si="347"/>
        <v/>
      </c>
      <c r="H294" s="341" t="str">
        <f t="shared" si="347"/>
        <v/>
      </c>
      <c r="I294" s="341" t="str">
        <f t="shared" si="347"/>
        <v/>
      </c>
      <c r="J294" s="341" t="str">
        <f t="shared" si="347"/>
        <v/>
      </c>
      <c r="K294" s="341" t="str">
        <f t="shared" si="347"/>
        <v/>
      </c>
      <c r="L294" s="341" t="str">
        <f t="shared" si="346"/>
        <v/>
      </c>
      <c r="M294" s="341" t="str">
        <f t="shared" si="346"/>
        <v/>
      </c>
      <c r="N294" s="341" t="str">
        <f t="shared" si="346"/>
        <v/>
      </c>
      <c r="O294" s="341" t="str">
        <f t="shared" si="346"/>
        <v/>
      </c>
      <c r="P294" s="341" t="str">
        <f t="shared" si="346"/>
        <v/>
      </c>
      <c r="Q294" s="341" t="str">
        <f t="shared" si="346"/>
        <v/>
      </c>
      <c r="R294" s="341" t="str">
        <f t="shared" si="346"/>
        <v/>
      </c>
      <c r="S294" s="341" t="str">
        <f t="shared" si="346"/>
        <v/>
      </c>
      <c r="T294" s="341" t="str">
        <f t="shared" si="346"/>
        <v/>
      </c>
      <c r="U294" s="342" t="str">
        <f t="shared" si="346"/>
        <v/>
      </c>
      <c r="V294" s="301"/>
      <c r="W294" s="301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6.05" customHeight="1" x14ac:dyDescent="0.35">
      <c r="B295" s="365" t="str">
        <f t="shared" ref="B295:C299" si="348">IF(AA295=0,"",AA295)</f>
        <v>Spieler 1</v>
      </c>
      <c r="C295" s="366" t="str">
        <f t="shared" si="348"/>
        <v/>
      </c>
      <c r="D295" s="339">
        <f>IF(AC295=301,"",AC295)</f>
        <v>0</v>
      </c>
      <c r="E295" s="339" t="str">
        <f>IF(AD295=0,"",AD295)</f>
        <v/>
      </c>
      <c r="F295" s="339">
        <f>IF(AE295=301,"",AE295)</f>
        <v>0</v>
      </c>
      <c r="G295" s="339" t="str">
        <f>IF(AF295=0,"",AF295)</f>
        <v/>
      </c>
      <c r="H295" s="339">
        <f>IF(AG295=301,"",AG295)</f>
        <v>0</v>
      </c>
      <c r="I295" s="339" t="str">
        <f>IF(AH295=0,"",AH295)</f>
        <v/>
      </c>
      <c r="J295" s="339">
        <f>IF(AI295=301,"",AI295)</f>
        <v>0</v>
      </c>
      <c r="K295" s="339" t="str">
        <f>IF(AJ295=0,"",AJ295)</f>
        <v/>
      </c>
      <c r="L295" s="339">
        <f>IF(AK295=301,"",AK295)</f>
        <v>0</v>
      </c>
      <c r="M295" s="339" t="str">
        <f>IF(AL295=0,"",AL295)</f>
        <v/>
      </c>
      <c r="N295" s="339">
        <f>IF(AM295=301,"",AM295)</f>
        <v>0</v>
      </c>
      <c r="O295" s="339" t="str">
        <f>IF(AN295=0,"",AN295)</f>
        <v/>
      </c>
      <c r="P295" s="339">
        <f>IF(AO295=301,"",AO295)</f>
        <v>0</v>
      </c>
      <c r="Q295" s="339" t="str">
        <f>IF(AP295=0,"",AP295)</f>
        <v/>
      </c>
      <c r="R295" s="339">
        <f>IF(AQ295=301,"",AQ295)</f>
        <v>0</v>
      </c>
      <c r="S295" s="339" t="str">
        <f>IF(AR295=0,"",AR295)</f>
        <v/>
      </c>
      <c r="T295" s="339">
        <f>IF(AS295=301,"",AS295)</f>
        <v>0</v>
      </c>
      <c r="U295" s="339" t="str">
        <f>IF(AT295=0,"",AT295)</f>
        <v/>
      </c>
      <c r="V295" s="340"/>
      <c r="W295" s="340"/>
      <c r="AA295" s="91" t="s">
        <v>0</v>
      </c>
      <c r="AB295" s="92"/>
      <c r="AC295" s="372">
        <f>ABS(INDEX(AC:AC,MATCH(AC292,$AA:$AA,0)+5)+INDEX(AC:AC,MATCH(AC292,$AA:$AA,0)+6)+INDEX(AC:AC,MATCH(AC292,$AA:$AA,0)+7))</f>
        <v>0</v>
      </c>
      <c r="AD295" s="373"/>
      <c r="AE295" s="372">
        <f>ABS(INDEX(AE:AE,MATCH(AE292,$AA:$AA,0)+5)+INDEX(AE:AE,MATCH(AE292,$AA:$AA,0)+6)+INDEX(AE:AE,MATCH(AE292,$AA:$AA,0)+7))</f>
        <v>0</v>
      </c>
      <c r="AF295" s="373"/>
      <c r="AG295" s="372">
        <f>ABS(INDEX(AG:AG,MATCH(AG292,$AA:$AA,0)+5)+INDEX(AG:AG,MATCH(AG292,$AA:$AA,0)+6)+INDEX(AG:AG,MATCH(AG292,$AA:$AA,0)+7))</f>
        <v>0</v>
      </c>
      <c r="AH295" s="373"/>
      <c r="AI295" s="372">
        <f>ABS(INDEX(AI:AI,MATCH(AI292,$AA:$AA,0)+5)+INDEX(AI:AI,MATCH(AI292,$AA:$AA,0)+6)+INDEX(AI:AI,MATCH(AI292,$AA:$AA,0)+7))</f>
        <v>0</v>
      </c>
      <c r="AJ295" s="373"/>
      <c r="AK295" s="372">
        <f>ABS(INDEX(AK:AK,MATCH(AK292,$AA:$AA,0)+5)+INDEX(AK:AK,MATCH(AK292,$AA:$AA,0)+6)+INDEX(AK:AK,MATCH(AK292,$AA:$AA,0)+7))</f>
        <v>0</v>
      </c>
      <c r="AL295" s="373"/>
      <c r="AM295" s="372">
        <f>ABS(INDEX(AM:AM,MATCH(AM292,$AA:$AA,0)+5)+INDEX(AM:AM,MATCH(AM292,$AA:$AA,0)+6)+INDEX(AM:AM,MATCH(AM292,$AA:$AA,0)+7))</f>
        <v>0</v>
      </c>
      <c r="AN295" s="373"/>
      <c r="AO295" s="372">
        <f>ABS(INDEX(AO:AO,MATCH(AO292,$AA:$AA,0)+5)+INDEX(AO:AO,MATCH(AO292,$AA:$AA,0)+6)+INDEX(AO:AO,MATCH(AO292,$AA:$AA,0)+7))</f>
        <v>0</v>
      </c>
      <c r="AP295" s="373"/>
      <c r="AQ295" s="372">
        <f>ABS(INDEX(AQ:AQ,MATCH(AQ292,$AA:$AA,0)+5)+INDEX(AQ:AQ,MATCH(AQ292,$AA:$AA,0)+6)+INDEX(AQ:AQ,MATCH(AQ292,$AA:$AA,0)+7))</f>
        <v>0</v>
      </c>
      <c r="AR295" s="373"/>
      <c r="AS295" s="372">
        <f>ABS(INDEX(AS:AS,MATCH(AS292,$AA:$AA,0)+5)+INDEX(AS:AS,MATCH(AS292,$AA:$AA,0)+6)+INDEX(AS:AS,MATCH(AS292,$AA:$AA,0)+7))</f>
        <v>0</v>
      </c>
      <c r="AT295" s="373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6.05" customHeight="1" x14ac:dyDescent="0.35">
      <c r="B296" s="365" t="str">
        <f t="shared" si="348"/>
        <v>Spieler 2</v>
      </c>
      <c r="C296" s="366" t="str">
        <f t="shared" si="348"/>
        <v/>
      </c>
      <c r="D296" s="339">
        <f>IF(AC296=301,"",AC296)</f>
        <v>0</v>
      </c>
      <c r="E296" s="339" t="str">
        <f>IF(AD296=0,"",AD296)</f>
        <v/>
      </c>
      <c r="F296" s="339">
        <f>IF(AE296=301,"",AE296)</f>
        <v>0</v>
      </c>
      <c r="G296" s="339" t="str">
        <f>IF(AF296=0,"",AF296)</f>
        <v/>
      </c>
      <c r="H296" s="339">
        <f>IF(AG296=301,"",AG296)</f>
        <v>0</v>
      </c>
      <c r="I296" s="339" t="str">
        <f>IF(AH296=0,"",AH296)</f>
        <v/>
      </c>
      <c r="J296" s="339">
        <f>IF(AI296=301,"",AI296)</f>
        <v>0</v>
      </c>
      <c r="K296" s="339" t="str">
        <f>IF(AJ296=0,"",AJ296)</f>
        <v/>
      </c>
      <c r="L296" s="339">
        <f>IF(AK296=301,"",AK296)</f>
        <v>0</v>
      </c>
      <c r="M296" s="339" t="str">
        <f>IF(AL296=0,"",AL296)</f>
        <v/>
      </c>
      <c r="N296" s="339">
        <f>IF(AM296=301,"",AM296)</f>
        <v>0</v>
      </c>
      <c r="O296" s="339" t="str">
        <f>IF(AN296=0,"",AN296)</f>
        <v/>
      </c>
      <c r="P296" s="339">
        <f>IF(AO296=301,"",AO296)</f>
        <v>0</v>
      </c>
      <c r="Q296" s="339" t="str">
        <f>IF(AP296=0,"",AP296)</f>
        <v/>
      </c>
      <c r="R296" s="339">
        <f>IF(AQ296=301,"",AQ296)</f>
        <v>0</v>
      </c>
      <c r="S296" s="339" t="str">
        <f>IF(AR296=0,"",AR296)</f>
        <v/>
      </c>
      <c r="T296" s="339">
        <f>IF(AS296=301,"",AS296)</f>
        <v>0</v>
      </c>
      <c r="U296" s="339" t="str">
        <f>IF(AT296=0,"",AT296)</f>
        <v/>
      </c>
      <c r="V296" s="340"/>
      <c r="W296" s="340"/>
      <c r="AA296" s="91" t="s">
        <v>2</v>
      </c>
      <c r="AB296" s="92"/>
      <c r="AC296" s="374">
        <f>ABS(INDEX(AC:AC,MATCH(AC292,$AA:$AA,0)+8)+INDEX(AC:AC,MATCH(AC292,$AA:$AA,0)+9)+INDEX(AC:AC,MATCH(AC292,$AA:$AA,0)+10))</f>
        <v>0</v>
      </c>
      <c r="AD296" s="375"/>
      <c r="AE296" s="374">
        <f>ABS(INDEX(AE:AE,MATCH(AE292,$AA:$AA,0)+8)+INDEX(AE:AE,MATCH(AE292,$AA:$AA,0)+9)+INDEX(AE:AE,MATCH(AE292,$AA:$AA,0)+10))</f>
        <v>0</v>
      </c>
      <c r="AF296" s="375"/>
      <c r="AG296" s="374">
        <f>ABS(INDEX(AG:AG,MATCH(AG292,$AA:$AA,0)+8)+INDEX(AG:AG,MATCH(AG292,$AA:$AA,0)+9)+INDEX(AG:AG,MATCH(AG292,$AA:$AA,0)+10))</f>
        <v>0</v>
      </c>
      <c r="AH296" s="375"/>
      <c r="AI296" s="374">
        <f>ABS(INDEX(AI:AI,MATCH(AI292,$AA:$AA,0)+8)+INDEX(AI:AI,MATCH(AI292,$AA:$AA,0)+9)+INDEX(AI:AI,MATCH(AI292,$AA:$AA,0)+10))</f>
        <v>0</v>
      </c>
      <c r="AJ296" s="375"/>
      <c r="AK296" s="374">
        <f>ABS(INDEX(AK:AK,MATCH(AK292,$AA:$AA,0)+8)+INDEX(AK:AK,MATCH(AK292,$AA:$AA,0)+9)+INDEX(AK:AK,MATCH(AK292,$AA:$AA,0)+10))</f>
        <v>0</v>
      </c>
      <c r="AL296" s="375"/>
      <c r="AM296" s="374">
        <f>ABS(INDEX(AM:AM,MATCH(AM292,$AA:$AA,0)+8)+INDEX(AM:AM,MATCH(AM292,$AA:$AA,0)+9)+INDEX(AM:AM,MATCH(AM292,$AA:$AA,0)+10))</f>
        <v>0</v>
      </c>
      <c r="AN296" s="375"/>
      <c r="AO296" s="374">
        <f>ABS(INDEX(AO:AO,MATCH(AO292,$AA:$AA,0)+8)+INDEX(AO:AO,MATCH(AO292,$AA:$AA,0)+9)+INDEX(AO:AO,MATCH(AO292,$AA:$AA,0)+10))</f>
        <v>0</v>
      </c>
      <c r="AP296" s="375"/>
      <c r="AQ296" s="374">
        <f>ABS(INDEX(AQ:AQ,MATCH(AQ292,$AA:$AA,0)+8)+INDEX(AQ:AQ,MATCH(AQ292,$AA:$AA,0)+9)+INDEX(AQ:AQ,MATCH(AQ292,$AA:$AA,0)+10))</f>
        <v>0</v>
      </c>
      <c r="AR296" s="375"/>
      <c r="AS296" s="374">
        <f>ABS(INDEX(AS:AS,MATCH(AS292,$AA:$AA,0)+8)+INDEX(AS:AS,MATCH(AS292,$AA:$AA,0)+9)+INDEX(AS:AS,MATCH(AS292,$AA:$AA,0)+10))</f>
        <v>0</v>
      </c>
      <c r="AT296" s="375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6.05" customHeight="1" x14ac:dyDescent="0.35">
      <c r="B297" s="365" t="str">
        <f t="shared" si="348"/>
        <v>Spieler 3</v>
      </c>
      <c r="C297" s="366" t="str">
        <f t="shared" si="348"/>
        <v/>
      </c>
      <c r="D297" s="339">
        <f>IF(AC297=301,"",AC297)</f>
        <v>0</v>
      </c>
      <c r="E297" s="339" t="str">
        <f>IF(AD297=0,"",AD297)</f>
        <v/>
      </c>
      <c r="F297" s="339">
        <f>IF(AE297=301,"",AE297)</f>
        <v>0</v>
      </c>
      <c r="G297" s="339" t="str">
        <f>IF(AF297=0,"",AF297)</f>
        <v/>
      </c>
      <c r="H297" s="339">
        <f>IF(AG297=301,"",AG297)</f>
        <v>0</v>
      </c>
      <c r="I297" s="339" t="str">
        <f>IF(AH297=0,"",AH297)</f>
        <v/>
      </c>
      <c r="J297" s="339">
        <f>IF(AI297=301,"",AI297)</f>
        <v>0</v>
      </c>
      <c r="K297" s="339" t="str">
        <f>IF(AJ297=0,"",AJ297)</f>
        <v/>
      </c>
      <c r="L297" s="339">
        <f>IF(AK297=301,"",AK297)</f>
        <v>0</v>
      </c>
      <c r="M297" s="339" t="str">
        <f>IF(AL297=0,"",AL297)</f>
        <v/>
      </c>
      <c r="N297" s="339">
        <f>IF(AM297=301,"",AM297)</f>
        <v>0</v>
      </c>
      <c r="O297" s="339" t="str">
        <f>IF(AN297=0,"",AN297)</f>
        <v/>
      </c>
      <c r="P297" s="339">
        <f>IF(AO297=301,"",AO297)</f>
        <v>0</v>
      </c>
      <c r="Q297" s="339" t="str">
        <f>IF(AP297=0,"",AP297)</f>
        <v/>
      </c>
      <c r="R297" s="339">
        <f>IF(AQ297=301,"",AQ297)</f>
        <v>0</v>
      </c>
      <c r="S297" s="339" t="str">
        <f>IF(AR297=0,"",AR297)</f>
        <v/>
      </c>
      <c r="T297" s="339">
        <f>IF(AS297=301,"",AS297)</f>
        <v>0</v>
      </c>
      <c r="U297" s="339" t="str">
        <f>IF(AT297=0,"",AT297)</f>
        <v/>
      </c>
      <c r="V297" s="340"/>
      <c r="W297" s="340"/>
      <c r="AA297" s="91" t="s">
        <v>3</v>
      </c>
      <c r="AB297" s="92"/>
      <c r="AC297" s="374">
        <f>ABS(INDEX(AC:AC,MATCH(AC292,$AA:$AA,0)+11)+INDEX(AC:AC,MATCH(AC292,$AA:$AA,0)+12)+INDEX(AC:AC,MATCH(AC292,$AA:$AA,0)+13))</f>
        <v>0</v>
      </c>
      <c r="AD297" s="375"/>
      <c r="AE297" s="374">
        <f>ABS(INDEX(AE:AE,MATCH(AE292,$AA:$AA,0)+11)+INDEX(AE:AE,MATCH(AE292,$AA:$AA,0)+12)+INDEX(AE:AE,MATCH(AE292,$AA:$AA,0)+13))</f>
        <v>0</v>
      </c>
      <c r="AF297" s="375"/>
      <c r="AG297" s="374">
        <f>ABS(INDEX(AG:AG,MATCH(AG292,$AA:$AA,0)+11)+INDEX(AG:AG,MATCH(AG292,$AA:$AA,0)+12)+INDEX(AG:AG,MATCH(AG292,$AA:$AA,0)+13))</f>
        <v>0</v>
      </c>
      <c r="AH297" s="375"/>
      <c r="AI297" s="374">
        <f>ABS(INDEX(AI:AI,MATCH(AI292,$AA:$AA,0)+11)+INDEX(AI:AI,MATCH(AI292,$AA:$AA,0)+12)+INDEX(AI:AI,MATCH(AI292,$AA:$AA,0)+13))</f>
        <v>0</v>
      </c>
      <c r="AJ297" s="375"/>
      <c r="AK297" s="374">
        <f>ABS(INDEX(AK:AK,MATCH(AK292,$AA:$AA,0)+11)+INDEX(AK:AK,MATCH(AK292,$AA:$AA,0)+12)+INDEX(AK:AK,MATCH(AK292,$AA:$AA,0)+13))</f>
        <v>0</v>
      </c>
      <c r="AL297" s="375"/>
      <c r="AM297" s="374">
        <f>ABS(INDEX(AM:AM,MATCH(AM292,$AA:$AA,0)+11)+INDEX(AM:AM,MATCH(AM292,$AA:$AA,0)+12)+INDEX(AM:AM,MATCH(AM292,$AA:$AA,0)+13))</f>
        <v>0</v>
      </c>
      <c r="AN297" s="375"/>
      <c r="AO297" s="374">
        <f>ABS(INDEX(AO:AO,MATCH(AO292,$AA:$AA,0)+11)+INDEX(AO:AO,MATCH(AO292,$AA:$AA,0)+12)+INDEX(AO:AO,MATCH(AO292,$AA:$AA,0)+13))</f>
        <v>0</v>
      </c>
      <c r="AP297" s="375"/>
      <c r="AQ297" s="374">
        <f>ABS(INDEX(AQ:AQ,MATCH(AQ292,$AA:$AA,0)+11)+INDEX(AQ:AQ,MATCH(AQ292,$AA:$AA,0)+12)+INDEX(AQ:AQ,MATCH(AQ292,$AA:$AA,0)+13))</f>
        <v>0</v>
      </c>
      <c r="AR297" s="375"/>
      <c r="AS297" s="374">
        <f>ABS(INDEX(AS:AS,MATCH(AS292,$AA:$AA,0)+11)+INDEX(AS:AS,MATCH(AS292,$AA:$AA,0)+12)+INDEX(AS:AS,MATCH(AS292,$AA:$AA,0)+13))</f>
        <v>0</v>
      </c>
      <c r="AT297" s="375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6.05" customHeight="1" x14ac:dyDescent="0.35">
      <c r="B298" s="365" t="str">
        <f t="shared" si="348"/>
        <v>Spieler 4</v>
      </c>
      <c r="C298" s="366" t="str">
        <f t="shared" si="348"/>
        <v/>
      </c>
      <c r="D298" s="339">
        <f>IF(AC298=301,"",AC298)</f>
        <v>0</v>
      </c>
      <c r="E298" s="339" t="str">
        <f>IF(AD298=0,"",AD298)</f>
        <v/>
      </c>
      <c r="F298" s="339">
        <f>IF(AE298=301,"",AE298)</f>
        <v>0</v>
      </c>
      <c r="G298" s="339" t="str">
        <f>IF(AF298=0,"",AF298)</f>
        <v/>
      </c>
      <c r="H298" s="339">
        <f>IF(AG298=301,"",AG298)</f>
        <v>0</v>
      </c>
      <c r="I298" s="339" t="str">
        <f>IF(AH298=0,"",AH298)</f>
        <v/>
      </c>
      <c r="J298" s="339">
        <f>IF(AI298=301,"",AI298)</f>
        <v>0</v>
      </c>
      <c r="K298" s="339" t="str">
        <f>IF(AJ298=0,"",AJ298)</f>
        <v/>
      </c>
      <c r="L298" s="339">
        <f>IF(AK298=301,"",AK298)</f>
        <v>0</v>
      </c>
      <c r="M298" s="339" t="str">
        <f>IF(AL298=0,"",AL298)</f>
        <v/>
      </c>
      <c r="N298" s="339">
        <f>IF(AM298=301,"",AM298)</f>
        <v>0</v>
      </c>
      <c r="O298" s="339" t="str">
        <f>IF(AN298=0,"",AN298)</f>
        <v/>
      </c>
      <c r="P298" s="339">
        <f>IF(AO298=301,"",AO298)</f>
        <v>0</v>
      </c>
      <c r="Q298" s="339" t="str">
        <f>IF(AP298=0,"",AP298)</f>
        <v/>
      </c>
      <c r="R298" s="339">
        <f>IF(AQ298=301,"",AQ298)</f>
        <v>0</v>
      </c>
      <c r="S298" s="339" t="str">
        <f>IF(AR298=0,"",AR298)</f>
        <v/>
      </c>
      <c r="T298" s="339">
        <f>IF(AS298=301,"",AS298)</f>
        <v>0</v>
      </c>
      <c r="U298" s="339" t="str">
        <f>IF(AT298=0,"",AT298)</f>
        <v/>
      </c>
      <c r="V298" s="340"/>
      <c r="W298" s="340"/>
      <c r="AA298" s="91" t="s">
        <v>11</v>
      </c>
      <c r="AB298" s="92"/>
      <c r="AC298" s="374">
        <f>ABS(INDEX(AC:AC,MATCH(AC292,$AA:$AA,0)+14)+INDEX(AC:AC,MATCH(AC292,$AA:$AA,0)+15)+INDEX(AC:AC,MATCH(AC292,$AA:$AA,0)+16))</f>
        <v>0</v>
      </c>
      <c r="AD298" s="375"/>
      <c r="AE298" s="374">
        <f>ABS(INDEX(AE:AE,MATCH(AE292,$AA:$AA,0)+14)+INDEX(AE:AE,MATCH(AE292,$AA:$AA,0)+15)+INDEX(AE:AE,MATCH(AE292,$AA:$AA,0)+16))</f>
        <v>0</v>
      </c>
      <c r="AF298" s="375"/>
      <c r="AG298" s="374">
        <f>ABS(INDEX(AG:AG,MATCH(AG292,$AA:$AA,0)+14)+INDEX(AG:AG,MATCH(AG292,$AA:$AA,0)+15)+INDEX(AG:AG,MATCH(AG292,$AA:$AA,0)+16))</f>
        <v>0</v>
      </c>
      <c r="AH298" s="375"/>
      <c r="AI298" s="374">
        <f>ABS(INDEX(AI:AI,MATCH(AI292,$AA:$AA,0)+14)+INDEX(AI:AI,MATCH(AI292,$AA:$AA,0)+15)+INDEX(AI:AI,MATCH(AI292,$AA:$AA,0)+16))</f>
        <v>0</v>
      </c>
      <c r="AJ298" s="375"/>
      <c r="AK298" s="374">
        <f>ABS(INDEX(AK:AK,MATCH(AK292,$AA:$AA,0)+14)+INDEX(AK:AK,MATCH(AK292,$AA:$AA,0)+15)+INDEX(AK:AK,MATCH(AK292,$AA:$AA,0)+16))</f>
        <v>0</v>
      </c>
      <c r="AL298" s="375"/>
      <c r="AM298" s="374">
        <f>ABS(INDEX(AM:AM,MATCH(AM292,$AA:$AA,0)+14)+INDEX(AM:AM,MATCH(AM292,$AA:$AA,0)+15)+INDEX(AM:AM,MATCH(AM292,$AA:$AA,0)+16))</f>
        <v>0</v>
      </c>
      <c r="AN298" s="375"/>
      <c r="AO298" s="374">
        <f>ABS(INDEX(AO:AO,MATCH(AO292,$AA:$AA,0)+14)+INDEX(AO:AO,MATCH(AO292,$AA:$AA,0)+15)+INDEX(AO:AO,MATCH(AO292,$AA:$AA,0)+16))</f>
        <v>0</v>
      </c>
      <c r="AP298" s="375"/>
      <c r="AQ298" s="374">
        <f>ABS(INDEX(AQ:AQ,MATCH(AQ292,$AA:$AA,0)+14)+INDEX(AQ:AQ,MATCH(AQ292,$AA:$AA,0)+15)+INDEX(AQ:AQ,MATCH(AQ292,$AA:$AA,0)+16))</f>
        <v>0</v>
      </c>
      <c r="AR298" s="375"/>
      <c r="AS298" s="374">
        <f>ABS(INDEX(AS:AS,MATCH(AS292,$AA:$AA,0)+14)+INDEX(AS:AS,MATCH(AS292,$AA:$AA,0)+15)+INDEX(AS:AS,MATCH(AS292,$AA:$AA,0)+16))</f>
        <v>0</v>
      </c>
      <c r="AT298" s="375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6.05" customHeight="1" x14ac:dyDescent="0.35">
      <c r="B299" s="354" t="str">
        <f t="shared" si="348"/>
        <v>Gesamt</v>
      </c>
      <c r="C299" s="355" t="str">
        <f t="shared" si="348"/>
        <v/>
      </c>
      <c r="D299" s="338">
        <f>IF(AC299=1505,"",AC299)</f>
        <v>0</v>
      </c>
      <c r="E299" s="338" t="str">
        <f>IF(AD299=0,"",AD299)</f>
        <v/>
      </c>
      <c r="F299" s="338">
        <f>IF(AE299=1505,"",AE299)</f>
        <v>0</v>
      </c>
      <c r="G299" s="338" t="str">
        <f>IF(AF299=0,"",AF299)</f>
        <v/>
      </c>
      <c r="H299" s="338">
        <f>IF(AG299=1505,"",AG299)</f>
        <v>0</v>
      </c>
      <c r="I299" s="338" t="str">
        <f>IF(AH299=0,"",AH299)</f>
        <v/>
      </c>
      <c r="J299" s="338">
        <f>IF(AI299=1505,"",AI299)</f>
        <v>0</v>
      </c>
      <c r="K299" s="338" t="str">
        <f>IF(AJ299=0,"",AJ299)</f>
        <v/>
      </c>
      <c r="L299" s="338">
        <f>IF(AK299=1505,"",AK299)</f>
        <v>0</v>
      </c>
      <c r="M299" s="338" t="str">
        <f>IF(AL299=0,"",AL299)</f>
        <v/>
      </c>
      <c r="N299" s="338">
        <f>IF(AM299=1505,"",AM299)</f>
        <v>0</v>
      </c>
      <c r="O299" s="338" t="str">
        <f>IF(AN299=0,"",AN299)</f>
        <v/>
      </c>
      <c r="P299" s="338">
        <f>IF(AO299=1505,"",AO299)</f>
        <v>0</v>
      </c>
      <c r="Q299" s="338" t="str">
        <f>IF(AP299=0,"",AP299)</f>
        <v/>
      </c>
      <c r="R299" s="338">
        <f>IF(AQ299=1505,"",AQ299)</f>
        <v>0</v>
      </c>
      <c r="S299" s="338" t="str">
        <f>IF(AR299=0,"",AR299)</f>
        <v/>
      </c>
      <c r="T299" s="338">
        <f>IF(AS299=1505,"",AS299)</f>
        <v>0</v>
      </c>
      <c r="U299" s="338" t="str">
        <f>IF(AT299=0,"",AT299)</f>
        <v/>
      </c>
      <c r="V299" s="290"/>
      <c r="W299" s="290"/>
      <c r="AA299" s="93" t="s">
        <v>1799</v>
      </c>
      <c r="AB299" s="94"/>
      <c r="AC299" s="354">
        <f>SUM(AC295:AC298)</f>
        <v>0</v>
      </c>
      <c r="AD299" s="355"/>
      <c r="AE299" s="354">
        <f>SUM(AE295:AE298)</f>
        <v>0</v>
      </c>
      <c r="AF299" s="355"/>
      <c r="AG299" s="354">
        <f>SUM(AG295:AG298)</f>
        <v>0</v>
      </c>
      <c r="AH299" s="355"/>
      <c r="AI299" s="354">
        <f>SUM(AI295:AI298)</f>
        <v>0</v>
      </c>
      <c r="AJ299" s="355"/>
      <c r="AK299" s="354">
        <f>SUM(AK295:AK298)</f>
        <v>0</v>
      </c>
      <c r="AL299" s="355"/>
      <c r="AM299" s="354">
        <f>SUM(AM295:AM298)</f>
        <v>0</v>
      </c>
      <c r="AN299" s="355"/>
      <c r="AO299" s="354">
        <f>SUM(AO295:AO298)</f>
        <v>0</v>
      </c>
      <c r="AP299" s="355"/>
      <c r="AQ299" s="354">
        <f>SUM(AQ295:AQ298)</f>
        <v>0</v>
      </c>
      <c r="AR299" s="355"/>
      <c r="AS299" s="354">
        <f>SUM(AS295:AS298)</f>
        <v>0</v>
      </c>
      <c r="AT299" s="355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3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10:O12"/>
    <mergeCell ref="Q10:Q12"/>
    <mergeCell ref="S10:S12"/>
    <mergeCell ref="U10:U12"/>
    <mergeCell ref="W10:W12"/>
    <mergeCell ref="Z10:Z12"/>
    <mergeCell ref="A10:A12"/>
    <mergeCell ref="E10:E12"/>
    <mergeCell ref="G10:G12"/>
    <mergeCell ref="I10:I12"/>
    <mergeCell ref="K10:K12"/>
    <mergeCell ref="M10:M12"/>
    <mergeCell ref="O7:O9"/>
    <mergeCell ref="Q7:Q9"/>
    <mergeCell ref="S7:S9"/>
    <mergeCell ref="U7:U9"/>
    <mergeCell ref="W7:W9"/>
    <mergeCell ref="Z7:Z9"/>
    <mergeCell ref="O16:O18"/>
    <mergeCell ref="Q16:Q18"/>
    <mergeCell ref="S16:S18"/>
    <mergeCell ref="U16:U18"/>
    <mergeCell ref="W16:W18"/>
    <mergeCell ref="Z16:Z18"/>
    <mergeCell ref="A16:A18"/>
    <mergeCell ref="E16:E18"/>
    <mergeCell ref="G16:G18"/>
    <mergeCell ref="I16:I18"/>
    <mergeCell ref="K16:K18"/>
    <mergeCell ref="M16:M18"/>
    <mergeCell ref="O13:O15"/>
    <mergeCell ref="Q13:Q15"/>
    <mergeCell ref="S13:S15"/>
    <mergeCell ref="U13:U15"/>
    <mergeCell ref="W13:W15"/>
    <mergeCell ref="Z13:Z15"/>
    <mergeCell ref="A13:A15"/>
    <mergeCell ref="E13:E15"/>
    <mergeCell ref="G13:G15"/>
    <mergeCell ref="I13:I15"/>
    <mergeCell ref="K13:K15"/>
    <mergeCell ref="M13:M15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L26:M26"/>
    <mergeCell ref="N26:O26"/>
    <mergeCell ref="P26:Q26"/>
    <mergeCell ref="R26:S26"/>
    <mergeCell ref="T26:U26"/>
    <mergeCell ref="V26:W26"/>
    <mergeCell ref="N25:O25"/>
    <mergeCell ref="P25:Q25"/>
    <mergeCell ref="R25:S25"/>
    <mergeCell ref="T25:U25"/>
    <mergeCell ref="V25:W25"/>
    <mergeCell ref="B26:C26"/>
    <mergeCell ref="D26:E26"/>
    <mergeCell ref="F26:G26"/>
    <mergeCell ref="H26:I26"/>
    <mergeCell ref="J26:K26"/>
    <mergeCell ref="P24:Q24"/>
    <mergeCell ref="R24:S24"/>
    <mergeCell ref="T24:U24"/>
    <mergeCell ref="V24:W24"/>
    <mergeCell ref="B25:C25"/>
    <mergeCell ref="D25:E25"/>
    <mergeCell ref="F25:G25"/>
    <mergeCell ref="H25:I25"/>
    <mergeCell ref="J25:K25"/>
    <mergeCell ref="L25:M25"/>
    <mergeCell ref="B29:C29"/>
    <mergeCell ref="D29:E29"/>
    <mergeCell ref="F29:G29"/>
    <mergeCell ref="H29:I29"/>
    <mergeCell ref="J29:K29"/>
    <mergeCell ref="L29:M29"/>
    <mergeCell ref="L28:M28"/>
    <mergeCell ref="N28:O28"/>
    <mergeCell ref="P28:Q28"/>
    <mergeCell ref="R28:S28"/>
    <mergeCell ref="T28:U28"/>
    <mergeCell ref="V28:W28"/>
    <mergeCell ref="N27:O27"/>
    <mergeCell ref="P27:Q27"/>
    <mergeCell ref="R27:S27"/>
    <mergeCell ref="T27:U27"/>
    <mergeCell ref="V27:W27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L27:M27"/>
    <mergeCell ref="X31:Z31"/>
    <mergeCell ref="F32:O32"/>
    <mergeCell ref="D35:E35"/>
    <mergeCell ref="F35:G35"/>
    <mergeCell ref="H35:I35"/>
    <mergeCell ref="J35:K35"/>
    <mergeCell ref="L35:M35"/>
    <mergeCell ref="N35:O35"/>
    <mergeCell ref="P35:Q35"/>
    <mergeCell ref="R35:S35"/>
    <mergeCell ref="N29:O29"/>
    <mergeCell ref="P29:Q29"/>
    <mergeCell ref="R29:S29"/>
    <mergeCell ref="T29:U29"/>
    <mergeCell ref="V29:W29"/>
    <mergeCell ref="F31:Q31"/>
    <mergeCell ref="U31:W31"/>
    <mergeCell ref="O40:O42"/>
    <mergeCell ref="Q40:Q42"/>
    <mergeCell ref="S40:S42"/>
    <mergeCell ref="U40:U42"/>
    <mergeCell ref="W40:W42"/>
    <mergeCell ref="Z40:Z42"/>
    <mergeCell ref="S37:S39"/>
    <mergeCell ref="U37:U39"/>
    <mergeCell ref="W37:W39"/>
    <mergeCell ref="Z37:Z39"/>
    <mergeCell ref="A40:A42"/>
    <mergeCell ref="E40:E42"/>
    <mergeCell ref="G40:G42"/>
    <mergeCell ref="I40:I42"/>
    <mergeCell ref="K40:K42"/>
    <mergeCell ref="M40:M42"/>
    <mergeCell ref="T35:U35"/>
    <mergeCell ref="V35:W35"/>
    <mergeCell ref="A37:A39"/>
    <mergeCell ref="E37:E39"/>
    <mergeCell ref="G37:G39"/>
    <mergeCell ref="I37:I39"/>
    <mergeCell ref="K37:K39"/>
    <mergeCell ref="M37:M39"/>
    <mergeCell ref="O37:O39"/>
    <mergeCell ref="Q37:Q39"/>
    <mergeCell ref="O46:O48"/>
    <mergeCell ref="Q46:Q48"/>
    <mergeCell ref="S46:S48"/>
    <mergeCell ref="U46:U48"/>
    <mergeCell ref="W46:W48"/>
    <mergeCell ref="Z46:Z48"/>
    <mergeCell ref="A46:A48"/>
    <mergeCell ref="E46:E48"/>
    <mergeCell ref="G46:G48"/>
    <mergeCell ref="I46:I48"/>
    <mergeCell ref="K46:K48"/>
    <mergeCell ref="M46:M48"/>
    <mergeCell ref="O43:O45"/>
    <mergeCell ref="Q43:Q45"/>
    <mergeCell ref="S43:S45"/>
    <mergeCell ref="U43:U45"/>
    <mergeCell ref="W43:W45"/>
    <mergeCell ref="Z43:Z45"/>
    <mergeCell ref="A43:A45"/>
    <mergeCell ref="E43:E45"/>
    <mergeCell ref="G43:G45"/>
    <mergeCell ref="I43:I45"/>
    <mergeCell ref="K43:K45"/>
    <mergeCell ref="M43:M4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L56:M56"/>
    <mergeCell ref="N56:O56"/>
    <mergeCell ref="P56:Q56"/>
    <mergeCell ref="R56:S56"/>
    <mergeCell ref="T56:U56"/>
    <mergeCell ref="V56:W56"/>
    <mergeCell ref="N55:O55"/>
    <mergeCell ref="P55:Q55"/>
    <mergeCell ref="R55:S55"/>
    <mergeCell ref="T55:U55"/>
    <mergeCell ref="V55:W55"/>
    <mergeCell ref="B56:C56"/>
    <mergeCell ref="D56:E56"/>
    <mergeCell ref="F56:G56"/>
    <mergeCell ref="H56:I56"/>
    <mergeCell ref="J56:K56"/>
    <mergeCell ref="P54:Q54"/>
    <mergeCell ref="R54:S54"/>
    <mergeCell ref="T54:U54"/>
    <mergeCell ref="V54:W54"/>
    <mergeCell ref="B55:C55"/>
    <mergeCell ref="D55:E55"/>
    <mergeCell ref="F55:G55"/>
    <mergeCell ref="H55:I55"/>
    <mergeCell ref="J55:K55"/>
    <mergeCell ref="L55:M55"/>
    <mergeCell ref="B59:C59"/>
    <mergeCell ref="D59:E59"/>
    <mergeCell ref="F59:G59"/>
    <mergeCell ref="H59:I59"/>
    <mergeCell ref="J59:K59"/>
    <mergeCell ref="L59:M59"/>
    <mergeCell ref="L58:M58"/>
    <mergeCell ref="N58:O58"/>
    <mergeCell ref="P58:Q58"/>
    <mergeCell ref="R58:S58"/>
    <mergeCell ref="T58:U58"/>
    <mergeCell ref="V58:W58"/>
    <mergeCell ref="N57:O57"/>
    <mergeCell ref="P57:Q57"/>
    <mergeCell ref="R57:S57"/>
    <mergeCell ref="T57:U57"/>
    <mergeCell ref="V57:W57"/>
    <mergeCell ref="B58:C58"/>
    <mergeCell ref="D58:E58"/>
    <mergeCell ref="F58:G58"/>
    <mergeCell ref="H58:I58"/>
    <mergeCell ref="J58:K58"/>
    <mergeCell ref="B57:C57"/>
    <mergeCell ref="D57:E57"/>
    <mergeCell ref="F57:G57"/>
    <mergeCell ref="H57:I57"/>
    <mergeCell ref="J57:K57"/>
    <mergeCell ref="L57:M57"/>
    <mergeCell ref="X61:Z61"/>
    <mergeCell ref="F62:O62"/>
    <mergeCell ref="D65:E65"/>
    <mergeCell ref="F65:G65"/>
    <mergeCell ref="H65:I65"/>
    <mergeCell ref="J65:K65"/>
    <mergeCell ref="L65:M65"/>
    <mergeCell ref="N65:O65"/>
    <mergeCell ref="P65:Q65"/>
    <mergeCell ref="R65:S65"/>
    <mergeCell ref="N59:O59"/>
    <mergeCell ref="P59:Q59"/>
    <mergeCell ref="R59:S59"/>
    <mergeCell ref="T59:U59"/>
    <mergeCell ref="V59:W59"/>
    <mergeCell ref="F61:Q61"/>
    <mergeCell ref="U61:W61"/>
    <mergeCell ref="O70:O72"/>
    <mergeCell ref="Q70:Q72"/>
    <mergeCell ref="S70:S72"/>
    <mergeCell ref="U70:U72"/>
    <mergeCell ref="W70:W72"/>
    <mergeCell ref="Z70:Z72"/>
    <mergeCell ref="S67:S69"/>
    <mergeCell ref="U67:U69"/>
    <mergeCell ref="W67:W69"/>
    <mergeCell ref="Z67:Z69"/>
    <mergeCell ref="A70:A72"/>
    <mergeCell ref="E70:E72"/>
    <mergeCell ref="G70:G72"/>
    <mergeCell ref="I70:I72"/>
    <mergeCell ref="K70:K72"/>
    <mergeCell ref="M70:M72"/>
    <mergeCell ref="T65:U65"/>
    <mergeCell ref="V65:W65"/>
    <mergeCell ref="A67:A69"/>
    <mergeCell ref="E67:E69"/>
    <mergeCell ref="G67:G69"/>
    <mergeCell ref="I67:I69"/>
    <mergeCell ref="K67:K69"/>
    <mergeCell ref="M67:M69"/>
    <mergeCell ref="O67:O69"/>
    <mergeCell ref="Q67:Q69"/>
    <mergeCell ref="O76:O78"/>
    <mergeCell ref="Q76:Q78"/>
    <mergeCell ref="S76:S78"/>
    <mergeCell ref="U76:U78"/>
    <mergeCell ref="W76:W78"/>
    <mergeCell ref="Z76:Z78"/>
    <mergeCell ref="A76:A78"/>
    <mergeCell ref="E76:E78"/>
    <mergeCell ref="G76:G78"/>
    <mergeCell ref="I76:I78"/>
    <mergeCell ref="K76:K78"/>
    <mergeCell ref="M76:M78"/>
    <mergeCell ref="O73:O75"/>
    <mergeCell ref="Q73:Q75"/>
    <mergeCell ref="S73:S75"/>
    <mergeCell ref="U73:U75"/>
    <mergeCell ref="W73:W75"/>
    <mergeCell ref="Z73:Z75"/>
    <mergeCell ref="A73:A75"/>
    <mergeCell ref="E73:E75"/>
    <mergeCell ref="G73:G75"/>
    <mergeCell ref="I73:I75"/>
    <mergeCell ref="K73:K75"/>
    <mergeCell ref="M73:M7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L86:M86"/>
    <mergeCell ref="N86:O86"/>
    <mergeCell ref="P86:Q86"/>
    <mergeCell ref="R86:S86"/>
    <mergeCell ref="T86:U86"/>
    <mergeCell ref="V86:W86"/>
    <mergeCell ref="N85:O85"/>
    <mergeCell ref="P85:Q85"/>
    <mergeCell ref="R85:S85"/>
    <mergeCell ref="T85:U85"/>
    <mergeCell ref="V85:W85"/>
    <mergeCell ref="B86:C86"/>
    <mergeCell ref="D86:E86"/>
    <mergeCell ref="F86:G86"/>
    <mergeCell ref="H86:I86"/>
    <mergeCell ref="J86:K86"/>
    <mergeCell ref="P84:Q84"/>
    <mergeCell ref="R84:S84"/>
    <mergeCell ref="T84:U84"/>
    <mergeCell ref="V84:W84"/>
    <mergeCell ref="B85:C85"/>
    <mergeCell ref="D85:E85"/>
    <mergeCell ref="F85:G85"/>
    <mergeCell ref="H85:I85"/>
    <mergeCell ref="J85:K85"/>
    <mergeCell ref="L85:M85"/>
    <mergeCell ref="B89:C89"/>
    <mergeCell ref="D89:E89"/>
    <mergeCell ref="F89:G89"/>
    <mergeCell ref="H89:I89"/>
    <mergeCell ref="J89:K89"/>
    <mergeCell ref="L89:M89"/>
    <mergeCell ref="L88:M88"/>
    <mergeCell ref="N88:O88"/>
    <mergeCell ref="P88:Q88"/>
    <mergeCell ref="R88:S88"/>
    <mergeCell ref="T88:U88"/>
    <mergeCell ref="V88:W88"/>
    <mergeCell ref="N87:O87"/>
    <mergeCell ref="P87:Q87"/>
    <mergeCell ref="R87:S87"/>
    <mergeCell ref="T87:U87"/>
    <mergeCell ref="V87:W87"/>
    <mergeCell ref="B88:C88"/>
    <mergeCell ref="D88:E88"/>
    <mergeCell ref="F88:G88"/>
    <mergeCell ref="H88:I88"/>
    <mergeCell ref="J88:K88"/>
    <mergeCell ref="B87:C87"/>
    <mergeCell ref="D87:E87"/>
    <mergeCell ref="F87:G87"/>
    <mergeCell ref="H87:I87"/>
    <mergeCell ref="J87:K87"/>
    <mergeCell ref="L87:M87"/>
    <mergeCell ref="X91:Z91"/>
    <mergeCell ref="F92:O92"/>
    <mergeCell ref="D95:E95"/>
    <mergeCell ref="F95:G95"/>
    <mergeCell ref="H95:I95"/>
    <mergeCell ref="J95:K95"/>
    <mergeCell ref="L95:M95"/>
    <mergeCell ref="N95:O95"/>
    <mergeCell ref="P95:Q95"/>
    <mergeCell ref="R95:S95"/>
    <mergeCell ref="N89:O89"/>
    <mergeCell ref="P89:Q89"/>
    <mergeCell ref="R89:S89"/>
    <mergeCell ref="T89:U89"/>
    <mergeCell ref="V89:W89"/>
    <mergeCell ref="F91:Q91"/>
    <mergeCell ref="U91:W91"/>
    <mergeCell ref="O100:O102"/>
    <mergeCell ref="Q100:Q102"/>
    <mergeCell ref="S100:S102"/>
    <mergeCell ref="U100:U102"/>
    <mergeCell ref="W100:W102"/>
    <mergeCell ref="Z100:Z102"/>
    <mergeCell ref="S97:S99"/>
    <mergeCell ref="U97:U99"/>
    <mergeCell ref="W97:W99"/>
    <mergeCell ref="Z97:Z99"/>
    <mergeCell ref="A100:A102"/>
    <mergeCell ref="E100:E102"/>
    <mergeCell ref="G100:G102"/>
    <mergeCell ref="I100:I102"/>
    <mergeCell ref="K100:K102"/>
    <mergeCell ref="M100:M102"/>
    <mergeCell ref="T95:U95"/>
    <mergeCell ref="V95:W95"/>
    <mergeCell ref="A97:A99"/>
    <mergeCell ref="E97:E99"/>
    <mergeCell ref="G97:G99"/>
    <mergeCell ref="I97:I99"/>
    <mergeCell ref="K97:K99"/>
    <mergeCell ref="M97:M99"/>
    <mergeCell ref="O97:O99"/>
    <mergeCell ref="Q97:Q99"/>
    <mergeCell ref="O106:O108"/>
    <mergeCell ref="Q106:Q108"/>
    <mergeCell ref="S106:S108"/>
    <mergeCell ref="U106:U108"/>
    <mergeCell ref="W106:W108"/>
    <mergeCell ref="Z106:Z108"/>
    <mergeCell ref="A106:A108"/>
    <mergeCell ref="E106:E108"/>
    <mergeCell ref="G106:G108"/>
    <mergeCell ref="I106:I108"/>
    <mergeCell ref="K106:K108"/>
    <mergeCell ref="M106:M108"/>
    <mergeCell ref="O103:O105"/>
    <mergeCell ref="Q103:Q105"/>
    <mergeCell ref="S103:S105"/>
    <mergeCell ref="U103:U105"/>
    <mergeCell ref="W103:W105"/>
    <mergeCell ref="Z103:Z105"/>
    <mergeCell ref="A103:A105"/>
    <mergeCell ref="E103:E105"/>
    <mergeCell ref="G103:G105"/>
    <mergeCell ref="I103:I105"/>
    <mergeCell ref="K103:K105"/>
    <mergeCell ref="M103:M10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L116:M116"/>
    <mergeCell ref="N116:O116"/>
    <mergeCell ref="P116:Q116"/>
    <mergeCell ref="R116:S116"/>
    <mergeCell ref="T116:U116"/>
    <mergeCell ref="V116:W116"/>
    <mergeCell ref="N115:O115"/>
    <mergeCell ref="P115:Q115"/>
    <mergeCell ref="R115:S115"/>
    <mergeCell ref="T115:U115"/>
    <mergeCell ref="V115:W115"/>
    <mergeCell ref="B116:C116"/>
    <mergeCell ref="D116:E116"/>
    <mergeCell ref="F116:G116"/>
    <mergeCell ref="H116:I116"/>
    <mergeCell ref="J116:K116"/>
    <mergeCell ref="P114:Q114"/>
    <mergeCell ref="R114:S114"/>
    <mergeCell ref="T114:U114"/>
    <mergeCell ref="V114:W114"/>
    <mergeCell ref="B115:C115"/>
    <mergeCell ref="D115:E115"/>
    <mergeCell ref="F115:G115"/>
    <mergeCell ref="H115:I115"/>
    <mergeCell ref="J115:K115"/>
    <mergeCell ref="L115:M115"/>
    <mergeCell ref="B119:C119"/>
    <mergeCell ref="D119:E119"/>
    <mergeCell ref="F119:G119"/>
    <mergeCell ref="H119:I119"/>
    <mergeCell ref="J119:K119"/>
    <mergeCell ref="L119:M119"/>
    <mergeCell ref="L118:M118"/>
    <mergeCell ref="N118:O118"/>
    <mergeCell ref="P118:Q118"/>
    <mergeCell ref="R118:S118"/>
    <mergeCell ref="T118:U118"/>
    <mergeCell ref="V118:W118"/>
    <mergeCell ref="N117:O117"/>
    <mergeCell ref="P117:Q117"/>
    <mergeCell ref="R117:S117"/>
    <mergeCell ref="T117:U117"/>
    <mergeCell ref="V117:W117"/>
    <mergeCell ref="B118:C118"/>
    <mergeCell ref="D118:E118"/>
    <mergeCell ref="F118:G118"/>
    <mergeCell ref="H118:I118"/>
    <mergeCell ref="J118:K118"/>
    <mergeCell ref="B117:C117"/>
    <mergeCell ref="D117:E117"/>
    <mergeCell ref="F117:G117"/>
    <mergeCell ref="H117:I117"/>
    <mergeCell ref="J117:K117"/>
    <mergeCell ref="L117:M117"/>
    <mergeCell ref="X121:Z121"/>
    <mergeCell ref="F122:O122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N119:O119"/>
    <mergeCell ref="P119:Q119"/>
    <mergeCell ref="R119:S119"/>
    <mergeCell ref="T119:U119"/>
    <mergeCell ref="V119:W119"/>
    <mergeCell ref="F121:Q121"/>
    <mergeCell ref="U121:W121"/>
    <mergeCell ref="O130:O132"/>
    <mergeCell ref="Q130:Q132"/>
    <mergeCell ref="S130:S132"/>
    <mergeCell ref="U130:U132"/>
    <mergeCell ref="W130:W132"/>
    <mergeCell ref="Z130:Z132"/>
    <mergeCell ref="S127:S129"/>
    <mergeCell ref="U127:U129"/>
    <mergeCell ref="W127:W129"/>
    <mergeCell ref="Z127:Z129"/>
    <mergeCell ref="A130:A132"/>
    <mergeCell ref="E130:E132"/>
    <mergeCell ref="G130:G132"/>
    <mergeCell ref="I130:I132"/>
    <mergeCell ref="K130:K132"/>
    <mergeCell ref="M130:M132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O127:O129"/>
    <mergeCell ref="Q127:Q129"/>
    <mergeCell ref="O136:O138"/>
    <mergeCell ref="Q136:Q138"/>
    <mergeCell ref="S136:S138"/>
    <mergeCell ref="U136:U138"/>
    <mergeCell ref="W136:W138"/>
    <mergeCell ref="Z136:Z138"/>
    <mergeCell ref="A136:A138"/>
    <mergeCell ref="E136:E138"/>
    <mergeCell ref="G136:G138"/>
    <mergeCell ref="I136:I138"/>
    <mergeCell ref="K136:K138"/>
    <mergeCell ref="M136:M138"/>
    <mergeCell ref="O133:O135"/>
    <mergeCell ref="Q133:Q135"/>
    <mergeCell ref="S133:S135"/>
    <mergeCell ref="U133:U135"/>
    <mergeCell ref="W133:W135"/>
    <mergeCell ref="Z133:Z135"/>
    <mergeCell ref="A133:A135"/>
    <mergeCell ref="E133:E135"/>
    <mergeCell ref="G133:G135"/>
    <mergeCell ref="I133:I135"/>
    <mergeCell ref="K133:K135"/>
    <mergeCell ref="M133:M13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L146:M146"/>
    <mergeCell ref="N146:O146"/>
    <mergeCell ref="P146:Q146"/>
    <mergeCell ref="R146:S146"/>
    <mergeCell ref="T146:U146"/>
    <mergeCell ref="V146:W146"/>
    <mergeCell ref="N145:O145"/>
    <mergeCell ref="P145:Q145"/>
    <mergeCell ref="R145:S145"/>
    <mergeCell ref="T145:U145"/>
    <mergeCell ref="V145:W145"/>
    <mergeCell ref="B146:C146"/>
    <mergeCell ref="D146:E146"/>
    <mergeCell ref="F146:G146"/>
    <mergeCell ref="H146:I146"/>
    <mergeCell ref="J146:K146"/>
    <mergeCell ref="P144:Q144"/>
    <mergeCell ref="R144:S144"/>
    <mergeCell ref="T144:U144"/>
    <mergeCell ref="V144:W144"/>
    <mergeCell ref="B145:C145"/>
    <mergeCell ref="D145:E145"/>
    <mergeCell ref="F145:G145"/>
    <mergeCell ref="H145:I145"/>
    <mergeCell ref="J145:K145"/>
    <mergeCell ref="L145:M145"/>
    <mergeCell ref="B149:C149"/>
    <mergeCell ref="D149:E149"/>
    <mergeCell ref="F149:G149"/>
    <mergeCell ref="H149:I149"/>
    <mergeCell ref="J149:K149"/>
    <mergeCell ref="L149:M149"/>
    <mergeCell ref="L148:M148"/>
    <mergeCell ref="N148:O148"/>
    <mergeCell ref="P148:Q148"/>
    <mergeCell ref="R148:S148"/>
    <mergeCell ref="T148:U148"/>
    <mergeCell ref="V148:W148"/>
    <mergeCell ref="N147:O147"/>
    <mergeCell ref="P147:Q147"/>
    <mergeCell ref="R147:S147"/>
    <mergeCell ref="T147:U147"/>
    <mergeCell ref="V147:W147"/>
    <mergeCell ref="B148:C148"/>
    <mergeCell ref="D148:E148"/>
    <mergeCell ref="F148:G148"/>
    <mergeCell ref="H148:I148"/>
    <mergeCell ref="J148:K148"/>
    <mergeCell ref="B147:C147"/>
    <mergeCell ref="D147:E147"/>
    <mergeCell ref="F147:G147"/>
    <mergeCell ref="H147:I147"/>
    <mergeCell ref="J147:K147"/>
    <mergeCell ref="L147:M147"/>
    <mergeCell ref="X151:Z151"/>
    <mergeCell ref="F152:O152"/>
    <mergeCell ref="D155:E155"/>
    <mergeCell ref="F155:G155"/>
    <mergeCell ref="H155:I155"/>
    <mergeCell ref="J155:K155"/>
    <mergeCell ref="L155:M155"/>
    <mergeCell ref="N155:O155"/>
    <mergeCell ref="P155:Q155"/>
    <mergeCell ref="R155:S155"/>
    <mergeCell ref="N149:O149"/>
    <mergeCell ref="P149:Q149"/>
    <mergeCell ref="R149:S149"/>
    <mergeCell ref="T149:U149"/>
    <mergeCell ref="V149:W149"/>
    <mergeCell ref="F151:Q151"/>
    <mergeCell ref="U151:W151"/>
    <mergeCell ref="O160:O162"/>
    <mergeCell ref="Q160:Q162"/>
    <mergeCell ref="S160:S162"/>
    <mergeCell ref="U160:U162"/>
    <mergeCell ref="W160:W162"/>
    <mergeCell ref="Z160:Z162"/>
    <mergeCell ref="S157:S159"/>
    <mergeCell ref="U157:U159"/>
    <mergeCell ref="W157:W159"/>
    <mergeCell ref="Z157:Z159"/>
    <mergeCell ref="A160:A162"/>
    <mergeCell ref="E160:E162"/>
    <mergeCell ref="G160:G162"/>
    <mergeCell ref="I160:I162"/>
    <mergeCell ref="K160:K162"/>
    <mergeCell ref="M160:M162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O157:O159"/>
    <mergeCell ref="Q157:Q159"/>
    <mergeCell ref="O166:O168"/>
    <mergeCell ref="Q166:Q168"/>
    <mergeCell ref="S166:S168"/>
    <mergeCell ref="U166:U168"/>
    <mergeCell ref="W166:W168"/>
    <mergeCell ref="Z166:Z168"/>
    <mergeCell ref="A166:A168"/>
    <mergeCell ref="E166:E168"/>
    <mergeCell ref="G166:G168"/>
    <mergeCell ref="I166:I168"/>
    <mergeCell ref="K166:K168"/>
    <mergeCell ref="M166:M168"/>
    <mergeCell ref="O163:O165"/>
    <mergeCell ref="Q163:Q165"/>
    <mergeCell ref="S163:S165"/>
    <mergeCell ref="U163:U165"/>
    <mergeCell ref="W163:W165"/>
    <mergeCell ref="Z163:Z165"/>
    <mergeCell ref="A163:A165"/>
    <mergeCell ref="E163:E165"/>
    <mergeCell ref="G163:G165"/>
    <mergeCell ref="I163:I165"/>
    <mergeCell ref="K163:K165"/>
    <mergeCell ref="M163:M16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L176:M176"/>
    <mergeCell ref="N176:O176"/>
    <mergeCell ref="P176:Q176"/>
    <mergeCell ref="R176:S176"/>
    <mergeCell ref="T176:U176"/>
    <mergeCell ref="V176:W176"/>
    <mergeCell ref="N175:O175"/>
    <mergeCell ref="P175:Q175"/>
    <mergeCell ref="R175:S175"/>
    <mergeCell ref="T175:U175"/>
    <mergeCell ref="V175:W175"/>
    <mergeCell ref="B176:C176"/>
    <mergeCell ref="D176:E176"/>
    <mergeCell ref="F176:G176"/>
    <mergeCell ref="H176:I176"/>
    <mergeCell ref="J176:K176"/>
    <mergeCell ref="P174:Q174"/>
    <mergeCell ref="R174:S174"/>
    <mergeCell ref="T174:U174"/>
    <mergeCell ref="V174:W174"/>
    <mergeCell ref="B175:C175"/>
    <mergeCell ref="D175:E175"/>
    <mergeCell ref="F175:G175"/>
    <mergeCell ref="H175:I175"/>
    <mergeCell ref="J175:K175"/>
    <mergeCell ref="L175:M175"/>
    <mergeCell ref="B179:C179"/>
    <mergeCell ref="D179:E179"/>
    <mergeCell ref="F179:G179"/>
    <mergeCell ref="H179:I179"/>
    <mergeCell ref="J179:K179"/>
    <mergeCell ref="L179:M179"/>
    <mergeCell ref="L178:M178"/>
    <mergeCell ref="N178:O178"/>
    <mergeCell ref="P178:Q178"/>
    <mergeCell ref="R178:S178"/>
    <mergeCell ref="T178:U178"/>
    <mergeCell ref="V178:W178"/>
    <mergeCell ref="N177:O177"/>
    <mergeCell ref="P177:Q177"/>
    <mergeCell ref="R177:S177"/>
    <mergeCell ref="T177:U177"/>
    <mergeCell ref="V177:W177"/>
    <mergeCell ref="B178:C178"/>
    <mergeCell ref="D178:E178"/>
    <mergeCell ref="F178:G178"/>
    <mergeCell ref="H178:I178"/>
    <mergeCell ref="J178:K178"/>
    <mergeCell ref="B177:C177"/>
    <mergeCell ref="D177:E177"/>
    <mergeCell ref="F177:G177"/>
    <mergeCell ref="H177:I177"/>
    <mergeCell ref="J177:K177"/>
    <mergeCell ref="L177:M177"/>
    <mergeCell ref="X181:Z181"/>
    <mergeCell ref="F182:O182"/>
    <mergeCell ref="D185:E185"/>
    <mergeCell ref="F185:G185"/>
    <mergeCell ref="H185:I185"/>
    <mergeCell ref="J185:K185"/>
    <mergeCell ref="L185:M185"/>
    <mergeCell ref="N185:O185"/>
    <mergeCell ref="P185:Q185"/>
    <mergeCell ref="R185:S185"/>
    <mergeCell ref="N179:O179"/>
    <mergeCell ref="P179:Q179"/>
    <mergeCell ref="R179:S179"/>
    <mergeCell ref="T179:U179"/>
    <mergeCell ref="V179:W179"/>
    <mergeCell ref="F181:Q181"/>
    <mergeCell ref="U181:W181"/>
    <mergeCell ref="O190:O192"/>
    <mergeCell ref="Q190:Q192"/>
    <mergeCell ref="S190:S192"/>
    <mergeCell ref="U190:U192"/>
    <mergeCell ref="W190:W192"/>
    <mergeCell ref="Z190:Z192"/>
    <mergeCell ref="S187:S189"/>
    <mergeCell ref="U187:U189"/>
    <mergeCell ref="W187:W189"/>
    <mergeCell ref="Z187:Z189"/>
    <mergeCell ref="A190:A192"/>
    <mergeCell ref="E190:E192"/>
    <mergeCell ref="G190:G192"/>
    <mergeCell ref="I190:I192"/>
    <mergeCell ref="K190:K192"/>
    <mergeCell ref="M190:M192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O187:O189"/>
    <mergeCell ref="Q187:Q189"/>
    <mergeCell ref="O196:O198"/>
    <mergeCell ref="Q196:Q198"/>
    <mergeCell ref="S196:S198"/>
    <mergeCell ref="U196:U198"/>
    <mergeCell ref="W196:W198"/>
    <mergeCell ref="Z196:Z198"/>
    <mergeCell ref="A196:A198"/>
    <mergeCell ref="E196:E198"/>
    <mergeCell ref="G196:G198"/>
    <mergeCell ref="I196:I198"/>
    <mergeCell ref="K196:K198"/>
    <mergeCell ref="M196:M198"/>
    <mergeCell ref="O193:O195"/>
    <mergeCell ref="Q193:Q195"/>
    <mergeCell ref="S193:S195"/>
    <mergeCell ref="U193:U195"/>
    <mergeCell ref="W193:W195"/>
    <mergeCell ref="Z193:Z195"/>
    <mergeCell ref="A193:A195"/>
    <mergeCell ref="E193:E195"/>
    <mergeCell ref="G193:G195"/>
    <mergeCell ref="I193:I195"/>
    <mergeCell ref="K193:K195"/>
    <mergeCell ref="M193:M19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L206:M206"/>
    <mergeCell ref="N206:O206"/>
    <mergeCell ref="P206:Q206"/>
    <mergeCell ref="R206:S206"/>
    <mergeCell ref="T206:U206"/>
    <mergeCell ref="V206:W206"/>
    <mergeCell ref="N205:O205"/>
    <mergeCell ref="P205:Q205"/>
    <mergeCell ref="R205:S205"/>
    <mergeCell ref="T205:U205"/>
    <mergeCell ref="V205:W205"/>
    <mergeCell ref="B206:C206"/>
    <mergeCell ref="D206:E206"/>
    <mergeCell ref="F206:G206"/>
    <mergeCell ref="H206:I206"/>
    <mergeCell ref="J206:K206"/>
    <mergeCell ref="P204:Q204"/>
    <mergeCell ref="R204:S204"/>
    <mergeCell ref="T204:U204"/>
    <mergeCell ref="V204:W204"/>
    <mergeCell ref="B205:C205"/>
    <mergeCell ref="D205:E205"/>
    <mergeCell ref="F205:G205"/>
    <mergeCell ref="H205:I205"/>
    <mergeCell ref="J205:K205"/>
    <mergeCell ref="L205:M205"/>
    <mergeCell ref="B209:C209"/>
    <mergeCell ref="D209:E209"/>
    <mergeCell ref="F209:G209"/>
    <mergeCell ref="H209:I209"/>
    <mergeCell ref="J209:K209"/>
    <mergeCell ref="L209:M209"/>
    <mergeCell ref="L208:M208"/>
    <mergeCell ref="N208:O208"/>
    <mergeCell ref="P208:Q208"/>
    <mergeCell ref="R208:S208"/>
    <mergeCell ref="T208:U208"/>
    <mergeCell ref="V208:W208"/>
    <mergeCell ref="N207:O207"/>
    <mergeCell ref="P207:Q207"/>
    <mergeCell ref="R207:S207"/>
    <mergeCell ref="T207:U207"/>
    <mergeCell ref="V207:W207"/>
    <mergeCell ref="B208:C208"/>
    <mergeCell ref="D208:E208"/>
    <mergeCell ref="F208:G208"/>
    <mergeCell ref="H208:I208"/>
    <mergeCell ref="J208:K208"/>
    <mergeCell ref="B207:C207"/>
    <mergeCell ref="D207:E207"/>
    <mergeCell ref="F207:G207"/>
    <mergeCell ref="H207:I207"/>
    <mergeCell ref="J207:K207"/>
    <mergeCell ref="L207:M207"/>
    <mergeCell ref="X211:Z211"/>
    <mergeCell ref="F212:O212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N209:O209"/>
    <mergeCell ref="P209:Q209"/>
    <mergeCell ref="R209:S209"/>
    <mergeCell ref="T209:U209"/>
    <mergeCell ref="V209:W209"/>
    <mergeCell ref="F211:Q211"/>
    <mergeCell ref="U211:W211"/>
    <mergeCell ref="O220:O222"/>
    <mergeCell ref="Q220:Q222"/>
    <mergeCell ref="S220:S222"/>
    <mergeCell ref="U220:U222"/>
    <mergeCell ref="W220:W222"/>
    <mergeCell ref="Z220:Z222"/>
    <mergeCell ref="S217:S219"/>
    <mergeCell ref="U217:U219"/>
    <mergeCell ref="W217:W219"/>
    <mergeCell ref="Z217:Z219"/>
    <mergeCell ref="A220:A222"/>
    <mergeCell ref="E220:E222"/>
    <mergeCell ref="G220:G222"/>
    <mergeCell ref="I220:I222"/>
    <mergeCell ref="K220:K222"/>
    <mergeCell ref="M220:M222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O217:O219"/>
    <mergeCell ref="Q217:Q219"/>
    <mergeCell ref="O226:O228"/>
    <mergeCell ref="Q226:Q228"/>
    <mergeCell ref="S226:S228"/>
    <mergeCell ref="U226:U228"/>
    <mergeCell ref="W226:W228"/>
    <mergeCell ref="Z226:Z228"/>
    <mergeCell ref="A226:A228"/>
    <mergeCell ref="E226:E228"/>
    <mergeCell ref="G226:G228"/>
    <mergeCell ref="I226:I228"/>
    <mergeCell ref="K226:K228"/>
    <mergeCell ref="M226:M228"/>
    <mergeCell ref="O223:O225"/>
    <mergeCell ref="Q223:Q225"/>
    <mergeCell ref="S223:S225"/>
    <mergeCell ref="U223:U225"/>
    <mergeCell ref="W223:W225"/>
    <mergeCell ref="Z223:Z225"/>
    <mergeCell ref="A223:A225"/>
    <mergeCell ref="E223:E225"/>
    <mergeCell ref="G223:G225"/>
    <mergeCell ref="I223:I225"/>
    <mergeCell ref="K223:K225"/>
    <mergeCell ref="M223:M225"/>
    <mergeCell ref="P233:Q233"/>
    <mergeCell ref="R233:S233"/>
    <mergeCell ref="T233:U233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L236:M236"/>
    <mergeCell ref="N236:O236"/>
    <mergeCell ref="P236:Q236"/>
    <mergeCell ref="R236:S236"/>
    <mergeCell ref="T236:U236"/>
    <mergeCell ref="V236:W236"/>
    <mergeCell ref="N235:O235"/>
    <mergeCell ref="P235:Q235"/>
    <mergeCell ref="R235:S235"/>
    <mergeCell ref="T235:U235"/>
    <mergeCell ref="V235:W235"/>
    <mergeCell ref="B236:C236"/>
    <mergeCell ref="D236:E236"/>
    <mergeCell ref="F236:G236"/>
    <mergeCell ref="H236:I236"/>
    <mergeCell ref="J236:K236"/>
    <mergeCell ref="P234:Q234"/>
    <mergeCell ref="R234:S234"/>
    <mergeCell ref="T234:U234"/>
    <mergeCell ref="V234:W234"/>
    <mergeCell ref="B235:C235"/>
    <mergeCell ref="D235:E235"/>
    <mergeCell ref="F235:G235"/>
    <mergeCell ref="H235:I235"/>
    <mergeCell ref="J235:K235"/>
    <mergeCell ref="L235:M235"/>
    <mergeCell ref="B239:C239"/>
    <mergeCell ref="D239:E239"/>
    <mergeCell ref="F239:G239"/>
    <mergeCell ref="H239:I239"/>
    <mergeCell ref="J239:K239"/>
    <mergeCell ref="L239:M239"/>
    <mergeCell ref="L238:M238"/>
    <mergeCell ref="N238:O238"/>
    <mergeCell ref="P238:Q238"/>
    <mergeCell ref="R238:S238"/>
    <mergeCell ref="T238:U238"/>
    <mergeCell ref="V238:W238"/>
    <mergeCell ref="N237:O237"/>
    <mergeCell ref="P237:Q237"/>
    <mergeCell ref="R237:S237"/>
    <mergeCell ref="T237:U237"/>
    <mergeCell ref="V237:W237"/>
    <mergeCell ref="B238:C238"/>
    <mergeCell ref="D238:E238"/>
    <mergeCell ref="F238:G238"/>
    <mergeCell ref="H238:I238"/>
    <mergeCell ref="J238:K238"/>
    <mergeCell ref="B237:C237"/>
    <mergeCell ref="D237:E237"/>
    <mergeCell ref="F237:G237"/>
    <mergeCell ref="H237:I237"/>
    <mergeCell ref="J237:K237"/>
    <mergeCell ref="L237:M237"/>
    <mergeCell ref="X241:Z241"/>
    <mergeCell ref="F242:O242"/>
    <mergeCell ref="D245:E245"/>
    <mergeCell ref="F245:G245"/>
    <mergeCell ref="H245:I245"/>
    <mergeCell ref="J245:K245"/>
    <mergeCell ref="L245:M245"/>
    <mergeCell ref="N245:O245"/>
    <mergeCell ref="P245:Q245"/>
    <mergeCell ref="R245:S245"/>
    <mergeCell ref="N239:O239"/>
    <mergeCell ref="P239:Q239"/>
    <mergeCell ref="R239:S239"/>
    <mergeCell ref="T239:U239"/>
    <mergeCell ref="V239:W239"/>
    <mergeCell ref="F241:Q241"/>
    <mergeCell ref="U241:W241"/>
    <mergeCell ref="O250:O252"/>
    <mergeCell ref="Q250:Q252"/>
    <mergeCell ref="S250:S252"/>
    <mergeCell ref="U250:U252"/>
    <mergeCell ref="W250:W252"/>
    <mergeCell ref="Z250:Z252"/>
    <mergeCell ref="S247:S249"/>
    <mergeCell ref="U247:U249"/>
    <mergeCell ref="W247:W249"/>
    <mergeCell ref="Z247:Z249"/>
    <mergeCell ref="A250:A252"/>
    <mergeCell ref="E250:E252"/>
    <mergeCell ref="G250:G252"/>
    <mergeCell ref="I250:I252"/>
    <mergeCell ref="K250:K252"/>
    <mergeCell ref="M250:M252"/>
    <mergeCell ref="T245:U245"/>
    <mergeCell ref="V245:W245"/>
    <mergeCell ref="A247:A249"/>
    <mergeCell ref="E247:E249"/>
    <mergeCell ref="G247:G249"/>
    <mergeCell ref="I247:I249"/>
    <mergeCell ref="K247:K249"/>
    <mergeCell ref="M247:M249"/>
    <mergeCell ref="O247:O249"/>
    <mergeCell ref="Q247:Q249"/>
    <mergeCell ref="O256:O258"/>
    <mergeCell ref="Q256:Q258"/>
    <mergeCell ref="S256:S258"/>
    <mergeCell ref="U256:U258"/>
    <mergeCell ref="W256:W258"/>
    <mergeCell ref="Z256:Z258"/>
    <mergeCell ref="A256:A258"/>
    <mergeCell ref="E256:E258"/>
    <mergeCell ref="G256:G258"/>
    <mergeCell ref="I256:I258"/>
    <mergeCell ref="K256:K258"/>
    <mergeCell ref="M256:M258"/>
    <mergeCell ref="O253:O255"/>
    <mergeCell ref="Q253:Q255"/>
    <mergeCell ref="S253:S255"/>
    <mergeCell ref="U253:U255"/>
    <mergeCell ref="W253:W255"/>
    <mergeCell ref="Z253:Z255"/>
    <mergeCell ref="A253:A255"/>
    <mergeCell ref="E253:E255"/>
    <mergeCell ref="G253:G255"/>
    <mergeCell ref="I253:I255"/>
    <mergeCell ref="K253:K255"/>
    <mergeCell ref="M253:M255"/>
    <mergeCell ref="P263:Q263"/>
    <mergeCell ref="R263:S263"/>
    <mergeCell ref="T263:U263"/>
    <mergeCell ref="V263:W263"/>
    <mergeCell ref="D264:E264"/>
    <mergeCell ref="F264:G264"/>
    <mergeCell ref="H264:I264"/>
    <mergeCell ref="J264:K264"/>
    <mergeCell ref="L264:M264"/>
    <mergeCell ref="N264:O264"/>
    <mergeCell ref="P262:Q262"/>
    <mergeCell ref="R262:S262"/>
    <mergeCell ref="T262:U262"/>
    <mergeCell ref="V262:W262"/>
    <mergeCell ref="D263:E263"/>
    <mergeCell ref="F263:G263"/>
    <mergeCell ref="H263:I263"/>
    <mergeCell ref="J263:K263"/>
    <mergeCell ref="L263:M263"/>
    <mergeCell ref="N263:O263"/>
    <mergeCell ref="D262:E262"/>
    <mergeCell ref="F262:G262"/>
    <mergeCell ref="H262:I262"/>
    <mergeCell ref="J262:K262"/>
    <mergeCell ref="L262:M262"/>
    <mergeCell ref="N262:O262"/>
    <mergeCell ref="L266:M266"/>
    <mergeCell ref="N266:O266"/>
    <mergeCell ref="P266:Q266"/>
    <mergeCell ref="R266:S266"/>
    <mergeCell ref="T266:U266"/>
    <mergeCell ref="V266:W266"/>
    <mergeCell ref="N265:O265"/>
    <mergeCell ref="P265:Q265"/>
    <mergeCell ref="R265:S265"/>
    <mergeCell ref="T265:U265"/>
    <mergeCell ref="V265:W265"/>
    <mergeCell ref="B266:C266"/>
    <mergeCell ref="D266:E266"/>
    <mergeCell ref="F266:G266"/>
    <mergeCell ref="H266:I266"/>
    <mergeCell ref="J266:K266"/>
    <mergeCell ref="P264:Q264"/>
    <mergeCell ref="R264:S264"/>
    <mergeCell ref="T264:U264"/>
    <mergeCell ref="V264:W264"/>
    <mergeCell ref="B265:C265"/>
    <mergeCell ref="D265:E265"/>
    <mergeCell ref="F265:G265"/>
    <mergeCell ref="H265:I265"/>
    <mergeCell ref="J265:K265"/>
    <mergeCell ref="L265:M265"/>
    <mergeCell ref="B269:C269"/>
    <mergeCell ref="D269:E269"/>
    <mergeCell ref="F269:G269"/>
    <mergeCell ref="H269:I269"/>
    <mergeCell ref="J269:K269"/>
    <mergeCell ref="L269:M269"/>
    <mergeCell ref="L268:M268"/>
    <mergeCell ref="N268:O268"/>
    <mergeCell ref="P268:Q268"/>
    <mergeCell ref="R268:S268"/>
    <mergeCell ref="T268:U268"/>
    <mergeCell ref="V268:W268"/>
    <mergeCell ref="N267:O267"/>
    <mergeCell ref="P267:Q267"/>
    <mergeCell ref="R267:S267"/>
    <mergeCell ref="T267:U267"/>
    <mergeCell ref="V267:W267"/>
    <mergeCell ref="B268:C268"/>
    <mergeCell ref="D268:E268"/>
    <mergeCell ref="F268:G268"/>
    <mergeCell ref="H268:I268"/>
    <mergeCell ref="J268:K268"/>
    <mergeCell ref="B267:C267"/>
    <mergeCell ref="D267:E267"/>
    <mergeCell ref="F267:G267"/>
    <mergeCell ref="H267:I267"/>
    <mergeCell ref="J267:K267"/>
    <mergeCell ref="L267:M267"/>
    <mergeCell ref="F272:O272"/>
    <mergeCell ref="X271:Z271"/>
    <mergeCell ref="D275:E275"/>
    <mergeCell ref="F275:G275"/>
    <mergeCell ref="H275:I275"/>
    <mergeCell ref="J275:K275"/>
    <mergeCell ref="L275:M275"/>
    <mergeCell ref="N275:O275"/>
    <mergeCell ref="P275:Q275"/>
    <mergeCell ref="R275:S275"/>
    <mergeCell ref="N269:O269"/>
    <mergeCell ref="P269:Q269"/>
    <mergeCell ref="R269:S269"/>
    <mergeCell ref="T269:U269"/>
    <mergeCell ref="V269:W269"/>
    <mergeCell ref="F271:Q271"/>
    <mergeCell ref="U271:W271"/>
    <mergeCell ref="O280:O282"/>
    <mergeCell ref="Q280:Q282"/>
    <mergeCell ref="S280:S282"/>
    <mergeCell ref="U280:U282"/>
    <mergeCell ref="W280:W282"/>
    <mergeCell ref="Z280:Z282"/>
    <mergeCell ref="S277:S279"/>
    <mergeCell ref="U277:U279"/>
    <mergeCell ref="W277:W279"/>
    <mergeCell ref="Z277:Z279"/>
    <mergeCell ref="A280:A282"/>
    <mergeCell ref="E280:E282"/>
    <mergeCell ref="G280:G282"/>
    <mergeCell ref="I280:I282"/>
    <mergeCell ref="K280:K282"/>
    <mergeCell ref="M280:M282"/>
    <mergeCell ref="T275:U275"/>
    <mergeCell ref="V275:W275"/>
    <mergeCell ref="A277:A279"/>
    <mergeCell ref="E277:E279"/>
    <mergeCell ref="G277:G279"/>
    <mergeCell ref="I277:I279"/>
    <mergeCell ref="K277:K279"/>
    <mergeCell ref="M277:M279"/>
    <mergeCell ref="O277:O279"/>
    <mergeCell ref="Q277:Q279"/>
    <mergeCell ref="O286:O288"/>
    <mergeCell ref="Q286:Q288"/>
    <mergeCell ref="S286:S288"/>
    <mergeCell ref="U286:U288"/>
    <mergeCell ref="W286:W288"/>
    <mergeCell ref="Z286:Z288"/>
    <mergeCell ref="A286:A288"/>
    <mergeCell ref="E286:E288"/>
    <mergeCell ref="G286:G288"/>
    <mergeCell ref="I286:I288"/>
    <mergeCell ref="K286:K288"/>
    <mergeCell ref="M286:M288"/>
    <mergeCell ref="O283:O285"/>
    <mergeCell ref="Q283:Q285"/>
    <mergeCell ref="S283:S285"/>
    <mergeCell ref="U283:U285"/>
    <mergeCell ref="W283:W285"/>
    <mergeCell ref="Z283:Z285"/>
    <mergeCell ref="A283:A285"/>
    <mergeCell ref="E283:E285"/>
    <mergeCell ref="G283:G285"/>
    <mergeCell ref="I283:I285"/>
    <mergeCell ref="K283:K285"/>
    <mergeCell ref="M283:M285"/>
    <mergeCell ref="P293:Q293"/>
    <mergeCell ref="R293:S293"/>
    <mergeCell ref="T293:U293"/>
    <mergeCell ref="V293:W293"/>
    <mergeCell ref="D294:E294"/>
    <mergeCell ref="F294:G294"/>
    <mergeCell ref="H294:I294"/>
    <mergeCell ref="J294:K294"/>
    <mergeCell ref="L294:M294"/>
    <mergeCell ref="N294:O294"/>
    <mergeCell ref="P292:Q292"/>
    <mergeCell ref="R292:S292"/>
    <mergeCell ref="T292:U292"/>
    <mergeCell ref="V292:W292"/>
    <mergeCell ref="D293:E293"/>
    <mergeCell ref="F293:G293"/>
    <mergeCell ref="H293:I293"/>
    <mergeCell ref="J293:K293"/>
    <mergeCell ref="L293:M293"/>
    <mergeCell ref="N293:O293"/>
    <mergeCell ref="D292:E292"/>
    <mergeCell ref="F292:G292"/>
    <mergeCell ref="H292:I292"/>
    <mergeCell ref="J292:K292"/>
    <mergeCell ref="L292:M292"/>
    <mergeCell ref="N292:O292"/>
    <mergeCell ref="N295:O295"/>
    <mergeCell ref="P295:Q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P294:Q294"/>
    <mergeCell ref="R294:S294"/>
    <mergeCell ref="T294:U294"/>
    <mergeCell ref="V294:W294"/>
    <mergeCell ref="B295:C295"/>
    <mergeCell ref="D295:E295"/>
    <mergeCell ref="F295:G295"/>
    <mergeCell ref="H295:I295"/>
    <mergeCell ref="J295:K295"/>
    <mergeCell ref="L295:M295"/>
    <mergeCell ref="N297:O297"/>
    <mergeCell ref="P297:Q297"/>
    <mergeCell ref="R297:S297"/>
    <mergeCell ref="T297:U297"/>
    <mergeCell ref="V297:W297"/>
    <mergeCell ref="B298:C298"/>
    <mergeCell ref="D298:E298"/>
    <mergeCell ref="F298:G298"/>
    <mergeCell ref="H298:I298"/>
    <mergeCell ref="J298:K298"/>
    <mergeCell ref="B297:C297"/>
    <mergeCell ref="D297:E297"/>
    <mergeCell ref="F297:G297"/>
    <mergeCell ref="H297:I297"/>
    <mergeCell ref="J297:K297"/>
    <mergeCell ref="L297:M297"/>
    <mergeCell ref="L296:M296"/>
    <mergeCell ref="N296:O296"/>
    <mergeCell ref="P296:Q296"/>
    <mergeCell ref="R296:S296"/>
    <mergeCell ref="T296:U296"/>
    <mergeCell ref="V296:W296"/>
    <mergeCell ref="V299:W299"/>
    <mergeCell ref="B299:C299"/>
    <mergeCell ref="D299:E299"/>
    <mergeCell ref="F299:G299"/>
    <mergeCell ref="H299:I299"/>
    <mergeCell ref="J299:K299"/>
    <mergeCell ref="L299:M299"/>
    <mergeCell ref="L298:M298"/>
    <mergeCell ref="N298:O298"/>
    <mergeCell ref="P298:Q298"/>
    <mergeCell ref="R298:S298"/>
    <mergeCell ref="T298:U298"/>
    <mergeCell ref="N299:O299"/>
    <mergeCell ref="P299:Q299"/>
    <mergeCell ref="R299:S299"/>
    <mergeCell ref="T299:U299"/>
    <mergeCell ref="V298:W298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27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Tabelle33">
    <tabColor rgb="FFFFFF00"/>
    <pageSetUpPr fitToPage="1"/>
  </sheetPr>
  <dimension ref="A1:AE26"/>
  <sheetViews>
    <sheetView workbookViewId="0">
      <selection activeCell="F22" sqref="F22:G22"/>
    </sheetView>
  </sheetViews>
  <sheetFormatPr baseColWidth="10" defaultColWidth="11.33203125" defaultRowHeight="12.75" x14ac:dyDescent="0.35"/>
  <cols>
    <col min="1" max="1" width="4.06640625" customWidth="1"/>
    <col min="2" max="2" width="18.33203125" customWidth="1"/>
    <col min="3" max="3" width="6.265625" customWidth="1"/>
    <col min="4" max="4" width="4.73046875" customWidth="1"/>
    <col min="5" max="5" width="6.265625" customWidth="1"/>
    <col min="6" max="6" width="4.73046875" customWidth="1"/>
    <col min="7" max="7" width="6.265625" customWidth="1"/>
    <col min="8" max="8" width="4.73046875" customWidth="1"/>
    <col min="9" max="9" width="6.265625" customWidth="1"/>
    <col min="10" max="10" width="4.73046875" customWidth="1"/>
    <col min="11" max="11" width="6.265625" customWidth="1"/>
    <col min="12" max="12" width="4.73046875" customWidth="1"/>
    <col min="13" max="13" width="6.265625" customWidth="1"/>
    <col min="14" max="14" width="4.73046875" customWidth="1"/>
    <col min="15" max="15" width="6.265625" customWidth="1"/>
    <col min="16" max="16" width="4.73046875" customWidth="1"/>
    <col min="17" max="17" width="6.265625" customWidth="1"/>
    <col min="18" max="18" width="4.73046875" customWidth="1"/>
    <col min="19" max="19" width="6.265625" customWidth="1"/>
    <col min="20" max="20" width="4.73046875" customWidth="1"/>
    <col min="21" max="21" width="9.33203125" customWidth="1"/>
    <col min="22" max="22" width="7.796875" customWidth="1"/>
    <col min="24" max="24" width="4.33203125" customWidth="1"/>
    <col min="27" max="27" width="14.796875" style="215" hidden="1" customWidth="1"/>
    <col min="28" max="28" width="6.33203125" style="215" hidden="1" customWidth="1"/>
    <col min="29" max="29" width="5" style="215" hidden="1" customWidth="1"/>
    <col min="30" max="30" width="5.06640625" style="215" hidden="1" customWidth="1"/>
    <col min="31" max="31" width="6" style="215" hidden="1" customWidth="1"/>
    <col min="32" max="52" width="11.33203125" customWidth="1"/>
  </cols>
  <sheetData>
    <row r="1" spans="1:31" ht="28.5" customHeight="1" x14ac:dyDescent="0.35">
      <c r="A1" s="382" t="str">
        <f>Schlüssel!$C$1</f>
        <v>Bayernliga Frauen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5"/>
      <c r="Y1" s="5"/>
      <c r="AA1" s="215" t="s">
        <v>2080</v>
      </c>
    </row>
    <row r="2" spans="1:31" ht="28.5" customHeight="1" x14ac:dyDescent="0.35">
      <c r="A2" s="383" t="str">
        <f>"Saison "&amp;Spielorte!C18&amp;"     -     Spieltag "&amp;Erfassung6!AS2&amp;"     -     "&amp;Erfassung6!AT1</f>
        <v>Saison 2024/2025     -     Spieltag 6     -     05.04./06.04.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5"/>
      <c r="Y2" s="5"/>
    </row>
    <row r="3" spans="1:31" ht="28.5" customHeight="1" x14ac:dyDescent="0.35">
      <c r="A3" s="383" t="str">
        <f>+Erfassung6!AE2</f>
        <v>Schweinfurt Extreme Bowlingarena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5"/>
      <c r="Y3" s="5"/>
    </row>
    <row r="4" spans="1:31" ht="28.5" customHeight="1" thickBot="1" x14ac:dyDescent="0.6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35">
      <c r="A5" s="386" t="s">
        <v>1816</v>
      </c>
      <c r="B5" s="388" t="s">
        <v>1817</v>
      </c>
      <c r="C5" s="376" t="s">
        <v>1800</v>
      </c>
      <c r="D5" s="377"/>
      <c r="E5" s="376" t="s">
        <v>1801</v>
      </c>
      <c r="F5" s="377"/>
      <c r="G5" s="376" t="s">
        <v>1802</v>
      </c>
      <c r="H5" s="377"/>
      <c r="I5" s="376" t="s">
        <v>1803</v>
      </c>
      <c r="J5" s="377"/>
      <c r="K5" s="376" t="s">
        <v>1804</v>
      </c>
      <c r="L5" s="377"/>
      <c r="M5" s="376" t="s">
        <v>1805</v>
      </c>
      <c r="N5" s="377"/>
      <c r="O5" s="376" t="s">
        <v>1806</v>
      </c>
      <c r="P5" s="377"/>
      <c r="Q5" s="376" t="s">
        <v>1807</v>
      </c>
      <c r="R5" s="377"/>
      <c r="S5" s="378" t="s">
        <v>1808</v>
      </c>
      <c r="T5" s="377"/>
      <c r="U5" s="376" t="s">
        <v>1799</v>
      </c>
      <c r="V5" s="377"/>
      <c r="W5" s="384" t="s">
        <v>1818</v>
      </c>
    </row>
    <row r="6" spans="1:31" ht="13.15" thickBot="1" x14ac:dyDescent="0.4">
      <c r="A6" s="387"/>
      <c r="B6" s="389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5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4">
      <c r="A7" s="223">
        <v>1</v>
      </c>
      <c r="B7" s="128" t="str">
        <f>INDEX(Erfassung6!$AA:$AA,MATCH($A7,Erfassung6!$BR:$BR,0)-17)</f>
        <v>Praetoria Regensburg</v>
      </c>
      <c r="C7" s="129">
        <f>INDEX(Erfassung6!AC:AC,MATCH($A7,Erfassung6!$BR:$BR,0)-1)</f>
        <v>0</v>
      </c>
      <c r="D7" s="130">
        <f>INDEX(Erfassung6!AD:AD,MATCH($A7,Erfassung6!$BR:$BR,0))</f>
        <v>0</v>
      </c>
      <c r="E7" s="129">
        <f>INDEX(Erfassung6!AE:AE,MATCH($A7,Erfassung6!$BR:$BR,0)-1)</f>
        <v>0</v>
      </c>
      <c r="F7" s="130">
        <f>INDEX(Erfassung6!AF:AF,MATCH($A7,Erfassung6!$BR:$BR,0))</f>
        <v>0</v>
      </c>
      <c r="G7" s="129">
        <f>INDEX(Erfassung6!AG:AG,MATCH($A7,Erfassung6!$BR:$BR,0)-1)</f>
        <v>0</v>
      </c>
      <c r="H7" s="130">
        <f>INDEX(Erfassung6!AH:AH,MATCH($A7,Erfassung6!$BR:$BR,0))</f>
        <v>0</v>
      </c>
      <c r="I7" s="129">
        <f>INDEX(Erfassung6!AI:AI,MATCH($A7,Erfassung6!$BR:$BR,0)-1)</f>
        <v>0</v>
      </c>
      <c r="J7" s="130">
        <f>INDEX(Erfassung6!AJ:AJ,MATCH($A7,Erfassung6!$BR:$BR,0))</f>
        <v>0</v>
      </c>
      <c r="K7" s="129">
        <f>INDEX(Erfassung6!AK:AK,MATCH($A7,Erfassung6!$BR:$BR,0)-1)</f>
        <v>0</v>
      </c>
      <c r="L7" s="130">
        <f>INDEX(Erfassung6!AL:AL,MATCH($A7,Erfassung6!$BR:$BR,0))</f>
        <v>0</v>
      </c>
      <c r="M7" s="129">
        <f>INDEX(Erfassung6!AM:AM,MATCH($A7,Erfassung6!$BR:$BR,0)-1)</f>
        <v>0</v>
      </c>
      <c r="N7" s="130">
        <f>INDEX(Erfassung6!AN:AN,MATCH($A7,Erfassung6!$BR:$BR,0))</f>
        <v>0</v>
      </c>
      <c r="O7" s="129">
        <f>INDEX(Erfassung6!AO:AO,MATCH($A7,Erfassung6!$BR:$BR,0)-1)</f>
        <v>0</v>
      </c>
      <c r="P7" s="130">
        <f>INDEX(Erfassung6!AP:AP,MATCH($A7,Erfassung6!$BR:$BR,0))</f>
        <v>0</v>
      </c>
      <c r="Q7" s="129">
        <f>INDEX(Erfassung6!AQ:AQ,MATCH($A7,Erfassung6!$BR:$BR,0)-1)</f>
        <v>0</v>
      </c>
      <c r="R7" s="130">
        <f>INDEX(Erfassung6!AR:AR,MATCH($A7,Erfassung6!$BR:$BR,0))</f>
        <v>0</v>
      </c>
      <c r="S7" s="129">
        <f>INDEX(Erfassung6!AS:AS,MATCH($A7,Erfassung6!$BR:$BR,0)-1)</f>
        <v>0</v>
      </c>
      <c r="T7" s="130">
        <f>INDEX(Erfassung6!AT:AT,MATCH($A7,Erfassung6!$BR:$BR,0))</f>
        <v>0</v>
      </c>
      <c r="U7" s="131">
        <f t="shared" ref="U7:V16" si="0">SUM(C7+E7+G7+I7+K7+M7+O7+Q7+S7)</f>
        <v>0</v>
      </c>
      <c r="V7" s="132">
        <f t="shared" si="0"/>
        <v>0</v>
      </c>
      <c r="W7" s="224">
        <f>IFERROR(U7/INDEX(Erfassung6!BF:BF,MATCH(A7,Erfassung6!BR:BR,0)),0)</f>
        <v>0</v>
      </c>
      <c r="X7" s="25"/>
      <c r="AA7" s="225" t="e">
        <f>INDEX(TabGes5!M:M,MATCH($B7,TabGes5!$B:$B,0))+U7</f>
        <v>#N/A</v>
      </c>
      <c r="AB7" s="225" t="e">
        <f>INDEX(TabGes5!N:N,MATCH($B7,TabGes5!$B:$B,0))+V7</f>
        <v>#N/A</v>
      </c>
      <c r="AC7" s="215" t="e">
        <f>+AB7+AA7/1000000000</f>
        <v>#N/A</v>
      </c>
      <c r="AD7" s="215" t="e">
        <f>RANK(AC7,AC:AC)</f>
        <v>#N/A</v>
      </c>
      <c r="AE7" s="215">
        <f>INDEX(Tabelle5!AE:AE,MATCH(B7,Tabelle5!B:B,0))+SUMIF(Erfassung6!BU:BU,B7,Erfassung6!BF:BF)</f>
        <v>144</v>
      </c>
    </row>
    <row r="8" spans="1:31" ht="42" customHeight="1" thickBot="1" x14ac:dyDescent="0.4">
      <c r="A8" s="223">
        <v>2</v>
      </c>
      <c r="B8" s="128" t="e">
        <f>INDEX(Erfassung6!$AA:$AA,MATCH($A8,Erfassung6!$BR:$BR,0)-17)</f>
        <v>#N/A</v>
      </c>
      <c r="C8" s="129" t="e">
        <f>INDEX(Erfassung6!AC:AC,MATCH($A8,Erfassung6!$BR:$BR,0)-1)</f>
        <v>#N/A</v>
      </c>
      <c r="D8" s="130" t="e">
        <f>INDEX(Erfassung6!AD:AD,MATCH($A8,Erfassung6!$BR:$BR,0))</f>
        <v>#N/A</v>
      </c>
      <c r="E8" s="129" t="e">
        <f>INDEX(Erfassung6!AE:AE,MATCH($A8,Erfassung6!$BR:$BR,0)-1)</f>
        <v>#N/A</v>
      </c>
      <c r="F8" s="130" t="e">
        <f>INDEX(Erfassung6!AF:AF,MATCH($A8,Erfassung6!$BR:$BR,0))</f>
        <v>#N/A</v>
      </c>
      <c r="G8" s="129" t="e">
        <f>INDEX(Erfassung6!AG:AG,MATCH($A8,Erfassung6!$BR:$BR,0)-1)</f>
        <v>#N/A</v>
      </c>
      <c r="H8" s="130" t="e">
        <f>INDEX(Erfassung6!AH:AH,MATCH($A8,Erfassung6!$BR:$BR,0))</f>
        <v>#N/A</v>
      </c>
      <c r="I8" s="129" t="e">
        <f>INDEX(Erfassung6!AI:AI,MATCH($A8,Erfassung6!$BR:$BR,0)-1)</f>
        <v>#N/A</v>
      </c>
      <c r="J8" s="130" t="e">
        <f>INDEX(Erfassung6!AJ:AJ,MATCH($A8,Erfassung6!$BR:$BR,0))</f>
        <v>#N/A</v>
      </c>
      <c r="K8" s="129" t="e">
        <f>INDEX(Erfassung6!AK:AK,MATCH($A8,Erfassung6!$BR:$BR,0)-1)</f>
        <v>#N/A</v>
      </c>
      <c r="L8" s="130" t="e">
        <f>INDEX(Erfassung6!AL:AL,MATCH($A8,Erfassung6!$BR:$BR,0))</f>
        <v>#N/A</v>
      </c>
      <c r="M8" s="129" t="e">
        <f>INDEX(Erfassung6!AM:AM,MATCH($A8,Erfassung6!$BR:$BR,0)-1)</f>
        <v>#N/A</v>
      </c>
      <c r="N8" s="130" t="e">
        <f>INDEX(Erfassung6!AN:AN,MATCH($A8,Erfassung6!$BR:$BR,0))</f>
        <v>#N/A</v>
      </c>
      <c r="O8" s="129" t="e">
        <f>INDEX(Erfassung6!AO:AO,MATCH($A8,Erfassung6!$BR:$BR,0)-1)</f>
        <v>#N/A</v>
      </c>
      <c r="P8" s="130" t="e">
        <f>INDEX(Erfassung6!AP:AP,MATCH($A8,Erfassung6!$BR:$BR,0))</f>
        <v>#N/A</v>
      </c>
      <c r="Q8" s="129" t="e">
        <f>INDEX(Erfassung6!AQ:AQ,MATCH($A8,Erfassung6!$BR:$BR,0)-1)</f>
        <v>#N/A</v>
      </c>
      <c r="R8" s="130" t="e">
        <f>INDEX(Erfassung6!AR:AR,MATCH($A8,Erfassung6!$BR:$BR,0))</f>
        <v>#N/A</v>
      </c>
      <c r="S8" s="129" t="e">
        <f>INDEX(Erfassung6!AS:AS,MATCH($A8,Erfassung6!$BR:$BR,0)-1)</f>
        <v>#N/A</v>
      </c>
      <c r="T8" s="130" t="e">
        <f>INDEX(Erfassung6!AT:AT,MATCH($A8,Erfassung6!$BR:$BR,0))</f>
        <v>#N/A</v>
      </c>
      <c r="U8" s="131" t="e">
        <f t="shared" si="0"/>
        <v>#N/A</v>
      </c>
      <c r="V8" s="132" t="e">
        <f t="shared" si="0"/>
        <v>#N/A</v>
      </c>
      <c r="W8" s="224">
        <f>IFERROR(U8/INDEX(Erfassung6!BF:BF,MATCH(A8,Erfassung6!BR:BR,0)),0)</f>
        <v>0</v>
      </c>
      <c r="X8" s="25"/>
      <c r="AA8" s="225" t="e">
        <f>INDEX(TabGes5!M:M,MATCH($B8,TabGes5!$B:$B,0))+U8</f>
        <v>#N/A</v>
      </c>
      <c r="AB8" s="225" t="e">
        <f>INDEX(TabGes5!N:N,MATCH($B8,TabGes5!$B:$B,0))+V8</f>
        <v>#N/A</v>
      </c>
      <c r="AC8" s="215" t="e">
        <f t="shared" ref="AC8:AC16" si="1">+AB8+AA8/1000000000</f>
        <v>#N/A</v>
      </c>
      <c r="AD8" s="215" t="e">
        <f t="shared" ref="AD8:AD16" si="2">RANK(AC8,AC:AC)</f>
        <v>#N/A</v>
      </c>
      <c r="AE8" s="215" t="e">
        <f>INDEX(Tabelle5!AE:AE,MATCH(B8,Tabelle5!B:B,0))+SUMIF(Erfassung6!BU:BU,B8,Erfassung6!BF:BF)</f>
        <v>#N/A</v>
      </c>
    </row>
    <row r="9" spans="1:31" ht="42" customHeight="1" thickBot="1" x14ac:dyDescent="0.4">
      <c r="A9" s="223">
        <v>3</v>
      </c>
      <c r="B9" s="128" t="e">
        <f>INDEX(Erfassung6!$AA:$AA,MATCH($A9,Erfassung6!$BR:$BR,0)-17)</f>
        <v>#N/A</v>
      </c>
      <c r="C9" s="129" t="e">
        <f>INDEX(Erfassung6!AC:AC,MATCH($A9,Erfassung6!$BR:$BR,0)-1)</f>
        <v>#N/A</v>
      </c>
      <c r="D9" s="130" t="e">
        <f>INDEX(Erfassung6!AD:AD,MATCH($A9,Erfassung6!$BR:$BR,0))</f>
        <v>#N/A</v>
      </c>
      <c r="E9" s="129" t="e">
        <f>INDEX(Erfassung6!AE:AE,MATCH($A9,Erfassung6!$BR:$BR,0)-1)</f>
        <v>#N/A</v>
      </c>
      <c r="F9" s="130" t="e">
        <f>INDEX(Erfassung6!AF:AF,MATCH($A9,Erfassung6!$BR:$BR,0))</f>
        <v>#N/A</v>
      </c>
      <c r="G9" s="129" t="e">
        <f>INDEX(Erfassung6!AG:AG,MATCH($A9,Erfassung6!$BR:$BR,0)-1)</f>
        <v>#N/A</v>
      </c>
      <c r="H9" s="130" t="e">
        <f>INDEX(Erfassung6!AH:AH,MATCH($A9,Erfassung6!$BR:$BR,0))</f>
        <v>#N/A</v>
      </c>
      <c r="I9" s="129" t="e">
        <f>INDEX(Erfassung6!AI:AI,MATCH($A9,Erfassung6!$BR:$BR,0)-1)</f>
        <v>#N/A</v>
      </c>
      <c r="J9" s="130" t="e">
        <f>INDEX(Erfassung6!AJ:AJ,MATCH($A9,Erfassung6!$BR:$BR,0))</f>
        <v>#N/A</v>
      </c>
      <c r="K9" s="129" t="e">
        <f>INDEX(Erfassung6!AK:AK,MATCH($A9,Erfassung6!$BR:$BR,0)-1)</f>
        <v>#N/A</v>
      </c>
      <c r="L9" s="130" t="e">
        <f>INDEX(Erfassung6!AL:AL,MATCH($A9,Erfassung6!$BR:$BR,0))</f>
        <v>#N/A</v>
      </c>
      <c r="M9" s="129" t="e">
        <f>INDEX(Erfassung6!AM:AM,MATCH($A9,Erfassung6!$BR:$BR,0)-1)</f>
        <v>#N/A</v>
      </c>
      <c r="N9" s="130" t="e">
        <f>INDEX(Erfassung6!AN:AN,MATCH($A9,Erfassung6!$BR:$BR,0))</f>
        <v>#N/A</v>
      </c>
      <c r="O9" s="129" t="e">
        <f>INDEX(Erfassung6!AO:AO,MATCH($A9,Erfassung6!$BR:$BR,0)-1)</f>
        <v>#N/A</v>
      </c>
      <c r="P9" s="130" t="e">
        <f>INDEX(Erfassung6!AP:AP,MATCH($A9,Erfassung6!$BR:$BR,0))</f>
        <v>#N/A</v>
      </c>
      <c r="Q9" s="129" t="e">
        <f>INDEX(Erfassung6!AQ:AQ,MATCH($A9,Erfassung6!$BR:$BR,0)-1)</f>
        <v>#N/A</v>
      </c>
      <c r="R9" s="130" t="e">
        <f>INDEX(Erfassung6!AR:AR,MATCH($A9,Erfassung6!$BR:$BR,0))</f>
        <v>#N/A</v>
      </c>
      <c r="S9" s="129" t="e">
        <f>INDEX(Erfassung6!AS:AS,MATCH($A9,Erfassung6!$BR:$BR,0)-1)</f>
        <v>#N/A</v>
      </c>
      <c r="T9" s="130" t="e">
        <f>INDEX(Erfassung6!AT:AT,MATCH($A9,Erfassung6!$BR:$BR,0))</f>
        <v>#N/A</v>
      </c>
      <c r="U9" s="131" t="e">
        <f t="shared" si="0"/>
        <v>#N/A</v>
      </c>
      <c r="V9" s="132" t="e">
        <f t="shared" si="0"/>
        <v>#N/A</v>
      </c>
      <c r="W9" s="224">
        <f>IFERROR(U9/INDEX(Erfassung6!BF:BF,MATCH(A9,Erfassung6!BR:BR,0)),0)</f>
        <v>0</v>
      </c>
      <c r="X9" s="25"/>
      <c r="AA9" s="225" t="e">
        <f>INDEX(TabGes5!M:M,MATCH($B9,TabGes5!$B:$B,0))+U9</f>
        <v>#N/A</v>
      </c>
      <c r="AB9" s="225" t="e">
        <f>INDEX(TabGes5!N:N,MATCH($B9,TabGes5!$B:$B,0))+V9</f>
        <v>#N/A</v>
      </c>
      <c r="AC9" s="215" t="e">
        <f t="shared" si="1"/>
        <v>#N/A</v>
      </c>
      <c r="AD9" s="215" t="e">
        <f t="shared" si="2"/>
        <v>#N/A</v>
      </c>
      <c r="AE9" s="215" t="e">
        <f>INDEX(Tabelle5!AE:AE,MATCH(B9,Tabelle5!B:B,0))+SUMIF(Erfassung6!BU:BU,B9,Erfassung6!BF:BF)</f>
        <v>#N/A</v>
      </c>
    </row>
    <row r="10" spans="1:31" ht="42" customHeight="1" thickBot="1" x14ac:dyDescent="0.4">
      <c r="A10" s="223">
        <v>4</v>
      </c>
      <c r="B10" s="128" t="e">
        <f>INDEX(Erfassung6!$AA:$AA,MATCH($A10,Erfassung6!$BR:$BR,0)-17)</f>
        <v>#N/A</v>
      </c>
      <c r="C10" s="129" t="e">
        <f>INDEX(Erfassung6!AC:AC,MATCH($A10,Erfassung6!$BR:$BR,0)-1)</f>
        <v>#N/A</v>
      </c>
      <c r="D10" s="130" t="e">
        <f>INDEX(Erfassung6!AD:AD,MATCH($A10,Erfassung6!$BR:$BR,0))</f>
        <v>#N/A</v>
      </c>
      <c r="E10" s="129" t="e">
        <f>INDEX(Erfassung6!AE:AE,MATCH($A10,Erfassung6!$BR:$BR,0)-1)</f>
        <v>#N/A</v>
      </c>
      <c r="F10" s="130" t="e">
        <f>INDEX(Erfassung6!AF:AF,MATCH($A10,Erfassung6!$BR:$BR,0))</f>
        <v>#N/A</v>
      </c>
      <c r="G10" s="129" t="e">
        <f>INDEX(Erfassung6!AG:AG,MATCH($A10,Erfassung6!$BR:$BR,0)-1)</f>
        <v>#N/A</v>
      </c>
      <c r="H10" s="130" t="e">
        <f>INDEX(Erfassung6!AH:AH,MATCH($A10,Erfassung6!$BR:$BR,0))</f>
        <v>#N/A</v>
      </c>
      <c r="I10" s="129" t="e">
        <f>INDEX(Erfassung6!AI:AI,MATCH($A10,Erfassung6!$BR:$BR,0)-1)</f>
        <v>#N/A</v>
      </c>
      <c r="J10" s="130" t="e">
        <f>INDEX(Erfassung6!AJ:AJ,MATCH($A10,Erfassung6!$BR:$BR,0))</f>
        <v>#N/A</v>
      </c>
      <c r="K10" s="129" t="e">
        <f>INDEX(Erfassung6!AK:AK,MATCH($A10,Erfassung6!$BR:$BR,0)-1)</f>
        <v>#N/A</v>
      </c>
      <c r="L10" s="130" t="e">
        <f>INDEX(Erfassung6!AL:AL,MATCH($A10,Erfassung6!$BR:$BR,0))</f>
        <v>#N/A</v>
      </c>
      <c r="M10" s="129" t="e">
        <f>INDEX(Erfassung6!AM:AM,MATCH($A10,Erfassung6!$BR:$BR,0)-1)</f>
        <v>#N/A</v>
      </c>
      <c r="N10" s="130" t="e">
        <f>INDEX(Erfassung6!AN:AN,MATCH($A10,Erfassung6!$BR:$BR,0))</f>
        <v>#N/A</v>
      </c>
      <c r="O10" s="129" t="e">
        <f>INDEX(Erfassung6!AO:AO,MATCH($A10,Erfassung6!$BR:$BR,0)-1)</f>
        <v>#N/A</v>
      </c>
      <c r="P10" s="130" t="e">
        <f>INDEX(Erfassung6!AP:AP,MATCH($A10,Erfassung6!$BR:$BR,0))</f>
        <v>#N/A</v>
      </c>
      <c r="Q10" s="129" t="e">
        <f>INDEX(Erfassung6!AQ:AQ,MATCH($A10,Erfassung6!$BR:$BR,0)-1)</f>
        <v>#N/A</v>
      </c>
      <c r="R10" s="130" t="e">
        <f>INDEX(Erfassung6!AR:AR,MATCH($A10,Erfassung6!$BR:$BR,0))</f>
        <v>#N/A</v>
      </c>
      <c r="S10" s="129" t="e">
        <f>INDEX(Erfassung6!AS:AS,MATCH($A10,Erfassung6!$BR:$BR,0)-1)</f>
        <v>#N/A</v>
      </c>
      <c r="T10" s="130" t="e">
        <f>INDEX(Erfassung6!AT:AT,MATCH($A10,Erfassung6!$BR:$BR,0))</f>
        <v>#N/A</v>
      </c>
      <c r="U10" s="131" t="e">
        <f t="shared" si="0"/>
        <v>#N/A</v>
      </c>
      <c r="V10" s="132" t="e">
        <f t="shared" si="0"/>
        <v>#N/A</v>
      </c>
      <c r="W10" s="224">
        <f>IFERROR(U10/INDEX(Erfassung6!BF:BF,MATCH(A10,Erfassung6!BR:BR,0)),0)</f>
        <v>0</v>
      </c>
      <c r="X10" s="25"/>
      <c r="AA10" s="225" t="e">
        <f>INDEX(TabGes5!M:M,MATCH($B10,TabGes5!$B:$B,0))+U10</f>
        <v>#N/A</v>
      </c>
      <c r="AB10" s="225" t="e">
        <f>INDEX(TabGes5!N:N,MATCH($B10,TabGes5!$B:$B,0))+V10</f>
        <v>#N/A</v>
      </c>
      <c r="AC10" s="215" t="e">
        <f t="shared" si="1"/>
        <v>#N/A</v>
      </c>
      <c r="AD10" s="215" t="e">
        <f t="shared" si="2"/>
        <v>#N/A</v>
      </c>
      <c r="AE10" s="215" t="e">
        <f>INDEX(Tabelle5!AE:AE,MATCH(B10,Tabelle5!B:B,0))+SUMIF(Erfassung6!BU:BU,B10,Erfassung6!BF:BF)</f>
        <v>#N/A</v>
      </c>
    </row>
    <row r="11" spans="1:31" ht="42" customHeight="1" thickBot="1" x14ac:dyDescent="0.4">
      <c r="A11" s="223">
        <v>5</v>
      </c>
      <c r="B11" s="128" t="e">
        <f>INDEX(Erfassung6!$AA:$AA,MATCH($A11,Erfassung6!$BR:$BR,0)-17)</f>
        <v>#N/A</v>
      </c>
      <c r="C11" s="129" t="e">
        <f>INDEX(Erfassung6!AC:AC,MATCH($A11,Erfassung6!$BR:$BR,0)-1)</f>
        <v>#N/A</v>
      </c>
      <c r="D11" s="130" t="e">
        <f>INDEX(Erfassung6!AD:AD,MATCH($A11,Erfassung6!$BR:$BR,0))</f>
        <v>#N/A</v>
      </c>
      <c r="E11" s="129" t="e">
        <f>INDEX(Erfassung6!AE:AE,MATCH($A11,Erfassung6!$BR:$BR,0)-1)</f>
        <v>#N/A</v>
      </c>
      <c r="F11" s="130" t="e">
        <f>INDEX(Erfassung6!AF:AF,MATCH($A11,Erfassung6!$BR:$BR,0))</f>
        <v>#N/A</v>
      </c>
      <c r="G11" s="129" t="e">
        <f>INDEX(Erfassung6!AG:AG,MATCH($A11,Erfassung6!$BR:$BR,0)-1)</f>
        <v>#N/A</v>
      </c>
      <c r="H11" s="130" t="e">
        <f>INDEX(Erfassung6!AH:AH,MATCH($A11,Erfassung6!$BR:$BR,0))</f>
        <v>#N/A</v>
      </c>
      <c r="I11" s="129" t="e">
        <f>INDEX(Erfassung6!AI:AI,MATCH($A11,Erfassung6!$BR:$BR,0)-1)</f>
        <v>#N/A</v>
      </c>
      <c r="J11" s="130" t="e">
        <f>INDEX(Erfassung6!AJ:AJ,MATCH($A11,Erfassung6!$BR:$BR,0))</f>
        <v>#N/A</v>
      </c>
      <c r="K11" s="129" t="e">
        <f>INDEX(Erfassung6!AK:AK,MATCH($A11,Erfassung6!$BR:$BR,0)-1)</f>
        <v>#N/A</v>
      </c>
      <c r="L11" s="130" t="e">
        <f>INDEX(Erfassung6!AL:AL,MATCH($A11,Erfassung6!$BR:$BR,0))</f>
        <v>#N/A</v>
      </c>
      <c r="M11" s="129" t="e">
        <f>INDEX(Erfassung6!AM:AM,MATCH($A11,Erfassung6!$BR:$BR,0)-1)</f>
        <v>#N/A</v>
      </c>
      <c r="N11" s="130" t="e">
        <f>INDEX(Erfassung6!AN:AN,MATCH($A11,Erfassung6!$BR:$BR,0))</f>
        <v>#N/A</v>
      </c>
      <c r="O11" s="129" t="e">
        <f>INDEX(Erfassung6!AO:AO,MATCH($A11,Erfassung6!$BR:$BR,0)-1)</f>
        <v>#N/A</v>
      </c>
      <c r="P11" s="130" t="e">
        <f>INDEX(Erfassung6!AP:AP,MATCH($A11,Erfassung6!$BR:$BR,0))</f>
        <v>#N/A</v>
      </c>
      <c r="Q11" s="129" t="e">
        <f>INDEX(Erfassung6!AQ:AQ,MATCH($A11,Erfassung6!$BR:$BR,0)-1)</f>
        <v>#N/A</v>
      </c>
      <c r="R11" s="130" t="e">
        <f>INDEX(Erfassung6!AR:AR,MATCH($A11,Erfassung6!$BR:$BR,0))</f>
        <v>#N/A</v>
      </c>
      <c r="S11" s="129" t="e">
        <f>INDEX(Erfassung6!AS:AS,MATCH($A11,Erfassung6!$BR:$BR,0)-1)</f>
        <v>#N/A</v>
      </c>
      <c r="T11" s="130" t="e">
        <f>INDEX(Erfassung6!AT:AT,MATCH($A11,Erfassung6!$BR:$BR,0))</f>
        <v>#N/A</v>
      </c>
      <c r="U11" s="131" t="e">
        <f t="shared" si="0"/>
        <v>#N/A</v>
      </c>
      <c r="V11" s="132" t="e">
        <f t="shared" si="0"/>
        <v>#N/A</v>
      </c>
      <c r="W11" s="224">
        <f>IFERROR(U11/INDEX(Erfassung6!BF:BF,MATCH(A11,Erfassung6!BR:BR,0)),0)</f>
        <v>0</v>
      </c>
      <c r="X11" s="25"/>
      <c r="AA11" s="225" t="e">
        <f>INDEX(TabGes5!M:M,MATCH($B11,TabGes5!$B:$B,0))+U11</f>
        <v>#N/A</v>
      </c>
      <c r="AB11" s="225" t="e">
        <f>INDEX(TabGes5!N:N,MATCH($B11,TabGes5!$B:$B,0))+V11</f>
        <v>#N/A</v>
      </c>
      <c r="AC11" s="215" t="e">
        <f t="shared" si="1"/>
        <v>#N/A</v>
      </c>
      <c r="AD11" s="215" t="e">
        <f t="shared" si="2"/>
        <v>#N/A</v>
      </c>
      <c r="AE11" s="215" t="e">
        <f>INDEX(Tabelle5!AE:AE,MATCH(B11,Tabelle5!B:B,0))+SUMIF(Erfassung6!BU:BU,B11,Erfassung6!BF:BF)</f>
        <v>#N/A</v>
      </c>
    </row>
    <row r="12" spans="1:31" ht="42" customHeight="1" thickBot="1" x14ac:dyDescent="0.4">
      <c r="A12" s="223">
        <v>6</v>
      </c>
      <c r="B12" s="128" t="e">
        <f>INDEX(Erfassung6!$AA:$AA,MATCH($A12,Erfassung6!$BR:$BR,0)-17)</f>
        <v>#N/A</v>
      </c>
      <c r="C12" s="129" t="e">
        <f>INDEX(Erfassung6!AC:AC,MATCH($A12,Erfassung6!$BR:$BR,0)-1)</f>
        <v>#N/A</v>
      </c>
      <c r="D12" s="130" t="e">
        <f>INDEX(Erfassung6!AD:AD,MATCH($A12,Erfassung6!$BR:$BR,0))</f>
        <v>#N/A</v>
      </c>
      <c r="E12" s="129" t="e">
        <f>INDEX(Erfassung6!AE:AE,MATCH($A12,Erfassung6!$BR:$BR,0)-1)</f>
        <v>#N/A</v>
      </c>
      <c r="F12" s="130" t="e">
        <f>INDEX(Erfassung6!AF:AF,MATCH($A12,Erfassung6!$BR:$BR,0))</f>
        <v>#N/A</v>
      </c>
      <c r="G12" s="129" t="e">
        <f>INDEX(Erfassung6!AG:AG,MATCH($A12,Erfassung6!$BR:$BR,0)-1)</f>
        <v>#N/A</v>
      </c>
      <c r="H12" s="130" t="e">
        <f>INDEX(Erfassung6!AH:AH,MATCH($A12,Erfassung6!$BR:$BR,0))</f>
        <v>#N/A</v>
      </c>
      <c r="I12" s="129" t="e">
        <f>INDEX(Erfassung6!AI:AI,MATCH($A12,Erfassung6!$BR:$BR,0)-1)</f>
        <v>#N/A</v>
      </c>
      <c r="J12" s="130" t="e">
        <f>INDEX(Erfassung6!AJ:AJ,MATCH($A12,Erfassung6!$BR:$BR,0))</f>
        <v>#N/A</v>
      </c>
      <c r="K12" s="129" t="e">
        <f>INDEX(Erfassung6!AK:AK,MATCH($A12,Erfassung6!$BR:$BR,0)-1)</f>
        <v>#N/A</v>
      </c>
      <c r="L12" s="130" t="e">
        <f>INDEX(Erfassung6!AL:AL,MATCH($A12,Erfassung6!$BR:$BR,0))</f>
        <v>#N/A</v>
      </c>
      <c r="M12" s="129" t="e">
        <f>INDEX(Erfassung6!AM:AM,MATCH($A12,Erfassung6!$BR:$BR,0)-1)</f>
        <v>#N/A</v>
      </c>
      <c r="N12" s="130" t="e">
        <f>INDEX(Erfassung6!AN:AN,MATCH($A12,Erfassung6!$BR:$BR,0))</f>
        <v>#N/A</v>
      </c>
      <c r="O12" s="129" t="e">
        <f>INDEX(Erfassung6!AO:AO,MATCH($A12,Erfassung6!$BR:$BR,0)-1)</f>
        <v>#N/A</v>
      </c>
      <c r="P12" s="130" t="e">
        <f>INDEX(Erfassung6!AP:AP,MATCH($A12,Erfassung6!$BR:$BR,0))</f>
        <v>#N/A</v>
      </c>
      <c r="Q12" s="129" t="e">
        <f>INDEX(Erfassung6!AQ:AQ,MATCH($A12,Erfassung6!$BR:$BR,0)-1)</f>
        <v>#N/A</v>
      </c>
      <c r="R12" s="130" t="e">
        <f>INDEX(Erfassung6!AR:AR,MATCH($A12,Erfassung6!$BR:$BR,0))</f>
        <v>#N/A</v>
      </c>
      <c r="S12" s="129" t="e">
        <f>INDEX(Erfassung6!AS:AS,MATCH($A12,Erfassung6!$BR:$BR,0)-1)</f>
        <v>#N/A</v>
      </c>
      <c r="T12" s="130" t="e">
        <f>INDEX(Erfassung6!AT:AT,MATCH($A12,Erfassung6!$BR:$BR,0))</f>
        <v>#N/A</v>
      </c>
      <c r="U12" s="131" t="e">
        <f t="shared" si="0"/>
        <v>#N/A</v>
      </c>
      <c r="V12" s="132" t="e">
        <f t="shared" si="0"/>
        <v>#N/A</v>
      </c>
      <c r="W12" s="224">
        <f>IFERROR(U12/INDEX(Erfassung6!BF:BF,MATCH(A12,Erfassung6!BR:BR,0)),0)</f>
        <v>0</v>
      </c>
      <c r="X12" s="25"/>
      <c r="AA12" s="225" t="e">
        <f>INDEX(TabGes5!M:M,MATCH($B12,TabGes5!$B:$B,0))+U12</f>
        <v>#N/A</v>
      </c>
      <c r="AB12" s="225" t="e">
        <f>INDEX(TabGes5!N:N,MATCH($B12,TabGes5!$B:$B,0))+V12</f>
        <v>#N/A</v>
      </c>
      <c r="AC12" s="215" t="e">
        <f t="shared" si="1"/>
        <v>#N/A</v>
      </c>
      <c r="AD12" s="215" t="e">
        <f t="shared" si="2"/>
        <v>#N/A</v>
      </c>
      <c r="AE12" s="215" t="e">
        <f>INDEX(Tabelle5!AE:AE,MATCH(B12,Tabelle5!B:B,0))+SUMIF(Erfassung6!BU:BU,B12,Erfassung6!BF:BF)</f>
        <v>#N/A</v>
      </c>
    </row>
    <row r="13" spans="1:31" ht="42" customHeight="1" thickBot="1" x14ac:dyDescent="0.4">
      <c r="A13" s="223">
        <v>7</v>
      </c>
      <c r="B13" s="128" t="e">
        <f>INDEX(Erfassung6!$AA:$AA,MATCH($A13,Erfassung6!$BR:$BR,0)-17)</f>
        <v>#N/A</v>
      </c>
      <c r="C13" s="129" t="e">
        <f>INDEX(Erfassung6!AC:AC,MATCH($A13,Erfassung6!$BR:$BR,0)-1)</f>
        <v>#N/A</v>
      </c>
      <c r="D13" s="130" t="e">
        <f>INDEX(Erfassung6!AD:AD,MATCH($A13,Erfassung6!$BR:$BR,0))</f>
        <v>#N/A</v>
      </c>
      <c r="E13" s="129" t="e">
        <f>INDEX(Erfassung6!AE:AE,MATCH($A13,Erfassung6!$BR:$BR,0)-1)</f>
        <v>#N/A</v>
      </c>
      <c r="F13" s="130" t="e">
        <f>INDEX(Erfassung6!AF:AF,MATCH($A13,Erfassung6!$BR:$BR,0))</f>
        <v>#N/A</v>
      </c>
      <c r="G13" s="129" t="e">
        <f>INDEX(Erfassung6!AG:AG,MATCH($A13,Erfassung6!$BR:$BR,0)-1)</f>
        <v>#N/A</v>
      </c>
      <c r="H13" s="130" t="e">
        <f>INDEX(Erfassung6!AH:AH,MATCH($A13,Erfassung6!$BR:$BR,0))</f>
        <v>#N/A</v>
      </c>
      <c r="I13" s="129" t="e">
        <f>INDEX(Erfassung6!AI:AI,MATCH($A13,Erfassung6!$BR:$BR,0)-1)</f>
        <v>#N/A</v>
      </c>
      <c r="J13" s="130" t="e">
        <f>INDEX(Erfassung6!AJ:AJ,MATCH($A13,Erfassung6!$BR:$BR,0))</f>
        <v>#N/A</v>
      </c>
      <c r="K13" s="129" t="e">
        <f>INDEX(Erfassung6!AK:AK,MATCH($A13,Erfassung6!$BR:$BR,0)-1)</f>
        <v>#N/A</v>
      </c>
      <c r="L13" s="130" t="e">
        <f>INDEX(Erfassung6!AL:AL,MATCH($A13,Erfassung6!$BR:$BR,0))</f>
        <v>#N/A</v>
      </c>
      <c r="M13" s="129" t="e">
        <f>INDEX(Erfassung6!AM:AM,MATCH($A13,Erfassung6!$BR:$BR,0)-1)</f>
        <v>#N/A</v>
      </c>
      <c r="N13" s="130" t="e">
        <f>INDEX(Erfassung6!AN:AN,MATCH($A13,Erfassung6!$BR:$BR,0))</f>
        <v>#N/A</v>
      </c>
      <c r="O13" s="129" t="e">
        <f>INDEX(Erfassung6!AO:AO,MATCH($A13,Erfassung6!$BR:$BR,0)-1)</f>
        <v>#N/A</v>
      </c>
      <c r="P13" s="130" t="e">
        <f>INDEX(Erfassung6!AP:AP,MATCH($A13,Erfassung6!$BR:$BR,0))</f>
        <v>#N/A</v>
      </c>
      <c r="Q13" s="129" t="e">
        <f>INDEX(Erfassung6!AQ:AQ,MATCH($A13,Erfassung6!$BR:$BR,0)-1)</f>
        <v>#N/A</v>
      </c>
      <c r="R13" s="130" t="e">
        <f>INDEX(Erfassung6!AR:AR,MATCH($A13,Erfassung6!$BR:$BR,0))</f>
        <v>#N/A</v>
      </c>
      <c r="S13" s="129" t="e">
        <f>INDEX(Erfassung6!AS:AS,MATCH($A13,Erfassung6!$BR:$BR,0)-1)</f>
        <v>#N/A</v>
      </c>
      <c r="T13" s="130" t="e">
        <f>INDEX(Erfassung6!AT:AT,MATCH($A13,Erfassung6!$BR:$BR,0))</f>
        <v>#N/A</v>
      </c>
      <c r="U13" s="131" t="e">
        <f t="shared" si="0"/>
        <v>#N/A</v>
      </c>
      <c r="V13" s="132" t="e">
        <f t="shared" si="0"/>
        <v>#N/A</v>
      </c>
      <c r="W13" s="224">
        <f>IFERROR(U13/INDEX(Erfassung6!BF:BF,MATCH(A13,Erfassung6!BR:BR,0)),0)</f>
        <v>0</v>
      </c>
      <c r="X13" s="25"/>
      <c r="AA13" s="225" t="e">
        <f>INDEX(TabGes5!M:M,MATCH($B13,TabGes5!$B:$B,0))+U13</f>
        <v>#N/A</v>
      </c>
      <c r="AB13" s="225" t="e">
        <f>INDEX(TabGes5!N:N,MATCH($B13,TabGes5!$B:$B,0))+V13</f>
        <v>#N/A</v>
      </c>
      <c r="AC13" s="215" t="e">
        <f t="shared" si="1"/>
        <v>#N/A</v>
      </c>
      <c r="AD13" s="215" t="e">
        <f t="shared" si="2"/>
        <v>#N/A</v>
      </c>
      <c r="AE13" s="215" t="e">
        <f>INDEX(Tabelle5!AE:AE,MATCH(B13,Tabelle5!B:B,0))+SUMIF(Erfassung6!BU:BU,B13,Erfassung6!BF:BF)</f>
        <v>#N/A</v>
      </c>
    </row>
    <row r="14" spans="1:31" ht="42" customHeight="1" thickBot="1" x14ac:dyDescent="0.4">
      <c r="A14" s="223">
        <v>8</v>
      </c>
      <c r="B14" s="128" t="e">
        <f>INDEX(Erfassung6!$AA:$AA,MATCH($A14,Erfassung6!$BR:$BR,0)-17)</f>
        <v>#N/A</v>
      </c>
      <c r="C14" s="129" t="e">
        <f>INDEX(Erfassung6!AC:AC,MATCH($A14,Erfassung6!$BR:$BR,0)-1)</f>
        <v>#N/A</v>
      </c>
      <c r="D14" s="130" t="e">
        <f>INDEX(Erfassung6!AD:AD,MATCH($A14,Erfassung6!$BR:$BR,0))</f>
        <v>#N/A</v>
      </c>
      <c r="E14" s="129" t="e">
        <f>INDEX(Erfassung6!AE:AE,MATCH($A14,Erfassung6!$BR:$BR,0)-1)</f>
        <v>#N/A</v>
      </c>
      <c r="F14" s="130" t="e">
        <f>INDEX(Erfassung6!AF:AF,MATCH($A14,Erfassung6!$BR:$BR,0))</f>
        <v>#N/A</v>
      </c>
      <c r="G14" s="129" t="e">
        <f>INDEX(Erfassung6!AG:AG,MATCH($A14,Erfassung6!$BR:$BR,0)-1)</f>
        <v>#N/A</v>
      </c>
      <c r="H14" s="130" t="e">
        <f>INDEX(Erfassung6!AH:AH,MATCH($A14,Erfassung6!$BR:$BR,0))</f>
        <v>#N/A</v>
      </c>
      <c r="I14" s="129" t="e">
        <f>INDEX(Erfassung6!AI:AI,MATCH($A14,Erfassung6!$BR:$BR,0)-1)</f>
        <v>#N/A</v>
      </c>
      <c r="J14" s="130" t="e">
        <f>INDEX(Erfassung6!AJ:AJ,MATCH($A14,Erfassung6!$BR:$BR,0))</f>
        <v>#N/A</v>
      </c>
      <c r="K14" s="129" t="e">
        <f>INDEX(Erfassung6!AK:AK,MATCH($A14,Erfassung6!$BR:$BR,0)-1)</f>
        <v>#N/A</v>
      </c>
      <c r="L14" s="130" t="e">
        <f>INDEX(Erfassung6!AL:AL,MATCH($A14,Erfassung6!$BR:$BR,0))</f>
        <v>#N/A</v>
      </c>
      <c r="M14" s="129" t="e">
        <f>INDEX(Erfassung6!AM:AM,MATCH($A14,Erfassung6!$BR:$BR,0)-1)</f>
        <v>#N/A</v>
      </c>
      <c r="N14" s="130" t="e">
        <f>INDEX(Erfassung6!AN:AN,MATCH($A14,Erfassung6!$BR:$BR,0))</f>
        <v>#N/A</v>
      </c>
      <c r="O14" s="129" t="e">
        <f>INDEX(Erfassung6!AO:AO,MATCH($A14,Erfassung6!$BR:$BR,0)-1)</f>
        <v>#N/A</v>
      </c>
      <c r="P14" s="130" t="e">
        <f>INDEX(Erfassung6!AP:AP,MATCH($A14,Erfassung6!$BR:$BR,0))</f>
        <v>#N/A</v>
      </c>
      <c r="Q14" s="129" t="e">
        <f>INDEX(Erfassung6!AQ:AQ,MATCH($A14,Erfassung6!$BR:$BR,0)-1)</f>
        <v>#N/A</v>
      </c>
      <c r="R14" s="130" t="e">
        <f>INDEX(Erfassung6!AR:AR,MATCH($A14,Erfassung6!$BR:$BR,0))</f>
        <v>#N/A</v>
      </c>
      <c r="S14" s="129" t="e">
        <f>INDEX(Erfassung6!AS:AS,MATCH($A14,Erfassung6!$BR:$BR,0)-1)</f>
        <v>#N/A</v>
      </c>
      <c r="T14" s="130" t="e">
        <f>INDEX(Erfassung6!AT:AT,MATCH($A14,Erfassung6!$BR:$BR,0))</f>
        <v>#N/A</v>
      </c>
      <c r="U14" s="131" t="e">
        <f t="shared" si="0"/>
        <v>#N/A</v>
      </c>
      <c r="V14" s="132" t="e">
        <f t="shared" si="0"/>
        <v>#N/A</v>
      </c>
      <c r="W14" s="224">
        <f>IFERROR(U14/INDEX(Erfassung6!BF:BF,MATCH(A14,Erfassung6!BR:BR,0)),0)</f>
        <v>0</v>
      </c>
      <c r="X14" s="25"/>
      <c r="AA14" s="225" t="e">
        <f>INDEX(TabGes5!M:M,MATCH($B14,TabGes5!$B:$B,0))+U14</f>
        <v>#N/A</v>
      </c>
      <c r="AB14" s="225" t="e">
        <f>INDEX(TabGes5!N:N,MATCH($B14,TabGes5!$B:$B,0))+V14</f>
        <v>#N/A</v>
      </c>
      <c r="AC14" s="215" t="e">
        <f t="shared" si="1"/>
        <v>#N/A</v>
      </c>
      <c r="AD14" s="215" t="e">
        <f t="shared" si="2"/>
        <v>#N/A</v>
      </c>
      <c r="AE14" s="215" t="e">
        <f>INDEX(Tabelle5!AE:AE,MATCH(B14,Tabelle5!B:B,0))+SUMIF(Erfassung6!BU:BU,B14,Erfassung6!BF:BF)</f>
        <v>#N/A</v>
      </c>
    </row>
    <row r="15" spans="1:31" ht="42" customHeight="1" thickBot="1" x14ac:dyDescent="0.4">
      <c r="A15" s="223">
        <v>9</v>
      </c>
      <c r="B15" s="128" t="e">
        <f>INDEX(Erfassung6!$AA:$AA,MATCH($A15,Erfassung6!$BR:$BR,0)-17)</f>
        <v>#N/A</v>
      </c>
      <c r="C15" s="129" t="e">
        <f>INDEX(Erfassung6!AC:AC,MATCH($A15,Erfassung6!$BR:$BR,0)-1)</f>
        <v>#N/A</v>
      </c>
      <c r="D15" s="130" t="e">
        <f>INDEX(Erfassung6!AD:AD,MATCH($A15,Erfassung6!$BR:$BR,0))</f>
        <v>#N/A</v>
      </c>
      <c r="E15" s="129" t="e">
        <f>INDEX(Erfassung6!AE:AE,MATCH($A15,Erfassung6!$BR:$BR,0)-1)</f>
        <v>#N/A</v>
      </c>
      <c r="F15" s="130" t="e">
        <f>INDEX(Erfassung6!AF:AF,MATCH($A15,Erfassung6!$BR:$BR,0))</f>
        <v>#N/A</v>
      </c>
      <c r="G15" s="129" t="e">
        <f>INDEX(Erfassung6!AG:AG,MATCH($A15,Erfassung6!$BR:$BR,0)-1)</f>
        <v>#N/A</v>
      </c>
      <c r="H15" s="130" t="e">
        <f>INDEX(Erfassung6!AH:AH,MATCH($A15,Erfassung6!$BR:$BR,0))</f>
        <v>#N/A</v>
      </c>
      <c r="I15" s="129" t="e">
        <f>INDEX(Erfassung6!AI:AI,MATCH($A15,Erfassung6!$BR:$BR,0)-1)</f>
        <v>#N/A</v>
      </c>
      <c r="J15" s="130" t="e">
        <f>INDEX(Erfassung6!AJ:AJ,MATCH($A15,Erfassung6!$BR:$BR,0))</f>
        <v>#N/A</v>
      </c>
      <c r="K15" s="129" t="e">
        <f>INDEX(Erfassung6!AK:AK,MATCH($A15,Erfassung6!$BR:$BR,0)-1)</f>
        <v>#N/A</v>
      </c>
      <c r="L15" s="130" t="e">
        <f>INDEX(Erfassung6!AL:AL,MATCH($A15,Erfassung6!$BR:$BR,0))</f>
        <v>#N/A</v>
      </c>
      <c r="M15" s="129" t="e">
        <f>INDEX(Erfassung6!AM:AM,MATCH($A15,Erfassung6!$BR:$BR,0)-1)</f>
        <v>#N/A</v>
      </c>
      <c r="N15" s="130" t="e">
        <f>INDEX(Erfassung6!AN:AN,MATCH($A15,Erfassung6!$BR:$BR,0))</f>
        <v>#N/A</v>
      </c>
      <c r="O15" s="129" t="e">
        <f>INDEX(Erfassung6!AO:AO,MATCH($A15,Erfassung6!$BR:$BR,0)-1)</f>
        <v>#N/A</v>
      </c>
      <c r="P15" s="130" t="e">
        <f>INDEX(Erfassung6!AP:AP,MATCH($A15,Erfassung6!$BR:$BR,0))</f>
        <v>#N/A</v>
      </c>
      <c r="Q15" s="129" t="e">
        <f>INDEX(Erfassung6!AQ:AQ,MATCH($A15,Erfassung6!$BR:$BR,0)-1)</f>
        <v>#N/A</v>
      </c>
      <c r="R15" s="130" t="e">
        <f>INDEX(Erfassung6!AR:AR,MATCH($A15,Erfassung6!$BR:$BR,0))</f>
        <v>#N/A</v>
      </c>
      <c r="S15" s="129" t="e">
        <f>INDEX(Erfassung6!AS:AS,MATCH($A15,Erfassung6!$BR:$BR,0)-1)</f>
        <v>#N/A</v>
      </c>
      <c r="T15" s="130" t="e">
        <f>INDEX(Erfassung6!AT:AT,MATCH($A15,Erfassung6!$BR:$BR,0))</f>
        <v>#N/A</v>
      </c>
      <c r="U15" s="131" t="e">
        <f t="shared" si="0"/>
        <v>#N/A</v>
      </c>
      <c r="V15" s="132" t="e">
        <f t="shared" si="0"/>
        <v>#N/A</v>
      </c>
      <c r="W15" s="224">
        <f>IFERROR(U15/INDEX(Erfassung6!BF:BF,MATCH(A15,Erfassung6!BR:BR,0)),0)</f>
        <v>0</v>
      </c>
      <c r="X15" s="25"/>
      <c r="AA15" s="225" t="e">
        <f>INDEX(TabGes5!M:M,MATCH($B15,TabGes5!$B:$B,0))+U15</f>
        <v>#N/A</v>
      </c>
      <c r="AB15" s="225" t="e">
        <f>INDEX(TabGes5!N:N,MATCH($B15,TabGes5!$B:$B,0))+V15</f>
        <v>#N/A</v>
      </c>
      <c r="AC15" s="215" t="e">
        <f t="shared" si="1"/>
        <v>#N/A</v>
      </c>
      <c r="AD15" s="215" t="e">
        <f t="shared" si="2"/>
        <v>#N/A</v>
      </c>
      <c r="AE15" s="215" t="e">
        <f>INDEX(Tabelle5!AE:AE,MATCH(B15,Tabelle5!B:B,0))+SUMIF(Erfassung6!BU:BU,B15,Erfassung6!BF:BF)</f>
        <v>#N/A</v>
      </c>
    </row>
    <row r="16" spans="1:31" ht="42" customHeight="1" thickBot="1" x14ac:dyDescent="0.4">
      <c r="A16" s="223">
        <v>10</v>
      </c>
      <c r="B16" s="128" t="e">
        <f>INDEX(Erfassung6!$AA:$AA,MATCH($A16,Erfassung6!$BR:$BR,0)-17)</f>
        <v>#N/A</v>
      </c>
      <c r="C16" s="129" t="e">
        <f>INDEX(Erfassung6!AC:AC,MATCH($A16,Erfassung6!$BR:$BR,0)-1)</f>
        <v>#N/A</v>
      </c>
      <c r="D16" s="130" t="e">
        <f>INDEX(Erfassung6!AD:AD,MATCH($A16,Erfassung6!$BR:$BR,0))</f>
        <v>#N/A</v>
      </c>
      <c r="E16" s="129" t="e">
        <f>INDEX(Erfassung6!AE:AE,MATCH($A16,Erfassung6!$BR:$BR,0)-1)</f>
        <v>#N/A</v>
      </c>
      <c r="F16" s="130" t="e">
        <f>INDEX(Erfassung6!AF:AF,MATCH($A16,Erfassung6!$BR:$BR,0))</f>
        <v>#N/A</v>
      </c>
      <c r="G16" s="129" t="e">
        <f>INDEX(Erfassung6!AG:AG,MATCH($A16,Erfassung6!$BR:$BR,0)-1)</f>
        <v>#N/A</v>
      </c>
      <c r="H16" s="130" t="e">
        <f>INDEX(Erfassung6!AH:AH,MATCH($A16,Erfassung6!$BR:$BR,0))</f>
        <v>#N/A</v>
      </c>
      <c r="I16" s="129" t="e">
        <f>INDEX(Erfassung6!AI:AI,MATCH($A16,Erfassung6!$BR:$BR,0)-1)</f>
        <v>#N/A</v>
      </c>
      <c r="J16" s="130" t="e">
        <f>INDEX(Erfassung6!AJ:AJ,MATCH($A16,Erfassung6!$BR:$BR,0))</f>
        <v>#N/A</v>
      </c>
      <c r="K16" s="129" t="e">
        <f>INDEX(Erfassung6!AK:AK,MATCH($A16,Erfassung6!$BR:$BR,0)-1)</f>
        <v>#N/A</v>
      </c>
      <c r="L16" s="130" t="e">
        <f>INDEX(Erfassung6!AL:AL,MATCH($A16,Erfassung6!$BR:$BR,0))</f>
        <v>#N/A</v>
      </c>
      <c r="M16" s="129" t="e">
        <f>INDEX(Erfassung6!AM:AM,MATCH($A16,Erfassung6!$BR:$BR,0)-1)</f>
        <v>#N/A</v>
      </c>
      <c r="N16" s="130" t="e">
        <f>INDEX(Erfassung6!AN:AN,MATCH($A16,Erfassung6!$BR:$BR,0))</f>
        <v>#N/A</v>
      </c>
      <c r="O16" s="129" t="e">
        <f>INDEX(Erfassung6!AO:AO,MATCH($A16,Erfassung6!$BR:$BR,0)-1)</f>
        <v>#N/A</v>
      </c>
      <c r="P16" s="130" t="e">
        <f>INDEX(Erfassung6!AP:AP,MATCH($A16,Erfassung6!$BR:$BR,0))</f>
        <v>#N/A</v>
      </c>
      <c r="Q16" s="129" t="e">
        <f>INDEX(Erfassung6!AQ:AQ,MATCH($A16,Erfassung6!$BR:$BR,0)-1)</f>
        <v>#N/A</v>
      </c>
      <c r="R16" s="130" t="e">
        <f>INDEX(Erfassung6!AR:AR,MATCH($A16,Erfassung6!$BR:$BR,0))</f>
        <v>#N/A</v>
      </c>
      <c r="S16" s="129" t="e">
        <f>INDEX(Erfassung6!AS:AS,MATCH($A16,Erfassung6!$BR:$BR,0)-1)</f>
        <v>#N/A</v>
      </c>
      <c r="T16" s="130" t="e">
        <f>INDEX(Erfassung6!AT:AT,MATCH($A16,Erfassung6!$BR:$BR,0))</f>
        <v>#N/A</v>
      </c>
      <c r="U16" s="131" t="e">
        <f t="shared" si="0"/>
        <v>#N/A</v>
      </c>
      <c r="V16" s="132" t="e">
        <f t="shared" si="0"/>
        <v>#N/A</v>
      </c>
      <c r="W16" s="224">
        <f>IFERROR(U16/INDEX(Erfassung6!BF:BF,MATCH(A16,Erfassung6!BR:BR,0)),0)</f>
        <v>0</v>
      </c>
      <c r="X16" s="25"/>
      <c r="AA16" s="225" t="e">
        <f>INDEX(TabGes5!M:M,MATCH($B16,TabGes5!$B:$B,0))+U16</f>
        <v>#N/A</v>
      </c>
      <c r="AB16" s="225" t="e">
        <f>INDEX(TabGes5!N:N,MATCH($B16,TabGes5!$B:$B,0))+V16</f>
        <v>#N/A</v>
      </c>
      <c r="AC16" s="215" t="e">
        <f t="shared" si="1"/>
        <v>#N/A</v>
      </c>
      <c r="AD16" s="215" t="e">
        <f t="shared" si="2"/>
        <v>#N/A</v>
      </c>
      <c r="AE16" s="215" t="e">
        <f>INDEX(Tabelle5!AE:AE,MATCH(B16,Tabelle5!B:B,0))+SUMIF(Erfassung6!BU:BU,B16,Erfassung6!BF:BF)</f>
        <v>#N/A</v>
      </c>
    </row>
    <row r="19" spans="2:23" ht="15" x14ac:dyDescent="0.4">
      <c r="B19" s="379" t="s">
        <v>1827</v>
      </c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80"/>
      <c r="V19" s="380"/>
      <c r="W19" s="380"/>
    </row>
    <row r="20" spans="2:23" x14ac:dyDescent="0.35">
      <c r="C20" s="380"/>
      <c r="D20" s="380"/>
      <c r="E20" s="380"/>
      <c r="F20" s="380"/>
      <c r="G20" s="380"/>
      <c r="H20" s="380"/>
    </row>
    <row r="21" spans="2:23" ht="13.15" x14ac:dyDescent="0.4">
      <c r="B21" s="166" t="s">
        <v>1826</v>
      </c>
      <c r="C21" t="str">
        <f>IFERROR(INDEX(Erfassung6!AA:AA,MATCH(1,Erfassung6!BV:BV,0)),"")</f>
        <v/>
      </c>
      <c r="H21" t="str">
        <f>INDEX(Erfassung6!BU:BU,MATCH(C21,Erfassung6!AA:AA,0))</f>
        <v>Praetoria Regensburg</v>
      </c>
      <c r="N21" s="133">
        <f>IFERROR(ROUND(INDEX(Erfassung6!BT:BT,MATCH(1,Erfassung6!BV:BV,0)),0),"")</f>
        <v>0</v>
      </c>
    </row>
    <row r="22" spans="2:23" ht="13.15" x14ac:dyDescent="0.4">
      <c r="B22" s="166"/>
      <c r="C22" t="str">
        <f>IF(N22="","",IFERROR(INDEX(Erfassung6!AA:AA,MATCH(2,Erfassung6!BV:BV,0)),""))</f>
        <v/>
      </c>
      <c r="H22" t="str">
        <f>IF(C22="","",INDEX(Erfassung6!BU:BU,MATCH(C22,Erfassung6!AA:AA,0)))</f>
        <v/>
      </c>
      <c r="N22" s="134" t="str">
        <f>IF(IFERROR(ROUND(INDEX(Erfassung6!BT:BT,MATCH(2,Erfassung6!BV:BV,0)),0),0)=0,"",IFERROR(ROUND(INDEX(Erfassung6!BT:BT,MATCH(2,Erfassung6!BV:BV,0)),0),0))</f>
        <v/>
      </c>
    </row>
    <row r="23" spans="2:23" ht="13.15" x14ac:dyDescent="0.4">
      <c r="B23" s="166"/>
      <c r="C23" t="str">
        <f>IF(N23="","",IFERROR(INDEX(Erfassung6!AA:AA,MATCH(3,Erfassung6!BV:BV,0)),""))</f>
        <v/>
      </c>
      <c r="H23" t="str">
        <f>IF(C23="","",INDEX(Erfassung6!BU:BU,MATCH(C23,Erfassung6!AA:AA,0)))</f>
        <v/>
      </c>
      <c r="N23" s="134" t="str">
        <f>IF(IFERROR(ROUND(INDEX(Erfassung6!BT:BT,MATCH(3,Erfassung6!BV:BV,0)),0),0)=0,"",IFERROR(ROUND(INDEX(Erfassung6!BT:BT,MATCH(3,Erfassung6!BV:BV,0)),0),""))</f>
        <v/>
      </c>
    </row>
    <row r="24" spans="2:23" ht="13.15" x14ac:dyDescent="0.4">
      <c r="B24" s="166" t="s">
        <v>1828</v>
      </c>
      <c r="C24" t="str">
        <f>IFERROR(INDEX(Erfassung6!AA:AA,MATCH(1,Erfassung6!BZ:BZ,0)),"")</f>
        <v/>
      </c>
      <c r="H24" t="str">
        <f>INDEX(Erfassung6!BU:BU,MATCH(C24,Erfassung6!AA:AA,0))</f>
        <v>Praetoria Regensburg</v>
      </c>
      <c r="N24" s="381" t="str">
        <f>IFERROR(ROUND(INDEX(Erfassung6!BW:BW,MATCH(1,Erfassung6!BZ:BZ,0)),0),"")&amp;"  /  "&amp;ROUND(IFERROR(ROUND(INDEX(Erfassung6!BW:BW,MATCH(1,Erfassung6!BZ:BZ,0)),0),"")/9,2)</f>
        <v>0  /  0</v>
      </c>
      <c r="O24" s="381"/>
      <c r="P24" s="381"/>
    </row>
    <row r="25" spans="2:23" x14ac:dyDescent="0.35">
      <c r="C25" t="str">
        <f>IF(N25="","",IFERROR(INDEX(Erfassung6!AA:AA,MATCH(2,Erfassung6!BZ:BZ,0)),""))</f>
        <v/>
      </c>
      <c r="E25" s="2"/>
      <c r="H25" t="str">
        <f>IF(C25="","",INDEX(Erfassung6!BU:BU,MATCH(C25,Erfassung6!AA:AA,0)))</f>
        <v/>
      </c>
      <c r="N25" s="134" t="str">
        <f>IF(IFERROR(ROUND(INDEX(Erfassung6!BW:BW,MATCH(2,Erfassung6!BZ:BZ,0)),0),0)=0,"",IFERROR(ROUND(INDEX(Erfassung6!BW:BW,MATCH(2,Erfassung6!BZ:BZ,0)),0),0))</f>
        <v/>
      </c>
    </row>
    <row r="26" spans="2:23" x14ac:dyDescent="0.35">
      <c r="C26" t="str">
        <f>IF(N26="","",IFERROR(INDEX(Erfassung6!AA:AA,MATCH(3,Erfassung6!BZ:BZ,0)),""))</f>
        <v/>
      </c>
      <c r="E26" s="2"/>
      <c r="H26" t="str">
        <f>IF(C26="","",INDEX(Erfassung6!BU:BU,MATCH(C26,Erfassung6!AA:AA,0)))</f>
        <v/>
      </c>
      <c r="N26" s="134" t="str">
        <f>IF(IFERROR(ROUND(INDEX(Erfassung6!BW:BW,MATCH(3,Erfassung6!BZ:BZ,0)),0),0)=0,"",IFERROR(ROUND(INDEX(Erfassung6!BW:BW,MATCH(3,Erfassung6!BZ:BZ,0)),0),0))</f>
        <v/>
      </c>
    </row>
  </sheetData>
  <sheetProtection password="D19C" sheet="1" formatCells="0" formatColumns="0" formatRows="0"/>
  <mergeCells count="20"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  <mergeCell ref="C20:H20"/>
    <mergeCell ref="N24:P24"/>
    <mergeCell ref="B19:T19"/>
    <mergeCell ref="U19:W19"/>
    <mergeCell ref="M5:N5"/>
    <mergeCell ref="O5:P5"/>
  </mergeCells>
  <conditionalFormatting sqref="C7:T16">
    <cfRule type="top10" dxfId="2" priority="1" stopIfTrue="1" rank="1"/>
  </conditionalFormatting>
  <conditionalFormatting sqref="U7:U16">
    <cfRule type="top10" dxfId="1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abelle34">
    <tabColor theme="8" tint="-0.249977111117893"/>
    <pageSetUpPr fitToPage="1"/>
  </sheetPr>
  <dimension ref="A1:AE16"/>
  <sheetViews>
    <sheetView workbookViewId="0">
      <selection activeCell="F22" sqref="F22:G22"/>
    </sheetView>
  </sheetViews>
  <sheetFormatPr baseColWidth="10" defaultRowHeight="12.75" x14ac:dyDescent="0.35"/>
  <cols>
    <col min="1" max="1" width="4.06640625" customWidth="1"/>
    <col min="2" max="2" width="18.33203125" customWidth="1"/>
    <col min="3" max="14" width="8.73046875" customWidth="1"/>
    <col min="15" max="15" width="13.33203125" customWidth="1"/>
    <col min="16" max="16" width="9.33203125" customWidth="1"/>
    <col min="18" max="18" width="6.33203125" customWidth="1"/>
  </cols>
  <sheetData>
    <row r="1" spans="1:31" ht="28.5" customHeight="1" x14ac:dyDescent="0.35">
      <c r="A1" s="382" t="str">
        <f>Schlüssel!$C$1</f>
        <v>Bayernliga Frauen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35">
      <c r="A2" s="383" t="str">
        <f>"Saison "&amp;Spielorte!C18&amp;"     -     Spieltag "&amp;Erfassung6!AS2&amp;"     -     "&amp;Erfassung6!AT1</f>
        <v>Saison 2024/2025     -     Spieltag 6     -     05.04./06.04.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35">
      <c r="A3" s="383" t="s">
        <v>2082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4">
      <c r="A4" s="394"/>
      <c r="B4" s="394"/>
      <c r="C4" s="28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0"/>
      <c r="Q4" s="33"/>
    </row>
    <row r="5" spans="1:31" x14ac:dyDescent="0.35">
      <c r="A5" s="386" t="s">
        <v>1816</v>
      </c>
      <c r="B5" s="388" t="s">
        <v>1817</v>
      </c>
      <c r="C5" s="376" t="s">
        <v>1820</v>
      </c>
      <c r="D5" s="377"/>
      <c r="E5" s="376" t="s">
        <v>1821</v>
      </c>
      <c r="F5" s="377"/>
      <c r="G5" s="376" t="s">
        <v>1822</v>
      </c>
      <c r="H5" s="377"/>
      <c r="I5" s="378" t="s">
        <v>1823</v>
      </c>
      <c r="J5" s="377"/>
      <c r="K5" s="378" t="s">
        <v>1824</v>
      </c>
      <c r="L5" s="377"/>
      <c r="M5" s="378" t="s">
        <v>1825</v>
      </c>
      <c r="N5" s="377"/>
      <c r="O5" s="376" t="s">
        <v>1799</v>
      </c>
      <c r="P5" s="377"/>
      <c r="Q5" s="384" t="s">
        <v>1818</v>
      </c>
    </row>
    <row r="6" spans="1:31" ht="13.15" thickBot="1" x14ac:dyDescent="0.4">
      <c r="A6" s="387"/>
      <c r="B6" s="389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23" t="s">
        <v>1811</v>
      </c>
      <c r="N6" s="24" t="s">
        <v>1812</v>
      </c>
      <c r="O6" s="23" t="s">
        <v>1811</v>
      </c>
      <c r="P6" s="24" t="s">
        <v>1812</v>
      </c>
      <c r="Q6" s="385"/>
    </row>
    <row r="7" spans="1:31" ht="42" customHeight="1" thickBot="1" x14ac:dyDescent="0.4">
      <c r="A7" s="34">
        <v>1</v>
      </c>
      <c r="B7" s="128" t="e">
        <f>INDEX(Tabelle6!B:B,MATCH(A7,Tabelle6!AD:AD,0))</f>
        <v>#N/A</v>
      </c>
      <c r="C7" s="35" t="e">
        <f>INDEX(Tabelle1!U:U,MATCH(B7,Tabelle1!B:B,0))</f>
        <v>#N/A</v>
      </c>
      <c r="D7" s="36" t="e">
        <f>INDEX(Tabelle1!V:V,MATCH(B7,Tabelle1!B:B,0))</f>
        <v>#N/A</v>
      </c>
      <c r="E7" s="35" t="e">
        <f>INDEX(Tabelle2!U:U,MATCH(B7,Tabelle2!B:B,0))</f>
        <v>#N/A</v>
      </c>
      <c r="F7" s="36" t="e">
        <f>INDEX(Tabelle2!V:V,MATCH(B7,Tabelle2!B:B,0))</f>
        <v>#N/A</v>
      </c>
      <c r="G7" s="35" t="e">
        <f>INDEX(Tabelle3!U:U,MATCH(B7,Tabelle3!B:B,0))</f>
        <v>#N/A</v>
      </c>
      <c r="H7" s="38" t="e">
        <f>INDEX(Tabelle3!V:V,MATCH(B7,Tabelle3!B:B,0))</f>
        <v>#N/A</v>
      </c>
      <c r="I7" s="35" t="e">
        <f>INDEX(Tabelle4!U:U,MATCH(B7,Tabelle4!B:B,0))</f>
        <v>#N/A</v>
      </c>
      <c r="J7" s="38" t="e">
        <f>INDEX(Tabelle4!V:V,MATCH(B7,Tabelle4!B:B,0))</f>
        <v>#N/A</v>
      </c>
      <c r="K7" s="35" t="e">
        <f>INDEX(Tabelle5!U:U,MATCH(B7,Tabelle5!B:B,0))</f>
        <v>#N/A</v>
      </c>
      <c r="L7" s="38" t="e">
        <f>INDEX(Tabelle5!V:V,MATCH(B7,Tabelle5!B:B,0))</f>
        <v>#N/A</v>
      </c>
      <c r="M7" s="35" t="e">
        <f>INDEX(Tabelle6!U:U,MATCH(B7,Tabelle6!B:B,0))</f>
        <v>#N/A</v>
      </c>
      <c r="N7" s="43" t="e">
        <f>INDEX(Tabelle6!V:V,MATCH(B7,Tabelle6!B:B,0))</f>
        <v>#N/A</v>
      </c>
      <c r="O7" s="41" t="e">
        <f t="shared" ref="O7:O16" si="0">SUM(C7+E7+G7+I7+K7+M7)</f>
        <v>#N/A</v>
      </c>
      <c r="P7" s="42" t="e">
        <f t="shared" ref="P7:P16" si="1">SUM(D7+F7+H7+J7+L7+N7)</f>
        <v>#N/A</v>
      </c>
      <c r="Q7" s="37" t="e">
        <f>O7/INDEX(Tabelle6!$AE:$AE,MATCH($B7,Tabelle6!$B:$B,0))</f>
        <v>#N/A</v>
      </c>
      <c r="R7" s="25"/>
    </row>
    <row r="8" spans="1:31" ht="42" customHeight="1" thickBot="1" x14ac:dyDescent="0.4">
      <c r="A8" s="34">
        <v>2</v>
      </c>
      <c r="B8" s="128" t="e">
        <f>INDEX(Tabelle6!B:B,MATCH(A8,Tabelle6!AD:AD,0))</f>
        <v>#N/A</v>
      </c>
      <c r="C8" s="35" t="e">
        <f>INDEX(Tabelle1!U:U,MATCH(B8,Tabelle1!B:B,0))</f>
        <v>#N/A</v>
      </c>
      <c r="D8" s="36" t="e">
        <f>INDEX(Tabelle1!V:V,MATCH(B8,Tabelle1!B:B,0))</f>
        <v>#N/A</v>
      </c>
      <c r="E8" s="35" t="e">
        <f>INDEX(Tabelle2!U:U,MATCH(B8,Tabelle2!B:B,0))</f>
        <v>#N/A</v>
      </c>
      <c r="F8" s="36" t="e">
        <f>INDEX(Tabelle2!V:V,MATCH(B8,Tabelle2!B:B,0))</f>
        <v>#N/A</v>
      </c>
      <c r="G8" s="35" t="e">
        <f>INDEX(Tabelle3!U:U,MATCH(B8,Tabelle3!B:B,0))</f>
        <v>#N/A</v>
      </c>
      <c r="H8" s="38" t="e">
        <f>INDEX(Tabelle3!V:V,MATCH(B8,Tabelle3!B:B,0))</f>
        <v>#N/A</v>
      </c>
      <c r="I8" s="35" t="e">
        <f>INDEX(Tabelle4!U:U,MATCH(B8,Tabelle4!B:B,0))</f>
        <v>#N/A</v>
      </c>
      <c r="J8" s="38" t="e">
        <f>INDEX(Tabelle4!V:V,MATCH(B8,Tabelle4!B:B,0))</f>
        <v>#N/A</v>
      </c>
      <c r="K8" s="35" t="e">
        <f>INDEX(Tabelle5!U:U,MATCH(B8,Tabelle5!B:B,0))</f>
        <v>#N/A</v>
      </c>
      <c r="L8" s="38" t="e">
        <f>INDEX(Tabelle5!V:V,MATCH(B8,Tabelle5!B:B,0))</f>
        <v>#N/A</v>
      </c>
      <c r="M8" s="35" t="e">
        <f>INDEX(Tabelle6!U:U,MATCH(B8,Tabelle6!B:B,0))</f>
        <v>#N/A</v>
      </c>
      <c r="N8" s="43" t="e">
        <f>INDEX(Tabelle6!V:V,MATCH(B8,Tabelle6!B:B,0))</f>
        <v>#N/A</v>
      </c>
      <c r="O8" s="41" t="e">
        <f t="shared" si="0"/>
        <v>#N/A</v>
      </c>
      <c r="P8" s="42" t="e">
        <f t="shared" si="1"/>
        <v>#N/A</v>
      </c>
      <c r="Q8" s="37" t="e">
        <f>O8/INDEX(Tabelle6!$AE:$AE,MATCH($B8,Tabelle6!$B:$B,0))</f>
        <v>#N/A</v>
      </c>
      <c r="R8" s="25"/>
    </row>
    <row r="9" spans="1:31" ht="42" customHeight="1" thickBot="1" x14ac:dyDescent="0.4">
      <c r="A9" s="34">
        <v>3</v>
      </c>
      <c r="B9" s="128" t="e">
        <f>INDEX(Tabelle6!B:B,MATCH(A9,Tabelle6!AD:AD,0))</f>
        <v>#N/A</v>
      </c>
      <c r="C9" s="35" t="e">
        <f>INDEX(Tabelle1!U:U,MATCH(B9,Tabelle1!B:B,0))</f>
        <v>#N/A</v>
      </c>
      <c r="D9" s="36" t="e">
        <f>INDEX(Tabelle1!V:V,MATCH(B9,Tabelle1!B:B,0))</f>
        <v>#N/A</v>
      </c>
      <c r="E9" s="35" t="e">
        <f>INDEX(Tabelle2!U:U,MATCH(B9,Tabelle2!B:B,0))</f>
        <v>#N/A</v>
      </c>
      <c r="F9" s="36" t="e">
        <f>INDEX(Tabelle2!V:V,MATCH(B9,Tabelle2!B:B,0))</f>
        <v>#N/A</v>
      </c>
      <c r="G9" s="35" t="e">
        <f>INDEX(Tabelle3!U:U,MATCH(B9,Tabelle3!B:B,0))</f>
        <v>#N/A</v>
      </c>
      <c r="H9" s="38" t="e">
        <f>INDEX(Tabelle3!V:V,MATCH(B9,Tabelle3!B:B,0))</f>
        <v>#N/A</v>
      </c>
      <c r="I9" s="35" t="e">
        <f>INDEX(Tabelle4!U:U,MATCH(B9,Tabelle4!B:B,0))</f>
        <v>#N/A</v>
      </c>
      <c r="J9" s="38" t="e">
        <f>INDEX(Tabelle4!V:V,MATCH(B9,Tabelle4!B:B,0))</f>
        <v>#N/A</v>
      </c>
      <c r="K9" s="35" t="e">
        <f>INDEX(Tabelle5!U:U,MATCH(B9,Tabelle5!B:B,0))</f>
        <v>#N/A</v>
      </c>
      <c r="L9" s="38" t="e">
        <f>INDEX(Tabelle5!V:V,MATCH(B9,Tabelle5!B:B,0))</f>
        <v>#N/A</v>
      </c>
      <c r="M9" s="35" t="e">
        <f>INDEX(Tabelle6!U:U,MATCH(B9,Tabelle6!B:B,0))</f>
        <v>#N/A</v>
      </c>
      <c r="N9" s="43" t="e">
        <f>INDEX(Tabelle6!V:V,MATCH(B9,Tabelle6!B:B,0))</f>
        <v>#N/A</v>
      </c>
      <c r="O9" s="41" t="e">
        <f t="shared" si="0"/>
        <v>#N/A</v>
      </c>
      <c r="P9" s="42" t="e">
        <f t="shared" si="1"/>
        <v>#N/A</v>
      </c>
      <c r="Q9" s="37" t="e">
        <f>O9/INDEX(Tabelle6!$AE:$AE,MATCH($B9,Tabelle6!$B:$B,0))</f>
        <v>#N/A</v>
      </c>
      <c r="R9" s="25"/>
    </row>
    <row r="10" spans="1:31" ht="42" customHeight="1" thickBot="1" x14ac:dyDescent="0.4">
      <c r="A10" s="34">
        <v>4</v>
      </c>
      <c r="B10" s="128" t="e">
        <f>INDEX(Tabelle6!B:B,MATCH(A10,Tabelle6!AD:AD,0))</f>
        <v>#N/A</v>
      </c>
      <c r="C10" s="35" t="e">
        <f>INDEX(Tabelle1!U:U,MATCH(B10,Tabelle1!B:B,0))</f>
        <v>#N/A</v>
      </c>
      <c r="D10" s="36" t="e">
        <f>INDEX(Tabelle1!V:V,MATCH(B10,Tabelle1!B:B,0))</f>
        <v>#N/A</v>
      </c>
      <c r="E10" s="35" t="e">
        <f>INDEX(Tabelle2!U:U,MATCH(B10,Tabelle2!B:B,0))</f>
        <v>#N/A</v>
      </c>
      <c r="F10" s="36" t="e">
        <f>INDEX(Tabelle2!V:V,MATCH(B10,Tabelle2!B:B,0))</f>
        <v>#N/A</v>
      </c>
      <c r="G10" s="35" t="e">
        <f>INDEX(Tabelle3!U:U,MATCH(B10,Tabelle3!B:B,0))</f>
        <v>#N/A</v>
      </c>
      <c r="H10" s="38" t="e">
        <f>INDEX(Tabelle3!V:V,MATCH(B10,Tabelle3!B:B,0))</f>
        <v>#N/A</v>
      </c>
      <c r="I10" s="35" t="e">
        <f>INDEX(Tabelle4!U:U,MATCH(B10,Tabelle4!B:B,0))</f>
        <v>#N/A</v>
      </c>
      <c r="J10" s="38" t="e">
        <f>INDEX(Tabelle4!V:V,MATCH(B10,Tabelle4!B:B,0))</f>
        <v>#N/A</v>
      </c>
      <c r="K10" s="35" t="e">
        <f>INDEX(Tabelle5!U:U,MATCH(B10,Tabelle5!B:B,0))</f>
        <v>#N/A</v>
      </c>
      <c r="L10" s="38" t="e">
        <f>INDEX(Tabelle5!V:V,MATCH(B10,Tabelle5!B:B,0))</f>
        <v>#N/A</v>
      </c>
      <c r="M10" s="35" t="e">
        <f>INDEX(Tabelle6!U:U,MATCH(B10,Tabelle6!B:B,0))</f>
        <v>#N/A</v>
      </c>
      <c r="N10" s="43" t="e">
        <f>INDEX(Tabelle6!V:V,MATCH(B10,Tabelle6!B:B,0))</f>
        <v>#N/A</v>
      </c>
      <c r="O10" s="41" t="e">
        <f t="shared" si="0"/>
        <v>#N/A</v>
      </c>
      <c r="P10" s="42" t="e">
        <f t="shared" si="1"/>
        <v>#N/A</v>
      </c>
      <c r="Q10" s="37" t="e">
        <f>O10/INDEX(Tabelle6!$AE:$AE,MATCH($B10,Tabelle6!$B:$B,0))</f>
        <v>#N/A</v>
      </c>
      <c r="R10" s="25"/>
    </row>
    <row r="11" spans="1:31" ht="42" customHeight="1" thickBot="1" x14ac:dyDescent="0.4">
      <c r="A11" s="34">
        <v>5</v>
      </c>
      <c r="B11" s="128" t="e">
        <f>INDEX(Tabelle6!B:B,MATCH(A11,Tabelle6!AD:AD,0))</f>
        <v>#N/A</v>
      </c>
      <c r="C11" s="35" t="e">
        <f>INDEX(Tabelle1!U:U,MATCH(B11,Tabelle1!B:B,0))</f>
        <v>#N/A</v>
      </c>
      <c r="D11" s="36" t="e">
        <f>INDEX(Tabelle1!V:V,MATCH(B11,Tabelle1!B:B,0))</f>
        <v>#N/A</v>
      </c>
      <c r="E11" s="35" t="e">
        <f>INDEX(Tabelle2!U:U,MATCH(B11,Tabelle2!B:B,0))</f>
        <v>#N/A</v>
      </c>
      <c r="F11" s="36" t="e">
        <f>INDEX(Tabelle2!V:V,MATCH(B11,Tabelle2!B:B,0))</f>
        <v>#N/A</v>
      </c>
      <c r="G11" s="35" t="e">
        <f>INDEX(Tabelle3!U:U,MATCH(B11,Tabelle3!B:B,0))</f>
        <v>#N/A</v>
      </c>
      <c r="H11" s="38" t="e">
        <f>INDEX(Tabelle3!V:V,MATCH(B11,Tabelle3!B:B,0))</f>
        <v>#N/A</v>
      </c>
      <c r="I11" s="35" t="e">
        <f>INDEX(Tabelle4!U:U,MATCH(B11,Tabelle4!B:B,0))</f>
        <v>#N/A</v>
      </c>
      <c r="J11" s="38" t="e">
        <f>INDEX(Tabelle4!V:V,MATCH(B11,Tabelle4!B:B,0))</f>
        <v>#N/A</v>
      </c>
      <c r="K11" s="35" t="e">
        <f>INDEX(Tabelle5!U:U,MATCH(B11,Tabelle5!B:B,0))</f>
        <v>#N/A</v>
      </c>
      <c r="L11" s="38" t="e">
        <f>INDEX(Tabelle5!V:V,MATCH(B11,Tabelle5!B:B,0))</f>
        <v>#N/A</v>
      </c>
      <c r="M11" s="35" t="e">
        <f>INDEX(Tabelle6!U:U,MATCH(B11,Tabelle6!B:B,0))</f>
        <v>#N/A</v>
      </c>
      <c r="N11" s="43" t="e">
        <f>INDEX(Tabelle6!V:V,MATCH(B11,Tabelle6!B:B,0))</f>
        <v>#N/A</v>
      </c>
      <c r="O11" s="41" t="e">
        <f t="shared" si="0"/>
        <v>#N/A</v>
      </c>
      <c r="P11" s="42" t="e">
        <f t="shared" si="1"/>
        <v>#N/A</v>
      </c>
      <c r="Q11" s="37" t="e">
        <f>O11/INDEX(Tabelle6!$AE:$AE,MATCH($B11,Tabelle6!$B:$B,0))</f>
        <v>#N/A</v>
      </c>
      <c r="R11" s="25"/>
    </row>
    <row r="12" spans="1:31" ht="42" customHeight="1" thickBot="1" x14ac:dyDescent="0.4">
      <c r="A12" s="34">
        <v>6</v>
      </c>
      <c r="B12" s="128" t="e">
        <f>INDEX(Tabelle6!B:B,MATCH(A12,Tabelle6!AD:AD,0))</f>
        <v>#N/A</v>
      </c>
      <c r="C12" s="35" t="e">
        <f>INDEX(Tabelle1!U:U,MATCH(B12,Tabelle1!B:B,0))</f>
        <v>#N/A</v>
      </c>
      <c r="D12" s="36" t="e">
        <f>INDEX(Tabelle1!V:V,MATCH(B12,Tabelle1!B:B,0))</f>
        <v>#N/A</v>
      </c>
      <c r="E12" s="35" t="e">
        <f>INDEX(Tabelle2!U:U,MATCH(B12,Tabelle2!B:B,0))</f>
        <v>#N/A</v>
      </c>
      <c r="F12" s="36" t="e">
        <f>INDEX(Tabelle2!V:V,MATCH(B12,Tabelle2!B:B,0))</f>
        <v>#N/A</v>
      </c>
      <c r="G12" s="35" t="e">
        <f>INDEX(Tabelle3!U:U,MATCH(B12,Tabelle3!B:B,0))</f>
        <v>#N/A</v>
      </c>
      <c r="H12" s="38" t="e">
        <f>INDEX(Tabelle3!V:V,MATCH(B12,Tabelle3!B:B,0))</f>
        <v>#N/A</v>
      </c>
      <c r="I12" s="35" t="e">
        <f>INDEX(Tabelle4!U:U,MATCH(B12,Tabelle4!B:B,0))</f>
        <v>#N/A</v>
      </c>
      <c r="J12" s="38" t="e">
        <f>INDEX(Tabelle4!V:V,MATCH(B12,Tabelle4!B:B,0))</f>
        <v>#N/A</v>
      </c>
      <c r="K12" s="35" t="e">
        <f>INDEX(Tabelle5!U:U,MATCH(B12,Tabelle5!B:B,0))</f>
        <v>#N/A</v>
      </c>
      <c r="L12" s="38" t="e">
        <f>INDEX(Tabelle5!V:V,MATCH(B12,Tabelle5!B:B,0))</f>
        <v>#N/A</v>
      </c>
      <c r="M12" s="35" t="e">
        <f>INDEX(Tabelle6!U:U,MATCH(B12,Tabelle6!B:B,0))</f>
        <v>#N/A</v>
      </c>
      <c r="N12" s="43" t="e">
        <f>INDEX(Tabelle6!V:V,MATCH(B12,Tabelle6!B:B,0))</f>
        <v>#N/A</v>
      </c>
      <c r="O12" s="41" t="e">
        <f t="shared" si="0"/>
        <v>#N/A</v>
      </c>
      <c r="P12" s="42" t="e">
        <f t="shared" si="1"/>
        <v>#N/A</v>
      </c>
      <c r="Q12" s="37" t="e">
        <f>O12/INDEX(Tabelle6!$AE:$AE,MATCH($B12,Tabelle6!$B:$B,0))</f>
        <v>#N/A</v>
      </c>
      <c r="R12" s="25"/>
    </row>
    <row r="13" spans="1:31" ht="42" customHeight="1" thickBot="1" x14ac:dyDescent="0.4">
      <c r="A13" s="34">
        <v>7</v>
      </c>
      <c r="B13" s="128" t="e">
        <f>INDEX(Tabelle6!B:B,MATCH(A13,Tabelle6!AD:AD,0))</f>
        <v>#N/A</v>
      </c>
      <c r="C13" s="35" t="e">
        <f>INDEX(Tabelle1!U:U,MATCH(B13,Tabelle1!B:B,0))</f>
        <v>#N/A</v>
      </c>
      <c r="D13" s="36" t="e">
        <f>INDEX(Tabelle1!V:V,MATCH(B13,Tabelle1!B:B,0))</f>
        <v>#N/A</v>
      </c>
      <c r="E13" s="35" t="e">
        <f>INDEX(Tabelle2!U:U,MATCH(B13,Tabelle2!B:B,0))</f>
        <v>#N/A</v>
      </c>
      <c r="F13" s="36" t="e">
        <f>INDEX(Tabelle2!V:V,MATCH(B13,Tabelle2!B:B,0))</f>
        <v>#N/A</v>
      </c>
      <c r="G13" s="35" t="e">
        <f>INDEX(Tabelle3!U:U,MATCH(B13,Tabelle3!B:B,0))</f>
        <v>#N/A</v>
      </c>
      <c r="H13" s="38" t="e">
        <f>INDEX(Tabelle3!V:V,MATCH(B13,Tabelle3!B:B,0))</f>
        <v>#N/A</v>
      </c>
      <c r="I13" s="35" t="e">
        <f>INDEX(Tabelle4!U:U,MATCH(B13,Tabelle4!B:B,0))</f>
        <v>#N/A</v>
      </c>
      <c r="J13" s="38" t="e">
        <f>INDEX(Tabelle4!V:V,MATCH(B13,Tabelle4!B:B,0))</f>
        <v>#N/A</v>
      </c>
      <c r="K13" s="35" t="e">
        <f>INDEX(Tabelle5!U:U,MATCH(B13,Tabelle5!B:B,0))</f>
        <v>#N/A</v>
      </c>
      <c r="L13" s="38" t="e">
        <f>INDEX(Tabelle5!V:V,MATCH(B13,Tabelle5!B:B,0))</f>
        <v>#N/A</v>
      </c>
      <c r="M13" s="35" t="e">
        <f>INDEX(Tabelle6!U:U,MATCH(B13,Tabelle6!B:B,0))</f>
        <v>#N/A</v>
      </c>
      <c r="N13" s="43" t="e">
        <f>INDEX(Tabelle6!V:V,MATCH(B13,Tabelle6!B:B,0))</f>
        <v>#N/A</v>
      </c>
      <c r="O13" s="41" t="e">
        <f t="shared" si="0"/>
        <v>#N/A</v>
      </c>
      <c r="P13" s="42" t="e">
        <f t="shared" si="1"/>
        <v>#N/A</v>
      </c>
      <c r="Q13" s="37" t="e">
        <f>O13/INDEX(Tabelle6!$AE:$AE,MATCH($B13,Tabelle6!$B:$B,0))</f>
        <v>#N/A</v>
      </c>
      <c r="R13" s="25"/>
    </row>
    <row r="14" spans="1:31" ht="42" customHeight="1" thickBot="1" x14ac:dyDescent="0.4">
      <c r="A14" s="34">
        <v>8</v>
      </c>
      <c r="B14" s="128" t="e">
        <f>INDEX(Tabelle6!B:B,MATCH(A14,Tabelle6!AD:AD,0))</f>
        <v>#N/A</v>
      </c>
      <c r="C14" s="35" t="e">
        <f>INDEX(Tabelle1!U:U,MATCH(B14,Tabelle1!B:B,0))</f>
        <v>#N/A</v>
      </c>
      <c r="D14" s="36" t="e">
        <f>INDEX(Tabelle1!V:V,MATCH(B14,Tabelle1!B:B,0))</f>
        <v>#N/A</v>
      </c>
      <c r="E14" s="35" t="e">
        <f>INDEX(Tabelle2!U:U,MATCH(B14,Tabelle2!B:B,0))</f>
        <v>#N/A</v>
      </c>
      <c r="F14" s="36" t="e">
        <f>INDEX(Tabelle2!V:V,MATCH(B14,Tabelle2!B:B,0))</f>
        <v>#N/A</v>
      </c>
      <c r="G14" s="35" t="e">
        <f>INDEX(Tabelle3!U:U,MATCH(B14,Tabelle3!B:B,0))</f>
        <v>#N/A</v>
      </c>
      <c r="H14" s="38" t="e">
        <f>INDEX(Tabelle3!V:V,MATCH(B14,Tabelle3!B:B,0))</f>
        <v>#N/A</v>
      </c>
      <c r="I14" s="35" t="e">
        <f>INDEX(Tabelle4!U:U,MATCH(B14,Tabelle4!B:B,0))</f>
        <v>#N/A</v>
      </c>
      <c r="J14" s="38" t="e">
        <f>INDEX(Tabelle4!V:V,MATCH(B14,Tabelle4!B:B,0))</f>
        <v>#N/A</v>
      </c>
      <c r="K14" s="35" t="e">
        <f>INDEX(Tabelle5!U:U,MATCH(B14,Tabelle5!B:B,0))</f>
        <v>#N/A</v>
      </c>
      <c r="L14" s="38" t="e">
        <f>INDEX(Tabelle5!V:V,MATCH(B14,Tabelle5!B:B,0))</f>
        <v>#N/A</v>
      </c>
      <c r="M14" s="35" t="e">
        <f>INDEX(Tabelle6!U:U,MATCH(B14,Tabelle6!B:B,0))</f>
        <v>#N/A</v>
      </c>
      <c r="N14" s="43" t="e">
        <f>INDEX(Tabelle6!V:V,MATCH(B14,Tabelle6!B:B,0))</f>
        <v>#N/A</v>
      </c>
      <c r="O14" s="41" t="e">
        <f t="shared" si="0"/>
        <v>#N/A</v>
      </c>
      <c r="P14" s="42" t="e">
        <f t="shared" si="1"/>
        <v>#N/A</v>
      </c>
      <c r="Q14" s="37" t="e">
        <f>O14/INDEX(Tabelle6!$AE:$AE,MATCH($B14,Tabelle6!$B:$B,0))</f>
        <v>#N/A</v>
      </c>
      <c r="R14" s="25"/>
    </row>
    <row r="15" spans="1:31" ht="42" customHeight="1" thickBot="1" x14ac:dyDescent="0.4">
      <c r="A15" s="34">
        <v>9</v>
      </c>
      <c r="B15" s="128" t="e">
        <f>INDEX(Tabelle6!B:B,MATCH(A15,Tabelle6!AD:AD,0))</f>
        <v>#N/A</v>
      </c>
      <c r="C15" s="35" t="e">
        <f>INDEX(Tabelle1!U:U,MATCH(B15,Tabelle1!B:B,0))</f>
        <v>#N/A</v>
      </c>
      <c r="D15" s="36" t="e">
        <f>INDEX(Tabelle1!V:V,MATCH(B15,Tabelle1!B:B,0))</f>
        <v>#N/A</v>
      </c>
      <c r="E15" s="35" t="e">
        <f>INDEX(Tabelle2!U:U,MATCH(B15,Tabelle2!B:B,0))</f>
        <v>#N/A</v>
      </c>
      <c r="F15" s="36" t="e">
        <f>INDEX(Tabelle2!V:V,MATCH(B15,Tabelle2!B:B,0))</f>
        <v>#N/A</v>
      </c>
      <c r="G15" s="35" t="e">
        <f>INDEX(Tabelle3!U:U,MATCH(B15,Tabelle3!B:B,0))</f>
        <v>#N/A</v>
      </c>
      <c r="H15" s="38" t="e">
        <f>INDEX(Tabelle3!V:V,MATCH(B15,Tabelle3!B:B,0))</f>
        <v>#N/A</v>
      </c>
      <c r="I15" s="35" t="e">
        <f>INDEX(Tabelle4!U:U,MATCH(B15,Tabelle4!B:B,0))</f>
        <v>#N/A</v>
      </c>
      <c r="J15" s="38" t="e">
        <f>INDEX(Tabelle4!V:V,MATCH(B15,Tabelle4!B:B,0))</f>
        <v>#N/A</v>
      </c>
      <c r="K15" s="35" t="e">
        <f>INDEX(Tabelle5!U:U,MATCH(B15,Tabelle5!B:B,0))</f>
        <v>#N/A</v>
      </c>
      <c r="L15" s="38" t="e">
        <f>INDEX(Tabelle5!V:V,MATCH(B15,Tabelle5!B:B,0))</f>
        <v>#N/A</v>
      </c>
      <c r="M15" s="35" t="e">
        <f>INDEX(Tabelle6!U:U,MATCH(B15,Tabelle6!B:B,0))</f>
        <v>#N/A</v>
      </c>
      <c r="N15" s="43" t="e">
        <f>INDEX(Tabelle6!V:V,MATCH(B15,Tabelle6!B:B,0))</f>
        <v>#N/A</v>
      </c>
      <c r="O15" s="41" t="e">
        <f t="shared" si="0"/>
        <v>#N/A</v>
      </c>
      <c r="P15" s="42" t="e">
        <f t="shared" si="1"/>
        <v>#N/A</v>
      </c>
      <c r="Q15" s="37" t="e">
        <f>O15/INDEX(Tabelle6!$AE:$AE,MATCH($B15,Tabelle6!$B:$B,0))</f>
        <v>#N/A</v>
      </c>
      <c r="R15" s="25"/>
    </row>
    <row r="16" spans="1:31" ht="42" customHeight="1" thickBot="1" x14ac:dyDescent="0.4">
      <c r="A16" s="34">
        <v>10</v>
      </c>
      <c r="B16" s="128" t="e">
        <f>INDEX(Tabelle6!B:B,MATCH(A16,Tabelle6!AD:AD,0))</f>
        <v>#N/A</v>
      </c>
      <c r="C16" s="35" t="e">
        <f>INDEX(Tabelle1!U:U,MATCH(B16,Tabelle1!B:B,0))</f>
        <v>#N/A</v>
      </c>
      <c r="D16" s="36" t="e">
        <f>INDEX(Tabelle1!V:V,MATCH(B16,Tabelle1!B:B,0))</f>
        <v>#N/A</v>
      </c>
      <c r="E16" s="35" t="e">
        <f>INDEX(Tabelle2!U:U,MATCH(B16,Tabelle2!B:B,0))</f>
        <v>#N/A</v>
      </c>
      <c r="F16" s="36" t="e">
        <f>INDEX(Tabelle2!V:V,MATCH(B16,Tabelle2!B:B,0))</f>
        <v>#N/A</v>
      </c>
      <c r="G16" s="35" t="e">
        <f>INDEX(Tabelle3!U:U,MATCH(B16,Tabelle3!B:B,0))</f>
        <v>#N/A</v>
      </c>
      <c r="H16" s="38" t="e">
        <f>INDEX(Tabelle3!V:V,MATCH(B16,Tabelle3!B:B,0))</f>
        <v>#N/A</v>
      </c>
      <c r="I16" s="35" t="e">
        <f>INDEX(Tabelle4!U:U,MATCH(B16,Tabelle4!B:B,0))</f>
        <v>#N/A</v>
      </c>
      <c r="J16" s="38" t="e">
        <f>INDEX(Tabelle4!V:V,MATCH(B16,Tabelle4!B:B,0))</f>
        <v>#N/A</v>
      </c>
      <c r="K16" s="35" t="e">
        <f>INDEX(Tabelle5!U:U,MATCH(B16,Tabelle5!B:B,0))</f>
        <v>#N/A</v>
      </c>
      <c r="L16" s="38" t="e">
        <f>INDEX(Tabelle5!V:V,MATCH(B16,Tabelle5!B:B,0))</f>
        <v>#N/A</v>
      </c>
      <c r="M16" s="35" t="e">
        <f>INDEX(Tabelle6!U:U,MATCH(B16,Tabelle6!B:B,0))</f>
        <v>#N/A</v>
      </c>
      <c r="N16" s="43" t="e">
        <f>INDEX(Tabelle6!V:V,MATCH(B16,Tabelle6!B:B,0))</f>
        <v>#N/A</v>
      </c>
      <c r="O16" s="41" t="e">
        <f t="shared" si="0"/>
        <v>#N/A</v>
      </c>
      <c r="P16" s="42" t="e">
        <f t="shared" si="1"/>
        <v>#N/A</v>
      </c>
      <c r="Q16" s="37" t="e">
        <f>O16/INDEX(Tabelle6!$AE:$AE,MATCH($B16,Tabelle6!$B:$B,0))</f>
        <v>#N/A</v>
      </c>
      <c r="R16" s="25"/>
    </row>
  </sheetData>
  <sheetProtection password="D19C" sheet="1" formatCells="0" formatColumns="0" formatRows="0"/>
  <mergeCells count="15">
    <mergeCell ref="A1:Q1"/>
    <mergeCell ref="A2:Q2"/>
    <mergeCell ref="A3:Q3"/>
    <mergeCell ref="O5:P5"/>
    <mergeCell ref="A4:B4"/>
    <mergeCell ref="Q5:Q6"/>
    <mergeCell ref="M5:N5"/>
    <mergeCell ref="D4:O4"/>
    <mergeCell ref="A5:A6"/>
    <mergeCell ref="B5:B6"/>
    <mergeCell ref="C5:D5"/>
    <mergeCell ref="E5:F5"/>
    <mergeCell ref="G5:H5"/>
    <mergeCell ref="I5:J5"/>
    <mergeCell ref="K5:L5"/>
  </mergeCells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abelle35">
    <tabColor rgb="FF7030A0"/>
  </sheetPr>
  <dimension ref="A1:Q104"/>
  <sheetViews>
    <sheetView view="pageBreakPreview" zoomScaleNormal="100" zoomScaleSheetLayoutView="100" workbookViewId="0">
      <selection activeCell="F22" sqref="F22:G22"/>
    </sheetView>
  </sheetViews>
  <sheetFormatPr baseColWidth="10" defaultColWidth="11.33203125" defaultRowHeight="12.75" x14ac:dyDescent="0.35"/>
  <cols>
    <col min="1" max="1" width="5.265625" customWidth="1"/>
    <col min="2" max="2" width="8.265625" customWidth="1"/>
    <col min="3" max="4" width="27.73046875" customWidth="1"/>
    <col min="5" max="5" width="7.73046875" style="102" customWidth="1"/>
    <col min="6" max="6" width="7.73046875" customWidth="1"/>
    <col min="7" max="7" width="7.73046875" style="137" customWidth="1"/>
    <col min="12" max="12" width="11.33203125" style="227" hidden="1" customWidth="1"/>
    <col min="13" max="17" width="11.33203125" hidden="1" customWidth="1"/>
    <col min="18" max="18" width="11.33203125" customWidth="1"/>
  </cols>
  <sheetData>
    <row r="1" spans="1:16" ht="28.5" customHeight="1" x14ac:dyDescent="0.7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6">
      <c r="A2" s="138" t="s">
        <v>1791</v>
      </c>
      <c r="C2" s="50">
        <v>6</v>
      </c>
      <c r="D2" s="50" t="s">
        <v>1829</v>
      </c>
      <c r="E2" s="139"/>
      <c r="F2" s="54"/>
      <c r="L2" s="227">
        <f>INDEX(Starter!A:A,ROW()-1)</f>
        <v>25751</v>
      </c>
      <c r="M2">
        <f>SUMIF(Erfassung6!BD:BD,L2,Erfassung6!BW:BW)</f>
        <v>0</v>
      </c>
      <c r="N2">
        <f>SUMIF(Erfassung6!BD:BD,L2,Erfassung6!BG:BG)</f>
        <v>0</v>
      </c>
      <c r="O2">
        <f t="shared" ref="O2:O65" si="0">IF(N2=0,0,M2/N2-ROW()/1000000000)</f>
        <v>0</v>
      </c>
      <c r="P2">
        <f t="shared" ref="P2:P65" si="1">RANK(O2,O:O)</f>
        <v>1</v>
      </c>
    </row>
    <row r="3" spans="1:16" x14ac:dyDescent="0.35">
      <c r="L3" s="227">
        <f>INDEX(Starter!A:A,ROW()-1)</f>
        <v>38258</v>
      </c>
      <c r="M3">
        <f>SUMIF(Erfassung6!BD:BD,L3,Erfassung6!BW:BW)</f>
        <v>0</v>
      </c>
      <c r="N3">
        <f>SUMIF(Erfassung6!BD:BD,L3,Erfassung6!BG:BG)</f>
        <v>0</v>
      </c>
      <c r="O3">
        <f t="shared" si="0"/>
        <v>0</v>
      </c>
      <c r="P3">
        <f t="shared" si="1"/>
        <v>1</v>
      </c>
    </row>
    <row r="4" spans="1:16" x14ac:dyDescent="0.3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SUMIF(Erfassung6!BD:BD,L4,Erfassung6!BW:BW)</f>
        <v>0</v>
      </c>
      <c r="N4">
        <f>SUMIF(Erfassung6!BD:BD,L4,Erfassung6!BG:BG)</f>
        <v>0</v>
      </c>
      <c r="O4">
        <f t="shared" si="0"/>
        <v>0</v>
      </c>
      <c r="P4">
        <f t="shared" si="1"/>
        <v>1</v>
      </c>
    </row>
    <row r="5" spans="1:16" x14ac:dyDescent="0.35">
      <c r="A5">
        <v>1</v>
      </c>
      <c r="B5">
        <f t="shared" ref="B5:B36" si="2">IFERROR(INDEX(L:L,MATCH(A5,P:P,0)),"")</f>
        <v>25751</v>
      </c>
      <c r="C5" t="str">
        <f>IFERROR(INDEX(Starter!B:B,MATCH(B5,Starter!A:A,0)),"")</f>
        <v>Schlundt, Sabrina</v>
      </c>
      <c r="D5" t="str">
        <f>IFERROR(INDEX(Starter!C:C,MATCH(B5,Starter!A:A,0)),"")</f>
        <v>BC Praetoria</v>
      </c>
      <c r="E5" s="102">
        <f t="shared" ref="E5:E36" si="3">IFERROR(INDEX(M:M,MATCH(A5,P:P,0)),"")</f>
        <v>0</v>
      </c>
      <c r="F5">
        <f t="shared" ref="F5:F36" si="4">IFERROR(INDEX(N:N,MATCH(A5,P:P,0)),"")</f>
        <v>0</v>
      </c>
      <c r="G5" s="137">
        <f t="shared" ref="G5:G36" si="5">IFERROR(INDEX(O:O,MATCH(A5,P:P,0)),"")</f>
        <v>0</v>
      </c>
      <c r="L5" s="227">
        <f>INDEX(Starter!A:A,ROW()-1)</f>
        <v>7903</v>
      </c>
      <c r="M5">
        <f>SUMIF(Erfassung6!BD:BD,L5,Erfassung6!BW:BW)</f>
        <v>0</v>
      </c>
      <c r="N5">
        <f>SUMIF(Erfassung6!BD:BD,L5,Erfassung6!BG:BG)</f>
        <v>0</v>
      </c>
      <c r="O5">
        <f t="shared" si="0"/>
        <v>0</v>
      </c>
      <c r="P5">
        <f t="shared" si="1"/>
        <v>1</v>
      </c>
    </row>
    <row r="6" spans="1:16" x14ac:dyDescent="0.35">
      <c r="A6" t="str">
        <f t="shared" ref="A6:A37" si="6">IFERROR(IF(A5+1&gt;MAX(P:P)-1,"",A5+1),"")</f>
        <v/>
      </c>
      <c r="B6" t="str">
        <f t="shared" si="2"/>
        <v/>
      </c>
      <c r="C6" t="str">
        <f>IFERROR(INDEX(Starter!B:B,MATCH(B6,Starter!A:A,0)),"")</f>
        <v/>
      </c>
      <c r="D6" t="str">
        <f>IFERROR(INDEX(Starter!C:C,MATCH(B6,Starter!A:A,0)),"")</f>
        <v/>
      </c>
      <c r="E6" s="102" t="str">
        <f t="shared" si="3"/>
        <v/>
      </c>
      <c r="F6" t="str">
        <f t="shared" si="4"/>
        <v/>
      </c>
      <c r="G6" s="137" t="str">
        <f t="shared" si="5"/>
        <v/>
      </c>
      <c r="L6" s="227">
        <f>INDEX(Starter!A:A,ROW()-1)</f>
        <v>16170</v>
      </c>
      <c r="M6">
        <f>SUMIF(Erfassung6!BD:BD,L6,Erfassung6!BW:BW)</f>
        <v>0</v>
      </c>
      <c r="N6">
        <f>SUMIF(Erfassung6!BD:BD,L6,Erfassung6!BG:BG)</f>
        <v>0</v>
      </c>
      <c r="O6">
        <f t="shared" si="0"/>
        <v>0</v>
      </c>
      <c r="P6">
        <f t="shared" si="1"/>
        <v>1</v>
      </c>
    </row>
    <row r="7" spans="1:16" x14ac:dyDescent="0.35">
      <c r="A7" t="str">
        <f t="shared" si="6"/>
        <v/>
      </c>
      <c r="B7" t="str">
        <f t="shared" si="2"/>
        <v/>
      </c>
      <c r="C7" t="str">
        <f>IFERROR(INDEX(Starter!B:B,MATCH(B7,Starter!A:A,0)),"")</f>
        <v/>
      </c>
      <c r="D7" t="str">
        <f>IFERROR(INDEX(Starter!C:C,MATCH(B7,Starter!A:A,0)),"")</f>
        <v/>
      </c>
      <c r="E7" s="102" t="str">
        <f t="shared" si="3"/>
        <v/>
      </c>
      <c r="F7" t="str">
        <f t="shared" si="4"/>
        <v/>
      </c>
      <c r="G7" s="137" t="str">
        <f t="shared" si="5"/>
        <v/>
      </c>
      <c r="L7" s="227">
        <f>INDEX(Starter!A:A,ROW()-1)</f>
        <v>7889</v>
      </c>
      <c r="M7">
        <f>SUMIF(Erfassung6!BD:BD,L7,Erfassung6!BW:BW)</f>
        <v>0</v>
      </c>
      <c r="N7">
        <f>SUMIF(Erfassung6!BD:BD,L7,Erfassung6!BG:BG)</f>
        <v>0</v>
      </c>
      <c r="O7">
        <f t="shared" si="0"/>
        <v>0</v>
      </c>
      <c r="P7">
        <f t="shared" si="1"/>
        <v>1</v>
      </c>
    </row>
    <row r="8" spans="1:16" x14ac:dyDescent="0.35">
      <c r="A8" t="str">
        <f t="shared" si="6"/>
        <v/>
      </c>
      <c r="B8" t="str">
        <f t="shared" si="2"/>
        <v/>
      </c>
      <c r="C8" t="str">
        <f>IFERROR(INDEX(Starter!B:B,MATCH(B8,Starter!A:A,0)),"")</f>
        <v/>
      </c>
      <c r="D8" t="str">
        <f>IFERROR(INDEX(Starter!C:C,MATCH(B8,Starter!A:A,0)),"")</f>
        <v/>
      </c>
      <c r="E8" s="102" t="str">
        <f t="shared" si="3"/>
        <v/>
      </c>
      <c r="F8" t="str">
        <f t="shared" si="4"/>
        <v/>
      </c>
      <c r="G8" s="137" t="str">
        <f t="shared" si="5"/>
        <v/>
      </c>
      <c r="L8" s="227">
        <f>INDEX(Starter!A:A,ROW()-1)</f>
        <v>38222</v>
      </c>
      <c r="M8">
        <f>SUMIF(Erfassung6!BD:BD,L8,Erfassung6!BW:BW)</f>
        <v>0</v>
      </c>
      <c r="N8">
        <f>SUMIF(Erfassung6!BD:BD,L8,Erfassung6!BG:BG)</f>
        <v>0</v>
      </c>
      <c r="O8">
        <f t="shared" si="0"/>
        <v>0</v>
      </c>
      <c r="P8">
        <f t="shared" si="1"/>
        <v>1</v>
      </c>
    </row>
    <row r="9" spans="1:16" x14ac:dyDescent="0.35">
      <c r="A9" t="str">
        <f t="shared" si="6"/>
        <v/>
      </c>
      <c r="B9" t="str">
        <f t="shared" si="2"/>
        <v/>
      </c>
      <c r="C9" t="str">
        <f>IFERROR(INDEX(Starter!B:B,MATCH(B9,Starter!A:A,0)),"")</f>
        <v/>
      </c>
      <c r="D9" t="str">
        <f>IFERROR(INDEX(Starter!C:C,MATCH(B9,Starter!A:A,0)),"")</f>
        <v/>
      </c>
      <c r="E9" s="102" t="str">
        <f t="shared" si="3"/>
        <v/>
      </c>
      <c r="F9" t="str">
        <f t="shared" si="4"/>
        <v/>
      </c>
      <c r="G9" s="137" t="str">
        <f t="shared" si="5"/>
        <v/>
      </c>
      <c r="L9" s="227">
        <f>INDEX(Starter!A:A,ROW()-1)</f>
        <v>38438</v>
      </c>
      <c r="M9">
        <f>SUMIF(Erfassung6!BD:BD,L9,Erfassung6!BW:BW)</f>
        <v>0</v>
      </c>
      <c r="N9">
        <f>SUMIF(Erfassung6!BD:BD,L9,Erfassung6!BG:BG)</f>
        <v>0</v>
      </c>
      <c r="O9">
        <f t="shared" si="0"/>
        <v>0</v>
      </c>
      <c r="P9">
        <f t="shared" si="1"/>
        <v>1</v>
      </c>
    </row>
    <row r="10" spans="1:16" x14ac:dyDescent="0.35">
      <c r="A10" t="str">
        <f t="shared" si="6"/>
        <v/>
      </c>
      <c r="B10" t="str">
        <f t="shared" si="2"/>
        <v/>
      </c>
      <c r="C10" t="str">
        <f>IFERROR(INDEX(Starter!B:B,MATCH(B10,Starter!A:A,0)),"")</f>
        <v/>
      </c>
      <c r="D10" t="str">
        <f>IFERROR(INDEX(Starter!C:C,MATCH(B10,Starter!A:A,0)),"")</f>
        <v/>
      </c>
      <c r="E10" s="102" t="str">
        <f t="shared" si="3"/>
        <v/>
      </c>
      <c r="F10" t="str">
        <f t="shared" si="4"/>
        <v/>
      </c>
      <c r="G10" s="137" t="str">
        <f t="shared" si="5"/>
        <v/>
      </c>
      <c r="L10" s="227">
        <f>INDEX(Starter!A:A,ROW()-1)</f>
        <v>38553</v>
      </c>
      <c r="M10">
        <f>SUMIF(Erfassung6!BD:BD,L10,Erfassung6!BW:BW)</f>
        <v>0</v>
      </c>
      <c r="N10">
        <f>SUMIF(Erfassung6!BD:BD,L10,Erfassung6!BG:BG)</f>
        <v>0</v>
      </c>
      <c r="O10">
        <f t="shared" si="0"/>
        <v>0</v>
      </c>
      <c r="P10">
        <f t="shared" si="1"/>
        <v>1</v>
      </c>
    </row>
    <row r="11" spans="1:16" x14ac:dyDescent="0.35">
      <c r="A11" t="str">
        <f t="shared" si="6"/>
        <v/>
      </c>
      <c r="B11" t="str">
        <f t="shared" si="2"/>
        <v/>
      </c>
      <c r="C11" t="str">
        <f>IFERROR(INDEX(Starter!B:B,MATCH(B11,Starter!A:A,0)),"")</f>
        <v/>
      </c>
      <c r="D11" t="str">
        <f>IFERROR(INDEX(Starter!C:C,MATCH(B11,Starter!A:A,0)),"")</f>
        <v/>
      </c>
      <c r="E11" s="102" t="str">
        <f t="shared" si="3"/>
        <v/>
      </c>
      <c r="F11" t="str">
        <f t="shared" si="4"/>
        <v/>
      </c>
      <c r="G11" s="137" t="str">
        <f t="shared" si="5"/>
        <v/>
      </c>
      <c r="L11" s="227">
        <f>INDEX(Starter!A:A,ROW()-1)</f>
        <v>38350</v>
      </c>
      <c r="M11">
        <f>SUMIF(Erfassung6!BD:BD,L11,Erfassung6!BW:BW)</f>
        <v>0</v>
      </c>
      <c r="N11">
        <f>SUMIF(Erfassung6!BD:BD,L11,Erfassung6!BG:BG)</f>
        <v>0</v>
      </c>
      <c r="O11">
        <f t="shared" si="0"/>
        <v>0</v>
      </c>
      <c r="P11">
        <f t="shared" si="1"/>
        <v>1</v>
      </c>
    </row>
    <row r="12" spans="1:16" x14ac:dyDescent="0.35">
      <c r="A12" t="str">
        <f t="shared" si="6"/>
        <v/>
      </c>
      <c r="B12" t="str">
        <f t="shared" si="2"/>
        <v/>
      </c>
      <c r="C12" t="str">
        <f>IFERROR(INDEX(Starter!B:B,MATCH(B12,Starter!A:A,0)),"")</f>
        <v/>
      </c>
      <c r="D12" t="str">
        <f>IFERROR(INDEX(Starter!C:C,MATCH(B12,Starter!A:A,0)),"")</f>
        <v/>
      </c>
      <c r="E12" s="102" t="str">
        <f t="shared" si="3"/>
        <v/>
      </c>
      <c r="F12" t="str">
        <f t="shared" si="4"/>
        <v/>
      </c>
      <c r="G12" s="137" t="str">
        <f t="shared" si="5"/>
        <v/>
      </c>
      <c r="L12" s="227">
        <f>INDEX(Starter!A:A,ROW()-1)</f>
        <v>16594</v>
      </c>
      <c r="M12">
        <f>SUMIF(Erfassung6!BD:BD,L12,Erfassung6!BW:BW)</f>
        <v>0</v>
      </c>
      <c r="N12">
        <f>SUMIF(Erfassung6!BD:BD,L12,Erfassung6!BG:BG)</f>
        <v>0</v>
      </c>
      <c r="O12">
        <f t="shared" si="0"/>
        <v>0</v>
      </c>
      <c r="P12">
        <f t="shared" si="1"/>
        <v>1</v>
      </c>
    </row>
    <row r="13" spans="1:16" x14ac:dyDescent="0.35">
      <c r="A13" t="str">
        <f t="shared" si="6"/>
        <v/>
      </c>
      <c r="B13" t="str">
        <f t="shared" si="2"/>
        <v/>
      </c>
      <c r="C13" t="str">
        <f>IFERROR(INDEX(Starter!B:B,MATCH(B13,Starter!A:A,0)),"")</f>
        <v/>
      </c>
      <c r="D13" t="str">
        <f>IFERROR(INDEX(Starter!C:C,MATCH(B13,Starter!A:A,0)),"")</f>
        <v/>
      </c>
      <c r="E13" s="102" t="str">
        <f t="shared" si="3"/>
        <v/>
      </c>
      <c r="F13" t="str">
        <f t="shared" si="4"/>
        <v/>
      </c>
      <c r="G13" s="137" t="str">
        <f t="shared" si="5"/>
        <v/>
      </c>
      <c r="L13" s="227">
        <f>INDEX(Starter!A:A,ROW()-1)</f>
        <v>16595</v>
      </c>
      <c r="M13">
        <f>SUMIF(Erfassung6!BD:BD,L13,Erfassung6!BW:BW)</f>
        <v>0</v>
      </c>
      <c r="N13">
        <f>SUMIF(Erfassung6!BD:BD,L13,Erfassung6!BG:BG)</f>
        <v>0</v>
      </c>
      <c r="O13">
        <f t="shared" si="0"/>
        <v>0</v>
      </c>
      <c r="P13">
        <f t="shared" si="1"/>
        <v>1</v>
      </c>
    </row>
    <row r="14" spans="1:16" x14ac:dyDescent="0.35">
      <c r="A14" t="str">
        <f t="shared" si="6"/>
        <v/>
      </c>
      <c r="B14" t="str">
        <f t="shared" si="2"/>
        <v/>
      </c>
      <c r="C14" t="str">
        <f>IFERROR(INDEX(Starter!B:B,MATCH(B14,Starter!A:A,0)),"")</f>
        <v/>
      </c>
      <c r="D14" t="str">
        <f>IFERROR(INDEX(Starter!C:C,MATCH(B14,Starter!A:A,0)),"")</f>
        <v/>
      </c>
      <c r="E14" s="102" t="str">
        <f t="shared" si="3"/>
        <v/>
      </c>
      <c r="F14" t="str">
        <f t="shared" si="4"/>
        <v/>
      </c>
      <c r="G14" s="137" t="str">
        <f t="shared" si="5"/>
        <v/>
      </c>
      <c r="L14" s="227">
        <f>INDEX(Starter!A:A,ROW()-1)</f>
        <v>7061</v>
      </c>
      <c r="M14">
        <f>SUMIF(Erfassung6!BD:BD,L14,Erfassung6!BW:BW)</f>
        <v>0</v>
      </c>
      <c r="N14">
        <f>SUMIF(Erfassung6!BD:BD,L14,Erfassung6!BG:BG)</f>
        <v>0</v>
      </c>
      <c r="O14">
        <f t="shared" si="0"/>
        <v>0</v>
      </c>
      <c r="P14">
        <f t="shared" si="1"/>
        <v>1</v>
      </c>
    </row>
    <row r="15" spans="1:16" x14ac:dyDescent="0.35">
      <c r="A15" t="str">
        <f t="shared" si="6"/>
        <v/>
      </c>
      <c r="B15" t="str">
        <f t="shared" si="2"/>
        <v/>
      </c>
      <c r="C15" t="str">
        <f>IFERROR(INDEX(Starter!B:B,MATCH(B15,Starter!A:A,0)),"")</f>
        <v/>
      </c>
      <c r="D15" t="str">
        <f>IFERROR(INDEX(Starter!C:C,MATCH(B15,Starter!A:A,0)),"")</f>
        <v/>
      </c>
      <c r="E15" s="102" t="str">
        <f t="shared" si="3"/>
        <v/>
      </c>
      <c r="F15" t="str">
        <f t="shared" si="4"/>
        <v/>
      </c>
      <c r="G15" s="137" t="str">
        <f t="shared" si="5"/>
        <v/>
      </c>
      <c r="L15" s="227">
        <f>INDEX(Starter!A:A,ROW()-1)</f>
        <v>25550</v>
      </c>
      <c r="M15">
        <f>SUMIF(Erfassung6!BD:BD,L15,Erfassung6!BW:BW)</f>
        <v>0</v>
      </c>
      <c r="N15">
        <f>SUMIF(Erfassung6!BD:BD,L15,Erfassung6!BG:BG)</f>
        <v>0</v>
      </c>
      <c r="O15">
        <f t="shared" si="0"/>
        <v>0</v>
      </c>
      <c r="P15">
        <f t="shared" si="1"/>
        <v>1</v>
      </c>
    </row>
    <row r="16" spans="1:16" x14ac:dyDescent="0.35">
      <c r="A16" t="str">
        <f t="shared" si="6"/>
        <v/>
      </c>
      <c r="B16" t="str">
        <f t="shared" si="2"/>
        <v/>
      </c>
      <c r="C16" t="str">
        <f>IFERROR(INDEX(Starter!B:B,MATCH(B16,Starter!A:A,0)),"")</f>
        <v/>
      </c>
      <c r="D16" t="str">
        <f>IFERROR(INDEX(Starter!C:C,MATCH(B16,Starter!A:A,0)),"")</f>
        <v/>
      </c>
      <c r="E16" s="102" t="str">
        <f t="shared" si="3"/>
        <v/>
      </c>
      <c r="F16" t="str">
        <f t="shared" si="4"/>
        <v/>
      </c>
      <c r="G16" s="137" t="str">
        <f t="shared" si="5"/>
        <v/>
      </c>
      <c r="L16" s="227">
        <f>INDEX(Starter!A:A,ROW()-1)</f>
        <v>7578</v>
      </c>
      <c r="M16">
        <f>SUMIF(Erfassung6!BD:BD,L16,Erfassung6!BW:BW)</f>
        <v>0</v>
      </c>
      <c r="N16">
        <f>SUMIF(Erfassung6!BD:BD,L16,Erfassung6!BG:BG)</f>
        <v>0</v>
      </c>
      <c r="O16">
        <f t="shared" si="0"/>
        <v>0</v>
      </c>
      <c r="P16">
        <f t="shared" si="1"/>
        <v>1</v>
      </c>
    </row>
    <row r="17" spans="1:16" x14ac:dyDescent="0.35">
      <c r="A17" t="str">
        <f t="shared" si="6"/>
        <v/>
      </c>
      <c r="B17" t="str">
        <f t="shared" si="2"/>
        <v/>
      </c>
      <c r="C17" t="str">
        <f>IFERROR(INDEX(Starter!B:B,MATCH(B17,Starter!A:A,0)),"")</f>
        <v/>
      </c>
      <c r="D17" t="str">
        <f>IFERROR(INDEX(Starter!C:C,MATCH(B17,Starter!A:A,0)),"")</f>
        <v/>
      </c>
      <c r="E17" s="102" t="str">
        <f t="shared" si="3"/>
        <v/>
      </c>
      <c r="F17" t="str">
        <f t="shared" si="4"/>
        <v/>
      </c>
      <c r="G17" s="137" t="str">
        <f t="shared" si="5"/>
        <v/>
      </c>
      <c r="L17" s="227">
        <f>INDEX(Starter!A:A,ROW()-1)</f>
        <v>7575</v>
      </c>
      <c r="M17">
        <f>SUMIF(Erfassung6!BD:BD,L17,Erfassung6!BW:BW)</f>
        <v>0</v>
      </c>
      <c r="N17">
        <f>SUMIF(Erfassung6!BD:BD,L17,Erfassung6!BG:BG)</f>
        <v>0</v>
      </c>
      <c r="O17">
        <f t="shared" si="0"/>
        <v>0</v>
      </c>
      <c r="P17">
        <f t="shared" si="1"/>
        <v>1</v>
      </c>
    </row>
    <row r="18" spans="1:16" x14ac:dyDescent="0.35">
      <c r="A18" t="str">
        <f t="shared" si="6"/>
        <v/>
      </c>
      <c r="B18" t="str">
        <f t="shared" si="2"/>
        <v/>
      </c>
      <c r="C18" t="str">
        <f>IFERROR(INDEX(Starter!B:B,MATCH(B18,Starter!A:A,0)),"")</f>
        <v/>
      </c>
      <c r="D18" t="str">
        <f>IFERROR(INDEX(Starter!C:C,MATCH(B18,Starter!A:A,0)),"")</f>
        <v/>
      </c>
      <c r="E18" s="102" t="str">
        <f t="shared" si="3"/>
        <v/>
      </c>
      <c r="F18" t="str">
        <f t="shared" si="4"/>
        <v/>
      </c>
      <c r="G18" s="137" t="str">
        <f t="shared" si="5"/>
        <v/>
      </c>
      <c r="L18" s="227">
        <f>INDEX(Starter!A:A,ROW()-1)</f>
        <v>7574</v>
      </c>
      <c r="M18">
        <f>SUMIF(Erfassung6!BD:BD,L18,Erfassung6!BW:BW)</f>
        <v>0</v>
      </c>
      <c r="N18">
        <f>SUMIF(Erfassung6!BD:BD,L18,Erfassung6!BG:BG)</f>
        <v>0</v>
      </c>
      <c r="O18">
        <f t="shared" si="0"/>
        <v>0</v>
      </c>
      <c r="P18">
        <f t="shared" si="1"/>
        <v>1</v>
      </c>
    </row>
    <row r="19" spans="1:16" x14ac:dyDescent="0.35">
      <c r="A19" t="str">
        <f t="shared" si="6"/>
        <v/>
      </c>
      <c r="B19" t="str">
        <f t="shared" si="2"/>
        <v/>
      </c>
      <c r="C19" t="str">
        <f>IFERROR(INDEX(Starter!B:B,MATCH(B19,Starter!A:A,0)),"")</f>
        <v/>
      </c>
      <c r="D19" t="str">
        <f>IFERROR(INDEX(Starter!C:C,MATCH(B19,Starter!A:A,0)),"")</f>
        <v/>
      </c>
      <c r="E19" s="102" t="str">
        <f t="shared" si="3"/>
        <v/>
      </c>
      <c r="F19" t="str">
        <f t="shared" si="4"/>
        <v/>
      </c>
      <c r="G19" s="137" t="str">
        <f t="shared" si="5"/>
        <v/>
      </c>
      <c r="L19" s="227">
        <f>INDEX(Starter!A:A,ROW()-1)</f>
        <v>7576</v>
      </c>
      <c r="M19">
        <f>SUMIF(Erfassung6!BD:BD,L19,Erfassung6!BW:BW)</f>
        <v>0</v>
      </c>
      <c r="N19">
        <f>SUMIF(Erfassung6!BD:BD,L19,Erfassung6!BG:BG)</f>
        <v>0</v>
      </c>
      <c r="O19">
        <f t="shared" si="0"/>
        <v>0</v>
      </c>
      <c r="P19">
        <f t="shared" si="1"/>
        <v>1</v>
      </c>
    </row>
    <row r="20" spans="1:16" x14ac:dyDescent="0.35">
      <c r="A20" t="str">
        <f t="shared" si="6"/>
        <v/>
      </c>
      <c r="B20" t="str">
        <f t="shared" si="2"/>
        <v/>
      </c>
      <c r="C20" t="str">
        <f>IFERROR(INDEX(Starter!B:B,MATCH(B20,Starter!A:A,0)),"")</f>
        <v/>
      </c>
      <c r="D20" t="str">
        <f>IFERROR(INDEX(Starter!C:C,MATCH(B20,Starter!A:A,0)),"")</f>
        <v/>
      </c>
      <c r="E20" s="102" t="str">
        <f t="shared" si="3"/>
        <v/>
      </c>
      <c r="F20" t="str">
        <f t="shared" si="4"/>
        <v/>
      </c>
      <c r="G20" s="137" t="str">
        <f t="shared" si="5"/>
        <v/>
      </c>
      <c r="L20" s="227">
        <f>INDEX(Starter!A:A,ROW()-1)</f>
        <v>12850</v>
      </c>
      <c r="M20">
        <f>SUMIF(Erfassung6!BD:BD,L20,Erfassung6!BW:BW)</f>
        <v>0</v>
      </c>
      <c r="N20">
        <f>SUMIF(Erfassung6!BD:BD,L20,Erfassung6!BG:BG)</f>
        <v>0</v>
      </c>
      <c r="O20">
        <f t="shared" si="0"/>
        <v>0</v>
      </c>
      <c r="P20">
        <f t="shared" si="1"/>
        <v>1</v>
      </c>
    </row>
    <row r="21" spans="1:16" x14ac:dyDescent="0.35">
      <c r="A21" t="str">
        <f t="shared" si="6"/>
        <v/>
      </c>
      <c r="B21" t="str">
        <f t="shared" si="2"/>
        <v/>
      </c>
      <c r="C21" t="str">
        <f>IFERROR(INDEX(Starter!B:B,MATCH(B21,Starter!A:A,0)),"")</f>
        <v/>
      </c>
      <c r="D21" t="str">
        <f>IFERROR(INDEX(Starter!C:C,MATCH(B21,Starter!A:A,0)),"")</f>
        <v/>
      </c>
      <c r="E21" s="102" t="str">
        <f t="shared" si="3"/>
        <v/>
      </c>
      <c r="F21" t="str">
        <f t="shared" si="4"/>
        <v/>
      </c>
      <c r="G21" s="137" t="str">
        <f t="shared" si="5"/>
        <v/>
      </c>
      <c r="L21" s="227">
        <f>INDEX(Starter!A:A,ROW()-1)</f>
        <v>16879</v>
      </c>
      <c r="M21">
        <f>SUMIF(Erfassung6!BD:BD,L21,Erfassung6!BW:BW)</f>
        <v>0</v>
      </c>
      <c r="N21">
        <f>SUMIF(Erfassung6!BD:BD,L21,Erfassung6!BG:BG)</f>
        <v>0</v>
      </c>
      <c r="O21">
        <f t="shared" si="0"/>
        <v>0</v>
      </c>
      <c r="P21">
        <f t="shared" si="1"/>
        <v>1</v>
      </c>
    </row>
    <row r="22" spans="1:16" x14ac:dyDescent="0.35">
      <c r="A22" t="str">
        <f t="shared" si="6"/>
        <v/>
      </c>
      <c r="B22" t="str">
        <f t="shared" si="2"/>
        <v/>
      </c>
      <c r="C22" t="str">
        <f>IFERROR(INDEX(Starter!B:B,MATCH(B22,Starter!A:A,0)),"")</f>
        <v/>
      </c>
      <c r="D22" t="str">
        <f>IFERROR(INDEX(Starter!C:C,MATCH(B22,Starter!A:A,0)),"")</f>
        <v/>
      </c>
      <c r="E22" s="102" t="str">
        <f t="shared" si="3"/>
        <v/>
      </c>
      <c r="F22" t="str">
        <f t="shared" si="4"/>
        <v/>
      </c>
      <c r="G22" s="137" t="str">
        <f t="shared" si="5"/>
        <v/>
      </c>
      <c r="L22" s="227">
        <f>INDEX(Starter!A:A,ROW()-1)</f>
        <v>7991</v>
      </c>
      <c r="M22">
        <f>SUMIF(Erfassung6!BD:BD,L22,Erfassung6!BW:BW)</f>
        <v>0</v>
      </c>
      <c r="N22">
        <f>SUMIF(Erfassung6!BD:BD,L22,Erfassung6!BG:BG)</f>
        <v>0</v>
      </c>
      <c r="O22">
        <f t="shared" si="0"/>
        <v>0</v>
      </c>
      <c r="P22">
        <f t="shared" si="1"/>
        <v>1</v>
      </c>
    </row>
    <row r="23" spans="1:16" x14ac:dyDescent="0.35">
      <c r="A23" t="str">
        <f t="shared" si="6"/>
        <v/>
      </c>
      <c r="B23" t="str">
        <f t="shared" si="2"/>
        <v/>
      </c>
      <c r="C23" t="str">
        <f>IFERROR(INDEX(Starter!B:B,MATCH(B23,Starter!A:A,0)),"")</f>
        <v/>
      </c>
      <c r="D23" t="str">
        <f>IFERROR(INDEX(Starter!C:C,MATCH(B23,Starter!A:A,0)),"")</f>
        <v/>
      </c>
      <c r="E23" s="102" t="str">
        <f t="shared" si="3"/>
        <v/>
      </c>
      <c r="F23" t="str">
        <f t="shared" si="4"/>
        <v/>
      </c>
      <c r="G23" s="137" t="str">
        <f t="shared" si="5"/>
        <v/>
      </c>
      <c r="L23" s="227">
        <f>INDEX(Starter!A:A,ROW()-1)</f>
        <v>7024</v>
      </c>
      <c r="M23">
        <f>SUMIF(Erfassung6!BD:BD,L23,Erfassung6!BW:BW)</f>
        <v>0</v>
      </c>
      <c r="N23">
        <f>SUMIF(Erfassung6!BD:BD,L23,Erfassung6!BG:BG)</f>
        <v>0</v>
      </c>
      <c r="O23">
        <f t="shared" si="0"/>
        <v>0</v>
      </c>
      <c r="P23">
        <f t="shared" si="1"/>
        <v>1</v>
      </c>
    </row>
    <row r="24" spans="1:16" x14ac:dyDescent="0.35">
      <c r="A24" t="str">
        <f t="shared" si="6"/>
        <v/>
      </c>
      <c r="B24" t="str">
        <f t="shared" si="2"/>
        <v/>
      </c>
      <c r="C24" t="str">
        <f>IFERROR(INDEX(Starter!B:B,MATCH(B24,Starter!A:A,0)),"")</f>
        <v/>
      </c>
      <c r="D24" t="str">
        <f>IFERROR(INDEX(Starter!C:C,MATCH(B24,Starter!A:A,0)),"")</f>
        <v/>
      </c>
      <c r="E24" s="102" t="str">
        <f t="shared" si="3"/>
        <v/>
      </c>
      <c r="F24" t="str">
        <f t="shared" si="4"/>
        <v/>
      </c>
      <c r="G24" s="137" t="str">
        <f t="shared" si="5"/>
        <v/>
      </c>
      <c r="L24" s="227">
        <f>INDEX(Starter!A:A,ROW()-1)</f>
        <v>25298</v>
      </c>
      <c r="M24">
        <f>SUMIF(Erfassung6!BD:BD,L24,Erfassung6!BW:BW)</f>
        <v>0</v>
      </c>
      <c r="N24">
        <f>SUMIF(Erfassung6!BD:BD,L24,Erfassung6!BG:BG)</f>
        <v>0</v>
      </c>
      <c r="O24">
        <f t="shared" si="0"/>
        <v>0</v>
      </c>
      <c r="P24">
        <f t="shared" si="1"/>
        <v>1</v>
      </c>
    </row>
    <row r="25" spans="1:16" x14ac:dyDescent="0.35">
      <c r="A25" t="str">
        <f t="shared" si="6"/>
        <v/>
      </c>
      <c r="B25" t="str">
        <f t="shared" si="2"/>
        <v/>
      </c>
      <c r="C25" t="str">
        <f>IFERROR(INDEX(Starter!B:B,MATCH(B25,Starter!A:A,0)),"")</f>
        <v/>
      </c>
      <c r="D25" t="str">
        <f>IFERROR(INDEX(Starter!C:C,MATCH(B25,Starter!A:A,0)),"")</f>
        <v/>
      </c>
      <c r="E25" s="102" t="str">
        <f t="shared" si="3"/>
        <v/>
      </c>
      <c r="F25" t="str">
        <f t="shared" si="4"/>
        <v/>
      </c>
      <c r="G25" s="137" t="str">
        <f t="shared" si="5"/>
        <v/>
      </c>
      <c r="L25" s="227">
        <f>INDEX(Starter!A:A,ROW()-1)</f>
        <v>38757</v>
      </c>
      <c r="M25">
        <f>SUMIF(Erfassung6!BD:BD,L25,Erfassung6!BW:BW)</f>
        <v>0</v>
      </c>
      <c r="N25">
        <f>SUMIF(Erfassung6!BD:BD,L25,Erfassung6!BG:BG)</f>
        <v>0</v>
      </c>
      <c r="O25">
        <f t="shared" si="0"/>
        <v>0</v>
      </c>
      <c r="P25">
        <f t="shared" si="1"/>
        <v>1</v>
      </c>
    </row>
    <row r="26" spans="1:16" x14ac:dyDescent="0.35">
      <c r="A26" t="str">
        <f t="shared" si="6"/>
        <v/>
      </c>
      <c r="B26" t="str">
        <f t="shared" si="2"/>
        <v/>
      </c>
      <c r="C26" t="str">
        <f>IFERROR(INDEX(Starter!B:B,MATCH(B26,Starter!A:A,0)),"")</f>
        <v/>
      </c>
      <c r="D26" t="str">
        <f>IFERROR(INDEX(Starter!C:C,MATCH(B26,Starter!A:A,0)),"")</f>
        <v/>
      </c>
      <c r="E26" s="102" t="str">
        <f t="shared" si="3"/>
        <v/>
      </c>
      <c r="F26" t="str">
        <f t="shared" si="4"/>
        <v/>
      </c>
      <c r="G26" s="137" t="str">
        <f t="shared" si="5"/>
        <v/>
      </c>
      <c r="L26" s="227">
        <f>INDEX(Starter!A:A,ROW()-1)</f>
        <v>25630</v>
      </c>
      <c r="M26">
        <f>SUMIF(Erfassung6!BD:BD,L26,Erfassung6!BW:BW)</f>
        <v>0</v>
      </c>
      <c r="N26">
        <f>SUMIF(Erfassung6!BD:BD,L26,Erfassung6!BG:BG)</f>
        <v>0</v>
      </c>
      <c r="O26">
        <f t="shared" si="0"/>
        <v>0</v>
      </c>
      <c r="P26">
        <f t="shared" si="1"/>
        <v>1</v>
      </c>
    </row>
    <row r="27" spans="1:16" x14ac:dyDescent="0.35">
      <c r="A27" t="str">
        <f t="shared" si="6"/>
        <v/>
      </c>
      <c r="B27" t="str">
        <f t="shared" si="2"/>
        <v/>
      </c>
      <c r="C27" t="str">
        <f>IFERROR(INDEX(Starter!B:B,MATCH(B27,Starter!A:A,0)),"")</f>
        <v/>
      </c>
      <c r="D27" t="str">
        <f>IFERROR(INDEX(Starter!C:C,MATCH(B27,Starter!A:A,0)),"")</f>
        <v/>
      </c>
      <c r="E27" s="102" t="str">
        <f t="shared" si="3"/>
        <v/>
      </c>
      <c r="F27" t="str">
        <f t="shared" si="4"/>
        <v/>
      </c>
      <c r="G27" s="137" t="str">
        <f t="shared" si="5"/>
        <v/>
      </c>
      <c r="L27" s="227">
        <f>INDEX(Starter!A:A,ROW()-1)</f>
        <v>38758</v>
      </c>
      <c r="M27">
        <f>SUMIF(Erfassung6!BD:BD,L27,Erfassung6!BW:BW)</f>
        <v>0</v>
      </c>
      <c r="N27">
        <f>SUMIF(Erfassung6!BD:BD,L27,Erfassung6!BG:BG)</f>
        <v>0</v>
      </c>
      <c r="O27">
        <f t="shared" si="0"/>
        <v>0</v>
      </c>
      <c r="P27">
        <f t="shared" si="1"/>
        <v>1</v>
      </c>
    </row>
    <row r="28" spans="1:16" x14ac:dyDescent="0.35">
      <c r="A28" t="str">
        <f t="shared" si="6"/>
        <v/>
      </c>
      <c r="B28" t="str">
        <f t="shared" si="2"/>
        <v/>
      </c>
      <c r="C28" t="str">
        <f>IFERROR(INDEX(Starter!B:B,MATCH(B28,Starter!A:A,0)),"")</f>
        <v/>
      </c>
      <c r="D28" t="str">
        <f>IFERROR(INDEX(Starter!C:C,MATCH(B28,Starter!A:A,0)),"")</f>
        <v/>
      </c>
      <c r="E28" s="102" t="str">
        <f t="shared" si="3"/>
        <v/>
      </c>
      <c r="F28" t="str">
        <f t="shared" si="4"/>
        <v/>
      </c>
      <c r="G28" s="137" t="str">
        <f t="shared" si="5"/>
        <v/>
      </c>
      <c r="L28" s="227">
        <f>INDEX(Starter!A:A,ROW()-1)</f>
        <v>7754</v>
      </c>
      <c r="M28">
        <f>SUMIF(Erfassung6!BD:BD,L28,Erfassung6!BW:BW)</f>
        <v>0</v>
      </c>
      <c r="N28">
        <f>SUMIF(Erfassung6!BD:BD,L28,Erfassung6!BG:BG)</f>
        <v>0</v>
      </c>
      <c r="O28">
        <f t="shared" si="0"/>
        <v>0</v>
      </c>
      <c r="P28">
        <f t="shared" si="1"/>
        <v>1</v>
      </c>
    </row>
    <row r="29" spans="1:16" x14ac:dyDescent="0.35">
      <c r="A29" t="str">
        <f t="shared" si="6"/>
        <v/>
      </c>
      <c r="B29" t="str">
        <f t="shared" si="2"/>
        <v/>
      </c>
      <c r="C29" t="str">
        <f>IFERROR(INDEX(Starter!B:B,MATCH(B29,Starter!A:A,0)),"")</f>
        <v/>
      </c>
      <c r="D29" t="str">
        <f>IFERROR(INDEX(Starter!C:C,MATCH(B29,Starter!A:A,0)),"")</f>
        <v/>
      </c>
      <c r="E29" s="102" t="str">
        <f t="shared" si="3"/>
        <v/>
      </c>
      <c r="F29" t="str">
        <f t="shared" si="4"/>
        <v/>
      </c>
      <c r="G29" s="137" t="str">
        <f t="shared" si="5"/>
        <v/>
      </c>
      <c r="L29" s="227">
        <f>INDEX(Starter!A:A,ROW()-1)</f>
        <v>7753</v>
      </c>
      <c r="M29">
        <f>SUMIF(Erfassung6!BD:BD,L29,Erfassung6!BW:BW)</f>
        <v>0</v>
      </c>
      <c r="N29">
        <f>SUMIF(Erfassung6!BD:BD,L29,Erfassung6!BG:BG)</f>
        <v>0</v>
      </c>
      <c r="O29">
        <f t="shared" si="0"/>
        <v>0</v>
      </c>
      <c r="P29">
        <f t="shared" si="1"/>
        <v>1</v>
      </c>
    </row>
    <row r="30" spans="1:16" x14ac:dyDescent="0.35">
      <c r="A30" t="str">
        <f t="shared" si="6"/>
        <v/>
      </c>
      <c r="B30" t="str">
        <f t="shared" si="2"/>
        <v/>
      </c>
      <c r="C30" t="str">
        <f>IFERROR(INDEX(Starter!B:B,MATCH(B30,Starter!A:A,0)),"")</f>
        <v/>
      </c>
      <c r="D30" t="str">
        <f>IFERROR(INDEX(Starter!C:C,MATCH(B30,Starter!A:A,0)),"")</f>
        <v/>
      </c>
      <c r="E30" s="102" t="str">
        <f t="shared" si="3"/>
        <v/>
      </c>
      <c r="F30" t="str">
        <f t="shared" si="4"/>
        <v/>
      </c>
      <c r="G30" s="137" t="str">
        <f t="shared" si="5"/>
        <v/>
      </c>
      <c r="L30" s="227">
        <f>INDEX(Starter!A:A,ROW()-1)</f>
        <v>7758</v>
      </c>
      <c r="M30">
        <f>SUMIF(Erfassung6!BD:BD,L30,Erfassung6!BW:BW)</f>
        <v>0</v>
      </c>
      <c r="N30">
        <f>SUMIF(Erfassung6!BD:BD,L30,Erfassung6!BG:BG)</f>
        <v>0</v>
      </c>
      <c r="O30">
        <f t="shared" si="0"/>
        <v>0</v>
      </c>
      <c r="P30">
        <f t="shared" si="1"/>
        <v>1</v>
      </c>
    </row>
    <row r="31" spans="1:16" x14ac:dyDescent="0.35">
      <c r="A31" t="str">
        <f t="shared" si="6"/>
        <v/>
      </c>
      <c r="B31" t="str">
        <f t="shared" si="2"/>
        <v/>
      </c>
      <c r="C31" t="str">
        <f>IFERROR(INDEX(Starter!B:B,MATCH(B31,Starter!A:A,0)),"")</f>
        <v/>
      </c>
      <c r="D31" t="str">
        <f>IFERROR(INDEX(Starter!C:C,MATCH(B31,Starter!A:A,0)),"")</f>
        <v/>
      </c>
      <c r="E31" s="102" t="str">
        <f t="shared" si="3"/>
        <v/>
      </c>
      <c r="F31" t="str">
        <f t="shared" si="4"/>
        <v/>
      </c>
      <c r="G31" s="137" t="str">
        <f t="shared" si="5"/>
        <v/>
      </c>
      <c r="L31" s="227">
        <f>INDEX(Starter!A:A,ROW()-1)</f>
        <v>7757</v>
      </c>
      <c r="M31">
        <f>SUMIF(Erfassung6!BD:BD,L31,Erfassung6!BW:BW)</f>
        <v>0</v>
      </c>
      <c r="N31">
        <f>SUMIF(Erfassung6!BD:BD,L31,Erfassung6!BG:BG)</f>
        <v>0</v>
      </c>
      <c r="O31">
        <f t="shared" si="0"/>
        <v>0</v>
      </c>
      <c r="P31">
        <f t="shared" si="1"/>
        <v>1</v>
      </c>
    </row>
    <row r="32" spans="1:16" x14ac:dyDescent="0.35">
      <c r="A32" t="str">
        <f t="shared" si="6"/>
        <v/>
      </c>
      <c r="B32" t="str">
        <f t="shared" si="2"/>
        <v/>
      </c>
      <c r="C32" t="str">
        <f>IFERROR(INDEX(Starter!B:B,MATCH(B32,Starter!A:A,0)),"")</f>
        <v/>
      </c>
      <c r="D32" t="str">
        <f>IFERROR(INDEX(Starter!C:C,MATCH(B32,Starter!A:A,0)),"")</f>
        <v/>
      </c>
      <c r="E32" s="102" t="str">
        <f t="shared" si="3"/>
        <v/>
      </c>
      <c r="F32" t="str">
        <f t="shared" si="4"/>
        <v/>
      </c>
      <c r="G32" s="137" t="str">
        <f t="shared" si="5"/>
        <v/>
      </c>
      <c r="L32" s="227">
        <f>INDEX(Starter!A:A,ROW()-1)</f>
        <v>38560</v>
      </c>
      <c r="M32">
        <f>SUMIF(Erfassung6!BD:BD,L32,Erfassung6!BW:BW)</f>
        <v>0</v>
      </c>
      <c r="N32">
        <f>SUMIF(Erfassung6!BD:BD,L32,Erfassung6!BG:BG)</f>
        <v>0</v>
      </c>
      <c r="O32">
        <f t="shared" si="0"/>
        <v>0</v>
      </c>
      <c r="P32">
        <f t="shared" si="1"/>
        <v>1</v>
      </c>
    </row>
    <row r="33" spans="1:16" x14ac:dyDescent="0.35">
      <c r="A33" t="str">
        <f t="shared" si="6"/>
        <v/>
      </c>
      <c r="B33" t="str">
        <f t="shared" si="2"/>
        <v/>
      </c>
      <c r="C33" t="str">
        <f>IFERROR(INDEX(Starter!B:B,MATCH(B33,Starter!A:A,0)),"")</f>
        <v/>
      </c>
      <c r="D33" t="str">
        <f>IFERROR(INDEX(Starter!C:C,MATCH(B33,Starter!A:A,0)),"")</f>
        <v/>
      </c>
      <c r="E33" s="102" t="str">
        <f t="shared" si="3"/>
        <v/>
      </c>
      <c r="F33" t="str">
        <f t="shared" si="4"/>
        <v/>
      </c>
      <c r="G33" s="137" t="str">
        <f t="shared" si="5"/>
        <v/>
      </c>
      <c r="L33" s="227">
        <f>INDEX(Starter!A:A,ROW()-1)</f>
        <v>7755</v>
      </c>
      <c r="M33">
        <f>SUMIF(Erfassung6!BD:BD,L33,Erfassung6!BW:BW)</f>
        <v>0</v>
      </c>
      <c r="N33">
        <f>SUMIF(Erfassung6!BD:BD,L33,Erfassung6!BG:BG)</f>
        <v>0</v>
      </c>
      <c r="O33">
        <f t="shared" si="0"/>
        <v>0</v>
      </c>
      <c r="P33">
        <f t="shared" si="1"/>
        <v>1</v>
      </c>
    </row>
    <row r="34" spans="1:16" x14ac:dyDescent="0.35">
      <c r="A34" t="str">
        <f t="shared" si="6"/>
        <v/>
      </c>
      <c r="B34" t="str">
        <f t="shared" si="2"/>
        <v/>
      </c>
      <c r="C34" t="str">
        <f>IFERROR(INDEX(Starter!B:B,MATCH(B34,Starter!A:A,0)),"")</f>
        <v/>
      </c>
      <c r="D34" t="str">
        <f>IFERROR(INDEX(Starter!C:C,MATCH(B34,Starter!A:A,0)),"")</f>
        <v/>
      </c>
      <c r="E34" s="102" t="str">
        <f t="shared" si="3"/>
        <v/>
      </c>
      <c r="F34" t="str">
        <f t="shared" si="4"/>
        <v/>
      </c>
      <c r="G34" s="137" t="str">
        <f t="shared" si="5"/>
        <v/>
      </c>
      <c r="L34" s="227">
        <f>INDEX(Starter!A:A,ROW()-1)</f>
        <v>7676</v>
      </c>
      <c r="M34">
        <f>SUMIF(Erfassung6!BD:BD,L34,Erfassung6!BW:BW)</f>
        <v>0</v>
      </c>
      <c r="N34">
        <f>SUMIF(Erfassung6!BD:BD,L34,Erfassung6!BG:BG)</f>
        <v>0</v>
      </c>
      <c r="O34">
        <f t="shared" si="0"/>
        <v>0</v>
      </c>
      <c r="P34">
        <f t="shared" si="1"/>
        <v>1</v>
      </c>
    </row>
    <row r="35" spans="1:16" x14ac:dyDescent="0.35">
      <c r="A35" t="str">
        <f t="shared" si="6"/>
        <v/>
      </c>
      <c r="B35" t="str">
        <f t="shared" si="2"/>
        <v/>
      </c>
      <c r="C35" t="str">
        <f>IFERROR(INDEX(Starter!B:B,MATCH(B35,Starter!A:A,0)),"")</f>
        <v/>
      </c>
      <c r="D35" t="str">
        <f>IFERROR(INDEX(Starter!C:C,MATCH(B35,Starter!A:A,0)),"")</f>
        <v/>
      </c>
      <c r="E35" s="102" t="str">
        <f t="shared" si="3"/>
        <v/>
      </c>
      <c r="F35" t="str">
        <f t="shared" si="4"/>
        <v/>
      </c>
      <c r="G35" s="137" t="str">
        <f t="shared" si="5"/>
        <v/>
      </c>
      <c r="L35" s="227">
        <f>INDEX(Starter!A:A,ROW()-1)</f>
        <v>16804</v>
      </c>
      <c r="M35">
        <f>SUMIF(Erfassung6!BD:BD,L35,Erfassung6!BW:BW)</f>
        <v>0</v>
      </c>
      <c r="N35">
        <f>SUMIF(Erfassung6!BD:BD,L35,Erfassung6!BG:BG)</f>
        <v>0</v>
      </c>
      <c r="O35">
        <f t="shared" si="0"/>
        <v>0</v>
      </c>
      <c r="P35">
        <f t="shared" si="1"/>
        <v>1</v>
      </c>
    </row>
    <row r="36" spans="1:16" x14ac:dyDescent="0.35">
      <c r="A36" t="str">
        <f t="shared" si="6"/>
        <v/>
      </c>
      <c r="B36" t="str">
        <f t="shared" si="2"/>
        <v/>
      </c>
      <c r="C36" t="str">
        <f>IFERROR(INDEX(Starter!B:B,MATCH(B36,Starter!A:A,0)),"")</f>
        <v/>
      </c>
      <c r="D36" t="str">
        <f>IFERROR(INDEX(Starter!C:C,MATCH(B36,Starter!A:A,0)),"")</f>
        <v/>
      </c>
      <c r="E36" s="102" t="str">
        <f t="shared" si="3"/>
        <v/>
      </c>
      <c r="F36" t="str">
        <f t="shared" si="4"/>
        <v/>
      </c>
      <c r="G36" s="137" t="str">
        <f t="shared" si="5"/>
        <v/>
      </c>
      <c r="L36" s="227">
        <f>INDEX(Starter!A:A,ROW()-1)</f>
        <v>7978</v>
      </c>
      <c r="M36">
        <f>SUMIF(Erfassung6!BD:BD,L36,Erfassung6!BW:BW)</f>
        <v>0</v>
      </c>
      <c r="N36">
        <f>SUMIF(Erfassung6!BD:BD,L36,Erfassung6!BG:BG)</f>
        <v>0</v>
      </c>
      <c r="O36">
        <f t="shared" si="0"/>
        <v>0</v>
      </c>
      <c r="P36">
        <f t="shared" si="1"/>
        <v>1</v>
      </c>
    </row>
    <row r="37" spans="1:16" x14ac:dyDescent="0.35">
      <c r="A37" t="str">
        <f t="shared" si="6"/>
        <v/>
      </c>
      <c r="B37" t="str">
        <f t="shared" ref="B37:B68" si="7">IFERROR(INDEX(L:L,MATCH(A37,P:P,0)),"")</f>
        <v/>
      </c>
      <c r="C37" t="str">
        <f>IFERROR(INDEX(Starter!B:B,MATCH(B37,Starter!A:A,0)),"")</f>
        <v/>
      </c>
      <c r="D37" t="str">
        <f>IFERROR(INDEX(Starter!C:C,MATCH(B37,Starter!A:A,0)),"")</f>
        <v/>
      </c>
      <c r="E37" s="102" t="str">
        <f t="shared" ref="E37:E68" si="8">IFERROR(INDEX(M:M,MATCH(A37,P:P,0)),"")</f>
        <v/>
      </c>
      <c r="F37" t="str">
        <f t="shared" ref="F37:F68" si="9">IFERROR(INDEX(N:N,MATCH(A37,P:P,0)),"")</f>
        <v/>
      </c>
      <c r="G37" s="137" t="str">
        <f t="shared" ref="G37:G68" si="10">IFERROR(INDEX(O:O,MATCH(A37,P:P,0)),"")</f>
        <v/>
      </c>
      <c r="L37" s="227">
        <f>INDEX(Starter!A:A,ROW()-1)</f>
        <v>16029</v>
      </c>
      <c r="M37">
        <f>SUMIF(Erfassung6!BD:BD,L37,Erfassung6!BW:BW)</f>
        <v>0</v>
      </c>
      <c r="N37">
        <f>SUMIF(Erfassung6!BD:BD,L37,Erfassung6!BG:BG)</f>
        <v>0</v>
      </c>
      <c r="O37">
        <f t="shared" si="0"/>
        <v>0</v>
      </c>
      <c r="P37">
        <f t="shared" si="1"/>
        <v>1</v>
      </c>
    </row>
    <row r="38" spans="1:16" x14ac:dyDescent="0.35">
      <c r="A38" t="str">
        <f t="shared" ref="A38:A69" si="11">IFERROR(IF(A37+1&gt;MAX(P:P)-1,"",A37+1),"")</f>
        <v/>
      </c>
      <c r="B38" t="str">
        <f t="shared" si="7"/>
        <v/>
      </c>
      <c r="C38" t="str">
        <f>IFERROR(INDEX(Starter!B:B,MATCH(B38,Starter!A:A,0)),"")</f>
        <v/>
      </c>
      <c r="D38" t="str">
        <f>IFERROR(INDEX(Starter!C:C,MATCH(B38,Starter!A:A,0)),"")</f>
        <v/>
      </c>
      <c r="E38" s="102" t="str">
        <f t="shared" si="8"/>
        <v/>
      </c>
      <c r="F38" t="str">
        <f t="shared" si="9"/>
        <v/>
      </c>
      <c r="G38" s="137" t="str">
        <f t="shared" si="10"/>
        <v/>
      </c>
      <c r="L38" s="227">
        <f>INDEX(Starter!A:A,ROW()-1)</f>
        <v>7082</v>
      </c>
      <c r="M38">
        <f>SUMIF(Erfassung6!BD:BD,L38,Erfassung6!BW:BW)</f>
        <v>0</v>
      </c>
      <c r="N38">
        <f>SUMIF(Erfassung6!BD:BD,L38,Erfassung6!BG:BG)</f>
        <v>0</v>
      </c>
      <c r="O38">
        <f t="shared" si="0"/>
        <v>0</v>
      </c>
      <c r="P38">
        <f t="shared" si="1"/>
        <v>1</v>
      </c>
    </row>
    <row r="39" spans="1:16" x14ac:dyDescent="0.35">
      <c r="A39" t="str">
        <f t="shared" si="11"/>
        <v/>
      </c>
      <c r="B39" t="str">
        <f t="shared" si="7"/>
        <v/>
      </c>
      <c r="C39" t="str">
        <f>IFERROR(INDEX(Starter!B:B,MATCH(B39,Starter!A:A,0)),"")</f>
        <v/>
      </c>
      <c r="D39" t="str">
        <f>IFERROR(INDEX(Starter!C:C,MATCH(B39,Starter!A:A,0)),"")</f>
        <v/>
      </c>
      <c r="E39" s="102" t="str">
        <f t="shared" si="8"/>
        <v/>
      </c>
      <c r="F39" t="str">
        <f t="shared" si="9"/>
        <v/>
      </c>
      <c r="G39" s="137" t="str">
        <f t="shared" si="10"/>
        <v/>
      </c>
      <c r="L39" s="227">
        <f>INDEX(Starter!A:A,ROW()-1)</f>
        <v>16700</v>
      </c>
      <c r="M39">
        <f>SUMIF(Erfassung6!BD:BD,L39,Erfassung6!BW:BW)</f>
        <v>0</v>
      </c>
      <c r="N39">
        <f>SUMIF(Erfassung6!BD:BD,L39,Erfassung6!BG:BG)</f>
        <v>0</v>
      </c>
      <c r="O39">
        <f t="shared" si="0"/>
        <v>0</v>
      </c>
      <c r="P39">
        <f t="shared" si="1"/>
        <v>1</v>
      </c>
    </row>
    <row r="40" spans="1:16" x14ac:dyDescent="0.35">
      <c r="A40" t="str">
        <f t="shared" si="11"/>
        <v/>
      </c>
      <c r="B40" t="str">
        <f t="shared" si="7"/>
        <v/>
      </c>
      <c r="C40" t="str">
        <f>IFERROR(INDEX(Starter!B:B,MATCH(B40,Starter!A:A,0)),"")</f>
        <v/>
      </c>
      <c r="D40" t="str">
        <f>IFERROR(INDEX(Starter!C:C,MATCH(B40,Starter!A:A,0)),"")</f>
        <v/>
      </c>
      <c r="E40" s="102" t="str">
        <f t="shared" si="8"/>
        <v/>
      </c>
      <c r="F40" t="str">
        <f t="shared" si="9"/>
        <v/>
      </c>
      <c r="G40" s="137" t="str">
        <f t="shared" si="10"/>
        <v/>
      </c>
      <c r="L40" s="227">
        <f>INDEX(Starter!A:A,ROW()-1)</f>
        <v>38737</v>
      </c>
      <c r="M40">
        <f>SUMIF(Erfassung6!BD:BD,L40,Erfassung6!BW:BW)</f>
        <v>0</v>
      </c>
      <c r="N40">
        <f>SUMIF(Erfassung6!BD:BD,L40,Erfassung6!BG:BG)</f>
        <v>0</v>
      </c>
      <c r="O40">
        <f t="shared" si="0"/>
        <v>0</v>
      </c>
      <c r="P40">
        <f t="shared" si="1"/>
        <v>1</v>
      </c>
    </row>
    <row r="41" spans="1:16" x14ac:dyDescent="0.35">
      <c r="A41" t="str">
        <f t="shared" si="11"/>
        <v/>
      </c>
      <c r="B41" t="str">
        <f t="shared" si="7"/>
        <v/>
      </c>
      <c r="C41" t="str">
        <f>IFERROR(INDEX(Starter!B:B,MATCH(B41,Starter!A:A,0)),"")</f>
        <v/>
      </c>
      <c r="D41" t="str">
        <f>IFERROR(INDEX(Starter!C:C,MATCH(B41,Starter!A:A,0)),"")</f>
        <v/>
      </c>
      <c r="E41" s="102" t="str">
        <f t="shared" si="8"/>
        <v/>
      </c>
      <c r="F41" t="str">
        <f t="shared" si="9"/>
        <v/>
      </c>
      <c r="G41" s="137" t="str">
        <f t="shared" si="10"/>
        <v/>
      </c>
      <c r="L41" s="227">
        <f>INDEX(Starter!A:A,ROW()-1)</f>
        <v>7752</v>
      </c>
      <c r="M41">
        <f>SUMIF(Erfassung6!BD:BD,L41,Erfassung6!BW:BW)</f>
        <v>0</v>
      </c>
      <c r="N41">
        <f>SUMIF(Erfassung6!BD:BD,L41,Erfassung6!BG:BG)</f>
        <v>0</v>
      </c>
      <c r="O41">
        <f t="shared" si="0"/>
        <v>0</v>
      </c>
      <c r="P41">
        <f t="shared" si="1"/>
        <v>1</v>
      </c>
    </row>
    <row r="42" spans="1:16" x14ac:dyDescent="0.35">
      <c r="A42" t="str">
        <f t="shared" si="11"/>
        <v/>
      </c>
      <c r="B42" t="str">
        <f t="shared" si="7"/>
        <v/>
      </c>
      <c r="C42" t="str">
        <f>IFERROR(INDEX(Starter!B:B,MATCH(B42,Starter!A:A,0)),"")</f>
        <v/>
      </c>
      <c r="D42" t="str">
        <f>IFERROR(INDEX(Starter!C:C,MATCH(B42,Starter!A:A,0)),"")</f>
        <v/>
      </c>
      <c r="E42" s="102" t="str">
        <f t="shared" si="8"/>
        <v/>
      </c>
      <c r="F42" t="str">
        <f t="shared" si="9"/>
        <v/>
      </c>
      <c r="G42" s="137" t="str">
        <f t="shared" si="10"/>
        <v/>
      </c>
      <c r="L42" s="227">
        <f>INDEX(Starter!A:A,ROW()-1)</f>
        <v>25397</v>
      </c>
      <c r="M42">
        <f>SUMIF(Erfassung6!BD:BD,L42,Erfassung6!BW:BW)</f>
        <v>0</v>
      </c>
      <c r="N42">
        <f>SUMIF(Erfassung6!BD:BD,L42,Erfassung6!BG:BG)</f>
        <v>0</v>
      </c>
      <c r="O42">
        <f t="shared" si="0"/>
        <v>0</v>
      </c>
      <c r="P42">
        <f t="shared" si="1"/>
        <v>1</v>
      </c>
    </row>
    <row r="43" spans="1:16" x14ac:dyDescent="0.35">
      <c r="A43" t="str">
        <f t="shared" si="11"/>
        <v/>
      </c>
      <c r="B43" t="str">
        <f t="shared" si="7"/>
        <v/>
      </c>
      <c r="C43" t="str">
        <f>IFERROR(INDEX(Starter!B:B,MATCH(B43,Starter!A:A,0)),"")</f>
        <v/>
      </c>
      <c r="D43" t="str">
        <f>IFERROR(INDEX(Starter!C:C,MATCH(B43,Starter!A:A,0)),"")</f>
        <v/>
      </c>
      <c r="E43" s="102" t="str">
        <f t="shared" si="8"/>
        <v/>
      </c>
      <c r="F43" t="str">
        <f t="shared" si="9"/>
        <v/>
      </c>
      <c r="G43" s="137" t="str">
        <f t="shared" si="10"/>
        <v/>
      </c>
      <c r="L43" s="227">
        <f>INDEX(Starter!A:A,ROW()-1)</f>
        <v>38061</v>
      </c>
      <c r="M43">
        <f>SUMIF(Erfassung6!BD:BD,L43,Erfassung6!BW:BW)</f>
        <v>0</v>
      </c>
      <c r="N43">
        <f>SUMIF(Erfassung6!BD:BD,L43,Erfassung6!BG:BG)</f>
        <v>0</v>
      </c>
      <c r="O43">
        <f t="shared" si="0"/>
        <v>0</v>
      </c>
      <c r="P43">
        <f t="shared" si="1"/>
        <v>1</v>
      </c>
    </row>
    <row r="44" spans="1:16" x14ac:dyDescent="0.35">
      <c r="A44" t="str">
        <f t="shared" si="11"/>
        <v/>
      </c>
      <c r="B44" t="str">
        <f t="shared" si="7"/>
        <v/>
      </c>
      <c r="C44" t="str">
        <f>IFERROR(INDEX(Starter!B:B,MATCH(B44,Starter!A:A,0)),"")</f>
        <v/>
      </c>
      <c r="D44" t="str">
        <f>IFERROR(INDEX(Starter!C:C,MATCH(B44,Starter!A:A,0)),"")</f>
        <v/>
      </c>
      <c r="E44" s="102" t="str">
        <f t="shared" si="8"/>
        <v/>
      </c>
      <c r="F44" t="str">
        <f t="shared" si="9"/>
        <v/>
      </c>
      <c r="G44" s="137" t="str">
        <f t="shared" si="10"/>
        <v/>
      </c>
      <c r="L44" s="227">
        <f>INDEX(Starter!A:A,ROW()-1)</f>
        <v>7431</v>
      </c>
      <c r="M44">
        <f>SUMIF(Erfassung6!BD:BD,L44,Erfassung6!BW:BW)</f>
        <v>0</v>
      </c>
      <c r="N44">
        <f>SUMIF(Erfassung6!BD:BD,L44,Erfassung6!BG:BG)</f>
        <v>0</v>
      </c>
      <c r="O44">
        <f t="shared" si="0"/>
        <v>0</v>
      </c>
      <c r="P44">
        <f t="shared" si="1"/>
        <v>1</v>
      </c>
    </row>
    <row r="45" spans="1:16" x14ac:dyDescent="0.35">
      <c r="A45" t="str">
        <f t="shared" si="11"/>
        <v/>
      </c>
      <c r="B45" t="str">
        <f t="shared" si="7"/>
        <v/>
      </c>
      <c r="C45" t="str">
        <f>IFERROR(INDEX(Starter!B:B,MATCH(B45,Starter!A:A,0)),"")</f>
        <v/>
      </c>
      <c r="D45" t="str">
        <f>IFERROR(INDEX(Starter!C:C,MATCH(B45,Starter!A:A,0)),"")</f>
        <v/>
      </c>
      <c r="E45" s="102" t="str">
        <f t="shared" si="8"/>
        <v/>
      </c>
      <c r="F45" t="str">
        <f t="shared" si="9"/>
        <v/>
      </c>
      <c r="G45" s="137" t="str">
        <f t="shared" si="10"/>
        <v/>
      </c>
      <c r="L45" s="227">
        <f>INDEX(Starter!A:A,ROW()-1)</f>
        <v>7087</v>
      </c>
      <c r="M45">
        <f>SUMIF(Erfassung6!BD:BD,L45,Erfassung6!BW:BW)</f>
        <v>0</v>
      </c>
      <c r="N45">
        <f>SUMIF(Erfassung6!BD:BD,L45,Erfassung6!BG:BG)</f>
        <v>0</v>
      </c>
      <c r="O45">
        <f t="shared" si="0"/>
        <v>0</v>
      </c>
      <c r="P45">
        <f t="shared" si="1"/>
        <v>1</v>
      </c>
    </row>
    <row r="46" spans="1:16" x14ac:dyDescent="0.35">
      <c r="A46" t="str">
        <f t="shared" si="11"/>
        <v/>
      </c>
      <c r="B46" t="str">
        <f t="shared" si="7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102" t="str">
        <f t="shared" si="8"/>
        <v/>
      </c>
      <c r="F46" t="str">
        <f t="shared" si="9"/>
        <v/>
      </c>
      <c r="G46" s="137" t="str">
        <f t="shared" si="10"/>
        <v/>
      </c>
      <c r="L46" s="227">
        <f>INDEX(Starter!A:A,ROW()-1)</f>
        <v>16414</v>
      </c>
      <c r="M46">
        <f>SUMIF(Erfassung6!BD:BD,L46,Erfassung6!BW:BW)</f>
        <v>0</v>
      </c>
      <c r="N46">
        <f>SUMIF(Erfassung6!BD:BD,L46,Erfassung6!BG:BG)</f>
        <v>0</v>
      </c>
      <c r="O46">
        <f t="shared" si="0"/>
        <v>0</v>
      </c>
      <c r="P46">
        <f t="shared" si="1"/>
        <v>1</v>
      </c>
    </row>
    <row r="47" spans="1:16" x14ac:dyDescent="0.35">
      <c r="A47" t="str">
        <f t="shared" si="11"/>
        <v/>
      </c>
      <c r="B47" t="str">
        <f t="shared" si="7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8"/>
        <v/>
      </c>
      <c r="F47" t="str">
        <f t="shared" si="9"/>
        <v/>
      </c>
      <c r="G47" s="137" t="str">
        <f t="shared" si="10"/>
        <v/>
      </c>
      <c r="L47" s="227">
        <f>INDEX(Starter!A:A,ROW()-1)</f>
        <v>16713</v>
      </c>
      <c r="M47">
        <f>SUMIF(Erfassung6!BD:BD,L47,Erfassung6!BW:BW)</f>
        <v>0</v>
      </c>
      <c r="N47">
        <f>SUMIF(Erfassung6!BD:BD,L47,Erfassung6!BG:BG)</f>
        <v>0</v>
      </c>
      <c r="O47">
        <f t="shared" si="0"/>
        <v>0</v>
      </c>
      <c r="P47">
        <f t="shared" si="1"/>
        <v>1</v>
      </c>
    </row>
    <row r="48" spans="1:16" x14ac:dyDescent="0.35">
      <c r="A48" t="str">
        <f t="shared" si="11"/>
        <v/>
      </c>
      <c r="B48" t="str">
        <f t="shared" si="7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8"/>
        <v/>
      </c>
      <c r="F48" t="str">
        <f t="shared" si="9"/>
        <v/>
      </c>
      <c r="G48" s="137" t="str">
        <f t="shared" si="10"/>
        <v/>
      </c>
      <c r="L48" s="227">
        <f>INDEX(Starter!A:A,ROW()-1)</f>
        <v>7541</v>
      </c>
      <c r="M48">
        <f>SUMIF(Erfassung6!BD:BD,L48,Erfassung6!BW:BW)</f>
        <v>0</v>
      </c>
      <c r="N48">
        <f>SUMIF(Erfassung6!BD:BD,L48,Erfassung6!BG:BG)</f>
        <v>0</v>
      </c>
      <c r="O48">
        <f t="shared" si="0"/>
        <v>0</v>
      </c>
      <c r="P48">
        <f t="shared" si="1"/>
        <v>1</v>
      </c>
    </row>
    <row r="49" spans="1:16" x14ac:dyDescent="0.35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7546</v>
      </c>
      <c r="M49">
        <f>SUMIF(Erfassung6!BD:BD,L49,Erfassung6!BW:BW)</f>
        <v>0</v>
      </c>
      <c r="N49">
        <f>SUMIF(Erfassung6!BD:BD,L49,Erfassung6!BG:BG)</f>
        <v>0</v>
      </c>
      <c r="O49">
        <f t="shared" si="0"/>
        <v>0</v>
      </c>
      <c r="P49">
        <f t="shared" si="1"/>
        <v>1</v>
      </c>
    </row>
    <row r="50" spans="1:16" x14ac:dyDescent="0.3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16953</v>
      </c>
      <c r="M50">
        <f>SUMIF(Erfassung6!BD:BD,L50,Erfassung6!BW:BW)</f>
        <v>0</v>
      </c>
      <c r="N50">
        <f>SUMIF(Erfassung6!BD:BD,L50,Erfassung6!BG:BG)</f>
        <v>0</v>
      </c>
      <c r="O50">
        <f t="shared" si="0"/>
        <v>0</v>
      </c>
      <c r="P50">
        <f t="shared" si="1"/>
        <v>1</v>
      </c>
    </row>
    <row r="51" spans="1:16" x14ac:dyDescent="0.3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21185</v>
      </c>
      <c r="M51">
        <f>SUMIF(Erfassung6!BD:BD,L51,Erfassung6!BW:BW)</f>
        <v>0</v>
      </c>
      <c r="N51">
        <f>SUMIF(Erfassung6!BD:BD,L51,Erfassung6!BG:BG)</f>
        <v>0</v>
      </c>
      <c r="O51">
        <f t="shared" si="0"/>
        <v>0</v>
      </c>
      <c r="P51">
        <f t="shared" si="1"/>
        <v>1</v>
      </c>
    </row>
    <row r="52" spans="1:16" x14ac:dyDescent="0.3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7551</v>
      </c>
      <c r="M52">
        <f>SUMIF(Erfassung6!BD:BD,L52,Erfassung6!BW:BW)</f>
        <v>0</v>
      </c>
      <c r="N52">
        <f>SUMIF(Erfassung6!BD:BD,L52,Erfassung6!BG:BG)</f>
        <v>0</v>
      </c>
      <c r="O52">
        <f t="shared" si="0"/>
        <v>0</v>
      </c>
      <c r="P52">
        <f t="shared" si="1"/>
        <v>1</v>
      </c>
    </row>
    <row r="53" spans="1:16" x14ac:dyDescent="0.3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16900</v>
      </c>
      <c r="M53">
        <f>SUMIF(Erfassung6!BD:BD,L53,Erfassung6!BW:BW)</f>
        <v>0</v>
      </c>
      <c r="N53">
        <f>SUMIF(Erfassung6!BD:BD,L53,Erfassung6!BG:BG)</f>
        <v>0</v>
      </c>
      <c r="O53">
        <f t="shared" si="0"/>
        <v>0</v>
      </c>
      <c r="P53">
        <f t="shared" si="1"/>
        <v>1</v>
      </c>
    </row>
    <row r="54" spans="1:16" x14ac:dyDescent="0.3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7787</v>
      </c>
      <c r="M54">
        <f>SUMIF(Erfassung6!BD:BD,L54,Erfassung6!BW:BW)</f>
        <v>0</v>
      </c>
      <c r="N54">
        <f>SUMIF(Erfassung6!BD:BD,L54,Erfassung6!BG:BG)</f>
        <v>0</v>
      </c>
      <c r="O54">
        <f t="shared" si="0"/>
        <v>0</v>
      </c>
      <c r="P54">
        <f t="shared" si="1"/>
        <v>1</v>
      </c>
    </row>
    <row r="55" spans="1:16" x14ac:dyDescent="0.3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7786</v>
      </c>
      <c r="M55">
        <f>SUMIF(Erfassung6!BD:BD,L55,Erfassung6!BW:BW)</f>
        <v>0</v>
      </c>
      <c r="N55">
        <f>SUMIF(Erfassung6!BD:BD,L55,Erfassung6!BG:BG)</f>
        <v>0</v>
      </c>
      <c r="O55">
        <f t="shared" si="0"/>
        <v>0</v>
      </c>
      <c r="P55">
        <f t="shared" si="1"/>
        <v>1</v>
      </c>
    </row>
    <row r="56" spans="1:16" x14ac:dyDescent="0.3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7801</v>
      </c>
      <c r="M56">
        <f>SUMIF(Erfassung6!BD:BD,L56,Erfassung6!BW:BW)</f>
        <v>0</v>
      </c>
      <c r="N56">
        <f>SUMIF(Erfassung6!BD:BD,L56,Erfassung6!BG:BG)</f>
        <v>0</v>
      </c>
      <c r="O56">
        <f t="shared" si="0"/>
        <v>0</v>
      </c>
      <c r="P56">
        <f t="shared" si="1"/>
        <v>1</v>
      </c>
    </row>
    <row r="57" spans="1:16" x14ac:dyDescent="0.3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25551</v>
      </c>
      <c r="M57">
        <f>SUMIF(Erfassung6!BD:BD,L57,Erfassung6!BW:BW)</f>
        <v>0</v>
      </c>
      <c r="N57">
        <f>SUMIF(Erfassung6!BD:BD,L57,Erfassung6!BG:BG)</f>
        <v>0</v>
      </c>
      <c r="O57">
        <f t="shared" si="0"/>
        <v>0</v>
      </c>
      <c r="P57">
        <f t="shared" si="1"/>
        <v>1</v>
      </c>
    </row>
    <row r="58" spans="1:16" x14ac:dyDescent="0.3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25982</v>
      </c>
      <c r="M58">
        <f>SUMIF(Erfassung6!BD:BD,L58,Erfassung6!BW:BW)</f>
        <v>0</v>
      </c>
      <c r="N58">
        <f>SUMIF(Erfassung6!BD:BD,L58,Erfassung6!BG:BG)</f>
        <v>0</v>
      </c>
      <c r="O58">
        <f t="shared" si="0"/>
        <v>0</v>
      </c>
      <c r="P58">
        <f t="shared" si="1"/>
        <v>1</v>
      </c>
    </row>
    <row r="59" spans="1:16" x14ac:dyDescent="0.3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38513</v>
      </c>
      <c r="M59">
        <f>SUMIF(Erfassung6!BD:BD,L59,Erfassung6!BW:BW)</f>
        <v>0</v>
      </c>
      <c r="N59">
        <f>SUMIF(Erfassung6!BD:BD,L59,Erfassung6!BG:BG)</f>
        <v>0</v>
      </c>
      <c r="O59">
        <f t="shared" si="0"/>
        <v>0</v>
      </c>
      <c r="P59">
        <f t="shared" si="1"/>
        <v>1</v>
      </c>
    </row>
    <row r="60" spans="1:16" x14ac:dyDescent="0.3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7972</v>
      </c>
      <c r="M60">
        <f>SUMIF(Erfassung6!BD:BD,L60,Erfassung6!BW:BW)</f>
        <v>0</v>
      </c>
      <c r="N60">
        <f>SUMIF(Erfassung6!BD:BD,L60,Erfassung6!BG:BG)</f>
        <v>0</v>
      </c>
      <c r="O60">
        <f t="shared" si="0"/>
        <v>0</v>
      </c>
      <c r="P60">
        <f t="shared" si="1"/>
        <v>1</v>
      </c>
    </row>
    <row r="61" spans="1:16" x14ac:dyDescent="0.3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7976</v>
      </c>
      <c r="M61">
        <f>SUMIF(Erfassung6!BD:BD,L61,Erfassung6!BW:BW)</f>
        <v>0</v>
      </c>
      <c r="N61">
        <f>SUMIF(Erfassung6!BD:BD,L61,Erfassung6!BG:BG)</f>
        <v>0</v>
      </c>
      <c r="O61">
        <f t="shared" si="0"/>
        <v>0</v>
      </c>
      <c r="P61">
        <f t="shared" si="1"/>
        <v>1</v>
      </c>
    </row>
    <row r="62" spans="1:16" x14ac:dyDescent="0.3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7977</v>
      </c>
      <c r="M62">
        <f>SUMIF(Erfassung6!BD:BD,L62,Erfassung6!BW:BW)</f>
        <v>0</v>
      </c>
      <c r="N62">
        <f>SUMIF(Erfassung6!BD:BD,L62,Erfassung6!BG:BG)</f>
        <v>0</v>
      </c>
      <c r="O62">
        <f t="shared" si="0"/>
        <v>0</v>
      </c>
      <c r="P62">
        <f t="shared" si="1"/>
        <v>1</v>
      </c>
    </row>
    <row r="63" spans="1:16" x14ac:dyDescent="0.3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7975</v>
      </c>
      <c r="M63">
        <f>SUMIF(Erfassung6!BD:BD,L63,Erfassung6!BW:BW)</f>
        <v>0</v>
      </c>
      <c r="N63">
        <f>SUMIF(Erfassung6!BD:BD,L63,Erfassung6!BG:BG)</f>
        <v>0</v>
      </c>
      <c r="O63">
        <f t="shared" si="0"/>
        <v>0</v>
      </c>
      <c r="P63">
        <f t="shared" si="1"/>
        <v>1</v>
      </c>
    </row>
    <row r="64" spans="1:16" x14ac:dyDescent="0.3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16475</v>
      </c>
      <c r="M64">
        <f>SUMIF(Erfassung6!BD:BD,L64,Erfassung6!BW:BW)</f>
        <v>0</v>
      </c>
      <c r="N64">
        <f>SUMIF(Erfassung6!BD:BD,L64,Erfassung6!BG:BG)</f>
        <v>0</v>
      </c>
      <c r="O64">
        <f t="shared" si="0"/>
        <v>0</v>
      </c>
      <c r="P64">
        <f t="shared" si="1"/>
        <v>1</v>
      </c>
    </row>
    <row r="65" spans="1:16" x14ac:dyDescent="0.3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38458</v>
      </c>
      <c r="M65">
        <f>SUMIF(Erfassung6!BD:BD,L65,Erfassung6!BW:BW)</f>
        <v>0</v>
      </c>
      <c r="N65">
        <f>SUMIF(Erfassung6!BD:BD,L65,Erfassung6!BG:BG)</f>
        <v>0</v>
      </c>
      <c r="O65">
        <f t="shared" si="0"/>
        <v>0</v>
      </c>
      <c r="P65">
        <f t="shared" si="1"/>
        <v>1</v>
      </c>
    </row>
    <row r="66" spans="1:16" x14ac:dyDescent="0.3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25808</v>
      </c>
      <c r="M66">
        <f>SUMIF(Erfassung6!BD:BD,L66,Erfassung6!BW:BW)</f>
        <v>0</v>
      </c>
      <c r="N66">
        <f>SUMIF(Erfassung6!BD:BD,L66,Erfassung6!BG:BG)</f>
        <v>0</v>
      </c>
      <c r="O66">
        <f t="shared" ref="O66:O104" si="12">IF(N66=0,0,M66/N66-ROW()/1000000000)</f>
        <v>0</v>
      </c>
      <c r="P66">
        <f t="shared" ref="P66:P104" si="13">RANK(O66,O:O)</f>
        <v>1</v>
      </c>
    </row>
    <row r="67" spans="1:16" x14ac:dyDescent="0.3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38210</v>
      </c>
      <c r="M67">
        <f>SUMIF(Erfassung6!BD:BD,L67,Erfassung6!BW:BW)</f>
        <v>0</v>
      </c>
      <c r="N67">
        <f>SUMIF(Erfassung6!BD:BD,L67,Erfassung6!BG:BG)</f>
        <v>0</v>
      </c>
      <c r="O67">
        <f t="shared" si="12"/>
        <v>0</v>
      </c>
      <c r="P67">
        <f t="shared" si="13"/>
        <v>1</v>
      </c>
    </row>
    <row r="68" spans="1:16" x14ac:dyDescent="0.3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7549</v>
      </c>
      <c r="M68">
        <f>SUMIF(Erfassung6!BD:BD,L68,Erfassung6!BW:BW)</f>
        <v>0</v>
      </c>
      <c r="N68">
        <f>SUMIF(Erfassung6!BD:BD,L68,Erfassung6!BG:BG)</f>
        <v>0</v>
      </c>
      <c r="O68">
        <f t="shared" si="12"/>
        <v>0</v>
      </c>
      <c r="P68">
        <f t="shared" si="13"/>
        <v>1</v>
      </c>
    </row>
    <row r="69" spans="1:16" x14ac:dyDescent="0.3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25192</v>
      </c>
      <c r="M69">
        <f>SUMIF(Erfassung6!BD:BD,L69,Erfassung6!BW:BW)</f>
        <v>0</v>
      </c>
      <c r="N69">
        <f>SUMIF(Erfassung6!BD:BD,L69,Erfassung6!BG:BG)</f>
        <v>0</v>
      </c>
      <c r="O69">
        <f t="shared" si="12"/>
        <v>0</v>
      </c>
      <c r="P69">
        <f t="shared" si="13"/>
        <v>1</v>
      </c>
    </row>
    <row r="70" spans="1:16" x14ac:dyDescent="0.3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25714</v>
      </c>
      <c r="M70">
        <f>SUMIF(Erfassung6!BD:BD,L70,Erfassung6!BW:BW)</f>
        <v>0</v>
      </c>
      <c r="N70">
        <f>SUMIF(Erfassung6!BD:BD,L70,Erfassung6!BG:BG)</f>
        <v>0</v>
      </c>
      <c r="O70">
        <f t="shared" si="12"/>
        <v>0</v>
      </c>
      <c r="P70">
        <f t="shared" si="13"/>
        <v>1</v>
      </c>
    </row>
    <row r="71" spans="1:16" x14ac:dyDescent="0.3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7534</v>
      </c>
      <c r="M71">
        <f>SUMIF(Erfassung6!BD:BD,L71,Erfassung6!BW:BW)</f>
        <v>0</v>
      </c>
      <c r="N71">
        <f>SUMIF(Erfassung6!BD:BD,L71,Erfassung6!BG:BG)</f>
        <v>0</v>
      </c>
      <c r="O71">
        <f t="shared" si="12"/>
        <v>0</v>
      </c>
      <c r="P71">
        <f t="shared" si="13"/>
        <v>1</v>
      </c>
    </row>
    <row r="72" spans="1:16" x14ac:dyDescent="0.3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38289</v>
      </c>
      <c r="M72">
        <f>SUMIF(Erfassung6!BD:BD,L72,Erfassung6!BW:BW)</f>
        <v>0</v>
      </c>
      <c r="N72">
        <f>SUMIF(Erfassung6!BD:BD,L72,Erfassung6!BG:BG)</f>
        <v>0</v>
      </c>
      <c r="O72">
        <f t="shared" si="12"/>
        <v>0</v>
      </c>
      <c r="P72">
        <f t="shared" si="13"/>
        <v>1</v>
      </c>
    </row>
    <row r="73" spans="1:16" x14ac:dyDescent="0.3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25347</v>
      </c>
      <c r="M73">
        <f>SUMIF(Erfassung6!BD:BD,L73,Erfassung6!BW:BW)</f>
        <v>0</v>
      </c>
      <c r="N73">
        <f>SUMIF(Erfassung6!BD:BD,L73,Erfassung6!BG:BG)</f>
        <v>0</v>
      </c>
      <c r="O73">
        <f t="shared" si="12"/>
        <v>0</v>
      </c>
      <c r="P73">
        <f t="shared" si="13"/>
        <v>1</v>
      </c>
    </row>
    <row r="74" spans="1:16" x14ac:dyDescent="0.3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38607</v>
      </c>
      <c r="M74">
        <f>SUMIF(Erfassung6!BD:BD,L74,Erfassung6!BW:BW)</f>
        <v>0</v>
      </c>
      <c r="N74">
        <f>SUMIF(Erfassung6!BD:BD,L74,Erfassung6!BG:BG)</f>
        <v>0</v>
      </c>
      <c r="O74">
        <f t="shared" si="12"/>
        <v>0</v>
      </c>
      <c r="P74">
        <f t="shared" si="13"/>
        <v>1</v>
      </c>
    </row>
    <row r="75" spans="1:16" x14ac:dyDescent="0.3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SUMIF(Erfassung6!BD:BD,L75,Erfassung6!BW:BW)</f>
        <v>0</v>
      </c>
      <c r="N75">
        <f>SUMIF(Erfassung6!BD:BD,L75,Erfassung6!BG:BG)</f>
        <v>0</v>
      </c>
      <c r="O75">
        <f t="shared" si="12"/>
        <v>0</v>
      </c>
      <c r="P75">
        <f t="shared" si="13"/>
        <v>1</v>
      </c>
    </row>
    <row r="76" spans="1:16" x14ac:dyDescent="0.3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SUMIF(Erfassung6!BD:BD,L76,Erfassung6!BW:BW)</f>
        <v>0</v>
      </c>
      <c r="N76">
        <f>SUMIF(Erfassung6!BD:BD,L76,Erfassung6!BG:BG)</f>
        <v>0</v>
      </c>
      <c r="O76">
        <f t="shared" si="12"/>
        <v>0</v>
      </c>
      <c r="P76">
        <f t="shared" si="13"/>
        <v>1</v>
      </c>
    </row>
    <row r="77" spans="1:16" x14ac:dyDescent="0.3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SUMIF(Erfassung6!BD:BD,L77,Erfassung6!BW:BW)</f>
        <v>0</v>
      </c>
      <c r="N77">
        <f>SUMIF(Erfassung6!BD:BD,L77,Erfassung6!BG:BG)</f>
        <v>0</v>
      </c>
      <c r="O77">
        <f t="shared" si="12"/>
        <v>0</v>
      </c>
      <c r="P77">
        <f t="shared" si="13"/>
        <v>1</v>
      </c>
    </row>
    <row r="78" spans="1:16" x14ac:dyDescent="0.3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SUMIF(Erfassung6!BD:BD,L78,Erfassung6!BW:BW)</f>
        <v>0</v>
      </c>
      <c r="N78">
        <f>SUMIF(Erfassung6!BD:BD,L78,Erfassung6!BG:BG)</f>
        <v>0</v>
      </c>
      <c r="O78">
        <f t="shared" si="12"/>
        <v>0</v>
      </c>
      <c r="P78">
        <f t="shared" si="13"/>
        <v>1</v>
      </c>
    </row>
    <row r="79" spans="1:16" x14ac:dyDescent="0.3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SUMIF(Erfassung6!BD:BD,L79,Erfassung6!BW:BW)</f>
        <v>0</v>
      </c>
      <c r="N79">
        <f>SUMIF(Erfassung6!BD:BD,L79,Erfassung6!BG:BG)</f>
        <v>0</v>
      </c>
      <c r="O79">
        <f t="shared" si="12"/>
        <v>0</v>
      </c>
      <c r="P79">
        <f t="shared" si="13"/>
        <v>1</v>
      </c>
    </row>
    <row r="80" spans="1:16" x14ac:dyDescent="0.3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SUMIF(Erfassung6!BD:BD,L80,Erfassung6!BW:BW)</f>
        <v>0</v>
      </c>
      <c r="N80">
        <f>SUMIF(Erfassung6!BD:BD,L80,Erfassung6!BG:BG)</f>
        <v>0</v>
      </c>
      <c r="O80">
        <f t="shared" si="12"/>
        <v>0</v>
      </c>
      <c r="P80">
        <f t="shared" si="13"/>
        <v>1</v>
      </c>
    </row>
    <row r="81" spans="1:16" x14ac:dyDescent="0.3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SUMIF(Erfassung6!BD:BD,L81,Erfassung6!BW:BW)</f>
        <v>0</v>
      </c>
      <c r="N81">
        <f>SUMIF(Erfassung6!BD:BD,L81,Erfassung6!BG:BG)</f>
        <v>0</v>
      </c>
      <c r="O81">
        <f t="shared" si="12"/>
        <v>0</v>
      </c>
      <c r="P81">
        <f t="shared" si="13"/>
        <v>1</v>
      </c>
    </row>
    <row r="82" spans="1:16" x14ac:dyDescent="0.3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SUMIF(Erfassung6!BD:BD,L82,Erfassung6!BW:BW)</f>
        <v>0</v>
      </c>
      <c r="N82">
        <f>SUMIF(Erfassung6!BD:BD,L82,Erfassung6!BG:BG)</f>
        <v>0</v>
      </c>
      <c r="O82">
        <f t="shared" si="12"/>
        <v>0</v>
      </c>
      <c r="P82">
        <f t="shared" si="13"/>
        <v>1</v>
      </c>
    </row>
    <row r="83" spans="1:16" x14ac:dyDescent="0.3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SUMIF(Erfassung6!BD:BD,L83,Erfassung6!BW:BW)</f>
        <v>0</v>
      </c>
      <c r="N83">
        <f>SUMIF(Erfassung6!BD:BD,L83,Erfassung6!BG:BG)</f>
        <v>0</v>
      </c>
      <c r="O83">
        <f t="shared" si="12"/>
        <v>0</v>
      </c>
      <c r="P83">
        <f t="shared" si="13"/>
        <v>1</v>
      </c>
    </row>
    <row r="84" spans="1:16" x14ac:dyDescent="0.3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SUMIF(Erfassung6!BD:BD,L84,Erfassung6!BW:BW)</f>
        <v>0</v>
      </c>
      <c r="N84">
        <f>SUMIF(Erfassung6!BD:BD,L84,Erfassung6!BG:BG)</f>
        <v>0</v>
      </c>
      <c r="O84">
        <f t="shared" si="12"/>
        <v>0</v>
      </c>
      <c r="P84">
        <f t="shared" si="13"/>
        <v>1</v>
      </c>
    </row>
    <row r="85" spans="1:16" x14ac:dyDescent="0.3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SUMIF(Erfassung6!BD:BD,L85,Erfassung6!BW:BW)</f>
        <v>0</v>
      </c>
      <c r="N85">
        <f>SUMIF(Erfassung6!BD:BD,L85,Erfassung6!BG:BG)</f>
        <v>0</v>
      </c>
      <c r="O85">
        <f t="shared" si="12"/>
        <v>0</v>
      </c>
      <c r="P85">
        <f t="shared" si="13"/>
        <v>1</v>
      </c>
    </row>
    <row r="86" spans="1:16" x14ac:dyDescent="0.3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SUMIF(Erfassung6!BD:BD,L86,Erfassung6!BW:BW)</f>
        <v>0</v>
      </c>
      <c r="N86">
        <f>SUMIF(Erfassung6!BD:BD,L86,Erfassung6!BG:BG)</f>
        <v>0</v>
      </c>
      <c r="O86">
        <f t="shared" si="12"/>
        <v>0</v>
      </c>
      <c r="P86">
        <f t="shared" si="13"/>
        <v>1</v>
      </c>
    </row>
    <row r="87" spans="1:16" x14ac:dyDescent="0.3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SUMIF(Erfassung6!BD:BD,L87,Erfassung6!BW:BW)</f>
        <v>0</v>
      </c>
      <c r="N87">
        <f>SUMIF(Erfassung6!BD:BD,L87,Erfassung6!BG:BG)</f>
        <v>0</v>
      </c>
      <c r="O87">
        <f t="shared" si="12"/>
        <v>0</v>
      </c>
      <c r="P87">
        <f t="shared" si="13"/>
        <v>1</v>
      </c>
    </row>
    <row r="88" spans="1:16" x14ac:dyDescent="0.3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SUMIF(Erfassung6!BD:BD,L88,Erfassung6!BW:BW)</f>
        <v>0</v>
      </c>
      <c r="N88">
        <f>SUMIF(Erfassung6!BD:BD,L88,Erfassung6!BG:BG)</f>
        <v>0</v>
      </c>
      <c r="O88">
        <f t="shared" si="12"/>
        <v>0</v>
      </c>
      <c r="P88">
        <f t="shared" si="13"/>
        <v>1</v>
      </c>
    </row>
    <row r="89" spans="1:16" x14ac:dyDescent="0.3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SUMIF(Erfassung6!BD:BD,L89,Erfassung6!BW:BW)</f>
        <v>0</v>
      </c>
      <c r="N89">
        <f>SUMIF(Erfassung6!BD:BD,L89,Erfassung6!BG:BG)</f>
        <v>0</v>
      </c>
      <c r="O89">
        <f t="shared" si="12"/>
        <v>0</v>
      </c>
      <c r="P89">
        <f t="shared" si="13"/>
        <v>1</v>
      </c>
    </row>
    <row r="90" spans="1:16" x14ac:dyDescent="0.3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SUMIF(Erfassung6!BD:BD,L90,Erfassung6!BW:BW)</f>
        <v>0</v>
      </c>
      <c r="N90">
        <f>SUMIF(Erfassung6!BD:BD,L90,Erfassung6!BG:BG)</f>
        <v>0</v>
      </c>
      <c r="O90">
        <f t="shared" si="12"/>
        <v>0</v>
      </c>
      <c r="P90">
        <f t="shared" si="13"/>
        <v>1</v>
      </c>
    </row>
    <row r="91" spans="1:16" x14ac:dyDescent="0.3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SUMIF(Erfassung6!BD:BD,L91,Erfassung6!BW:BW)</f>
        <v>0</v>
      </c>
      <c r="N91">
        <f>SUMIF(Erfassung6!BD:BD,L91,Erfassung6!BG:BG)</f>
        <v>0</v>
      </c>
      <c r="O91">
        <f t="shared" si="12"/>
        <v>0</v>
      </c>
      <c r="P91">
        <f t="shared" si="13"/>
        <v>1</v>
      </c>
    </row>
    <row r="92" spans="1:16" x14ac:dyDescent="0.3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SUMIF(Erfassung6!BD:BD,L92,Erfassung6!BW:BW)</f>
        <v>0</v>
      </c>
      <c r="N92">
        <f>SUMIF(Erfassung6!BD:BD,L92,Erfassung6!BG:BG)</f>
        <v>0</v>
      </c>
      <c r="O92">
        <f t="shared" si="12"/>
        <v>0</v>
      </c>
      <c r="P92">
        <f t="shared" si="13"/>
        <v>1</v>
      </c>
    </row>
    <row r="93" spans="1:16" x14ac:dyDescent="0.3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SUMIF(Erfassung6!BD:BD,L93,Erfassung6!BW:BW)</f>
        <v>0</v>
      </c>
      <c r="N93">
        <f>SUMIF(Erfassung6!BD:BD,L93,Erfassung6!BG:BG)</f>
        <v>0</v>
      </c>
      <c r="O93">
        <f t="shared" si="12"/>
        <v>0</v>
      </c>
      <c r="P93">
        <f t="shared" si="13"/>
        <v>1</v>
      </c>
    </row>
    <row r="94" spans="1:16" x14ac:dyDescent="0.3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SUMIF(Erfassung6!BD:BD,L94,Erfassung6!BW:BW)</f>
        <v>0</v>
      </c>
      <c r="N94">
        <f>SUMIF(Erfassung6!BD:BD,L94,Erfassung6!BG:BG)</f>
        <v>0</v>
      </c>
      <c r="O94">
        <f t="shared" si="12"/>
        <v>0</v>
      </c>
      <c r="P94">
        <f t="shared" si="13"/>
        <v>1</v>
      </c>
    </row>
    <row r="95" spans="1:16" x14ac:dyDescent="0.3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SUMIF(Erfassung6!BD:BD,L95,Erfassung6!BW:BW)</f>
        <v>0</v>
      </c>
      <c r="N95">
        <f>SUMIF(Erfassung6!BD:BD,L95,Erfassung6!BG:BG)</f>
        <v>0</v>
      </c>
      <c r="O95">
        <f t="shared" si="12"/>
        <v>0</v>
      </c>
      <c r="P95">
        <f t="shared" si="13"/>
        <v>1</v>
      </c>
    </row>
    <row r="96" spans="1:16" x14ac:dyDescent="0.3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SUMIF(Erfassung6!BD:BD,L96,Erfassung6!BW:BW)</f>
        <v>0</v>
      </c>
      <c r="N96">
        <f>SUMIF(Erfassung6!BD:BD,L96,Erfassung6!BG:BG)</f>
        <v>0</v>
      </c>
      <c r="O96">
        <f t="shared" si="12"/>
        <v>0</v>
      </c>
      <c r="P96">
        <f t="shared" si="13"/>
        <v>1</v>
      </c>
    </row>
    <row r="97" spans="1:16" x14ac:dyDescent="0.3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SUMIF(Erfassung6!BD:BD,L97,Erfassung6!BW:BW)</f>
        <v>0</v>
      </c>
      <c r="N97">
        <f>SUMIF(Erfassung6!BD:BD,L97,Erfassung6!BG:BG)</f>
        <v>0</v>
      </c>
      <c r="O97">
        <f t="shared" si="12"/>
        <v>0</v>
      </c>
      <c r="P97">
        <f t="shared" si="13"/>
        <v>1</v>
      </c>
    </row>
    <row r="98" spans="1:16" x14ac:dyDescent="0.3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SUMIF(Erfassung6!BD:BD,L98,Erfassung6!BW:BW)</f>
        <v>0</v>
      </c>
      <c r="N98">
        <f>SUMIF(Erfassung6!BD:BD,L98,Erfassung6!BG:BG)</f>
        <v>0</v>
      </c>
      <c r="O98">
        <f t="shared" si="12"/>
        <v>0</v>
      </c>
      <c r="P98">
        <f t="shared" si="13"/>
        <v>1</v>
      </c>
    </row>
    <row r="99" spans="1:16" x14ac:dyDescent="0.3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SUMIF(Erfassung6!BD:BD,L99,Erfassung6!BW:BW)</f>
        <v>0</v>
      </c>
      <c r="N99">
        <f>SUMIF(Erfassung6!BD:BD,L99,Erfassung6!BG:BG)</f>
        <v>0</v>
      </c>
      <c r="O99">
        <f t="shared" si="12"/>
        <v>0</v>
      </c>
      <c r="P99">
        <f t="shared" si="13"/>
        <v>1</v>
      </c>
    </row>
    <row r="100" spans="1:16" x14ac:dyDescent="0.3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SUMIF(Erfassung6!BD:BD,L100,Erfassung6!BW:BW)</f>
        <v>0</v>
      </c>
      <c r="N100">
        <f>SUMIF(Erfassung6!BD:BD,L100,Erfassung6!BG:BG)</f>
        <v>0</v>
      </c>
      <c r="O100">
        <f t="shared" si="12"/>
        <v>0</v>
      </c>
      <c r="P100">
        <f t="shared" si="13"/>
        <v>1</v>
      </c>
    </row>
    <row r="101" spans="1:16" x14ac:dyDescent="0.3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SUMIF(Erfassung6!BD:BD,L101,Erfassung6!BW:BW)</f>
        <v>0</v>
      </c>
      <c r="N101">
        <f>SUMIF(Erfassung6!BD:BD,L101,Erfassung6!BG:BG)</f>
        <v>0</v>
      </c>
      <c r="O101">
        <f t="shared" si="12"/>
        <v>0</v>
      </c>
      <c r="P101">
        <f t="shared" si="13"/>
        <v>1</v>
      </c>
    </row>
    <row r="102" spans="1:16" x14ac:dyDescent="0.3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SUMIF(Erfassung6!BD:BD,L102,Erfassung6!BW:BW)</f>
        <v>0</v>
      </c>
      <c r="N102">
        <f>SUMIF(Erfassung6!BD:BD,L102,Erfassung6!BG:BG)</f>
        <v>0</v>
      </c>
      <c r="O102">
        <f t="shared" si="12"/>
        <v>0</v>
      </c>
      <c r="P102">
        <f t="shared" si="13"/>
        <v>1</v>
      </c>
    </row>
    <row r="103" spans="1:16" x14ac:dyDescent="0.3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SUMIF(Erfassung6!BD:BD,L103,Erfassung6!BW:BW)</f>
        <v>0</v>
      </c>
      <c r="N103">
        <f>SUMIF(Erfassung6!BD:BD,L103,Erfassung6!BG:BG)</f>
        <v>0</v>
      </c>
      <c r="O103">
        <f t="shared" si="12"/>
        <v>0</v>
      </c>
      <c r="P103">
        <f t="shared" si="13"/>
        <v>1</v>
      </c>
    </row>
    <row r="104" spans="1:16" x14ac:dyDescent="0.3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SUMIF(Erfassung6!BD:BD,L104,Erfassung6!BW:BW)</f>
        <v>0</v>
      </c>
      <c r="N104">
        <f>SUMIF(Erfassung6!BD:BD,L104,Erfassung6!BG:BG)</f>
        <v>0</v>
      </c>
      <c r="O104">
        <f t="shared" si="12"/>
        <v>0</v>
      </c>
      <c r="P104">
        <f t="shared" si="13"/>
        <v>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abelle36">
    <tabColor rgb="FF7030A0"/>
  </sheetPr>
  <dimension ref="A1:P104"/>
  <sheetViews>
    <sheetView view="pageBreakPreview" zoomScaleNormal="100" zoomScaleSheetLayoutView="100" workbookViewId="0">
      <selection activeCell="F22" sqref="F22:G22"/>
    </sheetView>
  </sheetViews>
  <sheetFormatPr baseColWidth="10" defaultColWidth="11.33203125" defaultRowHeight="12.75" x14ac:dyDescent="0.35"/>
  <cols>
    <col min="1" max="1" width="5.265625" customWidth="1"/>
    <col min="2" max="2" width="8.265625" customWidth="1"/>
    <col min="3" max="4" width="27.73046875" customWidth="1"/>
    <col min="5" max="5" width="7.73046875" style="102" customWidth="1"/>
    <col min="6" max="6" width="7.73046875" customWidth="1"/>
    <col min="7" max="7" width="7.73046875" style="137" customWidth="1"/>
    <col min="12" max="12" width="11.33203125" style="227" hidden="1" customWidth="1"/>
    <col min="13" max="16" width="11.33203125" hidden="1" customWidth="1"/>
    <col min="17" max="17" width="0" hidden="1" customWidth="1"/>
  </cols>
  <sheetData>
    <row r="1" spans="1:16" ht="28.5" customHeight="1" x14ac:dyDescent="0.7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6">
      <c r="A2" s="138" t="s">
        <v>1791</v>
      </c>
      <c r="C2" s="50">
        <v>6</v>
      </c>
      <c r="D2" s="50" t="s">
        <v>1835</v>
      </c>
      <c r="E2" s="139"/>
      <c r="F2" s="54"/>
      <c r="L2" s="227">
        <f>INDEX(Starter!A:A,ROW()-1)</f>
        <v>25751</v>
      </c>
      <c r="M2">
        <f>INDEX(SchnittGes5!M:M,MATCH(L2,SchnittGes5!L:L,0))+INDEX(Schnitt6!M:M,MATCH(L2,Schnitt6!L:L,0))</f>
        <v>6257</v>
      </c>
      <c r="N2">
        <f>INDEX(SchnittGes5!N:N,MATCH(L2,SchnittGes5!L:L,0))+INDEX(Schnitt6!N:N,MATCH(L2,Schnitt6!L:L,0))</f>
        <v>34</v>
      </c>
      <c r="O2">
        <f t="shared" ref="O2:O11" si="0">IF(N2=0,0,M2/N2-ROW()/1000000000)</f>
        <v>184.02941176270588</v>
      </c>
      <c r="P2">
        <f t="shared" ref="P2:P33" si="1">RANK(O2,O:O)</f>
        <v>7</v>
      </c>
    </row>
    <row r="3" spans="1:16" x14ac:dyDescent="0.35">
      <c r="L3" s="227">
        <f>INDEX(Starter!A:A,ROW()-1)</f>
        <v>38258</v>
      </c>
      <c r="M3">
        <f>INDEX(SchnittGes5!M:M,MATCH(L3,SchnittGes5!L:L,0))+INDEX(Schnitt6!M:M,MATCH(L3,Schnitt6!L:L,0))</f>
        <v>3963</v>
      </c>
      <c r="N3">
        <f>INDEX(SchnittGes5!N:N,MATCH(L3,SchnittGes5!L:L,0))+INDEX(Schnitt6!N:N,MATCH(L3,Schnitt6!L:L,0))</f>
        <v>23</v>
      </c>
      <c r="O3">
        <f t="shared" si="0"/>
        <v>172.30434782308697</v>
      </c>
      <c r="P3">
        <f t="shared" si="1"/>
        <v>29</v>
      </c>
    </row>
    <row r="4" spans="1:16" x14ac:dyDescent="0.3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INDEX(SchnittGes5!M:M,MATCH(L4,SchnittGes5!L:L,0))+INDEX(Schnitt6!M:M,MATCH(L4,Schnitt6!L:L,0))</f>
        <v>4934</v>
      </c>
      <c r="N4">
        <f>INDEX(SchnittGes5!N:N,MATCH(L4,SchnittGes5!L:L,0))+INDEX(Schnitt6!N:N,MATCH(L4,Schnitt6!L:L,0))</f>
        <v>27</v>
      </c>
      <c r="O4">
        <f t="shared" si="0"/>
        <v>182.74074073674075</v>
      </c>
      <c r="P4">
        <f t="shared" si="1"/>
        <v>10</v>
      </c>
    </row>
    <row r="5" spans="1:16" x14ac:dyDescent="0.35">
      <c r="A5">
        <v>1</v>
      </c>
      <c r="B5">
        <f t="shared" ref="B5:B36" si="2">IFERROR(INDEX(L:L,MATCH(A5,P:P,0)),"")</f>
        <v>25714</v>
      </c>
      <c r="C5" t="str">
        <f>IFERROR(INDEX(Starter!B:B,MATCH(B5,Starter!A:A,0)),"")</f>
        <v>Schulz, Carolin</v>
      </c>
      <c r="D5" t="str">
        <f>IFERROR(INDEX(Starter!C:C,MATCH(B5,Starter!A:A,0)),"")</f>
        <v>BC E.P.A. München</v>
      </c>
      <c r="E5" s="102">
        <f t="shared" ref="E5:E36" si="3">IFERROR(INDEX(M:M,MATCH(A5,P:P,0)),"")</f>
        <v>5908</v>
      </c>
      <c r="F5">
        <f t="shared" ref="F5:F36" si="4">IFERROR(INDEX(N:N,MATCH(A5,P:P,0)),"")</f>
        <v>31</v>
      </c>
      <c r="G5" s="137">
        <f t="shared" ref="G5:G36" si="5">IFERROR(INDEX(O:O,MATCH(A5,P:P,0)),"")</f>
        <v>190.58064509129034</v>
      </c>
      <c r="L5" s="227">
        <f>INDEX(Starter!A:A,ROW()-1)</f>
        <v>7903</v>
      </c>
      <c r="M5">
        <f>INDEX(SchnittGes5!M:M,MATCH(L5,SchnittGes5!L:L,0))+INDEX(Schnitt6!M:M,MATCH(L5,Schnitt6!L:L,0))</f>
        <v>2338</v>
      </c>
      <c r="N5">
        <f>INDEX(SchnittGes5!N:N,MATCH(L5,SchnittGes5!L:L,0))+INDEX(Schnitt6!N:N,MATCH(L5,Schnitt6!L:L,0))</f>
        <v>14</v>
      </c>
      <c r="O5">
        <f t="shared" si="0"/>
        <v>166.999999995</v>
      </c>
      <c r="P5">
        <f t="shared" si="1"/>
        <v>38</v>
      </c>
    </row>
    <row r="6" spans="1:16" x14ac:dyDescent="0.35">
      <c r="A6">
        <f t="shared" ref="A6:A37" si="6">IFERROR(IF(A5+1&gt;MAX(P:P)-1,"",A5+1),"")</f>
        <v>2</v>
      </c>
      <c r="B6">
        <f t="shared" si="2"/>
        <v>7801</v>
      </c>
      <c r="C6" t="str">
        <f>IFERROR(INDEX(Starter!B:B,MATCH(B6,Starter!A:A,0)),"")</f>
        <v>Schuster, Katharina</v>
      </c>
      <c r="D6" t="str">
        <f>IFERROR(INDEX(Starter!C:C,MATCH(B6,Starter!A:A,0)),"")</f>
        <v>BC Phönix 03 Lauf</v>
      </c>
      <c r="E6" s="102">
        <f t="shared" si="3"/>
        <v>6839</v>
      </c>
      <c r="F6">
        <f t="shared" si="4"/>
        <v>36</v>
      </c>
      <c r="G6" s="137">
        <f t="shared" si="5"/>
        <v>189.97222216622222</v>
      </c>
      <c r="L6" s="227">
        <f>INDEX(Starter!A:A,ROW()-1)</f>
        <v>16170</v>
      </c>
      <c r="M6">
        <f>INDEX(SchnittGes5!M:M,MATCH(L6,SchnittGes5!L:L,0))+INDEX(Schnitt6!M:M,MATCH(L6,Schnitt6!L:L,0))</f>
        <v>2673</v>
      </c>
      <c r="N6">
        <f>INDEX(SchnittGes5!N:N,MATCH(L6,SchnittGes5!L:L,0))+INDEX(Schnitt6!N:N,MATCH(L6,Schnitt6!L:L,0))</f>
        <v>15</v>
      </c>
      <c r="O6">
        <f t="shared" si="0"/>
        <v>178.199999994</v>
      </c>
      <c r="P6">
        <f t="shared" si="1"/>
        <v>19</v>
      </c>
    </row>
    <row r="7" spans="1:16" x14ac:dyDescent="0.35">
      <c r="A7">
        <f t="shared" si="6"/>
        <v>3</v>
      </c>
      <c r="B7">
        <f t="shared" si="2"/>
        <v>16594</v>
      </c>
      <c r="C7" t="str">
        <f>IFERROR(INDEX(Starter!B:B,MATCH(B7,Starter!A:A,0)),"")</f>
        <v>Schott, Monika</v>
      </c>
      <c r="D7" t="str">
        <f>IFERROR(INDEX(Starter!C:C,MATCH(B7,Starter!A:A,0)),"")</f>
        <v>BK München</v>
      </c>
      <c r="E7" s="102">
        <f t="shared" si="3"/>
        <v>1677</v>
      </c>
      <c r="F7">
        <f t="shared" si="4"/>
        <v>9</v>
      </c>
      <c r="G7" s="137">
        <f t="shared" si="5"/>
        <v>186.33333332133336</v>
      </c>
      <c r="L7" s="227">
        <f>INDEX(Starter!A:A,ROW()-1)</f>
        <v>7889</v>
      </c>
      <c r="M7">
        <f>INDEX(SchnittGes5!M:M,MATCH(L7,SchnittGes5!L:L,0))+INDEX(Schnitt6!M:M,MATCH(L7,Schnitt6!L:L,0))</f>
        <v>5530</v>
      </c>
      <c r="N7">
        <f>INDEX(SchnittGes5!N:N,MATCH(L7,SchnittGes5!L:L,0))+INDEX(Schnitt6!N:N,MATCH(L7,Schnitt6!L:L,0))</f>
        <v>31</v>
      </c>
      <c r="O7">
        <f t="shared" si="0"/>
        <v>178.38709676719353</v>
      </c>
      <c r="P7">
        <f t="shared" si="1"/>
        <v>17</v>
      </c>
    </row>
    <row r="8" spans="1:16" x14ac:dyDescent="0.35">
      <c r="A8">
        <f t="shared" si="6"/>
        <v>4</v>
      </c>
      <c r="B8">
        <f t="shared" si="2"/>
        <v>38438</v>
      </c>
      <c r="C8" t="str">
        <f>IFERROR(INDEX(Starter!B:B,MATCH(B8,Starter!A:A,0)),"")</f>
        <v>Hassforth, Lea</v>
      </c>
      <c r="D8" t="str">
        <f>IFERROR(INDEX(Starter!C:C,MATCH(B8,Starter!A:A,0)),"")</f>
        <v>BK München</v>
      </c>
      <c r="E8" s="102">
        <f t="shared" si="3"/>
        <v>5010</v>
      </c>
      <c r="F8">
        <f t="shared" si="4"/>
        <v>27</v>
      </c>
      <c r="G8" s="137">
        <f t="shared" si="5"/>
        <v>185.55555554655555</v>
      </c>
      <c r="L8" s="227">
        <f>INDEX(Starter!A:A,ROW()-1)</f>
        <v>38222</v>
      </c>
      <c r="M8">
        <f>INDEX(SchnittGes5!M:M,MATCH(L8,SchnittGes5!L:L,0))+INDEX(Schnitt6!M:M,MATCH(L8,Schnitt6!L:L,0))</f>
        <v>1479</v>
      </c>
      <c r="N8">
        <f>INDEX(SchnittGes5!N:N,MATCH(L8,SchnittGes5!L:L,0))+INDEX(Schnitt6!N:N,MATCH(L8,Schnitt6!L:L,0))</f>
        <v>9</v>
      </c>
      <c r="O8">
        <f t="shared" si="0"/>
        <v>164.33333332533334</v>
      </c>
      <c r="P8">
        <f t="shared" si="1"/>
        <v>42</v>
      </c>
    </row>
    <row r="9" spans="1:16" x14ac:dyDescent="0.35">
      <c r="A9">
        <f t="shared" si="6"/>
        <v>5</v>
      </c>
      <c r="B9">
        <f t="shared" si="2"/>
        <v>38458</v>
      </c>
      <c r="C9" t="str">
        <f>IFERROR(INDEX(Starter!B:B,MATCH(B9,Starter!A:A,0)),"")</f>
        <v>Lindner, Theresa</v>
      </c>
      <c r="D9" t="str">
        <f>IFERROR(INDEX(Starter!C:C,MATCH(B9,Starter!A:A,0)),"")</f>
        <v>BSC Highroller Rosenheim</v>
      </c>
      <c r="E9" s="102">
        <f t="shared" si="3"/>
        <v>4996</v>
      </c>
      <c r="F9">
        <f t="shared" si="4"/>
        <v>27</v>
      </c>
      <c r="G9" s="137">
        <f t="shared" si="5"/>
        <v>185.03703697203704</v>
      </c>
      <c r="L9" s="227">
        <f>INDEX(Starter!A:A,ROW()-1)</f>
        <v>38438</v>
      </c>
      <c r="M9">
        <f>INDEX(SchnittGes5!M:M,MATCH(L9,SchnittGes5!L:L,0))+INDEX(Schnitt6!M:M,MATCH(L9,Schnitt6!L:L,0))</f>
        <v>5010</v>
      </c>
      <c r="N9">
        <f>INDEX(SchnittGes5!N:N,MATCH(L9,SchnittGes5!L:L,0))+INDEX(Schnitt6!N:N,MATCH(L9,Schnitt6!L:L,0))</f>
        <v>27</v>
      </c>
      <c r="O9">
        <f t="shared" si="0"/>
        <v>185.55555554655555</v>
      </c>
      <c r="P9">
        <f t="shared" si="1"/>
        <v>4</v>
      </c>
    </row>
    <row r="10" spans="1:16" x14ac:dyDescent="0.35">
      <c r="A10">
        <f t="shared" si="6"/>
        <v>6</v>
      </c>
      <c r="B10">
        <f t="shared" si="2"/>
        <v>7574</v>
      </c>
      <c r="C10" t="str">
        <f>IFERROR(INDEX(Starter!B:B,MATCH(B10,Starter!A:A,0)),"")</f>
        <v>Clemenz, Brigitte</v>
      </c>
      <c r="D10" t="str">
        <f>IFERROR(INDEX(Starter!C:C,MATCH(B10,Starter!A:A,0)),"")</f>
        <v>BK München</v>
      </c>
      <c r="E10" s="102">
        <f t="shared" si="3"/>
        <v>4605</v>
      </c>
      <c r="F10">
        <f t="shared" si="4"/>
        <v>25</v>
      </c>
      <c r="G10" s="137">
        <f t="shared" si="5"/>
        <v>184.19999998199998</v>
      </c>
      <c r="L10" s="227">
        <f>INDEX(Starter!A:A,ROW()-1)</f>
        <v>38553</v>
      </c>
      <c r="M10">
        <f>INDEX(SchnittGes5!M:M,MATCH(L10,SchnittGes5!L:L,0))+INDEX(Schnitt6!M:M,MATCH(L10,Schnitt6!L:L,0))</f>
        <v>4889</v>
      </c>
      <c r="N10">
        <f>INDEX(SchnittGes5!N:N,MATCH(L10,SchnittGes5!L:L,0))+INDEX(Schnitt6!N:N,MATCH(L10,Schnitt6!L:L,0))</f>
        <v>27</v>
      </c>
      <c r="O10">
        <f t="shared" si="0"/>
        <v>181.07407406407407</v>
      </c>
      <c r="P10">
        <f t="shared" si="1"/>
        <v>14</v>
      </c>
    </row>
    <row r="11" spans="1:16" x14ac:dyDescent="0.35">
      <c r="A11">
        <f t="shared" si="6"/>
        <v>7</v>
      </c>
      <c r="B11">
        <f t="shared" si="2"/>
        <v>25751</v>
      </c>
      <c r="C11" t="str">
        <f>IFERROR(INDEX(Starter!B:B,MATCH(B11,Starter!A:A,0)),"")</f>
        <v>Schlundt, Sabrina</v>
      </c>
      <c r="D11" t="str">
        <f>IFERROR(INDEX(Starter!C:C,MATCH(B11,Starter!A:A,0)),"")</f>
        <v>BC Praetoria</v>
      </c>
      <c r="E11" s="102">
        <f t="shared" si="3"/>
        <v>6257</v>
      </c>
      <c r="F11">
        <f t="shared" si="4"/>
        <v>34</v>
      </c>
      <c r="G11" s="137">
        <f t="shared" si="5"/>
        <v>184.02941176270588</v>
      </c>
      <c r="L11" s="227">
        <f>INDEX(Starter!A:A,ROW()-1)</f>
        <v>38350</v>
      </c>
      <c r="M11">
        <f>INDEX(SchnittGes5!M:M,MATCH(L11,SchnittGes5!L:L,0))+INDEX(Schnitt6!M:M,MATCH(L11,Schnitt6!L:L,0))</f>
        <v>6059</v>
      </c>
      <c r="N11">
        <f>INDEX(SchnittGes5!N:N,MATCH(L11,SchnittGes5!L:L,0))+INDEX(Schnitt6!N:N,MATCH(L11,Schnitt6!L:L,0))</f>
        <v>36</v>
      </c>
      <c r="O11">
        <f t="shared" si="0"/>
        <v>168.30555554455555</v>
      </c>
      <c r="P11">
        <f t="shared" si="1"/>
        <v>33</v>
      </c>
    </row>
    <row r="12" spans="1:16" x14ac:dyDescent="0.35">
      <c r="A12">
        <f t="shared" si="6"/>
        <v>8</v>
      </c>
      <c r="B12">
        <f t="shared" si="2"/>
        <v>7752</v>
      </c>
      <c r="C12" t="str">
        <f>IFERROR(INDEX(Starter!B:B,MATCH(B12,Starter!A:A,0)),"")</f>
        <v>Treffke, Helga</v>
      </c>
      <c r="D12" t="str">
        <f>IFERROR(INDEX(Starter!C:C,MATCH(B12,Starter!A:A,0)),"")</f>
        <v>BC E.P.A. München</v>
      </c>
      <c r="E12" s="102">
        <f t="shared" si="3"/>
        <v>1288</v>
      </c>
      <c r="F12">
        <f t="shared" si="4"/>
        <v>7</v>
      </c>
      <c r="G12" s="137">
        <f t="shared" si="5"/>
        <v>183.99999995900001</v>
      </c>
      <c r="L12" s="227">
        <f>INDEX(Starter!A:A,ROW()-1)</f>
        <v>16594</v>
      </c>
      <c r="M12">
        <f>INDEX(SchnittGes5!M:M,MATCH(L12,SchnittGes5!L:L,0))+INDEX(Schnitt6!M:M,MATCH(L12,Schnitt6!L:L,0))</f>
        <v>1677</v>
      </c>
      <c r="N12">
        <f>INDEX(SchnittGes5!N:N,MATCH(L12,SchnittGes5!L:L,0))+INDEX(Schnitt6!N:N,MATCH(L12,Schnitt6!L:L,0))</f>
        <v>9</v>
      </c>
      <c r="O12">
        <f t="shared" ref="O12:O75" si="7">IF(N12=0,0,M12/N12-ROW()/1000000000)</f>
        <v>186.33333332133336</v>
      </c>
      <c r="P12">
        <f t="shared" si="1"/>
        <v>3</v>
      </c>
    </row>
    <row r="13" spans="1:16" x14ac:dyDescent="0.35">
      <c r="A13">
        <f t="shared" si="6"/>
        <v>9</v>
      </c>
      <c r="B13">
        <f t="shared" si="2"/>
        <v>7578</v>
      </c>
      <c r="C13" t="str">
        <f>IFERROR(INDEX(Starter!B:B,MATCH(B13,Starter!A:A,0)),"")</f>
        <v>Hinterwimmer, Sabine</v>
      </c>
      <c r="D13" t="str">
        <f>IFERROR(INDEX(Starter!C:C,MATCH(B13,Starter!A:A,0)),"")</f>
        <v>BK München</v>
      </c>
      <c r="E13" s="102">
        <f t="shared" si="3"/>
        <v>6435</v>
      </c>
      <c r="F13">
        <f t="shared" si="4"/>
        <v>35</v>
      </c>
      <c r="G13" s="137">
        <f t="shared" si="5"/>
        <v>183.85714284114286</v>
      </c>
      <c r="L13" s="227">
        <f>INDEX(Starter!A:A,ROW()-1)</f>
        <v>16595</v>
      </c>
      <c r="M13">
        <f>INDEX(SchnittGes5!M:M,MATCH(L13,SchnittGes5!L:L,0))+INDEX(Schnitt6!M:M,MATCH(L13,Schnitt6!L:L,0))</f>
        <v>1551</v>
      </c>
      <c r="N13">
        <f>INDEX(SchnittGes5!N:N,MATCH(L13,SchnittGes5!L:L,0))+INDEX(Schnitt6!N:N,MATCH(L13,Schnitt6!L:L,0))</f>
        <v>9</v>
      </c>
      <c r="O13">
        <f t="shared" si="7"/>
        <v>172.33333332033334</v>
      </c>
      <c r="P13">
        <f t="shared" si="1"/>
        <v>27</v>
      </c>
    </row>
    <row r="14" spans="1:16" x14ac:dyDescent="0.35">
      <c r="A14">
        <f t="shared" si="6"/>
        <v>10</v>
      </c>
      <c r="B14">
        <f t="shared" si="2"/>
        <v>25798</v>
      </c>
      <c r="C14" t="str">
        <f>IFERROR(INDEX(Starter!B:B,MATCH(B14,Starter!A:A,0)),"")</f>
        <v>Kicker-Mihatsch, Elvira</v>
      </c>
      <c r="D14" t="str">
        <f>IFERROR(INDEX(Starter!C:C,MATCH(B14,Starter!A:A,0)),"")</f>
        <v>BC Praetoria</v>
      </c>
      <c r="E14" s="102">
        <f t="shared" si="3"/>
        <v>4934</v>
      </c>
      <c r="F14">
        <f t="shared" si="4"/>
        <v>27</v>
      </c>
      <c r="G14" s="137">
        <f t="shared" si="5"/>
        <v>182.74074073674075</v>
      </c>
      <c r="L14" s="227">
        <f>INDEX(Starter!A:A,ROW()-1)</f>
        <v>7061</v>
      </c>
      <c r="M14">
        <f>INDEX(SchnittGes5!M:M,MATCH(L14,SchnittGes5!L:L,0))+INDEX(Schnitt6!M:M,MATCH(L14,Schnitt6!L:L,0))</f>
        <v>1454</v>
      </c>
      <c r="N14">
        <f>INDEX(SchnittGes5!N:N,MATCH(L14,SchnittGes5!L:L,0))+INDEX(Schnitt6!N:N,MATCH(L14,Schnitt6!L:L,0))</f>
        <v>9</v>
      </c>
      <c r="O14">
        <f t="shared" si="7"/>
        <v>161.55555554155555</v>
      </c>
      <c r="P14">
        <f t="shared" si="1"/>
        <v>45</v>
      </c>
    </row>
    <row r="15" spans="1:16" x14ac:dyDescent="0.35">
      <c r="A15">
        <f t="shared" si="6"/>
        <v>11</v>
      </c>
      <c r="B15">
        <f t="shared" si="2"/>
        <v>7575</v>
      </c>
      <c r="C15" t="str">
        <f>IFERROR(INDEX(Starter!B:B,MATCH(B15,Starter!A:A,0)),"")</f>
        <v>Dozauer, Jessica</v>
      </c>
      <c r="D15" t="str">
        <f>IFERROR(INDEX(Starter!C:C,MATCH(B15,Starter!A:A,0)),"")</f>
        <v>BK München</v>
      </c>
      <c r="E15" s="102">
        <f t="shared" si="3"/>
        <v>4373</v>
      </c>
      <c r="F15">
        <f t="shared" si="4"/>
        <v>24</v>
      </c>
      <c r="G15" s="137">
        <f t="shared" si="5"/>
        <v>182.20833331633335</v>
      </c>
      <c r="L15" s="227">
        <f>INDEX(Starter!A:A,ROW()-1)</f>
        <v>25550</v>
      </c>
      <c r="M15">
        <f>INDEX(SchnittGes5!M:M,MATCH(L15,SchnittGes5!L:L,0))+INDEX(Schnitt6!M:M,MATCH(L15,Schnitt6!L:L,0))</f>
        <v>0</v>
      </c>
      <c r="N15">
        <f>INDEX(SchnittGes5!N:N,MATCH(L15,SchnittGes5!L:L,0))+INDEX(Schnitt6!N:N,MATCH(L15,Schnitt6!L:L,0))</f>
        <v>0</v>
      </c>
      <c r="O15">
        <f t="shared" si="7"/>
        <v>0</v>
      </c>
      <c r="P15">
        <f t="shared" si="1"/>
        <v>55</v>
      </c>
    </row>
    <row r="16" spans="1:16" x14ac:dyDescent="0.35">
      <c r="A16">
        <f t="shared" si="6"/>
        <v>12</v>
      </c>
      <c r="B16">
        <f t="shared" si="2"/>
        <v>38757</v>
      </c>
      <c r="C16" t="str">
        <f>IFERROR(INDEX(Starter!B:B,MATCH(B16,Starter!A:A,0)),"")</f>
        <v>Schanze, Bianka</v>
      </c>
      <c r="D16" t="str">
        <f>IFERROR(INDEX(Starter!C:C,MATCH(B16,Starter!A:A,0)),"")</f>
        <v>BSC Highroller Rosenheim</v>
      </c>
      <c r="E16" s="102">
        <f t="shared" si="3"/>
        <v>6192</v>
      </c>
      <c r="F16">
        <f t="shared" si="4"/>
        <v>34</v>
      </c>
      <c r="G16" s="137">
        <f t="shared" si="5"/>
        <v>182.11764703382354</v>
      </c>
      <c r="L16" s="227">
        <f>INDEX(Starter!A:A,ROW()-1)</f>
        <v>7578</v>
      </c>
      <c r="M16">
        <f>INDEX(SchnittGes5!M:M,MATCH(L16,SchnittGes5!L:L,0))+INDEX(Schnitt6!M:M,MATCH(L16,Schnitt6!L:L,0))</f>
        <v>6435</v>
      </c>
      <c r="N16">
        <f>INDEX(SchnittGes5!N:N,MATCH(L16,SchnittGes5!L:L,0))+INDEX(Schnitt6!N:N,MATCH(L16,Schnitt6!L:L,0))</f>
        <v>35</v>
      </c>
      <c r="O16">
        <f t="shared" si="7"/>
        <v>183.85714284114286</v>
      </c>
      <c r="P16">
        <f t="shared" si="1"/>
        <v>9</v>
      </c>
    </row>
    <row r="17" spans="1:16" x14ac:dyDescent="0.35">
      <c r="A17">
        <f t="shared" si="6"/>
        <v>13</v>
      </c>
      <c r="B17">
        <f t="shared" si="2"/>
        <v>25298</v>
      </c>
      <c r="C17" t="str">
        <f>IFERROR(INDEX(Starter!B:B,MATCH(B17,Starter!A:A,0)),"")</f>
        <v>Auer, Cornelia</v>
      </c>
      <c r="D17" t="str">
        <f>IFERROR(INDEX(Starter!C:C,MATCH(B17,Starter!A:A,0)),"")</f>
        <v>BSC Highroller Rosenheim</v>
      </c>
      <c r="E17" s="102">
        <f t="shared" si="3"/>
        <v>4899</v>
      </c>
      <c r="F17">
        <f t="shared" si="4"/>
        <v>27</v>
      </c>
      <c r="G17" s="137">
        <f t="shared" si="5"/>
        <v>181.44444442044446</v>
      </c>
      <c r="L17" s="227">
        <f>INDEX(Starter!A:A,ROW()-1)</f>
        <v>7575</v>
      </c>
      <c r="M17">
        <f>INDEX(SchnittGes5!M:M,MATCH(L17,SchnittGes5!L:L,0))+INDEX(Schnitt6!M:M,MATCH(L17,Schnitt6!L:L,0))</f>
        <v>4373</v>
      </c>
      <c r="N17">
        <f>INDEX(SchnittGes5!N:N,MATCH(L17,SchnittGes5!L:L,0))+INDEX(Schnitt6!N:N,MATCH(L17,Schnitt6!L:L,0))</f>
        <v>24</v>
      </c>
      <c r="O17">
        <f t="shared" si="7"/>
        <v>182.20833331633335</v>
      </c>
      <c r="P17">
        <f t="shared" si="1"/>
        <v>11</v>
      </c>
    </row>
    <row r="18" spans="1:16" x14ac:dyDescent="0.35">
      <c r="A18">
        <f t="shared" si="6"/>
        <v>14</v>
      </c>
      <c r="B18">
        <f t="shared" si="2"/>
        <v>38553</v>
      </c>
      <c r="C18" t="str">
        <f>IFERROR(INDEX(Starter!B:B,MATCH(B18,Starter!A:A,0)),"")</f>
        <v>Kirschke, Saskia</v>
      </c>
      <c r="D18" t="str">
        <f>IFERROR(INDEX(Starter!C:C,MATCH(B18,Starter!A:A,0)),"")</f>
        <v>BK München</v>
      </c>
      <c r="E18" s="102">
        <f t="shared" si="3"/>
        <v>4889</v>
      </c>
      <c r="F18">
        <f t="shared" si="4"/>
        <v>27</v>
      </c>
      <c r="G18" s="137">
        <f t="shared" si="5"/>
        <v>181.07407406407407</v>
      </c>
      <c r="L18" s="227">
        <f>INDEX(Starter!A:A,ROW()-1)</f>
        <v>7574</v>
      </c>
      <c r="M18">
        <f>INDEX(SchnittGes5!M:M,MATCH(L18,SchnittGes5!L:L,0))+INDEX(Schnitt6!M:M,MATCH(L18,Schnitt6!L:L,0))</f>
        <v>4605</v>
      </c>
      <c r="N18">
        <f>INDEX(SchnittGes5!N:N,MATCH(L18,SchnittGes5!L:L,0))+INDEX(Schnitt6!N:N,MATCH(L18,Schnitt6!L:L,0))</f>
        <v>25</v>
      </c>
      <c r="O18">
        <f t="shared" si="7"/>
        <v>184.19999998199998</v>
      </c>
      <c r="P18">
        <f t="shared" si="1"/>
        <v>6</v>
      </c>
    </row>
    <row r="19" spans="1:16" x14ac:dyDescent="0.35">
      <c r="A19">
        <f t="shared" si="6"/>
        <v>15</v>
      </c>
      <c r="B19">
        <f t="shared" si="2"/>
        <v>25192</v>
      </c>
      <c r="C19" t="str">
        <f>IFERROR(INDEX(Starter!B:B,MATCH(B19,Starter!A:A,0)),"")</f>
        <v>Bess, Vanessa</v>
      </c>
      <c r="D19" t="str">
        <f>IFERROR(INDEX(Starter!C:C,MATCH(B19,Starter!A:A,0)),"")</f>
        <v>BC E.P.A. München</v>
      </c>
      <c r="E19" s="102">
        <f t="shared" si="3"/>
        <v>5243</v>
      </c>
      <c r="F19">
        <f t="shared" si="4"/>
        <v>29</v>
      </c>
      <c r="G19" s="137">
        <f t="shared" si="5"/>
        <v>180.79310337927586</v>
      </c>
      <c r="L19" s="227">
        <f>INDEX(Starter!A:A,ROW()-1)</f>
        <v>7576</v>
      </c>
      <c r="M19">
        <f>INDEX(SchnittGes5!M:M,MATCH(L19,SchnittGes5!L:L,0))+INDEX(Schnitt6!M:M,MATCH(L19,Schnitt6!L:L,0))</f>
        <v>2553</v>
      </c>
      <c r="N19">
        <f>INDEX(SchnittGes5!N:N,MATCH(L19,SchnittGes5!L:L,0))+INDEX(Schnitt6!N:N,MATCH(L19,Schnitt6!L:L,0))</f>
        <v>15</v>
      </c>
      <c r="O19">
        <f t="shared" si="7"/>
        <v>170.19999998099999</v>
      </c>
      <c r="P19">
        <f t="shared" si="1"/>
        <v>31</v>
      </c>
    </row>
    <row r="20" spans="1:16" x14ac:dyDescent="0.35">
      <c r="A20">
        <f t="shared" si="6"/>
        <v>16</v>
      </c>
      <c r="B20">
        <f t="shared" si="2"/>
        <v>7534</v>
      </c>
      <c r="C20" t="str">
        <f>IFERROR(INDEX(Starter!B:B,MATCH(B20,Starter!A:A,0)),"")</f>
        <v>Lieb, Anja</v>
      </c>
      <c r="D20" t="str">
        <f>IFERROR(INDEX(Starter!C:C,MATCH(B20,Starter!A:A,0)),"")</f>
        <v>BC E.P.A. München</v>
      </c>
      <c r="E20" s="102">
        <f t="shared" si="3"/>
        <v>6143</v>
      </c>
      <c r="F20">
        <f t="shared" si="4"/>
        <v>34</v>
      </c>
      <c r="G20" s="137">
        <f t="shared" si="5"/>
        <v>180.67647051723532</v>
      </c>
      <c r="L20" s="227">
        <f>INDEX(Starter!A:A,ROW()-1)</f>
        <v>12850</v>
      </c>
      <c r="M20">
        <f>INDEX(SchnittGes5!M:M,MATCH(L20,SchnittGes5!L:L,0))+INDEX(Schnitt6!M:M,MATCH(L20,Schnitt6!L:L,0))</f>
        <v>4009</v>
      </c>
      <c r="N20">
        <f>INDEX(SchnittGes5!N:N,MATCH(L20,SchnittGes5!L:L,0))+INDEX(Schnitt6!N:N,MATCH(L20,Schnitt6!L:L,0))</f>
        <v>25</v>
      </c>
      <c r="O20">
        <f t="shared" si="7"/>
        <v>160.35999998000003</v>
      </c>
      <c r="P20">
        <f t="shared" si="1"/>
        <v>48</v>
      </c>
    </row>
    <row r="21" spans="1:16" x14ac:dyDescent="0.35">
      <c r="A21">
        <f t="shared" si="6"/>
        <v>17</v>
      </c>
      <c r="B21">
        <f t="shared" si="2"/>
        <v>7889</v>
      </c>
      <c r="C21" t="str">
        <f>IFERROR(INDEX(Starter!B:B,MATCH(B21,Starter!A:A,0)),"")</f>
        <v>Zahner, Barbara</v>
      </c>
      <c r="D21" t="str">
        <f>IFERROR(INDEX(Starter!C:C,MATCH(B21,Starter!A:A,0)),"")</f>
        <v>BC Praetoria</v>
      </c>
      <c r="E21" s="102">
        <f t="shared" si="3"/>
        <v>5530</v>
      </c>
      <c r="F21">
        <f t="shared" si="4"/>
        <v>31</v>
      </c>
      <c r="G21" s="137">
        <f t="shared" si="5"/>
        <v>178.38709676719353</v>
      </c>
      <c r="L21" s="227">
        <f>INDEX(Starter!A:A,ROW()-1)</f>
        <v>16879</v>
      </c>
      <c r="M21">
        <f>INDEX(SchnittGes5!M:M,MATCH(L21,SchnittGes5!L:L,0))+INDEX(Schnitt6!M:M,MATCH(L21,Schnitt6!L:L,0))</f>
        <v>3059</v>
      </c>
      <c r="N21">
        <f>INDEX(SchnittGes5!N:N,MATCH(L21,SchnittGes5!L:L,0))+INDEX(Schnitt6!N:N,MATCH(L21,Schnitt6!L:L,0))</f>
        <v>19</v>
      </c>
      <c r="O21">
        <f t="shared" si="7"/>
        <v>160.99999997899999</v>
      </c>
      <c r="P21">
        <f t="shared" si="1"/>
        <v>46</v>
      </c>
    </row>
    <row r="22" spans="1:16" x14ac:dyDescent="0.35">
      <c r="A22">
        <f t="shared" si="6"/>
        <v>18</v>
      </c>
      <c r="B22">
        <f t="shared" si="2"/>
        <v>7549</v>
      </c>
      <c r="C22" t="str">
        <f>IFERROR(INDEX(Starter!B:B,MATCH(B22,Starter!A:A,0)),"")</f>
        <v>Hernitschek, Angelika</v>
      </c>
      <c r="D22" t="str">
        <f>IFERROR(INDEX(Starter!C:C,MATCH(B22,Starter!A:A,0)),"")</f>
        <v>BC E.P.A. München</v>
      </c>
      <c r="E22" s="102">
        <f t="shared" si="3"/>
        <v>4101</v>
      </c>
      <c r="F22">
        <f t="shared" si="4"/>
        <v>23</v>
      </c>
      <c r="G22" s="137">
        <f t="shared" si="5"/>
        <v>178.30434775808698</v>
      </c>
      <c r="L22" s="227">
        <f>INDEX(Starter!A:A,ROW()-1)</f>
        <v>7991</v>
      </c>
      <c r="M22">
        <f>INDEX(SchnittGes5!M:M,MATCH(L22,SchnittGes5!L:L,0))+INDEX(Schnitt6!M:M,MATCH(L22,Schnitt6!L:L,0))</f>
        <v>792</v>
      </c>
      <c r="N22">
        <f>INDEX(SchnittGes5!N:N,MATCH(L22,SchnittGes5!L:L,0))+INDEX(Schnitt6!N:N,MATCH(L22,Schnitt6!L:L,0))</f>
        <v>5</v>
      </c>
      <c r="O22">
        <f t="shared" si="7"/>
        <v>158.39999997800001</v>
      </c>
      <c r="P22">
        <f t="shared" si="1"/>
        <v>51</v>
      </c>
    </row>
    <row r="23" spans="1:16" x14ac:dyDescent="0.35">
      <c r="A23">
        <f t="shared" si="6"/>
        <v>19</v>
      </c>
      <c r="B23">
        <f t="shared" si="2"/>
        <v>16170</v>
      </c>
      <c r="C23" t="str">
        <f>IFERROR(INDEX(Starter!B:B,MATCH(B23,Starter!A:A,0)),"")</f>
        <v>Wölki, Elisabeth</v>
      </c>
      <c r="D23" t="str">
        <f>IFERROR(INDEX(Starter!C:C,MATCH(B23,Starter!A:A,0)),"")</f>
        <v>BC Praetoria</v>
      </c>
      <c r="E23" s="102">
        <f t="shared" si="3"/>
        <v>2673</v>
      </c>
      <c r="F23">
        <f t="shared" si="4"/>
        <v>15</v>
      </c>
      <c r="G23" s="137">
        <f t="shared" si="5"/>
        <v>178.199999994</v>
      </c>
      <c r="L23" s="227">
        <f>INDEX(Starter!A:A,ROW()-1)</f>
        <v>7024</v>
      </c>
      <c r="M23">
        <f>INDEX(SchnittGes5!M:M,MATCH(L23,SchnittGes5!L:L,0))+INDEX(Schnitt6!M:M,MATCH(L23,Schnitt6!L:L,0))</f>
        <v>0</v>
      </c>
      <c r="N23">
        <f>INDEX(SchnittGes5!N:N,MATCH(L23,SchnittGes5!L:L,0))+INDEX(Schnitt6!N:N,MATCH(L23,Schnitt6!L:L,0))</f>
        <v>0</v>
      </c>
      <c r="O23">
        <f t="shared" si="7"/>
        <v>0</v>
      </c>
      <c r="P23">
        <f t="shared" si="1"/>
        <v>55</v>
      </c>
    </row>
    <row r="24" spans="1:16" x14ac:dyDescent="0.35">
      <c r="A24">
        <f t="shared" si="6"/>
        <v>20</v>
      </c>
      <c r="B24">
        <f t="shared" si="2"/>
        <v>7753</v>
      </c>
      <c r="C24" t="str">
        <f>IFERROR(INDEX(Starter!B:B,MATCH(B24,Starter!A:A,0)),"")</f>
        <v>Krämer, Gisela</v>
      </c>
      <c r="D24" t="str">
        <f>IFERROR(INDEX(Starter!C:C,MATCH(B24,Starter!A:A,0)),"")</f>
        <v>BC Frankenpower</v>
      </c>
      <c r="E24" s="102">
        <f t="shared" si="3"/>
        <v>6366</v>
      </c>
      <c r="F24">
        <f t="shared" si="4"/>
        <v>36</v>
      </c>
      <c r="G24" s="137">
        <f t="shared" si="5"/>
        <v>176.83333330433334</v>
      </c>
      <c r="L24" s="227">
        <f>INDEX(Starter!A:A,ROW()-1)</f>
        <v>25298</v>
      </c>
      <c r="M24">
        <f>INDEX(SchnittGes5!M:M,MATCH(L24,SchnittGes5!L:L,0))+INDEX(Schnitt6!M:M,MATCH(L24,Schnitt6!L:L,0))</f>
        <v>4899</v>
      </c>
      <c r="N24">
        <f>INDEX(SchnittGes5!N:N,MATCH(L24,SchnittGes5!L:L,0))+INDEX(Schnitt6!N:N,MATCH(L24,Schnitt6!L:L,0))</f>
        <v>27</v>
      </c>
      <c r="O24">
        <f t="shared" si="7"/>
        <v>181.44444442044446</v>
      </c>
      <c r="P24">
        <f t="shared" si="1"/>
        <v>13</v>
      </c>
    </row>
    <row r="25" spans="1:16" x14ac:dyDescent="0.35">
      <c r="A25">
        <f t="shared" si="6"/>
        <v>21</v>
      </c>
      <c r="B25">
        <f t="shared" si="2"/>
        <v>7786</v>
      </c>
      <c r="C25" t="str">
        <f>IFERROR(INDEX(Starter!B:B,MATCH(B25,Starter!A:A,0)),"")</f>
        <v>Reichel, Christina</v>
      </c>
      <c r="D25" t="str">
        <f>IFERROR(INDEX(Starter!C:C,MATCH(B25,Starter!A:A,0)),"")</f>
        <v>BC Phönix 03 Lauf</v>
      </c>
      <c r="E25" s="102">
        <f t="shared" si="3"/>
        <v>6006</v>
      </c>
      <c r="F25">
        <f t="shared" si="4"/>
        <v>34</v>
      </c>
      <c r="G25" s="137">
        <f t="shared" si="5"/>
        <v>176.64705876852943</v>
      </c>
      <c r="L25" s="227">
        <f>INDEX(Starter!A:A,ROW()-1)</f>
        <v>38757</v>
      </c>
      <c r="M25">
        <f>INDEX(SchnittGes5!M:M,MATCH(L25,SchnittGes5!L:L,0))+INDEX(Schnitt6!M:M,MATCH(L25,Schnitt6!L:L,0))</f>
        <v>6192</v>
      </c>
      <c r="N25">
        <f>INDEX(SchnittGes5!N:N,MATCH(L25,SchnittGes5!L:L,0))+INDEX(Schnitt6!N:N,MATCH(L25,Schnitt6!L:L,0))</f>
        <v>34</v>
      </c>
      <c r="O25">
        <f t="shared" si="7"/>
        <v>182.11764703382354</v>
      </c>
      <c r="P25">
        <f t="shared" si="1"/>
        <v>12</v>
      </c>
    </row>
    <row r="26" spans="1:16" x14ac:dyDescent="0.35">
      <c r="A26">
        <f t="shared" si="6"/>
        <v>22</v>
      </c>
      <c r="B26">
        <f t="shared" si="2"/>
        <v>7976</v>
      </c>
      <c r="C26" t="str">
        <f>IFERROR(INDEX(Starter!B:B,MATCH(B26,Starter!A:A,0)),"")</f>
        <v>Martisko, Petra</v>
      </c>
      <c r="D26" t="str">
        <f>IFERROR(INDEX(Starter!C:C,MATCH(B26,Starter!A:A,0)),"")</f>
        <v>BF Rot-Weiß Lichtenhof 69</v>
      </c>
      <c r="E26" s="102">
        <f t="shared" si="3"/>
        <v>6330</v>
      </c>
      <c r="F26">
        <f t="shared" si="4"/>
        <v>36</v>
      </c>
      <c r="G26" s="137">
        <f t="shared" si="5"/>
        <v>175.83333327233333</v>
      </c>
      <c r="L26" s="227">
        <f>INDEX(Starter!A:A,ROW()-1)</f>
        <v>25630</v>
      </c>
      <c r="M26">
        <f>INDEX(SchnittGes5!M:M,MATCH(L26,SchnittGes5!L:L,0))+INDEX(Schnitt6!M:M,MATCH(L26,Schnitt6!L:L,0))</f>
        <v>4664</v>
      </c>
      <c r="N26">
        <f>INDEX(SchnittGes5!N:N,MATCH(L26,SchnittGes5!L:L,0))+INDEX(Schnitt6!N:N,MATCH(L26,Schnitt6!L:L,0))</f>
        <v>27</v>
      </c>
      <c r="O26">
        <f t="shared" si="7"/>
        <v>172.74074071474072</v>
      </c>
      <c r="P26">
        <f t="shared" si="1"/>
        <v>26</v>
      </c>
    </row>
    <row r="27" spans="1:16" x14ac:dyDescent="0.35">
      <c r="A27">
        <f t="shared" si="6"/>
        <v>23</v>
      </c>
      <c r="B27">
        <f t="shared" si="2"/>
        <v>7087</v>
      </c>
      <c r="C27" t="str">
        <f>IFERROR(INDEX(Starter!B:B,MATCH(B27,Starter!A:A,0)),"")</f>
        <v>Albert, Beate</v>
      </c>
      <c r="D27" t="str">
        <f>IFERROR(INDEX(Starter!C:C,MATCH(B27,Starter!A:A,0)),"")</f>
        <v>BF Weiß-Blau</v>
      </c>
      <c r="E27" s="102">
        <f t="shared" si="3"/>
        <v>6120</v>
      </c>
      <c r="F27">
        <f t="shared" si="4"/>
        <v>35</v>
      </c>
      <c r="G27" s="137">
        <f t="shared" si="5"/>
        <v>174.85714281214285</v>
      </c>
      <c r="L27" s="227">
        <f>INDEX(Starter!A:A,ROW()-1)</f>
        <v>38758</v>
      </c>
      <c r="M27">
        <f>INDEX(SchnittGes5!M:M,MATCH(L27,SchnittGes5!L:L,0))+INDEX(Schnitt6!M:M,MATCH(L27,Schnitt6!L:L,0))</f>
        <v>4985</v>
      </c>
      <c r="N27">
        <f>INDEX(SchnittGes5!N:N,MATCH(L27,SchnittGes5!L:L,0))+INDEX(Schnitt6!N:N,MATCH(L27,Schnitt6!L:L,0))</f>
        <v>29</v>
      </c>
      <c r="O27">
        <f t="shared" si="7"/>
        <v>171.89655169713794</v>
      </c>
      <c r="P27">
        <f t="shared" si="1"/>
        <v>30</v>
      </c>
    </row>
    <row r="28" spans="1:16" x14ac:dyDescent="0.35">
      <c r="A28">
        <f t="shared" si="6"/>
        <v>24</v>
      </c>
      <c r="B28">
        <f t="shared" si="2"/>
        <v>38560</v>
      </c>
      <c r="C28" t="str">
        <f>IFERROR(INDEX(Starter!B:B,MATCH(B28,Starter!A:A,0)),"")</f>
        <v>Reng, Verena</v>
      </c>
      <c r="D28" t="str">
        <f>IFERROR(INDEX(Starter!C:C,MATCH(B28,Starter!A:A,0)),"")</f>
        <v>BC Frankenpower</v>
      </c>
      <c r="E28" s="102">
        <f t="shared" si="3"/>
        <v>6282</v>
      </c>
      <c r="F28">
        <f t="shared" si="4"/>
        <v>36</v>
      </c>
      <c r="G28" s="137">
        <f t="shared" si="5"/>
        <v>174.499999968</v>
      </c>
      <c r="L28" s="227">
        <f>INDEX(Starter!A:A,ROW()-1)</f>
        <v>7754</v>
      </c>
      <c r="M28">
        <f>INDEX(SchnittGes5!M:M,MATCH(L28,SchnittGes5!L:L,0))+INDEX(Schnitt6!M:M,MATCH(L28,Schnitt6!L:L,0))</f>
        <v>0</v>
      </c>
      <c r="N28">
        <f>INDEX(SchnittGes5!N:N,MATCH(L28,SchnittGes5!L:L,0))+INDEX(Schnitt6!N:N,MATCH(L28,Schnitt6!L:L,0))</f>
        <v>0</v>
      </c>
      <c r="O28">
        <f t="shared" si="7"/>
        <v>0</v>
      </c>
      <c r="P28">
        <f t="shared" si="1"/>
        <v>55</v>
      </c>
    </row>
    <row r="29" spans="1:16" x14ac:dyDescent="0.35">
      <c r="A29">
        <f t="shared" si="6"/>
        <v>25</v>
      </c>
      <c r="B29">
        <f t="shared" si="2"/>
        <v>25982</v>
      </c>
      <c r="C29" t="str">
        <f>IFERROR(INDEX(Starter!B:B,MATCH(B29,Starter!A:A,0)),"")</f>
        <v>Panek, Sandra</v>
      </c>
      <c r="D29" t="str">
        <f>IFERROR(INDEX(Starter!C:C,MATCH(B29,Starter!A:A,0)),"")</f>
        <v>BF Rot-Weiß Lichtenhof 69</v>
      </c>
      <c r="E29" s="102">
        <f t="shared" si="3"/>
        <v>2246</v>
      </c>
      <c r="F29">
        <f t="shared" si="4"/>
        <v>13</v>
      </c>
      <c r="G29" s="137">
        <f t="shared" si="5"/>
        <v>172.76923071123076</v>
      </c>
      <c r="L29" s="227">
        <f>INDEX(Starter!A:A,ROW()-1)</f>
        <v>7753</v>
      </c>
      <c r="M29">
        <f>INDEX(SchnittGes5!M:M,MATCH(L29,SchnittGes5!L:L,0))+INDEX(Schnitt6!M:M,MATCH(L29,Schnitt6!L:L,0))</f>
        <v>6366</v>
      </c>
      <c r="N29">
        <f>INDEX(SchnittGes5!N:N,MATCH(L29,SchnittGes5!L:L,0))+INDEX(Schnitt6!N:N,MATCH(L29,Schnitt6!L:L,0))</f>
        <v>36</v>
      </c>
      <c r="O29">
        <f t="shared" si="7"/>
        <v>176.83333330433334</v>
      </c>
      <c r="P29">
        <f t="shared" si="1"/>
        <v>20</v>
      </c>
    </row>
    <row r="30" spans="1:16" x14ac:dyDescent="0.35">
      <c r="A30">
        <f t="shared" si="6"/>
        <v>26</v>
      </c>
      <c r="B30">
        <f t="shared" si="2"/>
        <v>25630</v>
      </c>
      <c r="C30" t="str">
        <f>IFERROR(INDEX(Starter!B:B,MATCH(B30,Starter!A:A,0)),"")</f>
        <v>Groll, Hanni</v>
      </c>
      <c r="D30" t="str">
        <f>IFERROR(INDEX(Starter!C:C,MATCH(B30,Starter!A:A,0)),"")</f>
        <v>BSC Highroller Rosenheim</v>
      </c>
      <c r="E30" s="102">
        <f t="shared" si="3"/>
        <v>4664</v>
      </c>
      <c r="F30">
        <f t="shared" si="4"/>
        <v>27</v>
      </c>
      <c r="G30" s="137">
        <f t="shared" si="5"/>
        <v>172.74074071474072</v>
      </c>
      <c r="L30" s="227">
        <f>INDEX(Starter!A:A,ROW()-1)</f>
        <v>7758</v>
      </c>
      <c r="M30">
        <f>INDEX(SchnittGes5!M:M,MATCH(L30,SchnittGes5!L:L,0))+INDEX(Schnitt6!M:M,MATCH(L30,Schnitt6!L:L,0))</f>
        <v>6019</v>
      </c>
      <c r="N30">
        <f>INDEX(SchnittGes5!N:N,MATCH(L30,SchnittGes5!L:L,0))+INDEX(Schnitt6!N:N,MATCH(L30,Schnitt6!L:L,0))</f>
        <v>36</v>
      </c>
      <c r="O30">
        <f t="shared" si="7"/>
        <v>167.19444441444446</v>
      </c>
      <c r="P30">
        <f t="shared" si="1"/>
        <v>37</v>
      </c>
    </row>
    <row r="31" spans="1:16" x14ac:dyDescent="0.35">
      <c r="A31">
        <f t="shared" si="6"/>
        <v>27</v>
      </c>
      <c r="B31">
        <f t="shared" si="2"/>
        <v>16595</v>
      </c>
      <c r="C31" t="str">
        <f>IFERROR(INDEX(Starter!B:B,MATCH(B31,Starter!A:A,0)),"")</f>
        <v>Schott, Nicole</v>
      </c>
      <c r="D31" t="str">
        <f>IFERROR(INDEX(Starter!C:C,MATCH(B31,Starter!A:A,0)),"")</f>
        <v>BK München</v>
      </c>
      <c r="E31" s="102">
        <f t="shared" si="3"/>
        <v>1551</v>
      </c>
      <c r="F31">
        <f t="shared" si="4"/>
        <v>9</v>
      </c>
      <c r="G31" s="137">
        <f t="shared" si="5"/>
        <v>172.33333332033334</v>
      </c>
      <c r="L31" s="227">
        <f>INDEX(Starter!A:A,ROW()-1)</f>
        <v>7757</v>
      </c>
      <c r="M31">
        <f>INDEX(SchnittGes5!M:M,MATCH(L31,SchnittGes5!L:L,0))+INDEX(Schnitt6!M:M,MATCH(L31,Schnitt6!L:L,0))</f>
        <v>5859</v>
      </c>
      <c r="N31">
        <f>INDEX(SchnittGes5!N:N,MATCH(L31,SchnittGes5!L:L,0))+INDEX(Schnitt6!N:N,MATCH(L31,Schnitt6!L:L,0))</f>
        <v>36</v>
      </c>
      <c r="O31">
        <f t="shared" si="7"/>
        <v>162.74999996899999</v>
      </c>
      <c r="P31">
        <f t="shared" si="1"/>
        <v>43</v>
      </c>
    </row>
    <row r="32" spans="1:16" x14ac:dyDescent="0.35">
      <c r="A32">
        <f t="shared" si="6"/>
        <v>28</v>
      </c>
      <c r="B32">
        <f t="shared" si="2"/>
        <v>7431</v>
      </c>
      <c r="C32" t="str">
        <f>IFERROR(INDEX(Starter!B:B,MATCH(B32,Starter!A:A,0)),"")</f>
        <v>Denz, Angelika</v>
      </c>
      <c r="D32" t="str">
        <f>IFERROR(INDEX(Starter!C:C,MATCH(B32,Starter!A:A,0)),"")</f>
        <v>BF Weiß-Blau</v>
      </c>
      <c r="E32" s="102">
        <f t="shared" si="3"/>
        <v>5342</v>
      </c>
      <c r="F32">
        <f t="shared" si="4"/>
        <v>31</v>
      </c>
      <c r="G32" s="137">
        <f t="shared" si="5"/>
        <v>172.32258060116129</v>
      </c>
      <c r="L32" s="227">
        <f>INDEX(Starter!A:A,ROW()-1)</f>
        <v>38560</v>
      </c>
      <c r="M32">
        <f>INDEX(SchnittGes5!M:M,MATCH(L32,SchnittGes5!L:L,0))+INDEX(Schnitt6!M:M,MATCH(L32,Schnitt6!L:L,0))</f>
        <v>6282</v>
      </c>
      <c r="N32">
        <f>INDEX(SchnittGes5!N:N,MATCH(L32,SchnittGes5!L:L,0))+INDEX(Schnitt6!N:N,MATCH(L32,Schnitt6!L:L,0))</f>
        <v>36</v>
      </c>
      <c r="O32">
        <f t="shared" si="7"/>
        <v>174.499999968</v>
      </c>
      <c r="P32">
        <f t="shared" si="1"/>
        <v>24</v>
      </c>
    </row>
    <row r="33" spans="1:16" x14ac:dyDescent="0.35">
      <c r="A33">
        <f t="shared" si="6"/>
        <v>29</v>
      </c>
      <c r="B33">
        <f t="shared" si="2"/>
        <v>38258</v>
      </c>
      <c r="C33" t="str">
        <f>IFERROR(INDEX(Starter!B:B,MATCH(B33,Starter!A:A,0)),"")</f>
        <v>Bösl, Anna</v>
      </c>
      <c r="D33" t="str">
        <f>IFERROR(INDEX(Starter!C:C,MATCH(B33,Starter!A:A,0)),"")</f>
        <v>BC Praetoria</v>
      </c>
      <c r="E33" s="102">
        <f t="shared" si="3"/>
        <v>3963</v>
      </c>
      <c r="F33">
        <f t="shared" si="4"/>
        <v>23</v>
      </c>
      <c r="G33" s="137">
        <f t="shared" si="5"/>
        <v>172.30434782308697</v>
      </c>
      <c r="L33" s="227">
        <f>INDEX(Starter!A:A,ROW()-1)</f>
        <v>7755</v>
      </c>
      <c r="M33">
        <f>INDEX(SchnittGes5!M:M,MATCH(L33,SchnittGes5!L:L,0))+INDEX(Schnitt6!M:M,MATCH(L33,Schnitt6!L:L,0))</f>
        <v>0</v>
      </c>
      <c r="N33">
        <f>INDEX(SchnittGes5!N:N,MATCH(L33,SchnittGes5!L:L,0))+INDEX(Schnitt6!N:N,MATCH(L33,Schnitt6!L:L,0))</f>
        <v>0</v>
      </c>
      <c r="O33">
        <f t="shared" si="7"/>
        <v>0</v>
      </c>
      <c r="P33">
        <f t="shared" si="1"/>
        <v>55</v>
      </c>
    </row>
    <row r="34" spans="1:16" x14ac:dyDescent="0.35">
      <c r="A34">
        <f t="shared" si="6"/>
        <v>30</v>
      </c>
      <c r="B34">
        <f t="shared" si="2"/>
        <v>38758</v>
      </c>
      <c r="C34" t="str">
        <f>IFERROR(INDEX(Starter!B:B,MATCH(B34,Starter!A:A,0)),"")</f>
        <v>Rauscher, Julia</v>
      </c>
      <c r="D34" t="str">
        <f>IFERROR(INDEX(Starter!C:C,MATCH(B34,Starter!A:A,0)),"")</f>
        <v>BSC Highroller Rosenheim</v>
      </c>
      <c r="E34" s="102">
        <f t="shared" si="3"/>
        <v>4985</v>
      </c>
      <c r="F34">
        <f t="shared" si="4"/>
        <v>29</v>
      </c>
      <c r="G34" s="137">
        <f t="shared" si="5"/>
        <v>171.89655169713794</v>
      </c>
      <c r="L34" s="227">
        <f>INDEX(Starter!A:A,ROW()-1)</f>
        <v>7676</v>
      </c>
      <c r="M34">
        <f>INDEX(SchnittGes5!M:M,MATCH(L34,SchnittGes5!L:L,0))+INDEX(Schnitt6!M:M,MATCH(L34,Schnitt6!L:L,0))</f>
        <v>0</v>
      </c>
      <c r="N34">
        <f>INDEX(SchnittGes5!N:N,MATCH(L34,SchnittGes5!L:L,0))+INDEX(Schnitt6!N:N,MATCH(L34,Schnitt6!L:L,0))</f>
        <v>0</v>
      </c>
      <c r="O34">
        <f t="shared" si="7"/>
        <v>0</v>
      </c>
      <c r="P34">
        <f t="shared" ref="P34:P65" si="8">RANK(O34,O:O)</f>
        <v>55</v>
      </c>
    </row>
    <row r="35" spans="1:16" x14ac:dyDescent="0.35">
      <c r="A35">
        <f t="shared" si="6"/>
        <v>31</v>
      </c>
      <c r="B35">
        <f t="shared" si="2"/>
        <v>7576</v>
      </c>
      <c r="C35" t="str">
        <f>IFERROR(INDEX(Starter!B:B,MATCH(B35,Starter!A:A,0)),"")</f>
        <v>Laub, Angela</v>
      </c>
      <c r="D35" t="str">
        <f>IFERROR(INDEX(Starter!C:C,MATCH(B35,Starter!A:A,0)),"")</f>
        <v>BK München</v>
      </c>
      <c r="E35" s="102">
        <f t="shared" si="3"/>
        <v>2553</v>
      </c>
      <c r="F35">
        <f t="shared" si="4"/>
        <v>15</v>
      </c>
      <c r="G35" s="137">
        <f t="shared" si="5"/>
        <v>170.19999998099999</v>
      </c>
      <c r="L35" s="227">
        <f>INDEX(Starter!A:A,ROW()-1)</f>
        <v>16804</v>
      </c>
      <c r="M35">
        <f>INDEX(SchnittGes5!M:M,MATCH(L35,SchnittGes5!L:L,0))+INDEX(Schnitt6!M:M,MATCH(L35,Schnitt6!L:L,0))</f>
        <v>0</v>
      </c>
      <c r="N35">
        <f>INDEX(SchnittGes5!N:N,MATCH(L35,SchnittGes5!L:L,0))+INDEX(Schnitt6!N:N,MATCH(L35,Schnitt6!L:L,0))</f>
        <v>0</v>
      </c>
      <c r="O35">
        <f t="shared" si="7"/>
        <v>0</v>
      </c>
      <c r="P35">
        <f t="shared" si="8"/>
        <v>55</v>
      </c>
    </row>
    <row r="36" spans="1:16" x14ac:dyDescent="0.35">
      <c r="A36">
        <f t="shared" si="6"/>
        <v>32</v>
      </c>
      <c r="B36">
        <f t="shared" si="2"/>
        <v>38289</v>
      </c>
      <c r="C36" t="str">
        <f>IFERROR(INDEX(Starter!B:B,MATCH(B36,Starter!A:A,0)),"")</f>
        <v>Kirschke, Sandra</v>
      </c>
      <c r="D36" t="str">
        <f>IFERROR(INDEX(Starter!C:C,MATCH(B36,Starter!A:A,0)),"")</f>
        <v>BC LA Bowling</v>
      </c>
      <c r="E36" s="102">
        <f t="shared" si="3"/>
        <v>2033</v>
      </c>
      <c r="F36">
        <f t="shared" si="4"/>
        <v>12</v>
      </c>
      <c r="G36" s="137">
        <f t="shared" si="5"/>
        <v>169.41666659466665</v>
      </c>
      <c r="L36" s="227">
        <f>INDEX(Starter!A:A,ROW()-1)</f>
        <v>7978</v>
      </c>
      <c r="M36">
        <f>INDEX(SchnittGes5!M:M,MATCH(L36,SchnittGes5!L:L,0))+INDEX(Schnitt6!M:M,MATCH(L36,Schnitt6!L:L,0))</f>
        <v>0</v>
      </c>
      <c r="N36">
        <f>INDEX(SchnittGes5!N:N,MATCH(L36,SchnittGes5!L:L,0))+INDEX(Schnitt6!N:N,MATCH(L36,Schnitt6!L:L,0))</f>
        <v>0</v>
      </c>
      <c r="O36">
        <f t="shared" si="7"/>
        <v>0</v>
      </c>
      <c r="P36">
        <f t="shared" si="8"/>
        <v>55</v>
      </c>
    </row>
    <row r="37" spans="1:16" x14ac:dyDescent="0.35">
      <c r="A37">
        <f t="shared" si="6"/>
        <v>33</v>
      </c>
      <c r="B37">
        <f t="shared" ref="B37:B68" si="9">IFERROR(INDEX(L:L,MATCH(A37,P:P,0)),"")</f>
        <v>38350</v>
      </c>
      <c r="C37" t="str">
        <f>IFERROR(INDEX(Starter!B:B,MATCH(B37,Starter!A:A,0)),"")</f>
        <v>Seeger, Melanie</v>
      </c>
      <c r="D37" t="str">
        <f>IFERROR(INDEX(Starter!C:C,MATCH(B37,Starter!A:A,0)),"")</f>
        <v>BK München</v>
      </c>
      <c r="E37" s="102">
        <f t="shared" ref="E37:E68" si="10">IFERROR(INDEX(M:M,MATCH(A37,P:P,0)),"")</f>
        <v>6059</v>
      </c>
      <c r="F37">
        <f t="shared" ref="F37:F68" si="11">IFERROR(INDEX(N:N,MATCH(A37,P:P,0)),"")</f>
        <v>36</v>
      </c>
      <c r="G37" s="137">
        <f t="shared" ref="G37:G68" si="12">IFERROR(INDEX(O:O,MATCH(A37,P:P,0)),"")</f>
        <v>168.30555554455555</v>
      </c>
      <c r="L37" s="227">
        <f>INDEX(Starter!A:A,ROW()-1)</f>
        <v>16029</v>
      </c>
      <c r="M37">
        <f>INDEX(SchnittGes5!M:M,MATCH(L37,SchnittGes5!L:L,0))+INDEX(Schnitt6!M:M,MATCH(L37,Schnitt6!L:L,0))</f>
        <v>0</v>
      </c>
      <c r="N37">
        <f>INDEX(SchnittGes5!N:N,MATCH(L37,SchnittGes5!L:L,0))+INDEX(Schnitt6!N:N,MATCH(L37,Schnitt6!L:L,0))</f>
        <v>0</v>
      </c>
      <c r="O37">
        <f t="shared" si="7"/>
        <v>0</v>
      </c>
      <c r="P37">
        <f t="shared" si="8"/>
        <v>55</v>
      </c>
    </row>
    <row r="38" spans="1:16" x14ac:dyDescent="0.35">
      <c r="A38">
        <f t="shared" ref="A38:A69" si="13">IFERROR(IF(A37+1&gt;MAX(P:P)-1,"",A37+1),"")</f>
        <v>34</v>
      </c>
      <c r="B38">
        <f t="shared" si="9"/>
        <v>7787</v>
      </c>
      <c r="C38" t="str">
        <f>IFERROR(INDEX(Starter!B:B,MATCH(B38,Starter!A:A,0)),"")</f>
        <v>Kleim, Helga</v>
      </c>
      <c r="D38" t="str">
        <f>IFERROR(INDEX(Starter!C:C,MATCH(B38,Starter!A:A,0)),"")</f>
        <v>BC Phönix 03 Lauf</v>
      </c>
      <c r="E38" s="102">
        <f t="shared" si="10"/>
        <v>5207</v>
      </c>
      <c r="F38">
        <f t="shared" si="11"/>
        <v>31</v>
      </c>
      <c r="G38" s="137">
        <f t="shared" si="12"/>
        <v>167.96774188148387</v>
      </c>
      <c r="L38" s="227">
        <f>INDEX(Starter!A:A,ROW()-1)</f>
        <v>7082</v>
      </c>
      <c r="M38">
        <f>INDEX(SchnittGes5!M:M,MATCH(L38,SchnittGes5!L:L,0))+INDEX(Schnitt6!M:M,MATCH(L38,Schnitt6!L:L,0))</f>
        <v>0</v>
      </c>
      <c r="N38">
        <f>INDEX(SchnittGes5!N:N,MATCH(L38,SchnittGes5!L:L,0))+INDEX(Schnitt6!N:N,MATCH(L38,Schnitt6!L:L,0))</f>
        <v>0</v>
      </c>
      <c r="O38">
        <f t="shared" si="7"/>
        <v>0</v>
      </c>
      <c r="P38">
        <f t="shared" si="8"/>
        <v>55</v>
      </c>
    </row>
    <row r="39" spans="1:16" x14ac:dyDescent="0.35">
      <c r="A39">
        <f t="shared" si="13"/>
        <v>35</v>
      </c>
      <c r="B39">
        <f t="shared" si="9"/>
        <v>38607</v>
      </c>
      <c r="C39" t="str">
        <f>IFERROR(INDEX(Starter!B:B,MATCH(B39,Starter!A:A,0)),"")</f>
        <v>Jenke, Sandra</v>
      </c>
      <c r="D39" t="str">
        <f>IFERROR(INDEX(Starter!C:C,MATCH(B39,Starter!A:A,0)),"")</f>
        <v>BC Phönix 03 Lauf</v>
      </c>
      <c r="E39" s="102">
        <f t="shared" si="10"/>
        <v>670</v>
      </c>
      <c r="F39">
        <f t="shared" si="11"/>
        <v>4</v>
      </c>
      <c r="G39" s="137">
        <f t="shared" si="12"/>
        <v>167.49999992599999</v>
      </c>
      <c r="L39" s="227">
        <f>INDEX(Starter!A:A,ROW()-1)</f>
        <v>16700</v>
      </c>
      <c r="M39">
        <f>INDEX(SchnittGes5!M:M,MATCH(L39,SchnittGes5!L:L,0))+INDEX(Schnitt6!M:M,MATCH(L39,Schnitt6!L:L,0))</f>
        <v>0</v>
      </c>
      <c r="N39">
        <f>INDEX(SchnittGes5!N:N,MATCH(L39,SchnittGes5!L:L,0))+INDEX(Schnitt6!N:N,MATCH(L39,Schnitt6!L:L,0))</f>
        <v>0</v>
      </c>
      <c r="O39">
        <f t="shared" si="7"/>
        <v>0</v>
      </c>
      <c r="P39">
        <f t="shared" si="8"/>
        <v>55</v>
      </c>
    </row>
    <row r="40" spans="1:16" x14ac:dyDescent="0.35">
      <c r="A40">
        <f t="shared" si="13"/>
        <v>36</v>
      </c>
      <c r="B40">
        <f t="shared" si="9"/>
        <v>38513</v>
      </c>
      <c r="C40" t="str">
        <f>IFERROR(INDEX(Starter!B:B,MATCH(B40,Starter!A:A,0)),"")</f>
        <v>Thöne, Melanie</v>
      </c>
      <c r="D40" t="str">
        <f>IFERROR(INDEX(Starter!C:C,MATCH(B40,Starter!A:A,0)),"")</f>
        <v>BF Rot-Weiß Lichtenhof 69</v>
      </c>
      <c r="E40" s="102">
        <f t="shared" si="10"/>
        <v>5352</v>
      </c>
      <c r="F40">
        <f t="shared" si="11"/>
        <v>32</v>
      </c>
      <c r="G40" s="137">
        <f t="shared" si="12"/>
        <v>167.249999941</v>
      </c>
      <c r="L40" s="227">
        <f>INDEX(Starter!A:A,ROW()-1)</f>
        <v>38737</v>
      </c>
      <c r="M40">
        <f>INDEX(SchnittGes5!M:M,MATCH(L40,SchnittGes5!L:L,0))+INDEX(Schnitt6!M:M,MATCH(L40,Schnitt6!L:L,0))</f>
        <v>0</v>
      </c>
      <c r="N40">
        <f>INDEX(SchnittGes5!N:N,MATCH(L40,SchnittGes5!L:L,0))+INDEX(Schnitt6!N:N,MATCH(L40,Schnitt6!L:L,0))</f>
        <v>0</v>
      </c>
      <c r="O40">
        <f t="shared" si="7"/>
        <v>0</v>
      </c>
      <c r="P40">
        <f t="shared" si="8"/>
        <v>55</v>
      </c>
    </row>
    <row r="41" spans="1:16" x14ac:dyDescent="0.35">
      <c r="A41">
        <f t="shared" si="13"/>
        <v>37</v>
      </c>
      <c r="B41">
        <f t="shared" si="9"/>
        <v>7758</v>
      </c>
      <c r="C41" t="str">
        <f>IFERROR(INDEX(Starter!B:B,MATCH(B41,Starter!A:A,0)),"")</f>
        <v>Deinlein, Christine</v>
      </c>
      <c r="D41" t="str">
        <f>IFERROR(INDEX(Starter!C:C,MATCH(B41,Starter!A:A,0)),"")</f>
        <v>BC Frankenpower</v>
      </c>
      <c r="E41" s="102">
        <f t="shared" si="10"/>
        <v>6019</v>
      </c>
      <c r="F41">
        <f t="shared" si="11"/>
        <v>36</v>
      </c>
      <c r="G41" s="137">
        <f t="shared" si="12"/>
        <v>167.19444441444446</v>
      </c>
      <c r="L41" s="227">
        <f>INDEX(Starter!A:A,ROW()-1)</f>
        <v>7752</v>
      </c>
      <c r="M41">
        <f>INDEX(SchnittGes5!M:M,MATCH(L41,SchnittGes5!L:L,0))+INDEX(Schnitt6!M:M,MATCH(L41,Schnitt6!L:L,0))</f>
        <v>1288</v>
      </c>
      <c r="N41">
        <f>INDEX(SchnittGes5!N:N,MATCH(L41,SchnittGes5!L:L,0))+INDEX(Schnitt6!N:N,MATCH(L41,Schnitt6!L:L,0))</f>
        <v>7</v>
      </c>
      <c r="O41">
        <f t="shared" si="7"/>
        <v>183.99999995900001</v>
      </c>
      <c r="P41">
        <f t="shared" si="8"/>
        <v>8</v>
      </c>
    </row>
    <row r="42" spans="1:16" x14ac:dyDescent="0.35">
      <c r="A42">
        <f t="shared" si="13"/>
        <v>38</v>
      </c>
      <c r="B42">
        <f t="shared" si="9"/>
        <v>7903</v>
      </c>
      <c r="C42" t="str">
        <f>IFERROR(INDEX(Starter!B:B,MATCH(B42,Starter!A:A,0)),"")</f>
        <v>Spieler, Regina</v>
      </c>
      <c r="D42" t="str">
        <f>IFERROR(INDEX(Starter!C:C,MATCH(B42,Starter!A:A,0)),"")</f>
        <v>BC Praetoria</v>
      </c>
      <c r="E42" s="102">
        <f t="shared" si="10"/>
        <v>2338</v>
      </c>
      <c r="F42">
        <f t="shared" si="11"/>
        <v>14</v>
      </c>
      <c r="G42" s="137">
        <f t="shared" si="12"/>
        <v>166.999999995</v>
      </c>
      <c r="L42" s="227">
        <f>INDEX(Starter!A:A,ROW()-1)</f>
        <v>25397</v>
      </c>
      <c r="M42">
        <f>INDEX(SchnittGes5!M:M,MATCH(L42,SchnittGes5!L:L,0))+INDEX(Schnitt6!M:M,MATCH(L42,Schnitt6!L:L,0))</f>
        <v>3033</v>
      </c>
      <c r="N42">
        <f>INDEX(SchnittGes5!N:N,MATCH(L42,SchnittGes5!L:L,0))+INDEX(Schnitt6!N:N,MATCH(L42,Schnitt6!L:L,0))</f>
        <v>19</v>
      </c>
      <c r="O42">
        <f t="shared" si="7"/>
        <v>159.6315789053684</v>
      </c>
      <c r="P42">
        <f t="shared" si="8"/>
        <v>50</v>
      </c>
    </row>
    <row r="43" spans="1:16" x14ac:dyDescent="0.35">
      <c r="A43">
        <f t="shared" si="13"/>
        <v>39</v>
      </c>
      <c r="B43">
        <f t="shared" si="9"/>
        <v>16414</v>
      </c>
      <c r="C43" t="str">
        <f>IFERROR(INDEX(Starter!B:B,MATCH(B43,Starter!A:A,0)),"")</f>
        <v>Dornacher, Hannelore</v>
      </c>
      <c r="D43" t="str">
        <f>IFERROR(INDEX(Starter!C:C,MATCH(B43,Starter!A:A,0)),"")</f>
        <v>BF Weiß-Blau</v>
      </c>
      <c r="E43" s="102">
        <f t="shared" si="10"/>
        <v>5145</v>
      </c>
      <c r="F43">
        <f t="shared" si="11"/>
        <v>31</v>
      </c>
      <c r="G43" s="137">
        <f t="shared" si="12"/>
        <v>165.96774188948388</v>
      </c>
      <c r="L43" s="227">
        <f>INDEX(Starter!A:A,ROW()-1)</f>
        <v>38061</v>
      </c>
      <c r="M43">
        <f>INDEX(SchnittGes5!M:M,MATCH(L43,SchnittGes5!L:L,0))+INDEX(Schnitt6!M:M,MATCH(L43,Schnitt6!L:L,0))</f>
        <v>0</v>
      </c>
      <c r="N43">
        <f>INDEX(SchnittGes5!N:N,MATCH(L43,SchnittGes5!L:L,0))+INDEX(Schnitt6!N:N,MATCH(L43,Schnitt6!L:L,0))</f>
        <v>0</v>
      </c>
      <c r="O43">
        <f t="shared" si="7"/>
        <v>0</v>
      </c>
      <c r="P43">
        <f t="shared" si="8"/>
        <v>55</v>
      </c>
    </row>
    <row r="44" spans="1:16" x14ac:dyDescent="0.35">
      <c r="A44">
        <f t="shared" si="13"/>
        <v>40</v>
      </c>
      <c r="B44">
        <f t="shared" si="9"/>
        <v>38210</v>
      </c>
      <c r="C44" t="str">
        <f>IFERROR(INDEX(Starter!B:B,MATCH(B44,Starter!A:A,0)),"")</f>
        <v>Kulzer, Katharina</v>
      </c>
      <c r="D44" t="str">
        <f>IFERROR(INDEX(Starter!C:C,MATCH(B44,Starter!A:A,0)),"")</f>
        <v>BC Phönix 03 Lauf</v>
      </c>
      <c r="E44" s="102">
        <f t="shared" si="10"/>
        <v>3976</v>
      </c>
      <c r="F44">
        <f t="shared" si="11"/>
        <v>24</v>
      </c>
      <c r="G44" s="137">
        <f t="shared" si="12"/>
        <v>165.66666659966666</v>
      </c>
      <c r="L44" s="227">
        <f>INDEX(Starter!A:A,ROW()-1)</f>
        <v>7431</v>
      </c>
      <c r="M44">
        <f>INDEX(SchnittGes5!M:M,MATCH(L44,SchnittGes5!L:L,0))+INDEX(Schnitt6!M:M,MATCH(L44,Schnitt6!L:L,0))</f>
        <v>5342</v>
      </c>
      <c r="N44">
        <f>INDEX(SchnittGes5!N:N,MATCH(L44,SchnittGes5!L:L,0))+INDEX(Schnitt6!N:N,MATCH(L44,Schnitt6!L:L,0))</f>
        <v>31</v>
      </c>
      <c r="O44">
        <f t="shared" si="7"/>
        <v>172.32258060116129</v>
      </c>
      <c r="P44">
        <f t="shared" si="8"/>
        <v>28</v>
      </c>
    </row>
    <row r="45" spans="1:16" x14ac:dyDescent="0.35">
      <c r="A45">
        <f t="shared" si="13"/>
        <v>41</v>
      </c>
      <c r="B45">
        <f t="shared" si="9"/>
        <v>21185</v>
      </c>
      <c r="C45" t="str">
        <f>IFERROR(INDEX(Starter!B:B,MATCH(B45,Starter!A:A,0)),"")</f>
        <v>Richter, Petra</v>
      </c>
      <c r="D45" t="str">
        <f>IFERROR(INDEX(Starter!C:C,MATCH(B45,Starter!A:A,0)),"")</f>
        <v>BF Weiß-Blau</v>
      </c>
      <c r="E45" s="102">
        <f t="shared" si="10"/>
        <v>4120</v>
      </c>
      <c r="F45">
        <f t="shared" si="11"/>
        <v>25</v>
      </c>
      <c r="G45" s="137">
        <f t="shared" si="12"/>
        <v>164.79999994900001</v>
      </c>
      <c r="L45" s="227">
        <f>INDEX(Starter!A:A,ROW()-1)</f>
        <v>7087</v>
      </c>
      <c r="M45">
        <f>INDEX(SchnittGes5!M:M,MATCH(L45,SchnittGes5!L:L,0))+INDEX(Schnitt6!M:M,MATCH(L45,Schnitt6!L:L,0))</f>
        <v>6120</v>
      </c>
      <c r="N45">
        <f>INDEX(SchnittGes5!N:N,MATCH(L45,SchnittGes5!L:L,0))+INDEX(Schnitt6!N:N,MATCH(L45,Schnitt6!L:L,0))</f>
        <v>35</v>
      </c>
      <c r="O45">
        <f t="shared" si="7"/>
        <v>174.85714281214285</v>
      </c>
      <c r="P45">
        <f t="shared" si="8"/>
        <v>23</v>
      </c>
    </row>
    <row r="46" spans="1:16" x14ac:dyDescent="0.35">
      <c r="A46">
        <f t="shared" si="13"/>
        <v>42</v>
      </c>
      <c r="B46">
        <f t="shared" si="9"/>
        <v>38222</v>
      </c>
      <c r="C46" t="str">
        <f>IFERROR(INDEX(Starter!B:B,MATCH(B46,Starter!A:A,0)),"")</f>
        <v>Helmbrecht, Carolin</v>
      </c>
      <c r="D46" t="str">
        <f>IFERROR(INDEX(Starter!C:C,MATCH(B46,Starter!A:A,0)),"")</f>
        <v>BK München</v>
      </c>
      <c r="E46" s="102">
        <f t="shared" si="10"/>
        <v>1479</v>
      </c>
      <c r="F46">
        <f t="shared" si="11"/>
        <v>9</v>
      </c>
      <c r="G46" s="137">
        <f t="shared" si="12"/>
        <v>164.33333332533334</v>
      </c>
      <c r="L46" s="227">
        <f>INDEX(Starter!A:A,ROW()-1)</f>
        <v>16414</v>
      </c>
      <c r="M46">
        <f>INDEX(SchnittGes5!M:M,MATCH(L46,SchnittGes5!L:L,0))+INDEX(Schnitt6!M:M,MATCH(L46,Schnitt6!L:L,0))</f>
        <v>5145</v>
      </c>
      <c r="N46">
        <f>INDEX(SchnittGes5!N:N,MATCH(L46,SchnittGes5!L:L,0))+INDEX(Schnitt6!N:N,MATCH(L46,Schnitt6!L:L,0))</f>
        <v>31</v>
      </c>
      <c r="O46">
        <f t="shared" si="7"/>
        <v>165.96774188948388</v>
      </c>
      <c r="P46">
        <f t="shared" si="8"/>
        <v>39</v>
      </c>
    </row>
    <row r="47" spans="1:16" x14ac:dyDescent="0.35">
      <c r="A47">
        <f t="shared" si="13"/>
        <v>43</v>
      </c>
      <c r="B47">
        <f t="shared" si="9"/>
        <v>7757</v>
      </c>
      <c r="C47" t="str">
        <f>IFERROR(INDEX(Starter!B:B,MATCH(B47,Starter!A:A,0)),"")</f>
        <v>Legl, Renate</v>
      </c>
      <c r="D47" t="str">
        <f>IFERROR(INDEX(Starter!C:C,MATCH(B47,Starter!A:A,0)),"")</f>
        <v>BC Frankenpower</v>
      </c>
      <c r="E47" s="102">
        <f t="shared" si="10"/>
        <v>5859</v>
      </c>
      <c r="F47">
        <f t="shared" si="11"/>
        <v>36</v>
      </c>
      <c r="G47" s="137">
        <f t="shared" si="12"/>
        <v>162.74999996899999</v>
      </c>
      <c r="L47" s="227">
        <f>INDEX(Starter!A:A,ROW()-1)</f>
        <v>16713</v>
      </c>
      <c r="M47">
        <f>INDEX(SchnittGes5!M:M,MATCH(L47,SchnittGes5!L:L,0))+INDEX(Schnitt6!M:M,MATCH(L47,Schnitt6!L:L,0))</f>
        <v>0</v>
      </c>
      <c r="N47">
        <f>INDEX(SchnittGes5!N:N,MATCH(L47,SchnittGes5!L:L,0))+INDEX(Schnitt6!N:N,MATCH(L47,Schnitt6!L:L,0))</f>
        <v>0</v>
      </c>
      <c r="O47">
        <f t="shared" si="7"/>
        <v>0</v>
      </c>
      <c r="P47">
        <f t="shared" si="8"/>
        <v>55</v>
      </c>
    </row>
    <row r="48" spans="1:16" x14ac:dyDescent="0.35">
      <c r="A48">
        <f t="shared" si="13"/>
        <v>44</v>
      </c>
      <c r="B48">
        <f t="shared" si="9"/>
        <v>7972</v>
      </c>
      <c r="C48" t="str">
        <f>IFERROR(INDEX(Starter!B:B,MATCH(B48,Starter!A:A,0)),"")</f>
        <v>Hödl, Renate</v>
      </c>
      <c r="D48" t="str">
        <f>IFERROR(INDEX(Starter!C:C,MATCH(B48,Starter!A:A,0)),"")</f>
        <v>BF Rot-Weiß Lichtenhof 69</v>
      </c>
      <c r="E48" s="102">
        <f t="shared" si="10"/>
        <v>4705</v>
      </c>
      <c r="F48">
        <f t="shared" si="11"/>
        <v>29</v>
      </c>
      <c r="G48" s="137">
        <f t="shared" si="12"/>
        <v>162.24137925034483</v>
      </c>
      <c r="L48" s="227">
        <f>INDEX(Starter!A:A,ROW()-1)</f>
        <v>7541</v>
      </c>
      <c r="M48">
        <f>INDEX(SchnittGes5!M:M,MATCH(L48,SchnittGes5!L:L,0))+INDEX(Schnitt6!M:M,MATCH(L48,Schnitt6!L:L,0))</f>
        <v>0</v>
      </c>
      <c r="N48">
        <f>INDEX(SchnittGes5!N:N,MATCH(L48,SchnittGes5!L:L,0))+INDEX(Schnitt6!N:N,MATCH(L48,Schnitt6!L:L,0))</f>
        <v>0</v>
      </c>
      <c r="O48">
        <f t="shared" si="7"/>
        <v>0</v>
      </c>
      <c r="P48">
        <f t="shared" si="8"/>
        <v>55</v>
      </c>
    </row>
    <row r="49" spans="1:16" x14ac:dyDescent="0.35">
      <c r="A49">
        <f t="shared" si="13"/>
        <v>45</v>
      </c>
      <c r="B49">
        <f t="shared" si="9"/>
        <v>7061</v>
      </c>
      <c r="C49" t="str">
        <f>IFERROR(INDEX(Starter!B:B,MATCH(B49,Starter!A:A,0)),"")</f>
        <v>Waigel, Petra</v>
      </c>
      <c r="D49" t="str">
        <f>IFERROR(INDEX(Starter!C:C,MATCH(B49,Starter!A:A,0)),"")</f>
        <v>BK München</v>
      </c>
      <c r="E49" s="102">
        <f t="shared" si="10"/>
        <v>1454</v>
      </c>
      <c r="F49">
        <f t="shared" si="11"/>
        <v>9</v>
      </c>
      <c r="G49" s="137">
        <f t="shared" si="12"/>
        <v>161.55555554155555</v>
      </c>
      <c r="L49" s="227">
        <f>INDEX(Starter!A:A,ROW()-1)</f>
        <v>7546</v>
      </c>
      <c r="M49">
        <f>INDEX(SchnittGes5!M:M,MATCH(L49,SchnittGes5!L:L,0))+INDEX(Schnitt6!M:M,MATCH(L49,Schnitt6!L:L,0))</f>
        <v>1018</v>
      </c>
      <c r="N49">
        <f>INDEX(SchnittGes5!N:N,MATCH(L49,SchnittGes5!L:L,0))+INDEX(Schnitt6!N:N,MATCH(L49,Schnitt6!L:L,0))</f>
        <v>7</v>
      </c>
      <c r="O49">
        <f t="shared" si="7"/>
        <v>145.42857137957142</v>
      </c>
      <c r="P49">
        <f t="shared" si="8"/>
        <v>54</v>
      </c>
    </row>
    <row r="50" spans="1:16" x14ac:dyDescent="0.35">
      <c r="A50">
        <f t="shared" si="13"/>
        <v>46</v>
      </c>
      <c r="B50">
        <f t="shared" si="9"/>
        <v>16879</v>
      </c>
      <c r="C50" t="str">
        <f>IFERROR(INDEX(Starter!B:B,MATCH(B50,Starter!A:A,0)),"")</f>
        <v>Danzer, Andrea</v>
      </c>
      <c r="D50" t="str">
        <f>IFERROR(INDEX(Starter!C:C,MATCH(B50,Starter!A:A,0)),"")</f>
        <v>BK München</v>
      </c>
      <c r="E50" s="102">
        <f t="shared" si="10"/>
        <v>3059</v>
      </c>
      <c r="F50">
        <f t="shared" si="11"/>
        <v>19</v>
      </c>
      <c r="G50" s="137">
        <f t="shared" si="12"/>
        <v>160.99999997899999</v>
      </c>
      <c r="L50" s="227">
        <f>INDEX(Starter!A:A,ROW()-1)</f>
        <v>16953</v>
      </c>
      <c r="M50">
        <f>INDEX(SchnittGes5!M:M,MATCH(L50,SchnittGes5!L:L,0))+INDEX(Schnitt6!M:M,MATCH(L50,Schnitt6!L:L,0))</f>
        <v>0</v>
      </c>
      <c r="N50">
        <f>INDEX(SchnittGes5!N:N,MATCH(L50,SchnittGes5!L:L,0))+INDEX(Schnitt6!N:N,MATCH(L50,Schnitt6!L:L,0))</f>
        <v>0</v>
      </c>
      <c r="O50">
        <f t="shared" si="7"/>
        <v>0</v>
      </c>
      <c r="P50">
        <f t="shared" si="8"/>
        <v>55</v>
      </c>
    </row>
    <row r="51" spans="1:16" x14ac:dyDescent="0.35">
      <c r="A51">
        <f t="shared" si="13"/>
        <v>47</v>
      </c>
      <c r="B51">
        <f t="shared" si="9"/>
        <v>25347</v>
      </c>
      <c r="C51" t="str">
        <f>IFERROR(INDEX(Starter!B:B,MATCH(B51,Starter!A:A,0)),"")</f>
        <v>Schulz-Burkert, Roswitha</v>
      </c>
      <c r="D51" t="str">
        <f>IFERROR(INDEX(Starter!C:C,MATCH(B51,Starter!A:A,0)),"")</f>
        <v>BC Phönix 03 Lauf</v>
      </c>
      <c r="E51" s="102">
        <f t="shared" si="10"/>
        <v>1125</v>
      </c>
      <c r="F51">
        <f t="shared" si="11"/>
        <v>7</v>
      </c>
      <c r="G51" s="137">
        <f t="shared" si="12"/>
        <v>160.71428564128573</v>
      </c>
      <c r="L51" s="227">
        <f>INDEX(Starter!A:A,ROW()-1)</f>
        <v>21185</v>
      </c>
      <c r="M51">
        <f>INDEX(SchnittGes5!M:M,MATCH(L51,SchnittGes5!L:L,0))+INDEX(Schnitt6!M:M,MATCH(L51,Schnitt6!L:L,0))</f>
        <v>4120</v>
      </c>
      <c r="N51">
        <f>INDEX(SchnittGes5!N:N,MATCH(L51,SchnittGes5!L:L,0))+INDEX(Schnitt6!N:N,MATCH(L51,Schnitt6!L:L,0))</f>
        <v>25</v>
      </c>
      <c r="O51">
        <f t="shared" si="7"/>
        <v>164.79999994900001</v>
      </c>
      <c r="P51">
        <f t="shared" si="8"/>
        <v>41</v>
      </c>
    </row>
    <row r="52" spans="1:16" x14ac:dyDescent="0.35">
      <c r="A52">
        <f t="shared" si="13"/>
        <v>48</v>
      </c>
      <c r="B52">
        <f t="shared" si="9"/>
        <v>12850</v>
      </c>
      <c r="C52" t="str">
        <f>IFERROR(INDEX(Starter!B:B,MATCH(B52,Starter!A:A,0)),"")</f>
        <v>Müller, Angelika</v>
      </c>
      <c r="D52" t="str">
        <f>IFERROR(INDEX(Starter!C:C,MATCH(B52,Starter!A:A,0)),"")</f>
        <v>BK München</v>
      </c>
      <c r="E52" s="102">
        <f t="shared" si="10"/>
        <v>4009</v>
      </c>
      <c r="F52">
        <f t="shared" si="11"/>
        <v>25</v>
      </c>
      <c r="G52" s="137">
        <f t="shared" si="12"/>
        <v>160.35999998000003</v>
      </c>
      <c r="L52" s="227">
        <f>INDEX(Starter!A:A,ROW()-1)</f>
        <v>7551</v>
      </c>
      <c r="M52">
        <f>INDEX(SchnittGes5!M:M,MATCH(L52,SchnittGes5!L:L,0))+INDEX(Schnitt6!M:M,MATCH(L52,Schnitt6!L:L,0))</f>
        <v>2353</v>
      </c>
      <c r="N52">
        <f>INDEX(SchnittGes5!N:N,MATCH(L52,SchnittGes5!L:L,0))+INDEX(Schnitt6!N:N,MATCH(L52,Schnitt6!L:L,0))</f>
        <v>15</v>
      </c>
      <c r="O52">
        <f t="shared" si="7"/>
        <v>156.86666661466668</v>
      </c>
      <c r="P52">
        <f t="shared" si="8"/>
        <v>53</v>
      </c>
    </row>
    <row r="53" spans="1:16" x14ac:dyDescent="0.35">
      <c r="A53">
        <f t="shared" si="13"/>
        <v>49</v>
      </c>
      <c r="B53">
        <f t="shared" si="9"/>
        <v>25551</v>
      </c>
      <c r="C53" t="str">
        <f>IFERROR(INDEX(Starter!B:B,MATCH(B53,Starter!A:A,0)),"")</f>
        <v>Wahl, Alexandra</v>
      </c>
      <c r="D53" t="str">
        <f>IFERROR(INDEX(Starter!C:C,MATCH(B53,Starter!A:A,0)),"")</f>
        <v>BF Rot-Weiß Lichtenhof 69</v>
      </c>
      <c r="E53" s="102">
        <f t="shared" si="10"/>
        <v>5449</v>
      </c>
      <c r="F53">
        <f t="shared" si="11"/>
        <v>34</v>
      </c>
      <c r="G53" s="137">
        <f t="shared" si="12"/>
        <v>160.26470582535293</v>
      </c>
      <c r="L53" s="227">
        <f>INDEX(Starter!A:A,ROW()-1)</f>
        <v>16900</v>
      </c>
      <c r="M53">
        <f>INDEX(SchnittGes5!M:M,MATCH(L53,SchnittGes5!L:L,0))+INDEX(Schnitt6!M:M,MATCH(L53,Schnitt6!L:L,0))</f>
        <v>1263</v>
      </c>
      <c r="N53">
        <f>INDEX(SchnittGes5!N:N,MATCH(L53,SchnittGes5!L:L,0))+INDEX(Schnitt6!N:N,MATCH(L53,Schnitt6!L:L,0))</f>
        <v>8</v>
      </c>
      <c r="O53">
        <f t="shared" si="7"/>
        <v>157.87499994699999</v>
      </c>
      <c r="P53">
        <f t="shared" si="8"/>
        <v>52</v>
      </c>
    </row>
    <row r="54" spans="1:16" x14ac:dyDescent="0.35">
      <c r="A54">
        <f t="shared" si="13"/>
        <v>50</v>
      </c>
      <c r="B54">
        <f t="shared" si="9"/>
        <v>25397</v>
      </c>
      <c r="C54" t="str">
        <f>IFERROR(INDEX(Starter!B:B,MATCH(B54,Starter!A:A,0)),"")</f>
        <v>Weninger, Diana</v>
      </c>
      <c r="D54" t="str">
        <f>IFERROR(INDEX(Starter!C:C,MATCH(B54,Starter!A:A,0)),"")</f>
        <v>BC E.P.A. München</v>
      </c>
      <c r="E54" s="102">
        <f t="shared" si="10"/>
        <v>3033</v>
      </c>
      <c r="F54">
        <f t="shared" si="11"/>
        <v>19</v>
      </c>
      <c r="G54" s="137">
        <f t="shared" si="12"/>
        <v>159.6315789053684</v>
      </c>
      <c r="L54" s="227">
        <f>INDEX(Starter!A:A,ROW()-1)</f>
        <v>7787</v>
      </c>
      <c r="M54">
        <f>INDEX(SchnittGes5!M:M,MATCH(L54,SchnittGes5!L:L,0))+INDEX(Schnitt6!M:M,MATCH(L54,Schnitt6!L:L,0))</f>
        <v>5207</v>
      </c>
      <c r="N54">
        <f>INDEX(SchnittGes5!N:N,MATCH(L54,SchnittGes5!L:L,0))+INDEX(Schnitt6!N:N,MATCH(L54,Schnitt6!L:L,0))</f>
        <v>31</v>
      </c>
      <c r="O54">
        <f t="shared" si="7"/>
        <v>167.96774188148387</v>
      </c>
      <c r="P54">
        <f t="shared" si="8"/>
        <v>34</v>
      </c>
    </row>
    <row r="55" spans="1:16" x14ac:dyDescent="0.35">
      <c r="A55">
        <f t="shared" si="13"/>
        <v>51</v>
      </c>
      <c r="B55">
        <f t="shared" si="9"/>
        <v>7991</v>
      </c>
      <c r="C55" t="str">
        <f>IFERROR(INDEX(Starter!B:B,MATCH(B55,Starter!A:A,0)),"")</f>
        <v>Strahl, Pakwipa</v>
      </c>
      <c r="D55" t="str">
        <f>IFERROR(INDEX(Starter!C:C,MATCH(B55,Starter!A:A,0)),"")</f>
        <v>BK München</v>
      </c>
      <c r="E55" s="102">
        <f t="shared" si="10"/>
        <v>792</v>
      </c>
      <c r="F55">
        <f t="shared" si="11"/>
        <v>5</v>
      </c>
      <c r="G55" s="137">
        <f t="shared" si="12"/>
        <v>158.39999997800001</v>
      </c>
      <c r="L55" s="227">
        <f>INDEX(Starter!A:A,ROW()-1)</f>
        <v>7786</v>
      </c>
      <c r="M55">
        <f>INDEX(SchnittGes5!M:M,MATCH(L55,SchnittGes5!L:L,0))+INDEX(Schnitt6!M:M,MATCH(L55,Schnitt6!L:L,0))</f>
        <v>6006</v>
      </c>
      <c r="N55">
        <f>INDEX(SchnittGes5!N:N,MATCH(L55,SchnittGes5!L:L,0))+INDEX(Schnitt6!N:N,MATCH(L55,Schnitt6!L:L,0))</f>
        <v>34</v>
      </c>
      <c r="O55">
        <f t="shared" si="7"/>
        <v>176.64705876852943</v>
      </c>
      <c r="P55">
        <f t="shared" si="8"/>
        <v>21</v>
      </c>
    </row>
    <row r="56" spans="1:16" x14ac:dyDescent="0.35">
      <c r="A56">
        <f t="shared" si="13"/>
        <v>52</v>
      </c>
      <c r="B56">
        <f t="shared" si="9"/>
        <v>16900</v>
      </c>
      <c r="C56" t="str">
        <f>IFERROR(INDEX(Starter!B:B,MATCH(B56,Starter!A:A,0)),"")</f>
        <v>Grom-Ruffershöfer, Ilse</v>
      </c>
      <c r="D56" t="str">
        <f>IFERROR(INDEX(Starter!C:C,MATCH(B56,Starter!A:A,0)),"")</f>
        <v>BC Phönix 03 Lauf</v>
      </c>
      <c r="E56" s="102">
        <f t="shared" si="10"/>
        <v>1263</v>
      </c>
      <c r="F56">
        <f t="shared" si="11"/>
        <v>8</v>
      </c>
      <c r="G56" s="137">
        <f t="shared" si="12"/>
        <v>157.87499994699999</v>
      </c>
      <c r="L56" s="227">
        <f>INDEX(Starter!A:A,ROW()-1)</f>
        <v>7801</v>
      </c>
      <c r="M56">
        <f>INDEX(SchnittGes5!M:M,MATCH(L56,SchnittGes5!L:L,0))+INDEX(Schnitt6!M:M,MATCH(L56,Schnitt6!L:L,0))</f>
        <v>6839</v>
      </c>
      <c r="N56">
        <f>INDEX(SchnittGes5!N:N,MATCH(L56,SchnittGes5!L:L,0))+INDEX(Schnitt6!N:N,MATCH(L56,Schnitt6!L:L,0))</f>
        <v>36</v>
      </c>
      <c r="O56">
        <f t="shared" si="7"/>
        <v>189.97222216622222</v>
      </c>
      <c r="P56">
        <f t="shared" si="8"/>
        <v>2</v>
      </c>
    </row>
    <row r="57" spans="1:16" x14ac:dyDescent="0.35">
      <c r="A57">
        <f t="shared" si="13"/>
        <v>53</v>
      </c>
      <c r="B57">
        <f t="shared" si="9"/>
        <v>7551</v>
      </c>
      <c r="C57" t="str">
        <f>IFERROR(INDEX(Starter!B:B,MATCH(B57,Starter!A:A,0)),"")</f>
        <v>Zehner, Gabriele</v>
      </c>
      <c r="D57" t="str">
        <f>IFERROR(INDEX(Starter!C:C,MATCH(B57,Starter!A:A,0)),"")</f>
        <v>BF Weiß-Blau</v>
      </c>
      <c r="E57" s="102">
        <f t="shared" si="10"/>
        <v>2353</v>
      </c>
      <c r="F57">
        <f t="shared" si="11"/>
        <v>15</v>
      </c>
      <c r="G57" s="137">
        <f t="shared" si="12"/>
        <v>156.86666661466668</v>
      </c>
      <c r="L57" s="227">
        <f>INDEX(Starter!A:A,ROW()-1)</f>
        <v>25551</v>
      </c>
      <c r="M57">
        <f>INDEX(SchnittGes5!M:M,MATCH(L57,SchnittGes5!L:L,0))+INDEX(Schnitt6!M:M,MATCH(L57,Schnitt6!L:L,0))</f>
        <v>5449</v>
      </c>
      <c r="N57">
        <f>INDEX(SchnittGes5!N:N,MATCH(L57,SchnittGes5!L:L,0))+INDEX(Schnitt6!N:N,MATCH(L57,Schnitt6!L:L,0))</f>
        <v>34</v>
      </c>
      <c r="O57">
        <f t="shared" si="7"/>
        <v>160.26470582535293</v>
      </c>
      <c r="P57">
        <f t="shared" si="8"/>
        <v>49</v>
      </c>
    </row>
    <row r="58" spans="1:16" x14ac:dyDescent="0.35">
      <c r="A58">
        <f t="shared" si="13"/>
        <v>54</v>
      </c>
      <c r="B58">
        <f t="shared" si="9"/>
        <v>7546</v>
      </c>
      <c r="C58" t="str">
        <f>IFERROR(INDEX(Starter!B:B,MATCH(B58,Starter!A:A,0)),"")</f>
        <v>Mc Fadden, Brigitte</v>
      </c>
      <c r="D58" t="str">
        <f>IFERROR(INDEX(Starter!C:C,MATCH(B58,Starter!A:A,0)),"")</f>
        <v>BF Weiß-Blau</v>
      </c>
      <c r="E58" s="102">
        <f t="shared" si="10"/>
        <v>1018</v>
      </c>
      <c r="F58">
        <f t="shared" si="11"/>
        <v>7</v>
      </c>
      <c r="G58" s="137">
        <f t="shared" si="12"/>
        <v>145.42857137957142</v>
      </c>
      <c r="L58" s="227">
        <f>INDEX(Starter!A:A,ROW()-1)</f>
        <v>25982</v>
      </c>
      <c r="M58">
        <f>INDEX(SchnittGes5!M:M,MATCH(L58,SchnittGes5!L:L,0))+INDEX(Schnitt6!M:M,MATCH(L58,Schnitt6!L:L,0))</f>
        <v>2246</v>
      </c>
      <c r="N58">
        <f>INDEX(SchnittGes5!N:N,MATCH(L58,SchnittGes5!L:L,0))+INDEX(Schnitt6!N:N,MATCH(L58,Schnitt6!L:L,0))</f>
        <v>13</v>
      </c>
      <c r="O58">
        <f t="shared" si="7"/>
        <v>172.76923071123076</v>
      </c>
      <c r="P58">
        <f t="shared" si="8"/>
        <v>25</v>
      </c>
    </row>
    <row r="59" spans="1:16" x14ac:dyDescent="0.35">
      <c r="A59" t="str">
        <f t="shared" si="13"/>
        <v/>
      </c>
      <c r="B59" t="str">
        <f t="shared" si="9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10"/>
        <v/>
      </c>
      <c r="F59" t="str">
        <f t="shared" si="11"/>
        <v/>
      </c>
      <c r="G59" s="137" t="str">
        <f t="shared" si="12"/>
        <v/>
      </c>
      <c r="L59" s="227">
        <f>INDEX(Starter!A:A,ROW()-1)</f>
        <v>38513</v>
      </c>
      <c r="M59">
        <f>INDEX(SchnittGes5!M:M,MATCH(L59,SchnittGes5!L:L,0))+INDEX(Schnitt6!M:M,MATCH(L59,Schnitt6!L:L,0))</f>
        <v>5352</v>
      </c>
      <c r="N59">
        <f>INDEX(SchnittGes5!N:N,MATCH(L59,SchnittGes5!L:L,0))+INDEX(Schnitt6!N:N,MATCH(L59,Schnitt6!L:L,0))</f>
        <v>32</v>
      </c>
      <c r="O59">
        <f t="shared" si="7"/>
        <v>167.249999941</v>
      </c>
      <c r="P59">
        <f t="shared" si="8"/>
        <v>36</v>
      </c>
    </row>
    <row r="60" spans="1:16" x14ac:dyDescent="0.35">
      <c r="A60" t="str">
        <f t="shared" si="13"/>
        <v/>
      </c>
      <c r="B60" t="str">
        <f t="shared" si="9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10"/>
        <v/>
      </c>
      <c r="F60" t="str">
        <f t="shared" si="11"/>
        <v/>
      </c>
      <c r="G60" s="137" t="str">
        <f t="shared" si="12"/>
        <v/>
      </c>
      <c r="L60" s="227">
        <f>INDEX(Starter!A:A,ROW()-1)</f>
        <v>7972</v>
      </c>
      <c r="M60">
        <f>INDEX(SchnittGes5!M:M,MATCH(L60,SchnittGes5!L:L,0))+INDEX(Schnitt6!M:M,MATCH(L60,Schnitt6!L:L,0))</f>
        <v>4705</v>
      </c>
      <c r="N60">
        <f>INDEX(SchnittGes5!N:N,MATCH(L60,SchnittGes5!L:L,0))+INDEX(Schnitt6!N:N,MATCH(L60,Schnitt6!L:L,0))</f>
        <v>29</v>
      </c>
      <c r="O60">
        <f t="shared" si="7"/>
        <v>162.24137925034483</v>
      </c>
      <c r="P60">
        <f t="shared" si="8"/>
        <v>44</v>
      </c>
    </row>
    <row r="61" spans="1:16" x14ac:dyDescent="0.35">
      <c r="A61" t="str">
        <f t="shared" si="13"/>
        <v/>
      </c>
      <c r="B61" t="str">
        <f t="shared" si="9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10"/>
        <v/>
      </c>
      <c r="F61" t="str">
        <f t="shared" si="11"/>
        <v/>
      </c>
      <c r="G61" s="137" t="str">
        <f t="shared" si="12"/>
        <v/>
      </c>
      <c r="L61" s="227">
        <f>INDEX(Starter!A:A,ROW()-1)</f>
        <v>7976</v>
      </c>
      <c r="M61">
        <f>INDEX(SchnittGes5!M:M,MATCH(L61,SchnittGes5!L:L,0))+INDEX(Schnitt6!M:M,MATCH(L61,Schnitt6!L:L,0))</f>
        <v>6330</v>
      </c>
      <c r="N61">
        <f>INDEX(SchnittGes5!N:N,MATCH(L61,SchnittGes5!L:L,0))+INDEX(Schnitt6!N:N,MATCH(L61,Schnitt6!L:L,0))</f>
        <v>36</v>
      </c>
      <c r="O61">
        <f t="shared" si="7"/>
        <v>175.83333327233333</v>
      </c>
      <c r="P61">
        <f t="shared" si="8"/>
        <v>22</v>
      </c>
    </row>
    <row r="62" spans="1:16" x14ac:dyDescent="0.35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10"/>
        <v/>
      </c>
      <c r="F62" t="str">
        <f t="shared" si="11"/>
        <v/>
      </c>
      <c r="G62" s="137" t="str">
        <f t="shared" si="12"/>
        <v/>
      </c>
      <c r="L62" s="227">
        <f>INDEX(Starter!A:A,ROW()-1)</f>
        <v>7977</v>
      </c>
      <c r="M62">
        <f>INDEX(SchnittGes5!M:M,MATCH(L62,SchnittGes5!L:L,0))+INDEX(Schnitt6!M:M,MATCH(L62,Schnitt6!L:L,0))</f>
        <v>0</v>
      </c>
      <c r="N62">
        <f>INDEX(SchnittGes5!N:N,MATCH(L62,SchnittGes5!L:L,0))+INDEX(Schnitt6!N:N,MATCH(L62,Schnitt6!L:L,0))</f>
        <v>0</v>
      </c>
      <c r="O62">
        <f t="shared" si="7"/>
        <v>0</v>
      </c>
      <c r="P62">
        <f t="shared" si="8"/>
        <v>55</v>
      </c>
    </row>
    <row r="63" spans="1:16" x14ac:dyDescent="0.3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10"/>
        <v/>
      </c>
      <c r="F63" t="str">
        <f t="shared" si="11"/>
        <v/>
      </c>
      <c r="G63" s="137" t="str">
        <f t="shared" si="12"/>
        <v/>
      </c>
      <c r="L63" s="227">
        <f>INDEX(Starter!A:A,ROW()-1)</f>
        <v>7975</v>
      </c>
      <c r="M63">
        <f>INDEX(SchnittGes5!M:M,MATCH(L63,SchnittGes5!L:L,0))+INDEX(Schnitt6!M:M,MATCH(L63,Schnitt6!L:L,0))</f>
        <v>0</v>
      </c>
      <c r="N63">
        <f>INDEX(SchnittGes5!N:N,MATCH(L63,SchnittGes5!L:L,0))+INDEX(Schnitt6!N:N,MATCH(L63,Schnitt6!L:L,0))</f>
        <v>0</v>
      </c>
      <c r="O63">
        <f t="shared" si="7"/>
        <v>0</v>
      </c>
      <c r="P63">
        <f t="shared" si="8"/>
        <v>55</v>
      </c>
    </row>
    <row r="64" spans="1:16" x14ac:dyDescent="0.3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16475</v>
      </c>
      <c r="M64">
        <f>INDEX(SchnittGes5!M:M,MATCH(L64,SchnittGes5!L:L,0))+INDEX(Schnitt6!M:M,MATCH(L64,Schnitt6!L:L,0))</f>
        <v>0</v>
      </c>
      <c r="N64">
        <f>INDEX(SchnittGes5!N:N,MATCH(L64,SchnittGes5!L:L,0))+INDEX(Schnitt6!N:N,MATCH(L64,Schnitt6!L:L,0))</f>
        <v>0</v>
      </c>
      <c r="O64">
        <f t="shared" si="7"/>
        <v>0</v>
      </c>
      <c r="P64">
        <f t="shared" si="8"/>
        <v>55</v>
      </c>
    </row>
    <row r="65" spans="1:16" x14ac:dyDescent="0.3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38458</v>
      </c>
      <c r="M65">
        <f>INDEX(SchnittGes5!M:M,MATCH(L65,SchnittGes5!L:L,0))+INDEX(Schnitt6!M:M,MATCH(L65,Schnitt6!L:L,0))</f>
        <v>4996</v>
      </c>
      <c r="N65">
        <f>INDEX(SchnittGes5!N:N,MATCH(L65,SchnittGes5!L:L,0))+INDEX(Schnitt6!N:N,MATCH(L65,Schnitt6!L:L,0))</f>
        <v>27</v>
      </c>
      <c r="O65">
        <f t="shared" si="7"/>
        <v>185.03703697203704</v>
      </c>
      <c r="P65">
        <f t="shared" si="8"/>
        <v>5</v>
      </c>
    </row>
    <row r="66" spans="1:16" x14ac:dyDescent="0.3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25808</v>
      </c>
      <c r="M66">
        <f>INDEX(SchnittGes5!M:M,MATCH(L66,SchnittGes5!L:L,0))+INDEX(Schnitt6!M:M,MATCH(L66,Schnitt6!L:L,0))</f>
        <v>0</v>
      </c>
      <c r="N66">
        <f>INDEX(SchnittGes5!N:N,MATCH(L66,SchnittGes5!L:L,0))+INDEX(Schnitt6!N:N,MATCH(L66,Schnitt6!L:L,0))</f>
        <v>0</v>
      </c>
      <c r="O66">
        <f t="shared" si="7"/>
        <v>0</v>
      </c>
      <c r="P66">
        <f t="shared" ref="P66:P97" si="14">RANK(O66,O:O)</f>
        <v>55</v>
      </c>
    </row>
    <row r="67" spans="1:16" x14ac:dyDescent="0.3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38210</v>
      </c>
      <c r="M67">
        <f>INDEX(SchnittGes5!M:M,MATCH(L67,SchnittGes5!L:L,0))+INDEX(Schnitt6!M:M,MATCH(L67,Schnitt6!L:L,0))</f>
        <v>3976</v>
      </c>
      <c r="N67">
        <f>INDEX(SchnittGes5!N:N,MATCH(L67,SchnittGes5!L:L,0))+INDEX(Schnitt6!N:N,MATCH(L67,Schnitt6!L:L,0))</f>
        <v>24</v>
      </c>
      <c r="O67">
        <f t="shared" si="7"/>
        <v>165.66666659966666</v>
      </c>
      <c r="P67">
        <f t="shared" si="14"/>
        <v>40</v>
      </c>
    </row>
    <row r="68" spans="1:16" x14ac:dyDescent="0.3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7549</v>
      </c>
      <c r="M68">
        <f>INDEX(SchnittGes5!M:M,MATCH(L68,SchnittGes5!L:L,0))+INDEX(Schnitt6!M:M,MATCH(L68,Schnitt6!L:L,0))</f>
        <v>4101</v>
      </c>
      <c r="N68">
        <f>INDEX(SchnittGes5!N:N,MATCH(L68,SchnittGes5!L:L,0))+INDEX(Schnitt6!N:N,MATCH(L68,Schnitt6!L:L,0))</f>
        <v>23</v>
      </c>
      <c r="O68">
        <f t="shared" si="7"/>
        <v>178.30434775808698</v>
      </c>
      <c r="P68">
        <f t="shared" si="14"/>
        <v>18</v>
      </c>
    </row>
    <row r="69" spans="1:16" x14ac:dyDescent="0.3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INDEX(SchnittGes5!M:M,MATCH(L69,SchnittGes5!L:L,0))+INDEX(Schnitt6!M:M,MATCH(L69,Schnitt6!L:L,0))</f>
        <v>5243</v>
      </c>
      <c r="N69">
        <f>INDEX(SchnittGes5!N:N,MATCH(L69,SchnittGes5!L:L,0))+INDEX(Schnitt6!N:N,MATCH(L69,Schnitt6!L:L,0))</f>
        <v>29</v>
      </c>
      <c r="O69">
        <f t="shared" si="7"/>
        <v>180.79310337927586</v>
      </c>
      <c r="P69">
        <f t="shared" si="14"/>
        <v>15</v>
      </c>
    </row>
    <row r="70" spans="1:16" x14ac:dyDescent="0.3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INDEX(SchnittGes5!M:M,MATCH(L70,SchnittGes5!L:L,0))+INDEX(Schnitt6!M:M,MATCH(L70,Schnitt6!L:L,0))</f>
        <v>5908</v>
      </c>
      <c r="N70">
        <f>INDEX(SchnittGes5!N:N,MATCH(L70,SchnittGes5!L:L,0))+INDEX(Schnitt6!N:N,MATCH(L70,Schnitt6!L:L,0))</f>
        <v>31</v>
      </c>
      <c r="O70">
        <f t="shared" si="7"/>
        <v>190.58064509129034</v>
      </c>
      <c r="P70">
        <f t="shared" si="14"/>
        <v>1</v>
      </c>
    </row>
    <row r="71" spans="1:16" x14ac:dyDescent="0.3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INDEX(SchnittGes5!M:M,MATCH(L71,SchnittGes5!L:L,0))+INDEX(Schnitt6!M:M,MATCH(L71,Schnitt6!L:L,0))</f>
        <v>6143</v>
      </c>
      <c r="N71">
        <f>INDEX(SchnittGes5!N:N,MATCH(L71,SchnittGes5!L:L,0))+INDEX(Schnitt6!N:N,MATCH(L71,Schnitt6!L:L,0))</f>
        <v>34</v>
      </c>
      <c r="O71">
        <f t="shared" si="7"/>
        <v>180.67647051723532</v>
      </c>
      <c r="P71">
        <f t="shared" si="14"/>
        <v>16</v>
      </c>
    </row>
    <row r="72" spans="1:16" x14ac:dyDescent="0.3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INDEX(SchnittGes5!M:M,MATCH(L72,SchnittGes5!L:L,0))+INDEX(Schnitt6!M:M,MATCH(L72,Schnitt6!L:L,0))</f>
        <v>2033</v>
      </c>
      <c r="N72">
        <f>INDEX(SchnittGes5!N:N,MATCH(L72,SchnittGes5!L:L,0))+INDEX(Schnitt6!N:N,MATCH(L72,Schnitt6!L:L,0))</f>
        <v>12</v>
      </c>
      <c r="O72">
        <f t="shared" si="7"/>
        <v>169.41666659466665</v>
      </c>
      <c r="P72">
        <f t="shared" si="14"/>
        <v>32</v>
      </c>
    </row>
    <row r="73" spans="1:16" x14ac:dyDescent="0.3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INDEX(SchnittGes5!M:M,MATCH(L73,SchnittGes5!L:L,0))+INDEX(Schnitt6!M:M,MATCH(L73,Schnitt6!L:L,0))</f>
        <v>1125</v>
      </c>
      <c r="N73">
        <f>INDEX(SchnittGes5!N:N,MATCH(L73,SchnittGes5!L:L,0))+INDEX(Schnitt6!N:N,MATCH(L73,Schnitt6!L:L,0))</f>
        <v>7</v>
      </c>
      <c r="O73">
        <f t="shared" si="7"/>
        <v>160.71428564128573</v>
      </c>
      <c r="P73">
        <f t="shared" si="14"/>
        <v>47</v>
      </c>
    </row>
    <row r="74" spans="1:16" x14ac:dyDescent="0.3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38607</v>
      </c>
      <c r="M74">
        <f>INDEX(SchnittGes5!M:M,MATCH(L74,SchnittGes5!L:L,0))+INDEX(Schnitt6!M:M,MATCH(L74,Schnitt6!L:L,0))</f>
        <v>670</v>
      </c>
      <c r="N74">
        <f>INDEX(SchnittGes5!N:N,MATCH(L74,SchnittGes5!L:L,0))+INDEX(Schnitt6!N:N,MATCH(L74,Schnitt6!L:L,0))</f>
        <v>4</v>
      </c>
      <c r="O74">
        <f t="shared" si="7"/>
        <v>167.49999992599999</v>
      </c>
      <c r="P74">
        <f t="shared" si="14"/>
        <v>35</v>
      </c>
    </row>
    <row r="75" spans="1:16" x14ac:dyDescent="0.3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INDEX(SchnittGes5!M:M,MATCH(L75,SchnittGes5!L:L,0))+INDEX(Schnitt6!M:M,MATCH(L75,Schnitt6!L:L,0))</f>
        <v>0</v>
      </c>
      <c r="N75">
        <f>INDEX(SchnittGes5!N:N,MATCH(L75,SchnittGes5!L:L,0))+INDEX(Schnitt6!N:N,MATCH(L75,Schnitt6!L:L,0))</f>
        <v>0</v>
      </c>
      <c r="O75">
        <f t="shared" si="7"/>
        <v>0</v>
      </c>
      <c r="P75">
        <f t="shared" si="14"/>
        <v>55</v>
      </c>
    </row>
    <row r="76" spans="1:16" x14ac:dyDescent="0.3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INDEX(SchnittGes5!M:M,MATCH(L76,SchnittGes5!L:L,0))+INDEX(Schnitt6!M:M,MATCH(L76,Schnitt6!L:L,0))</f>
        <v>0</v>
      </c>
      <c r="N76">
        <f>INDEX(SchnittGes5!N:N,MATCH(L76,SchnittGes5!L:L,0))+INDEX(Schnitt6!N:N,MATCH(L76,Schnitt6!L:L,0))</f>
        <v>0</v>
      </c>
      <c r="O76">
        <f t="shared" ref="O76:O104" si="20">IF(N76=0,0,M76/N76-ROW()/1000000000)</f>
        <v>0</v>
      </c>
      <c r="P76">
        <f t="shared" si="14"/>
        <v>55</v>
      </c>
    </row>
    <row r="77" spans="1:16" x14ac:dyDescent="0.3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INDEX(SchnittGes5!M:M,MATCH(L77,SchnittGes5!L:L,0))+INDEX(Schnitt6!M:M,MATCH(L77,Schnitt6!L:L,0))</f>
        <v>0</v>
      </c>
      <c r="N77">
        <f>INDEX(SchnittGes5!N:N,MATCH(L77,SchnittGes5!L:L,0))+INDEX(Schnitt6!N:N,MATCH(L77,Schnitt6!L:L,0))</f>
        <v>0</v>
      </c>
      <c r="O77">
        <f t="shared" si="20"/>
        <v>0</v>
      </c>
      <c r="P77">
        <f t="shared" si="14"/>
        <v>55</v>
      </c>
    </row>
    <row r="78" spans="1:16" x14ac:dyDescent="0.3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INDEX(SchnittGes5!M:M,MATCH(L78,SchnittGes5!L:L,0))+INDEX(Schnitt6!M:M,MATCH(L78,Schnitt6!L:L,0))</f>
        <v>0</v>
      </c>
      <c r="N78">
        <f>INDEX(SchnittGes5!N:N,MATCH(L78,SchnittGes5!L:L,0))+INDEX(Schnitt6!N:N,MATCH(L78,Schnitt6!L:L,0))</f>
        <v>0</v>
      </c>
      <c r="O78">
        <f t="shared" si="20"/>
        <v>0</v>
      </c>
      <c r="P78">
        <f t="shared" si="14"/>
        <v>55</v>
      </c>
    </row>
    <row r="79" spans="1:16" x14ac:dyDescent="0.3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INDEX(SchnittGes5!M:M,MATCH(L79,SchnittGes5!L:L,0))+INDEX(Schnitt6!M:M,MATCH(L79,Schnitt6!L:L,0))</f>
        <v>0</v>
      </c>
      <c r="N79">
        <f>INDEX(SchnittGes5!N:N,MATCH(L79,SchnittGes5!L:L,0))+INDEX(Schnitt6!N:N,MATCH(L79,Schnitt6!L:L,0))</f>
        <v>0</v>
      </c>
      <c r="O79">
        <f t="shared" si="20"/>
        <v>0</v>
      </c>
      <c r="P79">
        <f t="shared" si="14"/>
        <v>55</v>
      </c>
    </row>
    <row r="80" spans="1:16" x14ac:dyDescent="0.3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INDEX(SchnittGes5!M:M,MATCH(L80,SchnittGes5!L:L,0))+INDEX(Schnitt6!M:M,MATCH(L80,Schnitt6!L:L,0))</f>
        <v>0</v>
      </c>
      <c r="N80">
        <f>INDEX(SchnittGes5!N:N,MATCH(L80,SchnittGes5!L:L,0))+INDEX(Schnitt6!N:N,MATCH(L80,Schnitt6!L:L,0))</f>
        <v>0</v>
      </c>
      <c r="O80">
        <f t="shared" si="20"/>
        <v>0</v>
      </c>
      <c r="P80">
        <f t="shared" si="14"/>
        <v>55</v>
      </c>
    </row>
    <row r="81" spans="1:16" x14ac:dyDescent="0.3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INDEX(SchnittGes5!M:M,MATCH(L81,SchnittGes5!L:L,0))+INDEX(Schnitt6!M:M,MATCH(L81,Schnitt6!L:L,0))</f>
        <v>0</v>
      </c>
      <c r="N81">
        <f>INDEX(SchnittGes5!N:N,MATCH(L81,SchnittGes5!L:L,0))+INDEX(Schnitt6!N:N,MATCH(L81,Schnitt6!L:L,0))</f>
        <v>0</v>
      </c>
      <c r="O81">
        <f t="shared" si="20"/>
        <v>0</v>
      </c>
      <c r="P81">
        <f t="shared" si="14"/>
        <v>55</v>
      </c>
    </row>
    <row r="82" spans="1:16" x14ac:dyDescent="0.3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INDEX(SchnittGes5!M:M,MATCH(L82,SchnittGes5!L:L,0))+INDEX(Schnitt6!M:M,MATCH(L82,Schnitt6!L:L,0))</f>
        <v>0</v>
      </c>
      <c r="N82">
        <f>INDEX(SchnittGes5!N:N,MATCH(L82,SchnittGes5!L:L,0))+INDEX(Schnitt6!N:N,MATCH(L82,Schnitt6!L:L,0))</f>
        <v>0</v>
      </c>
      <c r="O82">
        <f t="shared" si="20"/>
        <v>0</v>
      </c>
      <c r="P82">
        <f t="shared" si="14"/>
        <v>55</v>
      </c>
    </row>
    <row r="83" spans="1:16" x14ac:dyDescent="0.3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INDEX(SchnittGes5!M:M,MATCH(L83,SchnittGes5!L:L,0))+INDEX(Schnitt6!M:M,MATCH(L83,Schnitt6!L:L,0))</f>
        <v>0</v>
      </c>
      <c r="N83">
        <f>INDEX(SchnittGes5!N:N,MATCH(L83,SchnittGes5!L:L,0))+INDEX(Schnitt6!N:N,MATCH(L83,Schnitt6!L:L,0))</f>
        <v>0</v>
      </c>
      <c r="O83">
        <f t="shared" si="20"/>
        <v>0</v>
      </c>
      <c r="P83">
        <f t="shared" si="14"/>
        <v>55</v>
      </c>
    </row>
    <row r="84" spans="1:16" x14ac:dyDescent="0.3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INDEX(SchnittGes5!M:M,MATCH(L84,SchnittGes5!L:L,0))+INDEX(Schnitt6!M:M,MATCH(L84,Schnitt6!L:L,0))</f>
        <v>0</v>
      </c>
      <c r="N84">
        <f>INDEX(SchnittGes5!N:N,MATCH(L84,SchnittGes5!L:L,0))+INDEX(Schnitt6!N:N,MATCH(L84,Schnitt6!L:L,0))</f>
        <v>0</v>
      </c>
      <c r="O84">
        <f t="shared" si="20"/>
        <v>0</v>
      </c>
      <c r="P84">
        <f t="shared" si="14"/>
        <v>55</v>
      </c>
    </row>
    <row r="85" spans="1:16" x14ac:dyDescent="0.3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INDEX(SchnittGes5!M:M,MATCH(L85,SchnittGes5!L:L,0))+INDEX(Schnitt6!M:M,MATCH(L85,Schnitt6!L:L,0))</f>
        <v>0</v>
      </c>
      <c r="N85">
        <f>INDEX(SchnittGes5!N:N,MATCH(L85,SchnittGes5!L:L,0))+INDEX(Schnitt6!N:N,MATCH(L85,Schnitt6!L:L,0))</f>
        <v>0</v>
      </c>
      <c r="O85">
        <f t="shared" si="20"/>
        <v>0</v>
      </c>
      <c r="P85">
        <f t="shared" si="14"/>
        <v>55</v>
      </c>
    </row>
    <row r="86" spans="1:16" x14ac:dyDescent="0.3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INDEX(SchnittGes5!M:M,MATCH(L86,SchnittGes5!L:L,0))+INDEX(Schnitt6!M:M,MATCH(L86,Schnitt6!L:L,0))</f>
        <v>0</v>
      </c>
      <c r="N86">
        <f>INDEX(SchnittGes5!N:N,MATCH(L86,SchnittGes5!L:L,0))+INDEX(Schnitt6!N:N,MATCH(L86,Schnitt6!L:L,0))</f>
        <v>0</v>
      </c>
      <c r="O86">
        <f t="shared" si="20"/>
        <v>0</v>
      </c>
      <c r="P86">
        <f t="shared" si="14"/>
        <v>55</v>
      </c>
    </row>
    <row r="87" spans="1:16" x14ac:dyDescent="0.3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INDEX(SchnittGes5!M:M,MATCH(L87,SchnittGes5!L:L,0))+INDEX(Schnitt6!M:M,MATCH(L87,Schnitt6!L:L,0))</f>
        <v>0</v>
      </c>
      <c r="N87">
        <f>INDEX(SchnittGes5!N:N,MATCH(L87,SchnittGes5!L:L,0))+INDEX(Schnitt6!N:N,MATCH(L87,Schnitt6!L:L,0))</f>
        <v>0</v>
      </c>
      <c r="O87">
        <f t="shared" si="20"/>
        <v>0</v>
      </c>
      <c r="P87">
        <f t="shared" si="14"/>
        <v>55</v>
      </c>
    </row>
    <row r="88" spans="1:16" x14ac:dyDescent="0.3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INDEX(SchnittGes5!M:M,MATCH(L88,SchnittGes5!L:L,0))+INDEX(Schnitt6!M:M,MATCH(L88,Schnitt6!L:L,0))</f>
        <v>0</v>
      </c>
      <c r="N88">
        <f>INDEX(SchnittGes5!N:N,MATCH(L88,SchnittGes5!L:L,0))+INDEX(Schnitt6!N:N,MATCH(L88,Schnitt6!L:L,0))</f>
        <v>0</v>
      </c>
      <c r="O88">
        <f t="shared" si="20"/>
        <v>0</v>
      </c>
      <c r="P88">
        <f t="shared" si="14"/>
        <v>55</v>
      </c>
    </row>
    <row r="89" spans="1:16" x14ac:dyDescent="0.3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INDEX(SchnittGes5!M:M,MATCH(L89,SchnittGes5!L:L,0))+INDEX(Schnitt6!M:M,MATCH(L89,Schnitt6!L:L,0))</f>
        <v>0</v>
      </c>
      <c r="N89">
        <f>INDEX(SchnittGes5!N:N,MATCH(L89,SchnittGes5!L:L,0))+INDEX(Schnitt6!N:N,MATCH(L89,Schnitt6!L:L,0))</f>
        <v>0</v>
      </c>
      <c r="O89">
        <f t="shared" si="20"/>
        <v>0</v>
      </c>
      <c r="P89">
        <f t="shared" si="14"/>
        <v>55</v>
      </c>
    </row>
    <row r="90" spans="1:16" x14ac:dyDescent="0.3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INDEX(SchnittGes5!M:M,MATCH(L90,SchnittGes5!L:L,0))+INDEX(Schnitt6!M:M,MATCH(L90,Schnitt6!L:L,0))</f>
        <v>0</v>
      </c>
      <c r="N90">
        <f>INDEX(SchnittGes5!N:N,MATCH(L90,SchnittGes5!L:L,0))+INDEX(Schnitt6!N:N,MATCH(L90,Schnitt6!L:L,0))</f>
        <v>0</v>
      </c>
      <c r="O90">
        <f t="shared" si="20"/>
        <v>0</v>
      </c>
      <c r="P90">
        <f t="shared" si="14"/>
        <v>55</v>
      </c>
    </row>
    <row r="91" spans="1:16" x14ac:dyDescent="0.3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INDEX(SchnittGes5!M:M,MATCH(L91,SchnittGes5!L:L,0))+INDEX(Schnitt6!M:M,MATCH(L91,Schnitt6!L:L,0))</f>
        <v>0</v>
      </c>
      <c r="N91">
        <f>INDEX(SchnittGes5!N:N,MATCH(L91,SchnittGes5!L:L,0))+INDEX(Schnitt6!N:N,MATCH(L91,Schnitt6!L:L,0))</f>
        <v>0</v>
      </c>
      <c r="O91">
        <f t="shared" si="20"/>
        <v>0</v>
      </c>
      <c r="P91">
        <f t="shared" si="14"/>
        <v>55</v>
      </c>
    </row>
    <row r="92" spans="1:16" x14ac:dyDescent="0.3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INDEX(SchnittGes5!M:M,MATCH(L92,SchnittGes5!L:L,0))+INDEX(Schnitt6!M:M,MATCH(L92,Schnitt6!L:L,0))</f>
        <v>0</v>
      </c>
      <c r="N92">
        <f>INDEX(SchnittGes5!N:N,MATCH(L92,SchnittGes5!L:L,0))+INDEX(Schnitt6!N:N,MATCH(L92,Schnitt6!L:L,0))</f>
        <v>0</v>
      </c>
      <c r="O92">
        <f t="shared" si="20"/>
        <v>0</v>
      </c>
      <c r="P92">
        <f t="shared" si="14"/>
        <v>55</v>
      </c>
    </row>
    <row r="93" spans="1:16" x14ac:dyDescent="0.3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INDEX(SchnittGes5!M:M,MATCH(L93,SchnittGes5!L:L,0))+INDEX(Schnitt6!M:M,MATCH(L93,Schnitt6!L:L,0))</f>
        <v>0</v>
      </c>
      <c r="N93">
        <f>INDEX(SchnittGes5!N:N,MATCH(L93,SchnittGes5!L:L,0))+INDEX(Schnitt6!N:N,MATCH(L93,Schnitt6!L:L,0))</f>
        <v>0</v>
      </c>
      <c r="O93">
        <f t="shared" si="20"/>
        <v>0</v>
      </c>
      <c r="P93">
        <f t="shared" si="14"/>
        <v>55</v>
      </c>
    </row>
    <row r="94" spans="1:16" x14ac:dyDescent="0.3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INDEX(SchnittGes5!M:M,MATCH(L94,SchnittGes5!L:L,0))+INDEX(Schnitt6!M:M,MATCH(L94,Schnitt6!L:L,0))</f>
        <v>0</v>
      </c>
      <c r="N94">
        <f>INDEX(SchnittGes5!N:N,MATCH(L94,SchnittGes5!L:L,0))+INDEX(Schnitt6!N:N,MATCH(L94,Schnitt6!L:L,0))</f>
        <v>0</v>
      </c>
      <c r="O94">
        <f t="shared" si="20"/>
        <v>0</v>
      </c>
      <c r="P94">
        <f t="shared" si="14"/>
        <v>55</v>
      </c>
    </row>
    <row r="95" spans="1:16" x14ac:dyDescent="0.3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INDEX(SchnittGes5!M:M,MATCH(L95,SchnittGes5!L:L,0))+INDEX(Schnitt6!M:M,MATCH(L95,Schnitt6!L:L,0))</f>
        <v>0</v>
      </c>
      <c r="N95">
        <f>INDEX(SchnittGes5!N:N,MATCH(L95,SchnittGes5!L:L,0))+INDEX(Schnitt6!N:N,MATCH(L95,Schnitt6!L:L,0))</f>
        <v>0</v>
      </c>
      <c r="O95">
        <f t="shared" si="20"/>
        <v>0</v>
      </c>
      <c r="P95">
        <f t="shared" si="14"/>
        <v>55</v>
      </c>
    </row>
    <row r="96" spans="1:16" x14ac:dyDescent="0.3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INDEX(SchnittGes5!M:M,MATCH(L96,SchnittGes5!L:L,0))+INDEX(Schnitt6!M:M,MATCH(L96,Schnitt6!L:L,0))</f>
        <v>0</v>
      </c>
      <c r="N96">
        <f>INDEX(SchnittGes5!N:N,MATCH(L96,SchnittGes5!L:L,0))+INDEX(Schnitt6!N:N,MATCH(L96,Schnitt6!L:L,0))</f>
        <v>0</v>
      </c>
      <c r="O96">
        <f t="shared" si="20"/>
        <v>0</v>
      </c>
      <c r="P96">
        <f t="shared" si="14"/>
        <v>55</v>
      </c>
    </row>
    <row r="97" spans="1:16" x14ac:dyDescent="0.3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INDEX(SchnittGes5!M:M,MATCH(L97,SchnittGes5!L:L,0))+INDEX(Schnitt6!M:M,MATCH(L97,Schnitt6!L:L,0))</f>
        <v>0</v>
      </c>
      <c r="N97">
        <f>INDEX(SchnittGes5!N:N,MATCH(L97,SchnittGes5!L:L,0))+INDEX(Schnitt6!N:N,MATCH(L97,Schnitt6!L:L,0))</f>
        <v>0</v>
      </c>
      <c r="O97">
        <f t="shared" si="20"/>
        <v>0</v>
      </c>
      <c r="P97">
        <f t="shared" si="14"/>
        <v>55</v>
      </c>
    </row>
    <row r="98" spans="1:16" x14ac:dyDescent="0.3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INDEX(SchnittGes5!M:M,MATCH(L98,SchnittGes5!L:L,0))+INDEX(Schnitt6!M:M,MATCH(L98,Schnitt6!L:L,0))</f>
        <v>0</v>
      </c>
      <c r="N98">
        <f>INDEX(SchnittGes5!N:N,MATCH(L98,SchnittGes5!L:L,0))+INDEX(Schnitt6!N:N,MATCH(L98,Schnitt6!L:L,0))</f>
        <v>0</v>
      </c>
      <c r="O98">
        <f t="shared" si="20"/>
        <v>0</v>
      </c>
      <c r="P98">
        <f t="shared" ref="P98:P104" si="21">RANK(O98,O:O)</f>
        <v>55</v>
      </c>
    </row>
    <row r="99" spans="1:16" x14ac:dyDescent="0.3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INDEX(SchnittGes5!M:M,MATCH(L99,SchnittGes5!L:L,0))+INDEX(Schnitt6!M:M,MATCH(L99,Schnitt6!L:L,0))</f>
        <v>0</v>
      </c>
      <c r="N99">
        <f>INDEX(SchnittGes5!N:N,MATCH(L99,SchnittGes5!L:L,0))+INDEX(Schnitt6!N:N,MATCH(L99,Schnitt6!L:L,0))</f>
        <v>0</v>
      </c>
      <c r="O99">
        <f t="shared" si="20"/>
        <v>0</v>
      </c>
      <c r="P99">
        <f t="shared" si="21"/>
        <v>55</v>
      </c>
    </row>
    <row r="100" spans="1:16" x14ac:dyDescent="0.3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INDEX(SchnittGes5!M:M,MATCH(L100,SchnittGes5!L:L,0))+INDEX(Schnitt6!M:M,MATCH(L100,Schnitt6!L:L,0))</f>
        <v>0</v>
      </c>
      <c r="N100">
        <f>INDEX(SchnittGes5!N:N,MATCH(L100,SchnittGes5!L:L,0))+INDEX(Schnitt6!N:N,MATCH(L100,Schnitt6!L:L,0))</f>
        <v>0</v>
      </c>
      <c r="O100">
        <f t="shared" si="20"/>
        <v>0</v>
      </c>
      <c r="P100">
        <f t="shared" si="21"/>
        <v>55</v>
      </c>
    </row>
    <row r="101" spans="1:16" x14ac:dyDescent="0.3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INDEX(SchnittGes5!M:M,MATCH(L101,SchnittGes5!L:L,0))+INDEX(Schnitt6!M:M,MATCH(L101,Schnitt6!L:L,0))</f>
        <v>0</v>
      </c>
      <c r="N101">
        <f>INDEX(SchnittGes5!N:N,MATCH(L101,SchnittGes5!L:L,0))+INDEX(Schnitt6!N:N,MATCH(L101,Schnitt6!L:L,0))</f>
        <v>0</v>
      </c>
      <c r="O101">
        <f t="shared" si="20"/>
        <v>0</v>
      </c>
      <c r="P101">
        <f t="shared" si="21"/>
        <v>55</v>
      </c>
    </row>
    <row r="102" spans="1:16" x14ac:dyDescent="0.3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INDEX(SchnittGes5!M:M,MATCH(L102,SchnittGes5!L:L,0))+INDEX(Schnitt6!M:M,MATCH(L102,Schnitt6!L:L,0))</f>
        <v>0</v>
      </c>
      <c r="N102">
        <f>INDEX(SchnittGes5!N:N,MATCH(L102,SchnittGes5!L:L,0))+INDEX(Schnitt6!N:N,MATCH(L102,Schnitt6!L:L,0))</f>
        <v>0</v>
      </c>
      <c r="O102">
        <f t="shared" si="20"/>
        <v>0</v>
      </c>
      <c r="P102">
        <f t="shared" si="21"/>
        <v>55</v>
      </c>
    </row>
    <row r="103" spans="1:16" x14ac:dyDescent="0.3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INDEX(SchnittGes5!M:M,MATCH(L103,SchnittGes5!L:L,0))+INDEX(Schnitt6!M:M,MATCH(L103,Schnitt6!L:L,0))</f>
        <v>0</v>
      </c>
      <c r="N103">
        <f>INDEX(SchnittGes5!N:N,MATCH(L103,SchnittGes5!L:L,0))+INDEX(Schnitt6!N:N,MATCH(L103,Schnitt6!L:L,0))</f>
        <v>0</v>
      </c>
      <c r="O103">
        <f t="shared" si="20"/>
        <v>0</v>
      </c>
      <c r="P103">
        <f t="shared" si="21"/>
        <v>55</v>
      </c>
    </row>
    <row r="104" spans="1:16" x14ac:dyDescent="0.3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INDEX(SchnittGes5!M:M,MATCH(L104,SchnittGes5!L:L,0))+INDEX(Schnitt6!M:M,MATCH(L104,Schnitt6!L:L,0))</f>
        <v>0</v>
      </c>
      <c r="N104">
        <f>INDEX(SchnittGes5!N:N,MATCH(L104,SchnittGes5!L:L,0))+INDEX(Schnitt6!N:N,MATCH(L104,Schnitt6!L:L,0))</f>
        <v>0</v>
      </c>
      <c r="O104">
        <f t="shared" si="20"/>
        <v>0</v>
      </c>
      <c r="P104">
        <f t="shared" si="21"/>
        <v>55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abelle37"/>
  <dimension ref="A1:D99"/>
  <sheetViews>
    <sheetView topLeftCell="A10" zoomScale="115" workbookViewId="0">
      <selection activeCell="B73" sqref="B73"/>
    </sheetView>
  </sheetViews>
  <sheetFormatPr baseColWidth="10" defaultColWidth="11.33203125" defaultRowHeight="11.65" x14ac:dyDescent="0.35"/>
  <cols>
    <col min="1" max="1" width="11.33203125" style="147"/>
    <col min="2" max="2" width="23.73046875" style="146" customWidth="1"/>
    <col min="3" max="3" width="23" style="146" customWidth="1"/>
    <col min="4" max="16384" width="11.33203125" style="146"/>
  </cols>
  <sheetData>
    <row r="1" spans="1:4" x14ac:dyDescent="0.35">
      <c r="A1" s="145">
        <v>25751</v>
      </c>
      <c r="B1" s="146" t="str">
        <f>VLOOKUP(A1,member!$A$5:$K$1300,3,FALSE)&amp;", "&amp;VLOOKUP(A1,member!$A$5:$K$1300,4,FALSE)</f>
        <v>Schlundt, Sabrina</v>
      </c>
      <c r="C1" s="146" t="str">
        <f>VLOOKUP(A1,member!$A$5:$K$1300,9,FALSE)</f>
        <v>BC Praetoria</v>
      </c>
      <c r="D1" s="146" t="str">
        <f>VLOOKUP(A1,member!$A$5:$K$1300,11,FALSE)</f>
        <v>REG</v>
      </c>
    </row>
    <row r="2" spans="1:4" x14ac:dyDescent="0.35">
      <c r="A2" s="145">
        <v>38258</v>
      </c>
      <c r="B2" s="146" t="str">
        <f>VLOOKUP(A2,member!$A$5:$K$1300,3,FALSE)&amp;", "&amp;VLOOKUP(A2,member!$A$5:$K$1300,4,FALSE)</f>
        <v>Bösl, Anna</v>
      </c>
      <c r="C2" s="146" t="str">
        <f>VLOOKUP(A2,member!$A$5:$K$1300,9,FALSE)</f>
        <v>BC Praetoria</v>
      </c>
      <c r="D2" s="146" t="str">
        <f>VLOOKUP(A2,member!$A$5:$K$1300,11,FALSE)</f>
        <v>REG</v>
      </c>
    </row>
    <row r="3" spans="1:4" x14ac:dyDescent="0.35">
      <c r="A3" s="145">
        <v>25798</v>
      </c>
      <c r="B3" s="146" t="str">
        <f>VLOOKUP(A3,member!$A$5:$K$1300,3,FALSE)&amp;", "&amp;VLOOKUP(A3,member!$A$5:$K$1300,4,FALSE)</f>
        <v>Kicker-Mihatsch, Elvira</v>
      </c>
      <c r="C3" s="146" t="str">
        <f>VLOOKUP(A3,member!$A$5:$K$1300,9,FALSE)</f>
        <v>BC Praetoria</v>
      </c>
      <c r="D3" s="146" t="str">
        <f>VLOOKUP(A3,member!$A$5:$K$1300,11,FALSE)</f>
        <v>REG</v>
      </c>
    </row>
    <row r="4" spans="1:4" x14ac:dyDescent="0.35">
      <c r="A4" s="145">
        <v>7903</v>
      </c>
      <c r="B4" s="146" t="str">
        <f>VLOOKUP(A4,member!$A$5:$K$1300,3,FALSE)&amp;", "&amp;VLOOKUP(A4,member!$A$5:$K$1300,4,FALSE)</f>
        <v>Spieler, Regina</v>
      </c>
      <c r="C4" s="146" t="str">
        <f>VLOOKUP(A4,member!$A$5:$K$1300,9,FALSE)</f>
        <v>BC Praetoria</v>
      </c>
      <c r="D4" s="146" t="str">
        <f>VLOOKUP(A4,member!$A$5:$K$1300,11,FALSE)</f>
        <v>REG</v>
      </c>
    </row>
    <row r="5" spans="1:4" x14ac:dyDescent="0.35">
      <c r="A5" s="145">
        <v>16170</v>
      </c>
      <c r="B5" s="146" t="str">
        <f>VLOOKUP(A5,member!$A$5:$K$1300,3,FALSE)&amp;", "&amp;VLOOKUP(A5,member!$A$5:$K$1300,4,FALSE)</f>
        <v>Wölki, Elisabeth</v>
      </c>
      <c r="C5" s="146" t="str">
        <f>VLOOKUP(A5,member!$A$5:$K$1300,9,FALSE)</f>
        <v>BC Praetoria</v>
      </c>
      <c r="D5" s="146" t="str">
        <f>VLOOKUP(A5,member!$A$5:$K$1300,11,FALSE)</f>
        <v>REG</v>
      </c>
    </row>
    <row r="6" spans="1:4" x14ac:dyDescent="0.35">
      <c r="A6" s="145">
        <v>7889</v>
      </c>
      <c r="B6" s="146" t="str">
        <f>VLOOKUP(A6,member!$A$5:$K$1300,3,FALSE)&amp;", "&amp;VLOOKUP(A6,member!$A$5:$K$1300,4,FALSE)</f>
        <v>Zahner, Barbara</v>
      </c>
      <c r="C6" s="146" t="str">
        <f>VLOOKUP(A6,member!$A$5:$K$1300,9,FALSE)</f>
        <v>BC Praetoria</v>
      </c>
      <c r="D6" s="146" t="str">
        <f>VLOOKUP(A6,member!$A$5:$K$1300,11,FALSE)</f>
        <v>REG</v>
      </c>
    </row>
    <row r="7" spans="1:4" x14ac:dyDescent="0.35">
      <c r="A7" s="145">
        <v>38222</v>
      </c>
      <c r="B7" s="146" t="str">
        <f>VLOOKUP(A7,member!$A$5:$K$1300,3,FALSE)&amp;", "&amp;VLOOKUP(A7,member!$A$5:$K$1300,4,FALSE)</f>
        <v>Helmbrecht, Carolin</v>
      </c>
      <c r="C7" s="146" t="str">
        <f>VLOOKUP(A7,member!$A$5:$K$1300,9,FALSE)</f>
        <v>BK München</v>
      </c>
      <c r="D7" s="146" t="str">
        <f>VLOOKUP(A7,member!$A$5:$K$1300,11,FALSE)</f>
        <v>MKV</v>
      </c>
    </row>
    <row r="8" spans="1:4" x14ac:dyDescent="0.35">
      <c r="A8" s="145">
        <v>38438</v>
      </c>
      <c r="B8" s="146" t="str">
        <f>VLOOKUP(A8,member!$A$5:$K$1300,3,FALSE)&amp;", "&amp;VLOOKUP(A8,member!$A$5:$K$1300,4,FALSE)</f>
        <v>Hassforth, Lea</v>
      </c>
      <c r="C8" s="146" t="str">
        <f>VLOOKUP(A8,member!$A$5:$K$1300,9,FALSE)</f>
        <v>BK München</v>
      </c>
      <c r="D8" s="146" t="str">
        <f>VLOOKUP(A8,member!$A$5:$K$1300,11,FALSE)</f>
        <v>MKV</v>
      </c>
    </row>
    <row r="9" spans="1:4" x14ac:dyDescent="0.35">
      <c r="A9" s="145">
        <v>38553</v>
      </c>
      <c r="B9" s="146" t="str">
        <f>VLOOKUP(A9,member!$A$5:$K$1300,3,FALSE)&amp;", "&amp;VLOOKUP(A9,member!$A$5:$K$1300,4,FALSE)</f>
        <v>Kirschke, Saskia</v>
      </c>
      <c r="C9" s="146" t="str">
        <f>VLOOKUP(A9,member!$A$5:$K$1300,9,FALSE)</f>
        <v>BK München</v>
      </c>
      <c r="D9" s="146" t="str">
        <f>VLOOKUP(A9,member!$A$5:$K$1300,11,FALSE)</f>
        <v>MKV</v>
      </c>
    </row>
    <row r="10" spans="1:4" x14ac:dyDescent="0.35">
      <c r="A10" s="145">
        <v>38350</v>
      </c>
      <c r="B10" s="146" t="str">
        <f>VLOOKUP(A10,member!$A$5:$K$1300,3,FALSE)&amp;", "&amp;VLOOKUP(A10,member!$A$5:$K$1300,4,FALSE)</f>
        <v>Seeger, Melanie</v>
      </c>
      <c r="C10" s="146" t="str">
        <f>VLOOKUP(A10,member!$A$5:$K$1300,9,FALSE)</f>
        <v>BK München</v>
      </c>
      <c r="D10" s="146" t="str">
        <f>VLOOKUP(A10,member!$A$5:$K$1300,11,FALSE)</f>
        <v>MKV</v>
      </c>
    </row>
    <row r="11" spans="1:4" x14ac:dyDescent="0.35">
      <c r="A11" s="145">
        <v>16594</v>
      </c>
      <c r="B11" s="146" t="str">
        <f>VLOOKUP(A11,member!$A$5:$K$1300,3,FALSE)&amp;", "&amp;VLOOKUP(A11,member!$A$5:$K$1300,4,FALSE)</f>
        <v>Schott, Monika</v>
      </c>
      <c r="C11" s="146" t="str">
        <f>VLOOKUP(A11,member!$A$5:$K$1300,9,FALSE)</f>
        <v>BK München</v>
      </c>
      <c r="D11" s="146" t="str">
        <f>VLOOKUP(A11,member!$A$5:$K$1300,11,FALSE)</f>
        <v>MKV</v>
      </c>
    </row>
    <row r="12" spans="1:4" x14ac:dyDescent="0.35">
      <c r="A12" s="145">
        <v>16595</v>
      </c>
      <c r="B12" s="146" t="str">
        <f>VLOOKUP(A12,member!$A$5:$K$1300,3,FALSE)&amp;", "&amp;VLOOKUP(A12,member!$A$5:$K$1300,4,FALSE)</f>
        <v>Schott, Nicole</v>
      </c>
      <c r="C12" s="146" t="str">
        <f>VLOOKUP(A12,member!$A$5:$K$1300,9,FALSE)</f>
        <v>BK München</v>
      </c>
      <c r="D12" s="146" t="str">
        <f>VLOOKUP(A12,member!$A$5:$K$1300,11,FALSE)</f>
        <v>MKV</v>
      </c>
    </row>
    <row r="13" spans="1:4" x14ac:dyDescent="0.35">
      <c r="A13" s="145">
        <v>7061</v>
      </c>
      <c r="B13" s="146" t="str">
        <f>VLOOKUP(A13,member!$A$5:$K$1300,3,FALSE)&amp;", "&amp;VLOOKUP(A13,member!$A$5:$K$1300,4,FALSE)</f>
        <v>Waigel, Petra</v>
      </c>
      <c r="C13" s="146" t="str">
        <f>VLOOKUP(A13,member!$A$5:$K$1300,9,FALSE)</f>
        <v>BK München</v>
      </c>
      <c r="D13" s="146" t="str">
        <f>VLOOKUP(A13,member!$A$5:$K$1300,11,FALSE)</f>
        <v>MKV</v>
      </c>
    </row>
    <row r="14" spans="1:4" x14ac:dyDescent="0.35">
      <c r="A14" s="145">
        <v>25550</v>
      </c>
      <c r="B14" s="146" t="str">
        <f>VLOOKUP(A14,member!$A$5:$K$1300,3,FALSE)&amp;", "&amp;VLOOKUP(A14,member!$A$5:$K$1300,4,FALSE)</f>
        <v>Hueber, Claudia</v>
      </c>
      <c r="C14" s="146" t="str">
        <f>VLOOKUP(A14,member!$A$5:$K$1300,9,FALSE)</f>
        <v>BK München</v>
      </c>
      <c r="D14" s="146" t="str">
        <f>VLOOKUP(A14,member!$A$5:$K$1300,11,FALSE)</f>
        <v>MKV</v>
      </c>
    </row>
    <row r="15" spans="1:4" x14ac:dyDescent="0.35">
      <c r="A15" s="145">
        <v>7578</v>
      </c>
      <c r="B15" s="146" t="str">
        <f>VLOOKUP(A15,member!$A$5:$K$1300,3,FALSE)&amp;", "&amp;VLOOKUP(A15,member!$A$5:$K$1300,4,FALSE)</f>
        <v>Hinterwimmer, Sabine</v>
      </c>
      <c r="C15" s="146" t="str">
        <f>VLOOKUP(A15,member!$A$5:$K$1300,9,FALSE)</f>
        <v>BK München</v>
      </c>
      <c r="D15" s="146" t="str">
        <f>VLOOKUP(A15,member!$A$5:$K$1300,11,FALSE)</f>
        <v>MKV</v>
      </c>
    </row>
    <row r="16" spans="1:4" x14ac:dyDescent="0.35">
      <c r="A16" s="145">
        <v>7575</v>
      </c>
      <c r="B16" s="146" t="str">
        <f>VLOOKUP(A16,member!$A$5:$K$1300,3,FALSE)&amp;", "&amp;VLOOKUP(A16,member!$A$5:$K$1300,4,FALSE)</f>
        <v>Dozauer, Jessica</v>
      </c>
      <c r="C16" s="146" t="str">
        <f>VLOOKUP(A16,member!$A$5:$K$1300,9,FALSE)</f>
        <v>BK München</v>
      </c>
      <c r="D16" s="146" t="str">
        <f>VLOOKUP(A16,member!$A$5:$K$1300,11,FALSE)</f>
        <v>MKV</v>
      </c>
    </row>
    <row r="17" spans="1:4" x14ac:dyDescent="0.35">
      <c r="A17" s="145">
        <v>7574</v>
      </c>
      <c r="B17" s="146" t="str">
        <f>VLOOKUP(A17,member!$A$5:$K$1300,3,FALSE)&amp;", "&amp;VLOOKUP(A17,member!$A$5:$K$1300,4,FALSE)</f>
        <v>Clemenz, Brigitte</v>
      </c>
      <c r="C17" s="146" t="str">
        <f>VLOOKUP(A17,member!$A$5:$K$1300,9,FALSE)</f>
        <v>BK München</v>
      </c>
      <c r="D17" s="146" t="str">
        <f>VLOOKUP(A17,member!$A$5:$K$1300,11,FALSE)</f>
        <v>MKV</v>
      </c>
    </row>
    <row r="18" spans="1:4" x14ac:dyDescent="0.35">
      <c r="A18" s="145">
        <v>7576</v>
      </c>
      <c r="B18" s="146" t="str">
        <f>VLOOKUP(A18,member!$A$5:$K$1300,3,FALSE)&amp;", "&amp;VLOOKUP(A18,member!$A$5:$K$1300,4,FALSE)</f>
        <v>Laub, Angela</v>
      </c>
      <c r="C18" s="146" t="str">
        <f>VLOOKUP(A18,member!$A$5:$K$1300,9,FALSE)</f>
        <v>BK München</v>
      </c>
      <c r="D18" s="146" t="str">
        <f>VLOOKUP(A18,member!$A$5:$K$1300,11,FALSE)</f>
        <v>MKV</v>
      </c>
    </row>
    <row r="19" spans="1:4" x14ac:dyDescent="0.35">
      <c r="A19" s="145">
        <v>12850</v>
      </c>
      <c r="B19" s="146" t="str">
        <f>VLOOKUP(A19,member!$A$5:$K$1300,3,FALSE)&amp;", "&amp;VLOOKUP(A19,member!$A$5:$K$1300,4,FALSE)</f>
        <v>Müller, Angelika</v>
      </c>
      <c r="C19" s="146" t="str">
        <f>VLOOKUP(A19,member!$A$5:$K$1300,9,FALSE)</f>
        <v>BK München</v>
      </c>
      <c r="D19" s="146" t="str">
        <f>VLOOKUP(A19,member!$A$5:$K$1300,11,FALSE)</f>
        <v>MKV</v>
      </c>
    </row>
    <row r="20" spans="1:4" x14ac:dyDescent="0.35">
      <c r="A20" s="145">
        <v>16879</v>
      </c>
      <c r="B20" s="146" t="str">
        <f>VLOOKUP(A20,member!$A$5:$K$1300,3,FALSE)&amp;", "&amp;VLOOKUP(A20,member!$A$5:$K$1300,4,FALSE)</f>
        <v>Danzer, Andrea</v>
      </c>
      <c r="C20" s="146" t="str">
        <f>VLOOKUP(A20,member!$A$5:$K$1300,9,FALSE)</f>
        <v>BK München</v>
      </c>
      <c r="D20" s="146" t="str">
        <f>VLOOKUP(A20,member!$A$5:$K$1300,11,FALSE)</f>
        <v>MKV</v>
      </c>
    </row>
    <row r="21" spans="1:4" x14ac:dyDescent="0.35">
      <c r="A21" s="145">
        <v>7991</v>
      </c>
      <c r="B21" s="146" t="str">
        <f>VLOOKUP(A21,member!$A$5:$K$1300,3,FALSE)&amp;", "&amp;VLOOKUP(A21,member!$A$5:$K$1300,4,FALSE)</f>
        <v>Strahl, Pakwipa</v>
      </c>
      <c r="C21" s="146" t="str">
        <f>VLOOKUP(A21,member!$A$5:$K$1300,9,FALSE)</f>
        <v>BK München</v>
      </c>
      <c r="D21" s="146" t="str">
        <f>VLOOKUP(A21,member!$A$5:$K$1300,11,FALSE)</f>
        <v>MKV</v>
      </c>
    </row>
    <row r="22" spans="1:4" x14ac:dyDescent="0.35">
      <c r="A22" s="145">
        <v>7024</v>
      </c>
      <c r="B22" s="146" t="str">
        <f>VLOOKUP(A22,member!$A$5:$K$1300,3,FALSE)&amp;", "&amp;VLOOKUP(A22,member!$A$5:$K$1300,4,FALSE)</f>
        <v>Erben, Claudia</v>
      </c>
      <c r="C22" s="146" t="str">
        <f>VLOOKUP(A22,member!$A$5:$K$1300,9,FALSE)</f>
        <v>BK München</v>
      </c>
      <c r="D22" s="146" t="str">
        <f>VLOOKUP(A22,member!$A$5:$K$1300,11,FALSE)</f>
        <v>MKV</v>
      </c>
    </row>
    <row r="23" spans="1:4" x14ac:dyDescent="0.35">
      <c r="A23" s="145">
        <v>25298</v>
      </c>
      <c r="B23" s="146" t="str">
        <f>VLOOKUP(A23,member!$A$5:$K$1300,3,FALSE)&amp;", "&amp;VLOOKUP(A23,member!$A$5:$K$1300,4,FALSE)</f>
        <v>Auer, Cornelia</v>
      </c>
      <c r="C23" s="146" t="str">
        <f>VLOOKUP(A23,member!$A$5:$K$1300,9,FALSE)</f>
        <v>BSC Highroller Rosenheim</v>
      </c>
      <c r="D23" s="146" t="str">
        <f>VLOOKUP(A23,member!$A$5:$K$1300,11,FALSE)</f>
        <v>HRR</v>
      </c>
    </row>
    <row r="24" spans="1:4" x14ac:dyDescent="0.35">
      <c r="A24" s="145">
        <v>38757</v>
      </c>
      <c r="B24" s="146" t="str">
        <f>VLOOKUP(A24,member!$A$5:$K$1300,3,FALSE)&amp;", "&amp;VLOOKUP(A24,member!$A$5:$K$1300,4,FALSE)</f>
        <v>Schanze, Bianka</v>
      </c>
      <c r="C24" s="146" t="str">
        <f>VLOOKUP(A24,member!$A$5:$K$1300,9,FALSE)</f>
        <v>BSC Highroller Rosenheim</v>
      </c>
      <c r="D24" s="146" t="str">
        <f>VLOOKUP(A24,member!$A$5:$K$1300,11,FALSE)</f>
        <v>HRR</v>
      </c>
    </row>
    <row r="25" spans="1:4" x14ac:dyDescent="0.35">
      <c r="A25" s="145">
        <v>25630</v>
      </c>
      <c r="B25" s="146" t="str">
        <f>VLOOKUP(A25,member!$A$5:$K$1300,3,FALSE)&amp;", "&amp;VLOOKUP(A25,member!$A$5:$K$1300,4,FALSE)</f>
        <v>Groll, Hanni</v>
      </c>
      <c r="C25" s="146" t="str">
        <f>VLOOKUP(A25,member!$A$5:$K$1300,9,FALSE)</f>
        <v>BSC Highroller Rosenheim</v>
      </c>
      <c r="D25" s="146" t="str">
        <f>VLOOKUP(A25,member!$A$5:$K$1300,11,FALSE)</f>
        <v>HRR</v>
      </c>
    </row>
    <row r="26" spans="1:4" x14ac:dyDescent="0.35">
      <c r="A26" s="145">
        <v>38758</v>
      </c>
      <c r="B26" s="146" t="str">
        <f>VLOOKUP(A26,member!$A$5:$K$1300,3,FALSE)&amp;", "&amp;VLOOKUP(A26,member!$A$5:$K$1300,4,FALSE)</f>
        <v>Rauscher, Julia</v>
      </c>
      <c r="C26" s="146" t="str">
        <f>VLOOKUP(A26,member!$A$5:$K$1300,9,FALSE)</f>
        <v>BSC Highroller Rosenheim</v>
      </c>
      <c r="D26" s="146" t="str">
        <f>VLOOKUP(A26,member!$A$5:$K$1300,11,FALSE)</f>
        <v>HRR</v>
      </c>
    </row>
    <row r="27" spans="1:4" x14ac:dyDescent="0.35">
      <c r="A27" s="145">
        <v>7754</v>
      </c>
      <c r="B27" s="146" t="str">
        <f>VLOOKUP(A27,member!$A$5:$K$1300,3,FALSE)&amp;", "&amp;VLOOKUP(A27,member!$A$5:$K$1300,4,FALSE)</f>
        <v>Dietrich, Ursula</v>
      </c>
      <c r="C27" s="146" t="str">
        <f>VLOOKUP(A27,member!$A$5:$K$1300,9,FALSE)</f>
        <v>BC Frankenpower</v>
      </c>
      <c r="D27" s="146" t="str">
        <f>VLOOKUP(A27,member!$A$5:$K$1300,11,FALSE)</f>
        <v>BCN</v>
      </c>
    </row>
    <row r="28" spans="1:4" x14ac:dyDescent="0.35">
      <c r="A28" s="145">
        <v>7753</v>
      </c>
      <c r="B28" s="146" t="str">
        <f>VLOOKUP(A28,member!$A$5:$K$1300,3,FALSE)&amp;", "&amp;VLOOKUP(A28,member!$A$5:$K$1300,4,FALSE)</f>
        <v>Krämer, Gisela</v>
      </c>
      <c r="C28" s="146" t="str">
        <f>VLOOKUP(A28,member!$A$5:$K$1300,9,FALSE)</f>
        <v>BC Frankenpower</v>
      </c>
      <c r="D28" s="146" t="str">
        <f>VLOOKUP(A28,member!$A$5:$K$1300,11,FALSE)</f>
        <v>BCN</v>
      </c>
    </row>
    <row r="29" spans="1:4" x14ac:dyDescent="0.35">
      <c r="A29" s="145">
        <v>7758</v>
      </c>
      <c r="B29" s="146" t="str">
        <f>VLOOKUP(A29,member!$A$5:$K$1300,3,FALSE)&amp;", "&amp;VLOOKUP(A29,member!$A$5:$K$1300,4,FALSE)</f>
        <v>Deinlein, Christine</v>
      </c>
      <c r="C29" s="146" t="str">
        <f>VLOOKUP(A29,member!$A$5:$K$1300,9,FALSE)</f>
        <v>BC Frankenpower</v>
      </c>
      <c r="D29" s="146" t="str">
        <f>VLOOKUP(A29,member!$A$5:$K$1300,11,FALSE)</f>
        <v>BCN</v>
      </c>
    </row>
    <row r="30" spans="1:4" x14ac:dyDescent="0.35">
      <c r="A30" s="145">
        <v>7757</v>
      </c>
      <c r="B30" s="146" t="str">
        <f>VLOOKUP(A30,member!$A$5:$K$1300,3,FALSE)&amp;", "&amp;VLOOKUP(A30,member!$A$5:$K$1300,4,FALSE)</f>
        <v>Legl, Renate</v>
      </c>
      <c r="C30" s="146" t="str">
        <f>VLOOKUP(A30,member!$A$5:$K$1300,9,FALSE)</f>
        <v>BC Frankenpower</v>
      </c>
      <c r="D30" s="146" t="str">
        <f>VLOOKUP(A30,member!$A$5:$K$1300,11,FALSE)</f>
        <v>BCN</v>
      </c>
    </row>
    <row r="31" spans="1:4" x14ac:dyDescent="0.35">
      <c r="A31" s="145">
        <v>38560</v>
      </c>
      <c r="B31" s="146" t="str">
        <f>VLOOKUP(A31,member!$A$5:$K$1300,3,FALSE)&amp;", "&amp;VLOOKUP(A31,member!$A$5:$K$1300,4,FALSE)</f>
        <v>Reng, Verena</v>
      </c>
      <c r="C31" s="146" t="str">
        <f>VLOOKUP(A31,member!$A$5:$K$1300,9,FALSE)</f>
        <v>BC Frankenpower</v>
      </c>
      <c r="D31" s="146" t="str">
        <f>VLOOKUP(A31,member!$A$5:$K$1300,11,FALSE)</f>
        <v>BCN</v>
      </c>
    </row>
    <row r="32" spans="1:4" x14ac:dyDescent="0.35">
      <c r="A32" s="145">
        <v>7755</v>
      </c>
      <c r="B32" s="146" t="str">
        <f>VLOOKUP(A32,member!$A$5:$K$1300,3,FALSE)&amp;", "&amp;VLOOKUP(A32,member!$A$5:$K$1300,4,FALSE)</f>
        <v>Rückel, Petra</v>
      </c>
      <c r="C32" s="146" t="str">
        <f>VLOOKUP(A32,member!$A$5:$K$1300,9,FALSE)</f>
        <v>BC Frankenpower</v>
      </c>
      <c r="D32" s="146" t="str">
        <f>VLOOKUP(A32,member!$A$5:$K$1300,11,FALSE)</f>
        <v>BCN</v>
      </c>
    </row>
    <row r="33" spans="1:4" x14ac:dyDescent="0.35">
      <c r="A33" s="145">
        <v>7676</v>
      </c>
      <c r="B33" s="146" t="str">
        <f>VLOOKUP(A33,member!$A$5:$K$1300,3,FALSE)&amp;", "&amp;VLOOKUP(A33,member!$A$5:$K$1300,4,FALSE)</f>
        <v>Jäger, Karin</v>
      </c>
      <c r="C33" s="146" t="str">
        <f>VLOOKUP(A33,member!$A$5:$K$1300,9,FALSE)</f>
        <v>BC E.P.A. München</v>
      </c>
      <c r="D33" s="146" t="str">
        <f>VLOOKUP(A33,member!$A$5:$K$1300,11,FALSE)</f>
        <v>MKV</v>
      </c>
    </row>
    <row r="34" spans="1:4" x14ac:dyDescent="0.35">
      <c r="A34" s="145">
        <v>16804</v>
      </c>
      <c r="B34" s="146" t="str">
        <f>VLOOKUP(A34,member!$A$5:$K$1300,3,FALSE)&amp;", "&amp;VLOOKUP(A34,member!$A$5:$K$1300,4,FALSE)</f>
        <v>Bruns, Renate</v>
      </c>
      <c r="C34" s="146" t="str">
        <f>VLOOKUP(A34,member!$A$5:$K$1300,9,FALSE)</f>
        <v>BC E.P.A. München</v>
      </c>
      <c r="D34" s="146" t="str">
        <f>VLOOKUP(A34,member!$A$5:$K$1300,11,FALSE)</f>
        <v>MKV</v>
      </c>
    </row>
    <row r="35" spans="1:4" x14ac:dyDescent="0.35">
      <c r="A35" s="145">
        <v>7978</v>
      </c>
      <c r="B35" s="146" t="str">
        <f>VLOOKUP(A35,member!$A$5:$K$1300,3,FALSE)&amp;", "&amp;VLOOKUP(A35,member!$A$5:$K$1300,4,FALSE)</f>
        <v>Schaschl, Margit</v>
      </c>
      <c r="C35" s="146" t="str">
        <f>VLOOKUP(A35,member!$A$5:$K$1300,9,FALSE)</f>
        <v>BC E.P.A. München</v>
      </c>
      <c r="D35" s="146" t="str">
        <f>VLOOKUP(A35,member!$A$5:$K$1300,11,FALSE)</f>
        <v>MKV</v>
      </c>
    </row>
    <row r="36" spans="1:4" x14ac:dyDescent="0.35">
      <c r="A36" s="145">
        <v>16029</v>
      </c>
      <c r="B36" s="146" t="str">
        <f>VLOOKUP(A36,member!$A$5:$K$1300,3,FALSE)&amp;", "&amp;VLOOKUP(A36,member!$A$5:$K$1300,4,FALSE)</f>
        <v>Wiedl, Edeltraud</v>
      </c>
      <c r="C36" s="146" t="str">
        <f>VLOOKUP(A36,member!$A$5:$K$1300,9,FALSE)</f>
        <v>BC E.P.A. München</v>
      </c>
      <c r="D36" s="146" t="str">
        <f>VLOOKUP(A36,member!$A$5:$K$1300,11,FALSE)</f>
        <v>MKV</v>
      </c>
    </row>
    <row r="37" spans="1:4" x14ac:dyDescent="0.35">
      <c r="A37" s="145">
        <v>7082</v>
      </c>
      <c r="B37" s="146" t="str">
        <f>VLOOKUP(A37,member!$A$5:$K$1300,3,FALSE)&amp;", "&amp;VLOOKUP(A37,member!$A$5:$K$1300,4,FALSE)</f>
        <v>Faßold, Ruth</v>
      </c>
      <c r="C37" s="146" t="str">
        <f>VLOOKUP(A37,member!$A$5:$K$1300,9,FALSE)</f>
        <v>BC E.P.A. München</v>
      </c>
      <c r="D37" s="146" t="str">
        <f>VLOOKUP(A37,member!$A$5:$K$1300,11,FALSE)</f>
        <v>MKV</v>
      </c>
    </row>
    <row r="38" spans="1:4" x14ac:dyDescent="0.35">
      <c r="A38" s="145">
        <v>16700</v>
      </c>
      <c r="B38" s="146" t="str">
        <f>VLOOKUP(A38,member!$A$5:$K$1300,3,FALSE)&amp;", "&amp;VLOOKUP(A38,member!$A$5:$K$1300,4,FALSE)</f>
        <v>Obeth, Gudrun</v>
      </c>
      <c r="C38" s="146" t="str">
        <f>VLOOKUP(A38,member!$A$5:$K$1300,9,FALSE)</f>
        <v>BC E.P.A. München</v>
      </c>
      <c r="D38" s="146" t="str">
        <f>VLOOKUP(A38,member!$A$5:$K$1300,11,FALSE)</f>
        <v>MKV</v>
      </c>
    </row>
    <row r="39" spans="1:4" x14ac:dyDescent="0.35">
      <c r="A39" s="145">
        <v>38737</v>
      </c>
      <c r="B39" s="146" t="str">
        <f>VLOOKUP(A39,member!$A$5:$K$1300,3,FALSE)&amp;", "&amp;VLOOKUP(A39,member!$A$5:$K$1300,4,FALSE)</f>
        <v>Doll, Hannelore</v>
      </c>
      <c r="C39" s="146" t="str">
        <f>VLOOKUP(A39,member!$A$5:$K$1300,9,FALSE)</f>
        <v>BC E.P.A. München</v>
      </c>
      <c r="D39" s="146" t="str">
        <f>VLOOKUP(A39,member!$A$5:$K$1300,11,FALSE)</f>
        <v>MKV</v>
      </c>
    </row>
    <row r="40" spans="1:4" x14ac:dyDescent="0.35">
      <c r="A40" s="145">
        <v>7752</v>
      </c>
      <c r="B40" s="146" t="str">
        <f>VLOOKUP(A40,member!$A$5:$K$1300,3,FALSE)&amp;", "&amp;VLOOKUP(A40,member!$A$5:$K$1300,4,FALSE)</f>
        <v>Treffke, Helga</v>
      </c>
      <c r="C40" s="146" t="str">
        <f>VLOOKUP(A40,member!$A$5:$K$1300,9,FALSE)</f>
        <v>BC E.P.A. München</v>
      </c>
      <c r="D40" s="146" t="str">
        <f>VLOOKUP(A40,member!$A$5:$K$1300,11,FALSE)</f>
        <v>MKV</v>
      </c>
    </row>
    <row r="41" spans="1:4" x14ac:dyDescent="0.35">
      <c r="A41" s="145">
        <v>25397</v>
      </c>
      <c r="B41" s="146" t="str">
        <f>VLOOKUP(A41,member!$A$5:$K$1300,3,FALSE)&amp;", "&amp;VLOOKUP(A41,member!$A$5:$K$1300,4,FALSE)</f>
        <v>Weninger, Diana</v>
      </c>
      <c r="C41" s="146" t="str">
        <f>VLOOKUP(A41,member!$A$5:$K$1300,9,FALSE)</f>
        <v>BC E.P.A. München</v>
      </c>
      <c r="D41" s="146" t="str">
        <f>VLOOKUP(A41,member!$A$5:$K$1300,11,FALSE)</f>
        <v>MKV</v>
      </c>
    </row>
    <row r="42" spans="1:4" x14ac:dyDescent="0.35">
      <c r="A42" s="145">
        <v>38061</v>
      </c>
      <c r="B42" s="146" t="str">
        <f>VLOOKUP(A42,member!$A$5:$K$1300,3,FALSE)&amp;", "&amp;VLOOKUP(A42,member!$A$5:$K$1300,4,FALSE)</f>
        <v>Heide, Michelle</v>
      </c>
      <c r="C42" s="146" t="str">
        <f>VLOOKUP(A42,member!$A$5:$K$1300,9,FALSE)</f>
        <v>BC E.P.A. München</v>
      </c>
      <c r="D42" s="146" t="str">
        <f>VLOOKUP(A42,member!$A$5:$K$1300,11,FALSE)</f>
        <v>MKV</v>
      </c>
    </row>
    <row r="43" spans="1:4" x14ac:dyDescent="0.35">
      <c r="A43" s="145">
        <v>7431</v>
      </c>
      <c r="B43" s="146" t="str">
        <f>VLOOKUP(A43,member!$A$5:$K$1300,3,FALSE)&amp;", "&amp;VLOOKUP(A43,member!$A$5:$K$1300,4,FALSE)</f>
        <v>Denz, Angelika</v>
      </c>
      <c r="C43" s="146" t="str">
        <f>VLOOKUP(A43,member!$A$5:$K$1300,9,FALSE)</f>
        <v>BF Weiß-Blau</v>
      </c>
      <c r="D43" s="146" t="str">
        <f>VLOOKUP(A43,member!$A$5:$K$1300,11,FALSE)</f>
        <v>BVU</v>
      </c>
    </row>
    <row r="44" spans="1:4" x14ac:dyDescent="0.35">
      <c r="A44" s="145">
        <v>7087</v>
      </c>
      <c r="B44" s="146" t="str">
        <f>VLOOKUP(A44,member!$A$5:$K$1300,3,FALSE)&amp;", "&amp;VLOOKUP(A44,member!$A$5:$K$1300,4,FALSE)</f>
        <v>Albert, Beate</v>
      </c>
      <c r="C44" s="146" t="str">
        <f>VLOOKUP(A44,member!$A$5:$K$1300,9,FALSE)</f>
        <v>BF Weiß-Blau</v>
      </c>
      <c r="D44" s="146" t="str">
        <f>VLOOKUP(A44,member!$A$5:$K$1300,11,FALSE)</f>
        <v>BVU</v>
      </c>
    </row>
    <row r="45" spans="1:4" x14ac:dyDescent="0.35">
      <c r="A45" s="145">
        <v>16414</v>
      </c>
      <c r="B45" s="146" t="str">
        <f>VLOOKUP(A45,member!$A$5:$K$1300,3,FALSE)&amp;", "&amp;VLOOKUP(A45,member!$A$5:$K$1300,4,FALSE)</f>
        <v>Dornacher, Hannelore</v>
      </c>
      <c r="C45" s="146" t="str">
        <f>VLOOKUP(A45,member!$A$5:$K$1300,9,FALSE)</f>
        <v>BF Weiß-Blau</v>
      </c>
      <c r="D45" s="146" t="str">
        <f>VLOOKUP(A45,member!$A$5:$K$1300,11,FALSE)</f>
        <v>BVU</v>
      </c>
    </row>
    <row r="46" spans="1:4" x14ac:dyDescent="0.35">
      <c r="A46" s="145">
        <v>16713</v>
      </c>
      <c r="B46" s="146" t="str">
        <f>VLOOKUP(A46,member!$A$5:$K$1300,3,FALSE)&amp;", "&amp;VLOOKUP(A46,member!$A$5:$K$1300,4,FALSE)</f>
        <v>Fröhlich, Heidemarie</v>
      </c>
      <c r="C46" s="146" t="str">
        <f>VLOOKUP(A46,member!$A$5:$K$1300,9,FALSE)</f>
        <v>BF Weiß-Blau</v>
      </c>
      <c r="D46" s="146" t="str">
        <f>VLOOKUP(A46,member!$A$5:$K$1300,11,FALSE)</f>
        <v>BVU</v>
      </c>
    </row>
    <row r="47" spans="1:4" x14ac:dyDescent="0.35">
      <c r="A47" s="145">
        <v>7541</v>
      </c>
      <c r="B47" s="146" t="str">
        <f>VLOOKUP(A47,member!$A$5:$K$1300,3,FALSE)&amp;", "&amp;VLOOKUP(A47,member!$A$5:$K$1300,4,FALSE)</f>
        <v>Hessling, Heide</v>
      </c>
      <c r="C47" s="146" t="str">
        <f>VLOOKUP(A47,member!$A$5:$K$1300,9,FALSE)</f>
        <v>BF Weiß-Blau</v>
      </c>
      <c r="D47" s="146" t="str">
        <f>VLOOKUP(A47,member!$A$5:$K$1300,11,FALSE)</f>
        <v>BVU</v>
      </c>
    </row>
    <row r="48" spans="1:4" x14ac:dyDescent="0.35">
      <c r="A48" s="145">
        <v>7546</v>
      </c>
      <c r="B48" s="146" t="str">
        <f>VLOOKUP(A48,member!$A$5:$K$1300,3,FALSE)&amp;", "&amp;VLOOKUP(A48,member!$A$5:$K$1300,4,FALSE)</f>
        <v>Mc Fadden, Brigitte</v>
      </c>
      <c r="C48" s="146" t="str">
        <f>VLOOKUP(A48,member!$A$5:$K$1300,9,FALSE)</f>
        <v>BF Weiß-Blau</v>
      </c>
      <c r="D48" s="146" t="str">
        <f>VLOOKUP(A48,member!$A$5:$K$1300,11,FALSE)</f>
        <v>BVU</v>
      </c>
    </row>
    <row r="49" spans="1:4" x14ac:dyDescent="0.35">
      <c r="A49" s="145">
        <v>16953</v>
      </c>
      <c r="B49" s="146" t="str">
        <f>VLOOKUP(A49,member!$A$5:$K$1300,3,FALSE)&amp;", "&amp;VLOOKUP(A49,member!$A$5:$K$1300,4,FALSE)</f>
        <v>Reinhardt, Bianca</v>
      </c>
      <c r="C49" s="146" t="str">
        <f>VLOOKUP(A49,member!$A$5:$K$1300,9,FALSE)</f>
        <v>BF Weiß-Blau</v>
      </c>
      <c r="D49" s="146" t="str">
        <f>VLOOKUP(A49,member!$A$5:$K$1300,11,FALSE)</f>
        <v>BVU</v>
      </c>
    </row>
    <row r="50" spans="1:4" x14ac:dyDescent="0.35">
      <c r="A50" s="145">
        <v>21185</v>
      </c>
      <c r="B50" s="146" t="str">
        <f>VLOOKUP(A50,member!$A$5:$K$1300,3,FALSE)&amp;", "&amp;VLOOKUP(A50,member!$A$5:$K$1300,4,FALSE)</f>
        <v>Richter, Petra</v>
      </c>
      <c r="C50" s="146" t="str">
        <f>VLOOKUP(A50,member!$A$5:$K$1300,9,FALSE)</f>
        <v>BF Weiß-Blau</v>
      </c>
      <c r="D50" s="146" t="str">
        <f>VLOOKUP(A50,member!$A$5:$K$1300,11,FALSE)</f>
        <v>BVU</v>
      </c>
    </row>
    <row r="51" spans="1:4" x14ac:dyDescent="0.35">
      <c r="A51" s="145">
        <v>7551</v>
      </c>
      <c r="B51" s="146" t="str">
        <f>VLOOKUP(A51,member!$A$5:$K$1300,3,FALSE)&amp;", "&amp;VLOOKUP(A51,member!$A$5:$K$1300,4,FALSE)</f>
        <v>Zehner, Gabriele</v>
      </c>
      <c r="C51" s="146" t="str">
        <f>VLOOKUP(A51,member!$A$5:$K$1300,9,FALSE)</f>
        <v>BF Weiß-Blau</v>
      </c>
      <c r="D51" s="146" t="str">
        <f>VLOOKUP(A51,member!$A$5:$K$1300,11,FALSE)</f>
        <v>BVU</v>
      </c>
    </row>
    <row r="52" spans="1:4" x14ac:dyDescent="0.35">
      <c r="A52" s="145">
        <v>16900</v>
      </c>
      <c r="B52" s="146" t="str">
        <f>VLOOKUP(A52,member!$A$5:$K$1300,3,FALSE)&amp;", "&amp;VLOOKUP(A52,member!$A$5:$K$1300,4,FALSE)</f>
        <v>Grom-Ruffershöfer, Ilse</v>
      </c>
      <c r="C52" s="146" t="str">
        <f>VLOOKUP(A52,member!$A$5:$K$1300,9,FALSE)</f>
        <v>BC Phönix 03 Lauf</v>
      </c>
      <c r="D52" s="146" t="str">
        <f>VLOOKUP(A52,member!$A$5:$K$1300,11,FALSE)</f>
        <v>LAU</v>
      </c>
    </row>
    <row r="53" spans="1:4" x14ac:dyDescent="0.35">
      <c r="A53" s="145">
        <v>7787</v>
      </c>
      <c r="B53" s="146" t="str">
        <f>VLOOKUP(A53,member!$A$5:$K$1300,3,FALSE)&amp;", "&amp;VLOOKUP(A53,member!$A$5:$K$1300,4,FALSE)</f>
        <v>Kleim, Helga</v>
      </c>
      <c r="C53" s="146" t="str">
        <f>VLOOKUP(A53,member!$A$5:$K$1300,9,FALSE)</f>
        <v>BC Phönix 03 Lauf</v>
      </c>
      <c r="D53" s="146" t="str">
        <f>VLOOKUP(A53,member!$A$5:$K$1300,11,FALSE)</f>
        <v>LAU</v>
      </c>
    </row>
    <row r="54" spans="1:4" x14ac:dyDescent="0.35">
      <c r="A54" s="145">
        <v>7786</v>
      </c>
      <c r="B54" s="146" t="str">
        <f>VLOOKUP(A54,member!$A$5:$K$1300,3,FALSE)&amp;", "&amp;VLOOKUP(A54,member!$A$5:$K$1300,4,FALSE)</f>
        <v>Reichel, Christina</v>
      </c>
      <c r="C54" s="146" t="str">
        <f>VLOOKUP(A54,member!$A$5:$K$1300,9,FALSE)</f>
        <v>BC Phönix 03 Lauf</v>
      </c>
      <c r="D54" s="146" t="str">
        <f>VLOOKUP(A54,member!$A$5:$K$1300,11,FALSE)</f>
        <v>LAU</v>
      </c>
    </row>
    <row r="55" spans="1:4" x14ac:dyDescent="0.35">
      <c r="A55" s="145">
        <v>7801</v>
      </c>
      <c r="B55" s="146" t="str">
        <f>VLOOKUP(A55,member!$A$5:$K$1300,3,FALSE)&amp;", "&amp;VLOOKUP(A55,member!$A$5:$K$1300,4,FALSE)</f>
        <v>Schuster, Katharina</v>
      </c>
      <c r="C55" s="146" t="str">
        <f>VLOOKUP(A55,member!$A$5:$K$1300,9,FALSE)</f>
        <v>BC Phönix 03 Lauf</v>
      </c>
      <c r="D55" s="146" t="str">
        <f>VLOOKUP(A55,member!$A$5:$K$1300,11,FALSE)</f>
        <v>LAU</v>
      </c>
    </row>
    <row r="56" spans="1:4" x14ac:dyDescent="0.35">
      <c r="A56" s="145">
        <v>25551</v>
      </c>
      <c r="B56" s="146" t="str">
        <f>VLOOKUP(A56,member!$A$5:$K$1300,3,FALSE)&amp;", "&amp;VLOOKUP(A56,member!$A$5:$K$1300,4,FALSE)</f>
        <v>Wahl, Alexandra</v>
      </c>
      <c r="C56" s="146" t="str">
        <f>VLOOKUP(A56,member!$A$5:$K$1300,9,FALSE)</f>
        <v>BF Rot-Weiß Lichtenhof 69</v>
      </c>
      <c r="D56" s="146" t="str">
        <f>VLOOKUP(A56,member!$A$5:$K$1300,11,FALSE)</f>
        <v>STE</v>
      </c>
    </row>
    <row r="57" spans="1:4" x14ac:dyDescent="0.35">
      <c r="A57" s="145">
        <v>25982</v>
      </c>
      <c r="B57" s="146" t="str">
        <f>VLOOKUP(A57,member!$A$5:$K$1300,3,FALSE)&amp;", "&amp;VLOOKUP(A57,member!$A$5:$K$1300,4,FALSE)</f>
        <v>Panek, Sandra</v>
      </c>
      <c r="C57" s="146" t="str">
        <f>VLOOKUP(A57,member!$A$5:$K$1300,9,FALSE)</f>
        <v>BF Rot-Weiß Lichtenhof 69</v>
      </c>
      <c r="D57" s="146" t="str">
        <f>VLOOKUP(A57,member!$A$5:$K$1300,11,FALSE)</f>
        <v>STE</v>
      </c>
    </row>
    <row r="58" spans="1:4" x14ac:dyDescent="0.35">
      <c r="A58" s="145">
        <v>38513</v>
      </c>
      <c r="B58" s="146" t="str">
        <f>VLOOKUP(A58,member!$A$5:$K$1300,3,FALSE)&amp;", "&amp;VLOOKUP(A58,member!$A$5:$K$1300,4,FALSE)</f>
        <v>Thöne, Melanie</v>
      </c>
      <c r="C58" s="146" t="str">
        <f>VLOOKUP(A58,member!$A$5:$K$1300,9,FALSE)</f>
        <v>BF Rot-Weiß Lichtenhof 69</v>
      </c>
      <c r="D58" s="146" t="str">
        <f>VLOOKUP(A58,member!$A$5:$K$1300,11,FALSE)</f>
        <v>STE</v>
      </c>
    </row>
    <row r="59" spans="1:4" x14ac:dyDescent="0.35">
      <c r="A59" s="145">
        <v>7972</v>
      </c>
      <c r="B59" s="146" t="str">
        <f>VLOOKUP(A59,member!$A$5:$K$1300,3,FALSE)&amp;", "&amp;VLOOKUP(A59,member!$A$5:$K$1300,4,FALSE)</f>
        <v>Hödl, Renate</v>
      </c>
      <c r="C59" s="146" t="str">
        <f>VLOOKUP(A59,member!$A$5:$K$1300,9,FALSE)</f>
        <v>BF Rot-Weiß Lichtenhof 69</v>
      </c>
      <c r="D59" s="146" t="str">
        <f>VLOOKUP(A59,member!$A$5:$K$1300,11,FALSE)</f>
        <v>STE</v>
      </c>
    </row>
    <row r="60" spans="1:4" x14ac:dyDescent="0.35">
      <c r="A60" s="145">
        <v>7976</v>
      </c>
      <c r="B60" s="146" t="str">
        <f>VLOOKUP(A60,member!$A$5:$K$1300,3,FALSE)&amp;", "&amp;VLOOKUP(A60,member!$A$5:$K$1300,4,FALSE)</f>
        <v>Martisko, Petra</v>
      </c>
      <c r="C60" s="146" t="str">
        <f>VLOOKUP(A60,member!$A$5:$K$1300,9,FALSE)</f>
        <v>BF Rot-Weiß Lichtenhof 69</v>
      </c>
      <c r="D60" s="146" t="str">
        <f>VLOOKUP(A60,member!$A$5:$K$1300,11,FALSE)</f>
        <v>STE</v>
      </c>
    </row>
    <row r="61" spans="1:4" x14ac:dyDescent="0.35">
      <c r="A61" s="145">
        <v>7977</v>
      </c>
      <c r="B61" s="146" t="str">
        <f>VLOOKUP(A61,member!$A$5:$K$1300,3,FALSE)&amp;", "&amp;VLOOKUP(A61,member!$A$5:$K$1300,4,FALSE)</f>
        <v>Boch-Jackson, Heike</v>
      </c>
      <c r="C61" s="146" t="str">
        <f>VLOOKUP(A61,member!$A$5:$K$1300,9,FALSE)</f>
        <v>BF Rot-Weiß Lichtenhof 69</v>
      </c>
      <c r="D61" s="146" t="str">
        <f>VLOOKUP(A61,member!$A$5:$K$1300,11,FALSE)</f>
        <v>STE</v>
      </c>
    </row>
    <row r="62" spans="1:4" x14ac:dyDescent="0.35">
      <c r="A62" s="145">
        <v>7975</v>
      </c>
      <c r="B62" s="146" t="str">
        <f>VLOOKUP(A62,member!$A$5:$K$1300,3,FALSE)&amp;", "&amp;VLOOKUP(A62,member!$A$5:$K$1300,4,FALSE)</f>
        <v>Rauch, Gabriele</v>
      </c>
      <c r="C62" s="146" t="str">
        <f>VLOOKUP(A62,member!$A$5:$K$1300,9,FALSE)</f>
        <v>BF Rot-Weiß Lichtenhof 69</v>
      </c>
      <c r="D62" s="146" t="str">
        <f>VLOOKUP(A62,member!$A$5:$K$1300,11,FALSE)</f>
        <v>STE</v>
      </c>
    </row>
    <row r="63" spans="1:4" x14ac:dyDescent="0.35">
      <c r="A63" s="145">
        <v>16475</v>
      </c>
      <c r="B63" s="146" t="str">
        <f>VLOOKUP(A63,member!$A$5:$K$1300,3,FALSE)&amp;", "&amp;VLOOKUP(A63,member!$A$5:$K$1300,4,FALSE)</f>
        <v>Lim, Chet Mui</v>
      </c>
      <c r="C63" s="146" t="str">
        <f>VLOOKUP(A63,member!$A$5:$K$1300,9,FALSE)</f>
        <v>BF Rot-Weiß Lichtenhof 69</v>
      </c>
      <c r="D63" s="146" t="str">
        <f>VLOOKUP(A63,member!$A$5:$K$1300,11,FALSE)</f>
        <v>STE</v>
      </c>
    </row>
    <row r="64" spans="1:4" x14ac:dyDescent="0.35">
      <c r="A64" s="145">
        <v>38458</v>
      </c>
      <c r="B64" s="146" t="str">
        <f>VLOOKUP(A64,member!$A$5:$K$1300,3,FALSE)&amp;", "&amp;VLOOKUP(A64,member!$A$5:$K$1300,4,FALSE)</f>
        <v>Lindner, Theresa</v>
      </c>
      <c r="C64" s="146" t="str">
        <f>VLOOKUP(A64,member!$A$5:$K$1300,9,FALSE)</f>
        <v>BSC Highroller Rosenheim</v>
      </c>
      <c r="D64" s="146" t="str">
        <f>VLOOKUP(A64,member!$A$5:$K$1300,11,FALSE)</f>
        <v>HRR</v>
      </c>
    </row>
    <row r="65" spans="1:4" ht="13.15" x14ac:dyDescent="0.4">
      <c r="A65" s="191">
        <v>25808</v>
      </c>
      <c r="B65" s="146" t="str">
        <f>VLOOKUP(A65,member!$A$5:$K$1300,3,FALSE)&amp;", "&amp;VLOOKUP(A65,member!$A$5:$K$1300,4,FALSE)</f>
        <v>Dietrich, Ulrike</v>
      </c>
      <c r="C65" s="146" t="str">
        <f>VLOOKUP(A65,member!$A$5:$K$1300,9,FALSE)</f>
        <v>BC Olching '07</v>
      </c>
      <c r="D65" s="146" t="str">
        <f>VLOOKUP(A65,member!$A$5:$K$1300,11,FALSE)</f>
        <v>MKV</v>
      </c>
    </row>
    <row r="66" spans="1:4" x14ac:dyDescent="0.35">
      <c r="A66" s="145">
        <v>38210</v>
      </c>
      <c r="B66" s="146" t="str">
        <f>VLOOKUP(A66,member!$A$5:$K$1300,3,FALSE)&amp;", "&amp;VLOOKUP(A66,member!$A$5:$K$1300,4,FALSE)</f>
        <v>Kulzer, Katharina</v>
      </c>
      <c r="C66" s="146" t="str">
        <f>VLOOKUP(A66,member!$A$5:$K$1300,9,FALSE)</f>
        <v>BC Phönix 03 Lauf</v>
      </c>
      <c r="D66" s="146" t="str">
        <f>VLOOKUP(A66,member!$A$5:$K$1300,11,FALSE)</f>
        <v>LAU</v>
      </c>
    </row>
    <row r="67" spans="1:4" x14ac:dyDescent="0.35">
      <c r="A67" s="145">
        <v>7549</v>
      </c>
      <c r="B67" s="146" t="str">
        <f>VLOOKUP(A67,member!$A$5:$K$1300,3,FALSE)&amp;", "&amp;VLOOKUP(A67,member!$A$5:$K$1300,4,FALSE)</f>
        <v>Hernitschek, Angelika</v>
      </c>
      <c r="C67" s="146" t="str">
        <f>VLOOKUP(A67,member!$A$5:$K$1300,9,FALSE)</f>
        <v>BC E.P.A. München</v>
      </c>
      <c r="D67" s="146" t="str">
        <f>VLOOKUP(A67,member!$A$5:$K$1300,11,FALSE)</f>
        <v>MKV</v>
      </c>
    </row>
    <row r="68" spans="1:4" x14ac:dyDescent="0.35">
      <c r="A68" s="145">
        <v>25192</v>
      </c>
      <c r="B68" s="146" t="str">
        <f>VLOOKUP(A68,member!$A$5:$K$1300,3,FALSE)&amp;", "&amp;VLOOKUP(A68,member!$A$5:$K$1300,4,FALSE)</f>
        <v>Bess, Vanessa</v>
      </c>
      <c r="C68" s="146" t="str">
        <f>VLOOKUP(A68,member!$A$5:$K$1300,9,FALSE)</f>
        <v>BC E.P.A. München</v>
      </c>
      <c r="D68" s="146" t="str">
        <f>VLOOKUP(A68,member!$A$5:$K$1300,11,FALSE)</f>
        <v>MKV</v>
      </c>
    </row>
    <row r="69" spans="1:4" x14ac:dyDescent="0.35">
      <c r="A69" s="145">
        <v>25714</v>
      </c>
      <c r="B69" s="146" t="str">
        <f>VLOOKUP(A69,member!$A$5:$K$1300,3,FALSE)&amp;", "&amp;VLOOKUP(A69,member!$A$5:$K$1300,4,FALSE)</f>
        <v>Schulz, Carolin</v>
      </c>
      <c r="C69" s="146" t="str">
        <f>VLOOKUP(A69,member!$A$5:$K$1300,9,FALSE)</f>
        <v>BC E.P.A. München</v>
      </c>
      <c r="D69" s="146" t="str">
        <f>VLOOKUP(A69,member!$A$5:$K$1300,11,FALSE)</f>
        <v>MKV</v>
      </c>
    </row>
    <row r="70" spans="1:4" x14ac:dyDescent="0.35">
      <c r="A70" s="145">
        <v>7534</v>
      </c>
      <c r="B70" s="146" t="str">
        <f>VLOOKUP(A70,member!$A$5:$K$1300,3,FALSE)&amp;", "&amp;VLOOKUP(A70,member!$A$5:$K$1300,4,FALSE)</f>
        <v>Lieb, Anja</v>
      </c>
      <c r="C70" s="146" t="str">
        <f>VLOOKUP(A70,member!$A$5:$K$1300,9,FALSE)</f>
        <v>BC E.P.A. München</v>
      </c>
      <c r="D70" s="146" t="str">
        <f>VLOOKUP(A70,member!$A$5:$K$1300,11,FALSE)</f>
        <v>MKV</v>
      </c>
    </row>
    <row r="71" spans="1:4" x14ac:dyDescent="0.35">
      <c r="A71" s="145">
        <v>38289</v>
      </c>
      <c r="B71" s="146" t="str">
        <f>VLOOKUP(A71,member!$A$5:$K$1300,3,FALSE)&amp;", "&amp;VLOOKUP(A71,member!$A$5:$K$1300,4,FALSE)</f>
        <v>Kirschke, Sandra</v>
      </c>
      <c r="C71" s="146" t="str">
        <f>VLOOKUP(A71,member!$A$5:$K$1300,9,FALSE)</f>
        <v>BC LA Bowling</v>
      </c>
      <c r="D71" s="146" t="str">
        <f>VLOOKUP(A71,member!$A$5:$K$1300,11,FALSE)</f>
        <v>LAB</v>
      </c>
    </row>
    <row r="72" spans="1:4" x14ac:dyDescent="0.35">
      <c r="A72" s="145">
        <v>25347</v>
      </c>
      <c r="B72" s="146" t="str">
        <f>VLOOKUP(A72,member!$A$5:$K$1300,3,FALSE)&amp;", "&amp;VLOOKUP(A72,member!$A$5:$K$1300,4,FALSE)</f>
        <v>Schulz-Burkert, Roswitha</v>
      </c>
      <c r="C72" s="146" t="str">
        <f>VLOOKUP(A72,member!$A$5:$K$1300,9,FALSE)</f>
        <v>BC Phönix 03 Lauf</v>
      </c>
      <c r="D72" s="146" t="str">
        <f>VLOOKUP(A72,member!$A$5:$K$1300,11,FALSE)</f>
        <v>LAU</v>
      </c>
    </row>
    <row r="73" spans="1:4" x14ac:dyDescent="0.35">
      <c r="A73" s="145">
        <v>38607</v>
      </c>
      <c r="B73" s="146" t="str">
        <f>VLOOKUP(A73,member!$A$5:$K$1300,3,FALSE)&amp;", "&amp;VLOOKUP(A73,member!$A$5:$K$1300,4,FALSE)</f>
        <v>Jenke, Sandra</v>
      </c>
      <c r="C73" s="146" t="str">
        <f>VLOOKUP(A73,member!$A$5:$K$1300,9,FALSE)</f>
        <v>BC Phönix 03 Lauf</v>
      </c>
      <c r="D73" s="146" t="str">
        <f>VLOOKUP(A73,member!$A$5:$K$1300,11,FALSE)</f>
        <v>LAU</v>
      </c>
    </row>
    <row r="74" spans="1:4" x14ac:dyDescent="0.35">
      <c r="A74" s="145"/>
      <c r="B74" s="146" t="e">
        <f>VLOOKUP(A74,member!$A$5:$K$1300,3,FALSE)&amp;", "&amp;VLOOKUP(A74,member!$A$5:$K$1300,4,FALSE)</f>
        <v>#N/A</v>
      </c>
      <c r="C74" s="146" t="e">
        <f>VLOOKUP(A74,member!$A$5:$K$1300,9,FALSE)</f>
        <v>#N/A</v>
      </c>
      <c r="D74" s="146" t="e">
        <f>VLOOKUP(A74,member!$A$5:$K$1300,11,FALSE)</f>
        <v>#N/A</v>
      </c>
    </row>
    <row r="75" spans="1:4" x14ac:dyDescent="0.35">
      <c r="A75" s="145"/>
      <c r="B75" s="146" t="e">
        <f>VLOOKUP(A75,member!$A$5:$K$1300,3,FALSE)&amp;", "&amp;VLOOKUP(A75,member!$A$5:$K$1300,4,FALSE)</f>
        <v>#N/A</v>
      </c>
      <c r="C75" s="146" t="e">
        <f>VLOOKUP(A75,member!$A$5:$K$1300,9,FALSE)</f>
        <v>#N/A</v>
      </c>
      <c r="D75" s="146" t="e">
        <f>VLOOKUP(A75,member!$A$5:$K$1300,11,FALSE)</f>
        <v>#N/A</v>
      </c>
    </row>
    <row r="76" spans="1:4" x14ac:dyDescent="0.35">
      <c r="B76" s="146" t="e">
        <f>VLOOKUP(A76,member!$A$5:$K$1300,3,FALSE)&amp;", "&amp;VLOOKUP(A76,member!$A$5:$K$1300,4,FALSE)</f>
        <v>#N/A</v>
      </c>
      <c r="C76" s="146" t="e">
        <f>VLOOKUP(A76,member!$A$5:$K$1300,9,FALSE)</f>
        <v>#N/A</v>
      </c>
      <c r="D76" s="146" t="e">
        <f>VLOOKUP(A76,member!$A$5:$K$1300,11,FALSE)</f>
        <v>#N/A</v>
      </c>
    </row>
    <row r="77" spans="1:4" x14ac:dyDescent="0.35">
      <c r="B77" s="146" t="e">
        <f>VLOOKUP(A77,member!$A$5:$K$1300,3,FALSE)&amp;", "&amp;VLOOKUP(A77,member!$A$5:$K$1300,4,FALSE)</f>
        <v>#N/A</v>
      </c>
      <c r="C77" s="146" t="e">
        <f>VLOOKUP(A77,member!$A$5:$K$1300,9,FALSE)</f>
        <v>#N/A</v>
      </c>
      <c r="D77" s="146" t="e">
        <f>VLOOKUP(A77,member!$A$5:$K$1300,11,FALSE)</f>
        <v>#N/A</v>
      </c>
    </row>
    <row r="78" spans="1:4" x14ac:dyDescent="0.35">
      <c r="B78" s="146" t="e">
        <f>VLOOKUP(A78,member!$A$5:$K$1300,3,FALSE)&amp;", "&amp;VLOOKUP(A78,member!$A$5:$K$1300,4,FALSE)</f>
        <v>#N/A</v>
      </c>
      <c r="C78" s="146" t="e">
        <f>VLOOKUP(A78,member!$A$5:$K$1300,9,FALSE)</f>
        <v>#N/A</v>
      </c>
      <c r="D78" s="146" t="e">
        <f>VLOOKUP(A78,member!$A$5:$K$1300,11,FALSE)</f>
        <v>#N/A</v>
      </c>
    </row>
    <row r="79" spans="1:4" x14ac:dyDescent="0.35">
      <c r="B79" s="146" t="e">
        <f>VLOOKUP(A79,member!$A$5:$K$1300,3,FALSE)&amp;", "&amp;VLOOKUP(A79,member!$A$5:$K$1300,4,FALSE)</f>
        <v>#N/A</v>
      </c>
      <c r="C79" s="146" t="e">
        <f>VLOOKUP(A79,member!$A$5:$K$1300,9,FALSE)</f>
        <v>#N/A</v>
      </c>
      <c r="D79" s="146" t="e">
        <f>VLOOKUP(A79,member!$A$5:$K$1300,11,FALSE)</f>
        <v>#N/A</v>
      </c>
    </row>
    <row r="80" spans="1:4" x14ac:dyDescent="0.35">
      <c r="B80" s="146" t="e">
        <f>VLOOKUP(A80,member!$A$5:$K$1300,3,FALSE)&amp;", "&amp;VLOOKUP(A80,member!$A$5:$K$1300,4,FALSE)</f>
        <v>#N/A</v>
      </c>
      <c r="C80" s="146" t="e">
        <f>VLOOKUP(A80,member!$A$5:$K$1300,9,FALSE)</f>
        <v>#N/A</v>
      </c>
      <c r="D80" s="146" t="e">
        <f>VLOOKUP(A80,member!$A$5:$K$1300,11,FALSE)</f>
        <v>#N/A</v>
      </c>
    </row>
    <row r="81" spans="2:4" x14ac:dyDescent="0.35">
      <c r="B81" s="146" t="e">
        <f>VLOOKUP(A81,member!$A$5:$K$1300,3,FALSE)&amp;", "&amp;VLOOKUP(A81,member!$A$5:$K$1300,4,FALSE)</f>
        <v>#N/A</v>
      </c>
      <c r="C81" s="146" t="e">
        <f>VLOOKUP(A81,member!$A$5:$K$1300,9,FALSE)</f>
        <v>#N/A</v>
      </c>
      <c r="D81" s="146" t="e">
        <f>VLOOKUP(A81,member!$A$5:$K$1300,11,FALSE)</f>
        <v>#N/A</v>
      </c>
    </row>
    <row r="82" spans="2:4" x14ac:dyDescent="0.35">
      <c r="B82" s="146" t="e">
        <f>VLOOKUP(A82,member!$A$5:$K$1300,3,FALSE)&amp;", "&amp;VLOOKUP(A82,member!$A$5:$K$1300,4,FALSE)</f>
        <v>#N/A</v>
      </c>
      <c r="C82" s="146" t="e">
        <f>VLOOKUP(A82,member!$A$5:$K$1300,9,FALSE)</f>
        <v>#N/A</v>
      </c>
      <c r="D82" s="146" t="e">
        <f>VLOOKUP(A82,member!$A$5:$K$1300,11,FALSE)</f>
        <v>#N/A</v>
      </c>
    </row>
    <row r="83" spans="2:4" x14ac:dyDescent="0.35">
      <c r="B83" s="146" t="e">
        <f>VLOOKUP(A83,member!$A$5:$K$1300,3,FALSE)&amp;", "&amp;VLOOKUP(A83,member!$A$5:$K$1300,4,FALSE)</f>
        <v>#N/A</v>
      </c>
      <c r="C83" s="146" t="e">
        <f>VLOOKUP(A83,member!$A$5:$K$1300,9,FALSE)</f>
        <v>#N/A</v>
      </c>
      <c r="D83" s="146" t="e">
        <f>VLOOKUP(A83,member!$A$5:$K$1300,11,FALSE)</f>
        <v>#N/A</v>
      </c>
    </row>
    <row r="84" spans="2:4" x14ac:dyDescent="0.35">
      <c r="B84" s="146" t="e">
        <f>VLOOKUP(A84,member!$A$5:$K$1300,3,FALSE)&amp;", "&amp;VLOOKUP(A84,member!$A$5:$K$1300,4,FALSE)</f>
        <v>#N/A</v>
      </c>
      <c r="C84" s="146" t="e">
        <f>VLOOKUP(A84,member!$A$5:$K$1300,9,FALSE)</f>
        <v>#N/A</v>
      </c>
      <c r="D84" s="146" t="e">
        <f>VLOOKUP(A84,member!$A$5:$K$1300,11,FALSE)</f>
        <v>#N/A</v>
      </c>
    </row>
    <row r="85" spans="2:4" x14ac:dyDescent="0.35">
      <c r="B85" s="146" t="e">
        <f>VLOOKUP(A85,member!$A$5:$K$1300,3,FALSE)&amp;", "&amp;VLOOKUP(A85,member!$A$5:$K$1300,4,FALSE)</f>
        <v>#N/A</v>
      </c>
      <c r="C85" s="146" t="e">
        <f>VLOOKUP(A85,member!$A$5:$K$1300,9,FALSE)</f>
        <v>#N/A</v>
      </c>
      <c r="D85" s="146" t="e">
        <f>VLOOKUP(A85,member!$A$5:$K$1300,11,FALSE)</f>
        <v>#N/A</v>
      </c>
    </row>
    <row r="86" spans="2:4" x14ac:dyDescent="0.35">
      <c r="B86" s="146" t="e">
        <f>VLOOKUP(A86,member!$A$5:$K$1300,3,FALSE)&amp;", "&amp;VLOOKUP(A86,member!$A$5:$K$1300,4,FALSE)</f>
        <v>#N/A</v>
      </c>
      <c r="C86" s="146" t="e">
        <f>VLOOKUP(A86,member!$A$5:$K$1300,9,FALSE)</f>
        <v>#N/A</v>
      </c>
      <c r="D86" s="146" t="e">
        <f>VLOOKUP(A86,member!$A$5:$K$1300,11,FALSE)</f>
        <v>#N/A</v>
      </c>
    </row>
    <row r="87" spans="2:4" x14ac:dyDescent="0.35">
      <c r="B87" s="146" t="e">
        <f>VLOOKUP(A87,member!$A$5:$K$1300,3,FALSE)&amp;", "&amp;VLOOKUP(A87,member!$A$5:$K$1300,4,FALSE)</f>
        <v>#N/A</v>
      </c>
      <c r="C87" s="146" t="e">
        <f>VLOOKUP(A87,member!$A$5:$K$1300,9,FALSE)</f>
        <v>#N/A</v>
      </c>
      <c r="D87" s="146" t="e">
        <f>VLOOKUP(A87,member!$A$5:$K$1300,11,FALSE)</f>
        <v>#N/A</v>
      </c>
    </row>
    <row r="88" spans="2:4" x14ac:dyDescent="0.35">
      <c r="B88" s="146" t="e">
        <f>VLOOKUP(A88,member!$A$5:$K$1300,3,FALSE)&amp;", "&amp;VLOOKUP(A88,member!$A$5:$K$1300,4,FALSE)</f>
        <v>#N/A</v>
      </c>
      <c r="C88" s="146" t="e">
        <f>VLOOKUP(A88,member!$A$5:$K$1300,9,FALSE)</f>
        <v>#N/A</v>
      </c>
      <c r="D88" s="146" t="e">
        <f>VLOOKUP(A88,member!$A$5:$K$1300,11,FALSE)</f>
        <v>#N/A</v>
      </c>
    </row>
    <row r="89" spans="2:4" x14ac:dyDescent="0.35">
      <c r="B89" s="146" t="e">
        <f>VLOOKUP(A89,member!$A$5:$K$1300,3,FALSE)&amp;", "&amp;VLOOKUP(A89,member!$A$5:$K$1300,4,FALSE)</f>
        <v>#N/A</v>
      </c>
      <c r="C89" s="146" t="e">
        <f>VLOOKUP(A89,member!$A$5:$K$1300,9,FALSE)</f>
        <v>#N/A</v>
      </c>
      <c r="D89" s="146" t="e">
        <f>VLOOKUP(A89,member!$A$5:$K$1300,11,FALSE)</f>
        <v>#N/A</v>
      </c>
    </row>
    <row r="90" spans="2:4" x14ac:dyDescent="0.35">
      <c r="B90" s="146" t="e">
        <f>VLOOKUP(A90,member!$A$5:$K$1300,3,FALSE)&amp;", "&amp;VLOOKUP(A90,member!$A$5:$K$1300,4,FALSE)</f>
        <v>#N/A</v>
      </c>
      <c r="C90" s="146" t="e">
        <f>VLOOKUP(A90,member!$A$5:$K$1300,9,FALSE)</f>
        <v>#N/A</v>
      </c>
      <c r="D90" s="146" t="e">
        <f>VLOOKUP(A90,member!$A$5:$K$1300,11,FALSE)</f>
        <v>#N/A</v>
      </c>
    </row>
    <row r="91" spans="2:4" x14ac:dyDescent="0.35">
      <c r="B91" s="146" t="e">
        <f>VLOOKUP(A91,member!$A$5:$K$1300,3,FALSE)&amp;", "&amp;VLOOKUP(A91,member!$A$5:$K$1300,4,FALSE)</f>
        <v>#N/A</v>
      </c>
      <c r="C91" s="146" t="e">
        <f>VLOOKUP(A91,member!$A$5:$K$1300,9,FALSE)</f>
        <v>#N/A</v>
      </c>
      <c r="D91" s="146" t="e">
        <f>VLOOKUP(A91,member!$A$5:$K$1300,11,FALSE)</f>
        <v>#N/A</v>
      </c>
    </row>
    <row r="92" spans="2:4" x14ac:dyDescent="0.35">
      <c r="B92" s="146" t="e">
        <f>VLOOKUP(A92,member!$A$5:$K$1300,3,FALSE)&amp;", "&amp;VLOOKUP(A92,member!$A$5:$K$1300,4,FALSE)</f>
        <v>#N/A</v>
      </c>
      <c r="C92" s="146" t="e">
        <f>VLOOKUP(A92,member!$A$5:$K$1300,9,FALSE)</f>
        <v>#N/A</v>
      </c>
      <c r="D92" s="146" t="e">
        <f>VLOOKUP(A92,member!$A$5:$K$1300,11,FALSE)</f>
        <v>#N/A</v>
      </c>
    </row>
    <row r="93" spans="2:4" x14ac:dyDescent="0.35">
      <c r="B93" s="146" t="e">
        <f>VLOOKUP(A93,member!$A$5:$K$1300,3,FALSE)&amp;", "&amp;VLOOKUP(A93,member!$A$5:$K$1300,4,FALSE)</f>
        <v>#N/A</v>
      </c>
      <c r="C93" s="146" t="e">
        <f>VLOOKUP(A93,member!$A$5:$K$1300,9,FALSE)</f>
        <v>#N/A</v>
      </c>
      <c r="D93" s="146" t="e">
        <f>VLOOKUP(A93,member!$A$5:$K$1300,11,FALSE)</f>
        <v>#N/A</v>
      </c>
    </row>
    <row r="94" spans="2:4" x14ac:dyDescent="0.35">
      <c r="B94" s="146" t="e">
        <f>VLOOKUP(A94,member!$A$5:$K$1300,3,FALSE)&amp;", "&amp;VLOOKUP(A94,member!$A$5:$K$1300,4,FALSE)</f>
        <v>#N/A</v>
      </c>
      <c r="C94" s="146" t="e">
        <f>VLOOKUP(A94,member!$A$5:$K$1300,9,FALSE)</f>
        <v>#N/A</v>
      </c>
      <c r="D94" s="146" t="e">
        <f>VLOOKUP(A94,member!$A$5:$K$1300,11,FALSE)</f>
        <v>#N/A</v>
      </c>
    </row>
    <row r="95" spans="2:4" x14ac:dyDescent="0.35">
      <c r="B95" s="146" t="e">
        <f>VLOOKUP(A95,member!$A$5:$K$1300,3,FALSE)&amp;", "&amp;VLOOKUP(A95,member!$A$5:$K$1300,4,FALSE)</f>
        <v>#N/A</v>
      </c>
      <c r="C95" s="146" t="e">
        <f>VLOOKUP(A95,member!$A$5:$K$1300,9,FALSE)</f>
        <v>#N/A</v>
      </c>
      <c r="D95" s="146" t="e">
        <f>VLOOKUP(A95,member!$A$5:$K$1300,11,FALSE)</f>
        <v>#N/A</v>
      </c>
    </row>
    <row r="96" spans="2:4" x14ac:dyDescent="0.35">
      <c r="B96" s="146" t="e">
        <f>VLOOKUP(A96,member!$A$5:$K$1300,3,FALSE)&amp;", "&amp;VLOOKUP(A96,member!$A$5:$K$1300,4,FALSE)</f>
        <v>#N/A</v>
      </c>
      <c r="C96" s="146" t="e">
        <f>VLOOKUP(A96,member!$A$5:$K$1300,9,FALSE)</f>
        <v>#N/A</v>
      </c>
      <c r="D96" s="146" t="e">
        <f>VLOOKUP(A96,member!$A$5:$K$1300,11,FALSE)</f>
        <v>#N/A</v>
      </c>
    </row>
    <row r="97" spans="2:4" x14ac:dyDescent="0.35">
      <c r="B97" s="146" t="e">
        <f>VLOOKUP(A97,member!$A$5:$K$1300,3,FALSE)&amp;", "&amp;VLOOKUP(A97,member!$A$5:$K$1300,4,FALSE)</f>
        <v>#N/A</v>
      </c>
      <c r="C97" s="146" t="e">
        <f>VLOOKUP(A97,member!$A$5:$K$1300,9,FALSE)</f>
        <v>#N/A</v>
      </c>
      <c r="D97" s="146" t="e">
        <f>VLOOKUP(A97,member!$A$5:$K$1300,11,FALSE)</f>
        <v>#N/A</v>
      </c>
    </row>
    <row r="98" spans="2:4" x14ac:dyDescent="0.35">
      <c r="B98" s="146" t="e">
        <f>VLOOKUP(A98,member!$A$5:$K$1300,3,FALSE)&amp;", "&amp;VLOOKUP(A98,member!$A$5:$K$1300,4,FALSE)</f>
        <v>#N/A</v>
      </c>
      <c r="C98" s="146" t="e">
        <f>VLOOKUP(A98,member!$A$5:$K$1300,9,FALSE)</f>
        <v>#N/A</v>
      </c>
      <c r="D98" s="146" t="e">
        <f>VLOOKUP(A98,member!$A$5:$K$1300,11,FALSE)</f>
        <v>#N/A</v>
      </c>
    </row>
    <row r="99" spans="2:4" x14ac:dyDescent="0.35">
      <c r="B99" s="146" t="e">
        <f>VLOOKUP(A99,member!$A$5:$K$1300,3,FALSE)&amp;", "&amp;VLOOKUP(A99,member!$A$5:$K$1300,4,FALSE)</f>
        <v>#N/A</v>
      </c>
      <c r="C99" s="146" t="e">
        <f>VLOOKUP(A99,member!$A$5:$K$1300,9,FALSE)</f>
        <v>#N/A</v>
      </c>
      <c r="D99" s="146" t="e">
        <f>VLOOKUP(A99,member!$A$5:$K$1300,11,FALSE)</f>
        <v>#N/A</v>
      </c>
    </row>
  </sheetData>
  <sheetProtection formatCells="0" formatColumns="0" formatRows="0"/>
  <conditionalFormatting sqref="A1:A1048576">
    <cfRule type="duplicateValues" dxfId="0" priority="1" stopIfTrue="1"/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Tabelle38"/>
  <dimension ref="A1:Q1286"/>
  <sheetViews>
    <sheetView workbookViewId="0">
      <selection activeCell="M6" sqref="M6"/>
    </sheetView>
  </sheetViews>
  <sheetFormatPr baseColWidth="10" defaultColWidth="11.33203125" defaultRowHeight="13.15" x14ac:dyDescent="0.4"/>
  <cols>
    <col min="1" max="1" width="7.59765625" style="237" customWidth="1"/>
    <col min="2" max="2" width="8.06640625" style="232" customWidth="1"/>
    <col min="3" max="3" width="17.265625" style="233" bestFit="1" customWidth="1"/>
    <col min="4" max="4" width="14.796875" style="234" bestFit="1" customWidth="1"/>
    <col min="5" max="5" width="4.33203125" style="234" bestFit="1" customWidth="1"/>
    <col min="6" max="6" width="4.33203125" style="236" customWidth="1"/>
    <col min="7" max="7" width="13.796875" style="266" customWidth="1"/>
    <col min="8" max="8" width="4.06640625" style="234" customWidth="1"/>
    <col min="9" max="9" width="24.06640625" style="234" bestFit="1" customWidth="1"/>
    <col min="10" max="10" width="27.73046875" style="232" customWidth="1"/>
    <col min="11" max="11" width="8.796875" style="235" customWidth="1"/>
    <col min="12" max="12" width="6.06640625" style="273" customWidth="1"/>
    <col min="13" max="256" width="11.33203125" style="273"/>
    <col min="257" max="257" width="7.59765625" style="273" customWidth="1"/>
    <col min="258" max="258" width="8.06640625" style="273" customWidth="1"/>
    <col min="259" max="259" width="17.265625" style="273" bestFit="1" customWidth="1"/>
    <col min="260" max="260" width="14.796875" style="273" bestFit="1" customWidth="1"/>
    <col min="261" max="261" width="4.33203125" style="273" bestFit="1" customWidth="1"/>
    <col min="262" max="262" width="4.33203125" style="273" customWidth="1"/>
    <col min="263" max="263" width="13.796875" style="273" customWidth="1"/>
    <col min="264" max="264" width="4.06640625" style="273" customWidth="1"/>
    <col min="265" max="265" width="24.06640625" style="273" bestFit="1" customWidth="1"/>
    <col min="266" max="266" width="27.73046875" style="273" customWidth="1"/>
    <col min="267" max="267" width="8.796875" style="273" customWidth="1"/>
    <col min="268" max="268" width="6.06640625" style="273" customWidth="1"/>
    <col min="269" max="512" width="11.33203125" style="273"/>
    <col min="513" max="513" width="7.59765625" style="273" customWidth="1"/>
    <col min="514" max="514" width="8.06640625" style="273" customWidth="1"/>
    <col min="515" max="515" width="17.265625" style="273" bestFit="1" customWidth="1"/>
    <col min="516" max="516" width="14.796875" style="273" bestFit="1" customWidth="1"/>
    <col min="517" max="517" width="4.33203125" style="273" bestFit="1" customWidth="1"/>
    <col min="518" max="518" width="4.33203125" style="273" customWidth="1"/>
    <col min="519" max="519" width="13.796875" style="273" customWidth="1"/>
    <col min="520" max="520" width="4.06640625" style="273" customWidth="1"/>
    <col min="521" max="521" width="24.06640625" style="273" bestFit="1" customWidth="1"/>
    <col min="522" max="522" width="27.73046875" style="273" customWidth="1"/>
    <col min="523" max="523" width="8.796875" style="273" customWidth="1"/>
    <col min="524" max="524" width="6.06640625" style="273" customWidth="1"/>
    <col min="525" max="768" width="11.33203125" style="273"/>
    <col min="769" max="769" width="7.59765625" style="273" customWidth="1"/>
    <col min="770" max="770" width="8.06640625" style="273" customWidth="1"/>
    <col min="771" max="771" width="17.265625" style="273" bestFit="1" customWidth="1"/>
    <col min="772" max="772" width="14.796875" style="273" bestFit="1" customWidth="1"/>
    <col min="773" max="773" width="4.33203125" style="273" bestFit="1" customWidth="1"/>
    <col min="774" max="774" width="4.33203125" style="273" customWidth="1"/>
    <col min="775" max="775" width="13.796875" style="273" customWidth="1"/>
    <col min="776" max="776" width="4.06640625" style="273" customWidth="1"/>
    <col min="777" max="777" width="24.06640625" style="273" bestFit="1" customWidth="1"/>
    <col min="778" max="778" width="27.73046875" style="273" customWidth="1"/>
    <col min="779" max="779" width="8.796875" style="273" customWidth="1"/>
    <col min="780" max="780" width="6.06640625" style="273" customWidth="1"/>
    <col min="781" max="1024" width="11.33203125" style="273"/>
    <col min="1025" max="1025" width="7.59765625" style="273" customWidth="1"/>
    <col min="1026" max="1026" width="8.06640625" style="273" customWidth="1"/>
    <col min="1027" max="1027" width="17.265625" style="273" bestFit="1" customWidth="1"/>
    <col min="1028" max="1028" width="14.796875" style="273" bestFit="1" customWidth="1"/>
    <col min="1029" max="1029" width="4.33203125" style="273" bestFit="1" customWidth="1"/>
    <col min="1030" max="1030" width="4.33203125" style="273" customWidth="1"/>
    <col min="1031" max="1031" width="13.796875" style="273" customWidth="1"/>
    <col min="1032" max="1032" width="4.06640625" style="273" customWidth="1"/>
    <col min="1033" max="1033" width="24.06640625" style="273" bestFit="1" customWidth="1"/>
    <col min="1034" max="1034" width="27.73046875" style="273" customWidth="1"/>
    <col min="1035" max="1035" width="8.796875" style="273" customWidth="1"/>
    <col min="1036" max="1036" width="6.06640625" style="273" customWidth="1"/>
    <col min="1037" max="1280" width="11.33203125" style="273"/>
    <col min="1281" max="1281" width="7.59765625" style="273" customWidth="1"/>
    <col min="1282" max="1282" width="8.06640625" style="273" customWidth="1"/>
    <col min="1283" max="1283" width="17.265625" style="273" bestFit="1" customWidth="1"/>
    <col min="1284" max="1284" width="14.796875" style="273" bestFit="1" customWidth="1"/>
    <col min="1285" max="1285" width="4.33203125" style="273" bestFit="1" customWidth="1"/>
    <col min="1286" max="1286" width="4.33203125" style="273" customWidth="1"/>
    <col min="1287" max="1287" width="13.796875" style="273" customWidth="1"/>
    <col min="1288" max="1288" width="4.06640625" style="273" customWidth="1"/>
    <col min="1289" max="1289" width="24.06640625" style="273" bestFit="1" customWidth="1"/>
    <col min="1290" max="1290" width="27.73046875" style="273" customWidth="1"/>
    <col min="1291" max="1291" width="8.796875" style="273" customWidth="1"/>
    <col min="1292" max="1292" width="6.06640625" style="273" customWidth="1"/>
    <col min="1293" max="1536" width="11.33203125" style="273"/>
    <col min="1537" max="1537" width="7.59765625" style="273" customWidth="1"/>
    <col min="1538" max="1538" width="8.06640625" style="273" customWidth="1"/>
    <col min="1539" max="1539" width="17.265625" style="273" bestFit="1" customWidth="1"/>
    <col min="1540" max="1540" width="14.796875" style="273" bestFit="1" customWidth="1"/>
    <col min="1541" max="1541" width="4.33203125" style="273" bestFit="1" customWidth="1"/>
    <col min="1542" max="1542" width="4.33203125" style="273" customWidth="1"/>
    <col min="1543" max="1543" width="13.796875" style="273" customWidth="1"/>
    <col min="1544" max="1544" width="4.06640625" style="273" customWidth="1"/>
    <col min="1545" max="1545" width="24.06640625" style="273" bestFit="1" customWidth="1"/>
    <col min="1546" max="1546" width="27.73046875" style="273" customWidth="1"/>
    <col min="1547" max="1547" width="8.796875" style="273" customWidth="1"/>
    <col min="1548" max="1548" width="6.06640625" style="273" customWidth="1"/>
    <col min="1549" max="1792" width="11.33203125" style="273"/>
    <col min="1793" max="1793" width="7.59765625" style="273" customWidth="1"/>
    <col min="1794" max="1794" width="8.06640625" style="273" customWidth="1"/>
    <col min="1795" max="1795" width="17.265625" style="273" bestFit="1" customWidth="1"/>
    <col min="1796" max="1796" width="14.796875" style="273" bestFit="1" customWidth="1"/>
    <col min="1797" max="1797" width="4.33203125" style="273" bestFit="1" customWidth="1"/>
    <col min="1798" max="1798" width="4.33203125" style="273" customWidth="1"/>
    <col min="1799" max="1799" width="13.796875" style="273" customWidth="1"/>
    <col min="1800" max="1800" width="4.06640625" style="273" customWidth="1"/>
    <col min="1801" max="1801" width="24.06640625" style="273" bestFit="1" customWidth="1"/>
    <col min="1802" max="1802" width="27.73046875" style="273" customWidth="1"/>
    <col min="1803" max="1803" width="8.796875" style="273" customWidth="1"/>
    <col min="1804" max="1804" width="6.06640625" style="273" customWidth="1"/>
    <col min="1805" max="2048" width="11.33203125" style="273"/>
    <col min="2049" max="2049" width="7.59765625" style="273" customWidth="1"/>
    <col min="2050" max="2050" width="8.06640625" style="273" customWidth="1"/>
    <col min="2051" max="2051" width="17.265625" style="273" bestFit="1" customWidth="1"/>
    <col min="2052" max="2052" width="14.796875" style="273" bestFit="1" customWidth="1"/>
    <col min="2053" max="2053" width="4.33203125" style="273" bestFit="1" customWidth="1"/>
    <col min="2054" max="2054" width="4.33203125" style="273" customWidth="1"/>
    <col min="2055" max="2055" width="13.796875" style="273" customWidth="1"/>
    <col min="2056" max="2056" width="4.06640625" style="273" customWidth="1"/>
    <col min="2057" max="2057" width="24.06640625" style="273" bestFit="1" customWidth="1"/>
    <col min="2058" max="2058" width="27.73046875" style="273" customWidth="1"/>
    <col min="2059" max="2059" width="8.796875" style="273" customWidth="1"/>
    <col min="2060" max="2060" width="6.06640625" style="273" customWidth="1"/>
    <col min="2061" max="2304" width="11.33203125" style="273"/>
    <col min="2305" max="2305" width="7.59765625" style="273" customWidth="1"/>
    <col min="2306" max="2306" width="8.06640625" style="273" customWidth="1"/>
    <col min="2307" max="2307" width="17.265625" style="273" bestFit="1" customWidth="1"/>
    <col min="2308" max="2308" width="14.796875" style="273" bestFit="1" customWidth="1"/>
    <col min="2309" max="2309" width="4.33203125" style="273" bestFit="1" customWidth="1"/>
    <col min="2310" max="2310" width="4.33203125" style="273" customWidth="1"/>
    <col min="2311" max="2311" width="13.796875" style="273" customWidth="1"/>
    <col min="2312" max="2312" width="4.06640625" style="273" customWidth="1"/>
    <col min="2313" max="2313" width="24.06640625" style="273" bestFit="1" customWidth="1"/>
    <col min="2314" max="2314" width="27.73046875" style="273" customWidth="1"/>
    <col min="2315" max="2315" width="8.796875" style="273" customWidth="1"/>
    <col min="2316" max="2316" width="6.06640625" style="273" customWidth="1"/>
    <col min="2317" max="2560" width="11.33203125" style="273"/>
    <col min="2561" max="2561" width="7.59765625" style="273" customWidth="1"/>
    <col min="2562" max="2562" width="8.06640625" style="273" customWidth="1"/>
    <col min="2563" max="2563" width="17.265625" style="273" bestFit="1" customWidth="1"/>
    <col min="2564" max="2564" width="14.796875" style="273" bestFit="1" customWidth="1"/>
    <col min="2565" max="2565" width="4.33203125" style="273" bestFit="1" customWidth="1"/>
    <col min="2566" max="2566" width="4.33203125" style="273" customWidth="1"/>
    <col min="2567" max="2567" width="13.796875" style="273" customWidth="1"/>
    <col min="2568" max="2568" width="4.06640625" style="273" customWidth="1"/>
    <col min="2569" max="2569" width="24.06640625" style="273" bestFit="1" customWidth="1"/>
    <col min="2570" max="2570" width="27.73046875" style="273" customWidth="1"/>
    <col min="2571" max="2571" width="8.796875" style="273" customWidth="1"/>
    <col min="2572" max="2572" width="6.06640625" style="273" customWidth="1"/>
    <col min="2573" max="2816" width="11.33203125" style="273"/>
    <col min="2817" max="2817" width="7.59765625" style="273" customWidth="1"/>
    <col min="2818" max="2818" width="8.06640625" style="273" customWidth="1"/>
    <col min="2819" max="2819" width="17.265625" style="273" bestFit="1" customWidth="1"/>
    <col min="2820" max="2820" width="14.796875" style="273" bestFit="1" customWidth="1"/>
    <col min="2821" max="2821" width="4.33203125" style="273" bestFit="1" customWidth="1"/>
    <col min="2822" max="2822" width="4.33203125" style="273" customWidth="1"/>
    <col min="2823" max="2823" width="13.796875" style="273" customWidth="1"/>
    <col min="2824" max="2824" width="4.06640625" style="273" customWidth="1"/>
    <col min="2825" max="2825" width="24.06640625" style="273" bestFit="1" customWidth="1"/>
    <col min="2826" max="2826" width="27.73046875" style="273" customWidth="1"/>
    <col min="2827" max="2827" width="8.796875" style="273" customWidth="1"/>
    <col min="2828" max="2828" width="6.06640625" style="273" customWidth="1"/>
    <col min="2829" max="3072" width="11.33203125" style="273"/>
    <col min="3073" max="3073" width="7.59765625" style="273" customWidth="1"/>
    <col min="3074" max="3074" width="8.06640625" style="273" customWidth="1"/>
    <col min="3075" max="3075" width="17.265625" style="273" bestFit="1" customWidth="1"/>
    <col min="3076" max="3076" width="14.796875" style="273" bestFit="1" customWidth="1"/>
    <col min="3077" max="3077" width="4.33203125" style="273" bestFit="1" customWidth="1"/>
    <col min="3078" max="3078" width="4.33203125" style="273" customWidth="1"/>
    <col min="3079" max="3079" width="13.796875" style="273" customWidth="1"/>
    <col min="3080" max="3080" width="4.06640625" style="273" customWidth="1"/>
    <col min="3081" max="3081" width="24.06640625" style="273" bestFit="1" customWidth="1"/>
    <col min="3082" max="3082" width="27.73046875" style="273" customWidth="1"/>
    <col min="3083" max="3083" width="8.796875" style="273" customWidth="1"/>
    <col min="3084" max="3084" width="6.06640625" style="273" customWidth="1"/>
    <col min="3085" max="3328" width="11.33203125" style="273"/>
    <col min="3329" max="3329" width="7.59765625" style="273" customWidth="1"/>
    <col min="3330" max="3330" width="8.06640625" style="273" customWidth="1"/>
    <col min="3331" max="3331" width="17.265625" style="273" bestFit="1" customWidth="1"/>
    <col min="3332" max="3332" width="14.796875" style="273" bestFit="1" customWidth="1"/>
    <col min="3333" max="3333" width="4.33203125" style="273" bestFit="1" customWidth="1"/>
    <col min="3334" max="3334" width="4.33203125" style="273" customWidth="1"/>
    <col min="3335" max="3335" width="13.796875" style="273" customWidth="1"/>
    <col min="3336" max="3336" width="4.06640625" style="273" customWidth="1"/>
    <col min="3337" max="3337" width="24.06640625" style="273" bestFit="1" customWidth="1"/>
    <col min="3338" max="3338" width="27.73046875" style="273" customWidth="1"/>
    <col min="3339" max="3339" width="8.796875" style="273" customWidth="1"/>
    <col min="3340" max="3340" width="6.06640625" style="273" customWidth="1"/>
    <col min="3341" max="3584" width="11.33203125" style="273"/>
    <col min="3585" max="3585" width="7.59765625" style="273" customWidth="1"/>
    <col min="3586" max="3586" width="8.06640625" style="273" customWidth="1"/>
    <col min="3587" max="3587" width="17.265625" style="273" bestFit="1" customWidth="1"/>
    <col min="3588" max="3588" width="14.796875" style="273" bestFit="1" customWidth="1"/>
    <col min="3589" max="3589" width="4.33203125" style="273" bestFit="1" customWidth="1"/>
    <col min="3590" max="3590" width="4.33203125" style="273" customWidth="1"/>
    <col min="3591" max="3591" width="13.796875" style="273" customWidth="1"/>
    <col min="3592" max="3592" width="4.06640625" style="273" customWidth="1"/>
    <col min="3593" max="3593" width="24.06640625" style="273" bestFit="1" customWidth="1"/>
    <col min="3594" max="3594" width="27.73046875" style="273" customWidth="1"/>
    <col min="3595" max="3595" width="8.796875" style="273" customWidth="1"/>
    <col min="3596" max="3596" width="6.06640625" style="273" customWidth="1"/>
    <col min="3597" max="3840" width="11.33203125" style="273"/>
    <col min="3841" max="3841" width="7.59765625" style="273" customWidth="1"/>
    <col min="3842" max="3842" width="8.06640625" style="273" customWidth="1"/>
    <col min="3843" max="3843" width="17.265625" style="273" bestFit="1" customWidth="1"/>
    <col min="3844" max="3844" width="14.796875" style="273" bestFit="1" customWidth="1"/>
    <col min="3845" max="3845" width="4.33203125" style="273" bestFit="1" customWidth="1"/>
    <col min="3846" max="3846" width="4.33203125" style="273" customWidth="1"/>
    <col min="3847" max="3847" width="13.796875" style="273" customWidth="1"/>
    <col min="3848" max="3848" width="4.06640625" style="273" customWidth="1"/>
    <col min="3849" max="3849" width="24.06640625" style="273" bestFit="1" customWidth="1"/>
    <col min="3850" max="3850" width="27.73046875" style="273" customWidth="1"/>
    <col min="3851" max="3851" width="8.796875" style="273" customWidth="1"/>
    <col min="3852" max="3852" width="6.06640625" style="273" customWidth="1"/>
    <col min="3853" max="4096" width="11.33203125" style="273"/>
    <col min="4097" max="4097" width="7.59765625" style="273" customWidth="1"/>
    <col min="4098" max="4098" width="8.06640625" style="273" customWidth="1"/>
    <col min="4099" max="4099" width="17.265625" style="273" bestFit="1" customWidth="1"/>
    <col min="4100" max="4100" width="14.796875" style="273" bestFit="1" customWidth="1"/>
    <col min="4101" max="4101" width="4.33203125" style="273" bestFit="1" customWidth="1"/>
    <col min="4102" max="4102" width="4.33203125" style="273" customWidth="1"/>
    <col min="4103" max="4103" width="13.796875" style="273" customWidth="1"/>
    <col min="4104" max="4104" width="4.06640625" style="273" customWidth="1"/>
    <col min="4105" max="4105" width="24.06640625" style="273" bestFit="1" customWidth="1"/>
    <col min="4106" max="4106" width="27.73046875" style="273" customWidth="1"/>
    <col min="4107" max="4107" width="8.796875" style="273" customWidth="1"/>
    <col min="4108" max="4108" width="6.06640625" style="273" customWidth="1"/>
    <col min="4109" max="4352" width="11.33203125" style="273"/>
    <col min="4353" max="4353" width="7.59765625" style="273" customWidth="1"/>
    <col min="4354" max="4354" width="8.06640625" style="273" customWidth="1"/>
    <col min="4355" max="4355" width="17.265625" style="273" bestFit="1" customWidth="1"/>
    <col min="4356" max="4356" width="14.796875" style="273" bestFit="1" customWidth="1"/>
    <col min="4357" max="4357" width="4.33203125" style="273" bestFit="1" customWidth="1"/>
    <col min="4358" max="4358" width="4.33203125" style="273" customWidth="1"/>
    <col min="4359" max="4359" width="13.796875" style="273" customWidth="1"/>
    <col min="4360" max="4360" width="4.06640625" style="273" customWidth="1"/>
    <col min="4361" max="4361" width="24.06640625" style="273" bestFit="1" customWidth="1"/>
    <col min="4362" max="4362" width="27.73046875" style="273" customWidth="1"/>
    <col min="4363" max="4363" width="8.796875" style="273" customWidth="1"/>
    <col min="4364" max="4364" width="6.06640625" style="273" customWidth="1"/>
    <col min="4365" max="4608" width="11.33203125" style="273"/>
    <col min="4609" max="4609" width="7.59765625" style="273" customWidth="1"/>
    <col min="4610" max="4610" width="8.06640625" style="273" customWidth="1"/>
    <col min="4611" max="4611" width="17.265625" style="273" bestFit="1" customWidth="1"/>
    <col min="4612" max="4612" width="14.796875" style="273" bestFit="1" customWidth="1"/>
    <col min="4613" max="4613" width="4.33203125" style="273" bestFit="1" customWidth="1"/>
    <col min="4614" max="4614" width="4.33203125" style="273" customWidth="1"/>
    <col min="4615" max="4615" width="13.796875" style="273" customWidth="1"/>
    <col min="4616" max="4616" width="4.06640625" style="273" customWidth="1"/>
    <col min="4617" max="4617" width="24.06640625" style="273" bestFit="1" customWidth="1"/>
    <col min="4618" max="4618" width="27.73046875" style="273" customWidth="1"/>
    <col min="4619" max="4619" width="8.796875" style="273" customWidth="1"/>
    <col min="4620" max="4620" width="6.06640625" style="273" customWidth="1"/>
    <col min="4621" max="4864" width="11.33203125" style="273"/>
    <col min="4865" max="4865" width="7.59765625" style="273" customWidth="1"/>
    <col min="4866" max="4866" width="8.06640625" style="273" customWidth="1"/>
    <col min="4867" max="4867" width="17.265625" style="273" bestFit="1" customWidth="1"/>
    <col min="4868" max="4868" width="14.796875" style="273" bestFit="1" customWidth="1"/>
    <col min="4869" max="4869" width="4.33203125" style="273" bestFit="1" customWidth="1"/>
    <col min="4870" max="4870" width="4.33203125" style="273" customWidth="1"/>
    <col min="4871" max="4871" width="13.796875" style="273" customWidth="1"/>
    <col min="4872" max="4872" width="4.06640625" style="273" customWidth="1"/>
    <col min="4873" max="4873" width="24.06640625" style="273" bestFit="1" customWidth="1"/>
    <col min="4874" max="4874" width="27.73046875" style="273" customWidth="1"/>
    <col min="4875" max="4875" width="8.796875" style="273" customWidth="1"/>
    <col min="4876" max="4876" width="6.06640625" style="273" customWidth="1"/>
    <col min="4877" max="5120" width="11.33203125" style="273"/>
    <col min="5121" max="5121" width="7.59765625" style="273" customWidth="1"/>
    <col min="5122" max="5122" width="8.06640625" style="273" customWidth="1"/>
    <col min="5123" max="5123" width="17.265625" style="273" bestFit="1" customWidth="1"/>
    <col min="5124" max="5124" width="14.796875" style="273" bestFit="1" customWidth="1"/>
    <col min="5125" max="5125" width="4.33203125" style="273" bestFit="1" customWidth="1"/>
    <col min="5126" max="5126" width="4.33203125" style="273" customWidth="1"/>
    <col min="5127" max="5127" width="13.796875" style="273" customWidth="1"/>
    <col min="5128" max="5128" width="4.06640625" style="273" customWidth="1"/>
    <col min="5129" max="5129" width="24.06640625" style="273" bestFit="1" customWidth="1"/>
    <col min="5130" max="5130" width="27.73046875" style="273" customWidth="1"/>
    <col min="5131" max="5131" width="8.796875" style="273" customWidth="1"/>
    <col min="5132" max="5132" width="6.06640625" style="273" customWidth="1"/>
    <col min="5133" max="5376" width="11.33203125" style="273"/>
    <col min="5377" max="5377" width="7.59765625" style="273" customWidth="1"/>
    <col min="5378" max="5378" width="8.06640625" style="273" customWidth="1"/>
    <col min="5379" max="5379" width="17.265625" style="273" bestFit="1" customWidth="1"/>
    <col min="5380" max="5380" width="14.796875" style="273" bestFit="1" customWidth="1"/>
    <col min="5381" max="5381" width="4.33203125" style="273" bestFit="1" customWidth="1"/>
    <col min="5382" max="5382" width="4.33203125" style="273" customWidth="1"/>
    <col min="5383" max="5383" width="13.796875" style="273" customWidth="1"/>
    <col min="5384" max="5384" width="4.06640625" style="273" customWidth="1"/>
    <col min="5385" max="5385" width="24.06640625" style="273" bestFit="1" customWidth="1"/>
    <col min="5386" max="5386" width="27.73046875" style="273" customWidth="1"/>
    <col min="5387" max="5387" width="8.796875" style="273" customWidth="1"/>
    <col min="5388" max="5388" width="6.06640625" style="273" customWidth="1"/>
    <col min="5389" max="5632" width="11.33203125" style="273"/>
    <col min="5633" max="5633" width="7.59765625" style="273" customWidth="1"/>
    <col min="5634" max="5634" width="8.06640625" style="273" customWidth="1"/>
    <col min="5635" max="5635" width="17.265625" style="273" bestFit="1" customWidth="1"/>
    <col min="5636" max="5636" width="14.796875" style="273" bestFit="1" customWidth="1"/>
    <col min="5637" max="5637" width="4.33203125" style="273" bestFit="1" customWidth="1"/>
    <col min="5638" max="5638" width="4.33203125" style="273" customWidth="1"/>
    <col min="5639" max="5639" width="13.796875" style="273" customWidth="1"/>
    <col min="5640" max="5640" width="4.06640625" style="273" customWidth="1"/>
    <col min="5641" max="5641" width="24.06640625" style="273" bestFit="1" customWidth="1"/>
    <col min="5642" max="5642" width="27.73046875" style="273" customWidth="1"/>
    <col min="5643" max="5643" width="8.796875" style="273" customWidth="1"/>
    <col min="5644" max="5644" width="6.06640625" style="273" customWidth="1"/>
    <col min="5645" max="5888" width="11.33203125" style="273"/>
    <col min="5889" max="5889" width="7.59765625" style="273" customWidth="1"/>
    <col min="5890" max="5890" width="8.06640625" style="273" customWidth="1"/>
    <col min="5891" max="5891" width="17.265625" style="273" bestFit="1" customWidth="1"/>
    <col min="5892" max="5892" width="14.796875" style="273" bestFit="1" customWidth="1"/>
    <col min="5893" max="5893" width="4.33203125" style="273" bestFit="1" customWidth="1"/>
    <col min="5894" max="5894" width="4.33203125" style="273" customWidth="1"/>
    <col min="5895" max="5895" width="13.796875" style="273" customWidth="1"/>
    <col min="5896" max="5896" width="4.06640625" style="273" customWidth="1"/>
    <col min="5897" max="5897" width="24.06640625" style="273" bestFit="1" customWidth="1"/>
    <col min="5898" max="5898" width="27.73046875" style="273" customWidth="1"/>
    <col min="5899" max="5899" width="8.796875" style="273" customWidth="1"/>
    <col min="5900" max="5900" width="6.06640625" style="273" customWidth="1"/>
    <col min="5901" max="6144" width="11.33203125" style="273"/>
    <col min="6145" max="6145" width="7.59765625" style="273" customWidth="1"/>
    <col min="6146" max="6146" width="8.06640625" style="273" customWidth="1"/>
    <col min="6147" max="6147" width="17.265625" style="273" bestFit="1" customWidth="1"/>
    <col min="6148" max="6148" width="14.796875" style="273" bestFit="1" customWidth="1"/>
    <col min="6149" max="6149" width="4.33203125" style="273" bestFit="1" customWidth="1"/>
    <col min="6150" max="6150" width="4.33203125" style="273" customWidth="1"/>
    <col min="6151" max="6151" width="13.796875" style="273" customWidth="1"/>
    <col min="6152" max="6152" width="4.06640625" style="273" customWidth="1"/>
    <col min="6153" max="6153" width="24.06640625" style="273" bestFit="1" customWidth="1"/>
    <col min="6154" max="6154" width="27.73046875" style="273" customWidth="1"/>
    <col min="6155" max="6155" width="8.796875" style="273" customWidth="1"/>
    <col min="6156" max="6156" width="6.06640625" style="273" customWidth="1"/>
    <col min="6157" max="6400" width="11.33203125" style="273"/>
    <col min="6401" max="6401" width="7.59765625" style="273" customWidth="1"/>
    <col min="6402" max="6402" width="8.06640625" style="273" customWidth="1"/>
    <col min="6403" max="6403" width="17.265625" style="273" bestFit="1" customWidth="1"/>
    <col min="6404" max="6404" width="14.796875" style="273" bestFit="1" customWidth="1"/>
    <col min="6405" max="6405" width="4.33203125" style="273" bestFit="1" customWidth="1"/>
    <col min="6406" max="6406" width="4.33203125" style="273" customWidth="1"/>
    <col min="6407" max="6407" width="13.796875" style="273" customWidth="1"/>
    <col min="6408" max="6408" width="4.06640625" style="273" customWidth="1"/>
    <col min="6409" max="6409" width="24.06640625" style="273" bestFit="1" customWidth="1"/>
    <col min="6410" max="6410" width="27.73046875" style="273" customWidth="1"/>
    <col min="6411" max="6411" width="8.796875" style="273" customWidth="1"/>
    <col min="6412" max="6412" width="6.06640625" style="273" customWidth="1"/>
    <col min="6413" max="6656" width="11.33203125" style="273"/>
    <col min="6657" max="6657" width="7.59765625" style="273" customWidth="1"/>
    <col min="6658" max="6658" width="8.06640625" style="273" customWidth="1"/>
    <col min="6659" max="6659" width="17.265625" style="273" bestFit="1" customWidth="1"/>
    <col min="6660" max="6660" width="14.796875" style="273" bestFit="1" customWidth="1"/>
    <col min="6661" max="6661" width="4.33203125" style="273" bestFit="1" customWidth="1"/>
    <col min="6662" max="6662" width="4.33203125" style="273" customWidth="1"/>
    <col min="6663" max="6663" width="13.796875" style="273" customWidth="1"/>
    <col min="6664" max="6664" width="4.06640625" style="273" customWidth="1"/>
    <col min="6665" max="6665" width="24.06640625" style="273" bestFit="1" customWidth="1"/>
    <col min="6666" max="6666" width="27.73046875" style="273" customWidth="1"/>
    <col min="6667" max="6667" width="8.796875" style="273" customWidth="1"/>
    <col min="6668" max="6668" width="6.06640625" style="273" customWidth="1"/>
    <col min="6669" max="6912" width="11.33203125" style="273"/>
    <col min="6913" max="6913" width="7.59765625" style="273" customWidth="1"/>
    <col min="6914" max="6914" width="8.06640625" style="273" customWidth="1"/>
    <col min="6915" max="6915" width="17.265625" style="273" bestFit="1" customWidth="1"/>
    <col min="6916" max="6916" width="14.796875" style="273" bestFit="1" customWidth="1"/>
    <col min="6917" max="6917" width="4.33203125" style="273" bestFit="1" customWidth="1"/>
    <col min="6918" max="6918" width="4.33203125" style="273" customWidth="1"/>
    <col min="6919" max="6919" width="13.796875" style="273" customWidth="1"/>
    <col min="6920" max="6920" width="4.06640625" style="273" customWidth="1"/>
    <col min="6921" max="6921" width="24.06640625" style="273" bestFit="1" customWidth="1"/>
    <col min="6922" max="6922" width="27.73046875" style="273" customWidth="1"/>
    <col min="6923" max="6923" width="8.796875" style="273" customWidth="1"/>
    <col min="6924" max="6924" width="6.06640625" style="273" customWidth="1"/>
    <col min="6925" max="7168" width="11.33203125" style="273"/>
    <col min="7169" max="7169" width="7.59765625" style="273" customWidth="1"/>
    <col min="7170" max="7170" width="8.06640625" style="273" customWidth="1"/>
    <col min="7171" max="7171" width="17.265625" style="273" bestFit="1" customWidth="1"/>
    <col min="7172" max="7172" width="14.796875" style="273" bestFit="1" customWidth="1"/>
    <col min="7173" max="7173" width="4.33203125" style="273" bestFit="1" customWidth="1"/>
    <col min="7174" max="7174" width="4.33203125" style="273" customWidth="1"/>
    <col min="7175" max="7175" width="13.796875" style="273" customWidth="1"/>
    <col min="7176" max="7176" width="4.06640625" style="273" customWidth="1"/>
    <col min="7177" max="7177" width="24.06640625" style="273" bestFit="1" customWidth="1"/>
    <col min="7178" max="7178" width="27.73046875" style="273" customWidth="1"/>
    <col min="7179" max="7179" width="8.796875" style="273" customWidth="1"/>
    <col min="7180" max="7180" width="6.06640625" style="273" customWidth="1"/>
    <col min="7181" max="7424" width="11.33203125" style="273"/>
    <col min="7425" max="7425" width="7.59765625" style="273" customWidth="1"/>
    <col min="7426" max="7426" width="8.06640625" style="273" customWidth="1"/>
    <col min="7427" max="7427" width="17.265625" style="273" bestFit="1" customWidth="1"/>
    <col min="7428" max="7428" width="14.796875" style="273" bestFit="1" customWidth="1"/>
    <col min="7429" max="7429" width="4.33203125" style="273" bestFit="1" customWidth="1"/>
    <col min="7430" max="7430" width="4.33203125" style="273" customWidth="1"/>
    <col min="7431" max="7431" width="13.796875" style="273" customWidth="1"/>
    <col min="7432" max="7432" width="4.06640625" style="273" customWidth="1"/>
    <col min="7433" max="7433" width="24.06640625" style="273" bestFit="1" customWidth="1"/>
    <col min="7434" max="7434" width="27.73046875" style="273" customWidth="1"/>
    <col min="7435" max="7435" width="8.796875" style="273" customWidth="1"/>
    <col min="7436" max="7436" width="6.06640625" style="273" customWidth="1"/>
    <col min="7437" max="7680" width="11.33203125" style="273"/>
    <col min="7681" max="7681" width="7.59765625" style="273" customWidth="1"/>
    <col min="7682" max="7682" width="8.06640625" style="273" customWidth="1"/>
    <col min="7683" max="7683" width="17.265625" style="273" bestFit="1" customWidth="1"/>
    <col min="7684" max="7684" width="14.796875" style="273" bestFit="1" customWidth="1"/>
    <col min="7685" max="7685" width="4.33203125" style="273" bestFit="1" customWidth="1"/>
    <col min="7686" max="7686" width="4.33203125" style="273" customWidth="1"/>
    <col min="7687" max="7687" width="13.796875" style="273" customWidth="1"/>
    <col min="7688" max="7688" width="4.06640625" style="273" customWidth="1"/>
    <col min="7689" max="7689" width="24.06640625" style="273" bestFit="1" customWidth="1"/>
    <col min="7690" max="7690" width="27.73046875" style="273" customWidth="1"/>
    <col min="7691" max="7691" width="8.796875" style="273" customWidth="1"/>
    <col min="7692" max="7692" width="6.06640625" style="273" customWidth="1"/>
    <col min="7693" max="7936" width="11.33203125" style="273"/>
    <col min="7937" max="7937" width="7.59765625" style="273" customWidth="1"/>
    <col min="7938" max="7938" width="8.06640625" style="273" customWidth="1"/>
    <col min="7939" max="7939" width="17.265625" style="273" bestFit="1" customWidth="1"/>
    <col min="7940" max="7940" width="14.796875" style="273" bestFit="1" customWidth="1"/>
    <col min="7941" max="7941" width="4.33203125" style="273" bestFit="1" customWidth="1"/>
    <col min="7942" max="7942" width="4.33203125" style="273" customWidth="1"/>
    <col min="7943" max="7943" width="13.796875" style="273" customWidth="1"/>
    <col min="7944" max="7944" width="4.06640625" style="273" customWidth="1"/>
    <col min="7945" max="7945" width="24.06640625" style="273" bestFit="1" customWidth="1"/>
    <col min="7946" max="7946" width="27.73046875" style="273" customWidth="1"/>
    <col min="7947" max="7947" width="8.796875" style="273" customWidth="1"/>
    <col min="7948" max="7948" width="6.06640625" style="273" customWidth="1"/>
    <col min="7949" max="8192" width="11.33203125" style="273"/>
    <col min="8193" max="8193" width="7.59765625" style="273" customWidth="1"/>
    <col min="8194" max="8194" width="8.06640625" style="273" customWidth="1"/>
    <col min="8195" max="8195" width="17.265625" style="273" bestFit="1" customWidth="1"/>
    <col min="8196" max="8196" width="14.796875" style="273" bestFit="1" customWidth="1"/>
    <col min="8197" max="8197" width="4.33203125" style="273" bestFit="1" customWidth="1"/>
    <col min="8198" max="8198" width="4.33203125" style="273" customWidth="1"/>
    <col min="8199" max="8199" width="13.796875" style="273" customWidth="1"/>
    <col min="8200" max="8200" width="4.06640625" style="273" customWidth="1"/>
    <col min="8201" max="8201" width="24.06640625" style="273" bestFit="1" customWidth="1"/>
    <col min="8202" max="8202" width="27.73046875" style="273" customWidth="1"/>
    <col min="8203" max="8203" width="8.796875" style="273" customWidth="1"/>
    <col min="8204" max="8204" width="6.06640625" style="273" customWidth="1"/>
    <col min="8205" max="8448" width="11.33203125" style="273"/>
    <col min="8449" max="8449" width="7.59765625" style="273" customWidth="1"/>
    <col min="8450" max="8450" width="8.06640625" style="273" customWidth="1"/>
    <col min="8451" max="8451" width="17.265625" style="273" bestFit="1" customWidth="1"/>
    <col min="8452" max="8452" width="14.796875" style="273" bestFit="1" customWidth="1"/>
    <col min="8453" max="8453" width="4.33203125" style="273" bestFit="1" customWidth="1"/>
    <col min="8454" max="8454" width="4.33203125" style="273" customWidth="1"/>
    <col min="8455" max="8455" width="13.796875" style="273" customWidth="1"/>
    <col min="8456" max="8456" width="4.06640625" style="273" customWidth="1"/>
    <col min="8457" max="8457" width="24.06640625" style="273" bestFit="1" customWidth="1"/>
    <col min="8458" max="8458" width="27.73046875" style="273" customWidth="1"/>
    <col min="8459" max="8459" width="8.796875" style="273" customWidth="1"/>
    <col min="8460" max="8460" width="6.06640625" style="273" customWidth="1"/>
    <col min="8461" max="8704" width="11.33203125" style="273"/>
    <col min="8705" max="8705" width="7.59765625" style="273" customWidth="1"/>
    <col min="8706" max="8706" width="8.06640625" style="273" customWidth="1"/>
    <col min="8707" max="8707" width="17.265625" style="273" bestFit="1" customWidth="1"/>
    <col min="8708" max="8708" width="14.796875" style="273" bestFit="1" customWidth="1"/>
    <col min="8709" max="8709" width="4.33203125" style="273" bestFit="1" customWidth="1"/>
    <col min="8710" max="8710" width="4.33203125" style="273" customWidth="1"/>
    <col min="8711" max="8711" width="13.796875" style="273" customWidth="1"/>
    <col min="8712" max="8712" width="4.06640625" style="273" customWidth="1"/>
    <col min="8713" max="8713" width="24.06640625" style="273" bestFit="1" customWidth="1"/>
    <col min="8714" max="8714" width="27.73046875" style="273" customWidth="1"/>
    <col min="8715" max="8715" width="8.796875" style="273" customWidth="1"/>
    <col min="8716" max="8716" width="6.06640625" style="273" customWidth="1"/>
    <col min="8717" max="8960" width="11.33203125" style="273"/>
    <col min="8961" max="8961" width="7.59765625" style="273" customWidth="1"/>
    <col min="8962" max="8962" width="8.06640625" style="273" customWidth="1"/>
    <col min="8963" max="8963" width="17.265625" style="273" bestFit="1" customWidth="1"/>
    <col min="8964" max="8964" width="14.796875" style="273" bestFit="1" customWidth="1"/>
    <col min="8965" max="8965" width="4.33203125" style="273" bestFit="1" customWidth="1"/>
    <col min="8966" max="8966" width="4.33203125" style="273" customWidth="1"/>
    <col min="8967" max="8967" width="13.796875" style="273" customWidth="1"/>
    <col min="8968" max="8968" width="4.06640625" style="273" customWidth="1"/>
    <col min="8969" max="8969" width="24.06640625" style="273" bestFit="1" customWidth="1"/>
    <col min="8970" max="8970" width="27.73046875" style="273" customWidth="1"/>
    <col min="8971" max="8971" width="8.796875" style="273" customWidth="1"/>
    <col min="8972" max="8972" width="6.06640625" style="273" customWidth="1"/>
    <col min="8973" max="9216" width="11.33203125" style="273"/>
    <col min="9217" max="9217" width="7.59765625" style="273" customWidth="1"/>
    <col min="9218" max="9218" width="8.06640625" style="273" customWidth="1"/>
    <col min="9219" max="9219" width="17.265625" style="273" bestFit="1" customWidth="1"/>
    <col min="9220" max="9220" width="14.796875" style="273" bestFit="1" customWidth="1"/>
    <col min="9221" max="9221" width="4.33203125" style="273" bestFit="1" customWidth="1"/>
    <col min="9222" max="9222" width="4.33203125" style="273" customWidth="1"/>
    <col min="9223" max="9223" width="13.796875" style="273" customWidth="1"/>
    <col min="9224" max="9224" width="4.06640625" style="273" customWidth="1"/>
    <col min="9225" max="9225" width="24.06640625" style="273" bestFit="1" customWidth="1"/>
    <col min="9226" max="9226" width="27.73046875" style="273" customWidth="1"/>
    <col min="9227" max="9227" width="8.796875" style="273" customWidth="1"/>
    <col min="9228" max="9228" width="6.06640625" style="273" customWidth="1"/>
    <col min="9229" max="9472" width="11.33203125" style="273"/>
    <col min="9473" max="9473" width="7.59765625" style="273" customWidth="1"/>
    <col min="9474" max="9474" width="8.06640625" style="273" customWidth="1"/>
    <col min="9475" max="9475" width="17.265625" style="273" bestFit="1" customWidth="1"/>
    <col min="9476" max="9476" width="14.796875" style="273" bestFit="1" customWidth="1"/>
    <col min="9477" max="9477" width="4.33203125" style="273" bestFit="1" customWidth="1"/>
    <col min="9478" max="9478" width="4.33203125" style="273" customWidth="1"/>
    <col min="9479" max="9479" width="13.796875" style="273" customWidth="1"/>
    <col min="9480" max="9480" width="4.06640625" style="273" customWidth="1"/>
    <col min="9481" max="9481" width="24.06640625" style="273" bestFit="1" customWidth="1"/>
    <col min="9482" max="9482" width="27.73046875" style="273" customWidth="1"/>
    <col min="9483" max="9483" width="8.796875" style="273" customWidth="1"/>
    <col min="9484" max="9484" width="6.06640625" style="273" customWidth="1"/>
    <col min="9485" max="9728" width="11.33203125" style="273"/>
    <col min="9729" max="9729" width="7.59765625" style="273" customWidth="1"/>
    <col min="9730" max="9730" width="8.06640625" style="273" customWidth="1"/>
    <col min="9731" max="9731" width="17.265625" style="273" bestFit="1" customWidth="1"/>
    <col min="9732" max="9732" width="14.796875" style="273" bestFit="1" customWidth="1"/>
    <col min="9733" max="9733" width="4.33203125" style="273" bestFit="1" customWidth="1"/>
    <col min="9734" max="9734" width="4.33203125" style="273" customWidth="1"/>
    <col min="9735" max="9735" width="13.796875" style="273" customWidth="1"/>
    <col min="9736" max="9736" width="4.06640625" style="273" customWidth="1"/>
    <col min="9737" max="9737" width="24.06640625" style="273" bestFit="1" customWidth="1"/>
    <col min="9738" max="9738" width="27.73046875" style="273" customWidth="1"/>
    <col min="9739" max="9739" width="8.796875" style="273" customWidth="1"/>
    <col min="9740" max="9740" width="6.06640625" style="273" customWidth="1"/>
    <col min="9741" max="9984" width="11.33203125" style="273"/>
    <col min="9985" max="9985" width="7.59765625" style="273" customWidth="1"/>
    <col min="9986" max="9986" width="8.06640625" style="273" customWidth="1"/>
    <col min="9987" max="9987" width="17.265625" style="273" bestFit="1" customWidth="1"/>
    <col min="9988" max="9988" width="14.796875" style="273" bestFit="1" customWidth="1"/>
    <col min="9989" max="9989" width="4.33203125" style="273" bestFit="1" customWidth="1"/>
    <col min="9990" max="9990" width="4.33203125" style="273" customWidth="1"/>
    <col min="9991" max="9991" width="13.796875" style="273" customWidth="1"/>
    <col min="9992" max="9992" width="4.06640625" style="273" customWidth="1"/>
    <col min="9993" max="9993" width="24.06640625" style="273" bestFit="1" customWidth="1"/>
    <col min="9994" max="9994" width="27.73046875" style="273" customWidth="1"/>
    <col min="9995" max="9995" width="8.796875" style="273" customWidth="1"/>
    <col min="9996" max="9996" width="6.06640625" style="273" customWidth="1"/>
    <col min="9997" max="10240" width="11.33203125" style="273"/>
    <col min="10241" max="10241" width="7.59765625" style="273" customWidth="1"/>
    <col min="10242" max="10242" width="8.06640625" style="273" customWidth="1"/>
    <col min="10243" max="10243" width="17.265625" style="273" bestFit="1" customWidth="1"/>
    <col min="10244" max="10244" width="14.796875" style="273" bestFit="1" customWidth="1"/>
    <col min="10245" max="10245" width="4.33203125" style="273" bestFit="1" customWidth="1"/>
    <col min="10246" max="10246" width="4.33203125" style="273" customWidth="1"/>
    <col min="10247" max="10247" width="13.796875" style="273" customWidth="1"/>
    <col min="10248" max="10248" width="4.06640625" style="273" customWidth="1"/>
    <col min="10249" max="10249" width="24.06640625" style="273" bestFit="1" customWidth="1"/>
    <col min="10250" max="10250" width="27.73046875" style="273" customWidth="1"/>
    <col min="10251" max="10251" width="8.796875" style="273" customWidth="1"/>
    <col min="10252" max="10252" width="6.06640625" style="273" customWidth="1"/>
    <col min="10253" max="10496" width="11.33203125" style="273"/>
    <col min="10497" max="10497" width="7.59765625" style="273" customWidth="1"/>
    <col min="10498" max="10498" width="8.06640625" style="273" customWidth="1"/>
    <col min="10499" max="10499" width="17.265625" style="273" bestFit="1" customWidth="1"/>
    <col min="10500" max="10500" width="14.796875" style="273" bestFit="1" customWidth="1"/>
    <col min="10501" max="10501" width="4.33203125" style="273" bestFit="1" customWidth="1"/>
    <col min="10502" max="10502" width="4.33203125" style="273" customWidth="1"/>
    <col min="10503" max="10503" width="13.796875" style="273" customWidth="1"/>
    <col min="10504" max="10504" width="4.06640625" style="273" customWidth="1"/>
    <col min="10505" max="10505" width="24.06640625" style="273" bestFit="1" customWidth="1"/>
    <col min="10506" max="10506" width="27.73046875" style="273" customWidth="1"/>
    <col min="10507" max="10507" width="8.796875" style="273" customWidth="1"/>
    <col min="10508" max="10508" width="6.06640625" style="273" customWidth="1"/>
    <col min="10509" max="10752" width="11.33203125" style="273"/>
    <col min="10753" max="10753" width="7.59765625" style="273" customWidth="1"/>
    <col min="10754" max="10754" width="8.06640625" style="273" customWidth="1"/>
    <col min="10755" max="10755" width="17.265625" style="273" bestFit="1" customWidth="1"/>
    <col min="10756" max="10756" width="14.796875" style="273" bestFit="1" customWidth="1"/>
    <col min="10757" max="10757" width="4.33203125" style="273" bestFit="1" customWidth="1"/>
    <col min="10758" max="10758" width="4.33203125" style="273" customWidth="1"/>
    <col min="10759" max="10759" width="13.796875" style="273" customWidth="1"/>
    <col min="10760" max="10760" width="4.06640625" style="273" customWidth="1"/>
    <col min="10761" max="10761" width="24.06640625" style="273" bestFit="1" customWidth="1"/>
    <col min="10762" max="10762" width="27.73046875" style="273" customWidth="1"/>
    <col min="10763" max="10763" width="8.796875" style="273" customWidth="1"/>
    <col min="10764" max="10764" width="6.06640625" style="273" customWidth="1"/>
    <col min="10765" max="11008" width="11.33203125" style="273"/>
    <col min="11009" max="11009" width="7.59765625" style="273" customWidth="1"/>
    <col min="11010" max="11010" width="8.06640625" style="273" customWidth="1"/>
    <col min="11011" max="11011" width="17.265625" style="273" bestFit="1" customWidth="1"/>
    <col min="11012" max="11012" width="14.796875" style="273" bestFit="1" customWidth="1"/>
    <col min="11013" max="11013" width="4.33203125" style="273" bestFit="1" customWidth="1"/>
    <col min="11014" max="11014" width="4.33203125" style="273" customWidth="1"/>
    <col min="11015" max="11015" width="13.796875" style="273" customWidth="1"/>
    <col min="11016" max="11016" width="4.06640625" style="273" customWidth="1"/>
    <col min="11017" max="11017" width="24.06640625" style="273" bestFit="1" customWidth="1"/>
    <col min="11018" max="11018" width="27.73046875" style="273" customWidth="1"/>
    <col min="11019" max="11019" width="8.796875" style="273" customWidth="1"/>
    <col min="11020" max="11020" width="6.06640625" style="273" customWidth="1"/>
    <col min="11021" max="11264" width="11.33203125" style="273"/>
    <col min="11265" max="11265" width="7.59765625" style="273" customWidth="1"/>
    <col min="11266" max="11266" width="8.06640625" style="273" customWidth="1"/>
    <col min="11267" max="11267" width="17.265625" style="273" bestFit="1" customWidth="1"/>
    <col min="11268" max="11268" width="14.796875" style="273" bestFit="1" customWidth="1"/>
    <col min="11269" max="11269" width="4.33203125" style="273" bestFit="1" customWidth="1"/>
    <col min="11270" max="11270" width="4.33203125" style="273" customWidth="1"/>
    <col min="11271" max="11271" width="13.796875" style="273" customWidth="1"/>
    <col min="11272" max="11272" width="4.06640625" style="273" customWidth="1"/>
    <col min="11273" max="11273" width="24.06640625" style="273" bestFit="1" customWidth="1"/>
    <col min="11274" max="11274" width="27.73046875" style="273" customWidth="1"/>
    <col min="11275" max="11275" width="8.796875" style="273" customWidth="1"/>
    <col min="11276" max="11276" width="6.06640625" style="273" customWidth="1"/>
    <col min="11277" max="11520" width="11.33203125" style="273"/>
    <col min="11521" max="11521" width="7.59765625" style="273" customWidth="1"/>
    <col min="11522" max="11522" width="8.06640625" style="273" customWidth="1"/>
    <col min="11523" max="11523" width="17.265625" style="273" bestFit="1" customWidth="1"/>
    <col min="11524" max="11524" width="14.796875" style="273" bestFit="1" customWidth="1"/>
    <col min="11525" max="11525" width="4.33203125" style="273" bestFit="1" customWidth="1"/>
    <col min="11526" max="11526" width="4.33203125" style="273" customWidth="1"/>
    <col min="11527" max="11527" width="13.796875" style="273" customWidth="1"/>
    <col min="11528" max="11528" width="4.06640625" style="273" customWidth="1"/>
    <col min="11529" max="11529" width="24.06640625" style="273" bestFit="1" customWidth="1"/>
    <col min="11530" max="11530" width="27.73046875" style="273" customWidth="1"/>
    <col min="11531" max="11531" width="8.796875" style="273" customWidth="1"/>
    <col min="11532" max="11532" width="6.06640625" style="273" customWidth="1"/>
    <col min="11533" max="11776" width="11.33203125" style="273"/>
    <col min="11777" max="11777" width="7.59765625" style="273" customWidth="1"/>
    <col min="11778" max="11778" width="8.06640625" style="273" customWidth="1"/>
    <col min="11779" max="11779" width="17.265625" style="273" bestFit="1" customWidth="1"/>
    <col min="11780" max="11780" width="14.796875" style="273" bestFit="1" customWidth="1"/>
    <col min="11781" max="11781" width="4.33203125" style="273" bestFit="1" customWidth="1"/>
    <col min="11782" max="11782" width="4.33203125" style="273" customWidth="1"/>
    <col min="11783" max="11783" width="13.796875" style="273" customWidth="1"/>
    <col min="11784" max="11784" width="4.06640625" style="273" customWidth="1"/>
    <col min="11785" max="11785" width="24.06640625" style="273" bestFit="1" customWidth="1"/>
    <col min="11786" max="11786" width="27.73046875" style="273" customWidth="1"/>
    <col min="11787" max="11787" width="8.796875" style="273" customWidth="1"/>
    <col min="11788" max="11788" width="6.06640625" style="273" customWidth="1"/>
    <col min="11789" max="12032" width="11.33203125" style="273"/>
    <col min="12033" max="12033" width="7.59765625" style="273" customWidth="1"/>
    <col min="12034" max="12034" width="8.06640625" style="273" customWidth="1"/>
    <col min="12035" max="12035" width="17.265625" style="273" bestFit="1" customWidth="1"/>
    <col min="12036" max="12036" width="14.796875" style="273" bestFit="1" customWidth="1"/>
    <col min="12037" max="12037" width="4.33203125" style="273" bestFit="1" customWidth="1"/>
    <col min="12038" max="12038" width="4.33203125" style="273" customWidth="1"/>
    <col min="12039" max="12039" width="13.796875" style="273" customWidth="1"/>
    <col min="12040" max="12040" width="4.06640625" style="273" customWidth="1"/>
    <col min="12041" max="12041" width="24.06640625" style="273" bestFit="1" customWidth="1"/>
    <col min="12042" max="12042" width="27.73046875" style="273" customWidth="1"/>
    <col min="12043" max="12043" width="8.796875" style="273" customWidth="1"/>
    <col min="12044" max="12044" width="6.06640625" style="273" customWidth="1"/>
    <col min="12045" max="12288" width="11.33203125" style="273"/>
    <col min="12289" max="12289" width="7.59765625" style="273" customWidth="1"/>
    <col min="12290" max="12290" width="8.06640625" style="273" customWidth="1"/>
    <col min="12291" max="12291" width="17.265625" style="273" bestFit="1" customWidth="1"/>
    <col min="12292" max="12292" width="14.796875" style="273" bestFit="1" customWidth="1"/>
    <col min="12293" max="12293" width="4.33203125" style="273" bestFit="1" customWidth="1"/>
    <col min="12294" max="12294" width="4.33203125" style="273" customWidth="1"/>
    <col min="12295" max="12295" width="13.796875" style="273" customWidth="1"/>
    <col min="12296" max="12296" width="4.06640625" style="273" customWidth="1"/>
    <col min="12297" max="12297" width="24.06640625" style="273" bestFit="1" customWidth="1"/>
    <col min="12298" max="12298" width="27.73046875" style="273" customWidth="1"/>
    <col min="12299" max="12299" width="8.796875" style="273" customWidth="1"/>
    <col min="12300" max="12300" width="6.06640625" style="273" customWidth="1"/>
    <col min="12301" max="12544" width="11.33203125" style="273"/>
    <col min="12545" max="12545" width="7.59765625" style="273" customWidth="1"/>
    <col min="12546" max="12546" width="8.06640625" style="273" customWidth="1"/>
    <col min="12547" max="12547" width="17.265625" style="273" bestFit="1" customWidth="1"/>
    <col min="12548" max="12548" width="14.796875" style="273" bestFit="1" customWidth="1"/>
    <col min="12549" max="12549" width="4.33203125" style="273" bestFit="1" customWidth="1"/>
    <col min="12550" max="12550" width="4.33203125" style="273" customWidth="1"/>
    <col min="12551" max="12551" width="13.796875" style="273" customWidth="1"/>
    <col min="12552" max="12552" width="4.06640625" style="273" customWidth="1"/>
    <col min="12553" max="12553" width="24.06640625" style="273" bestFit="1" customWidth="1"/>
    <col min="12554" max="12554" width="27.73046875" style="273" customWidth="1"/>
    <col min="12555" max="12555" width="8.796875" style="273" customWidth="1"/>
    <col min="12556" max="12556" width="6.06640625" style="273" customWidth="1"/>
    <col min="12557" max="12800" width="11.33203125" style="273"/>
    <col min="12801" max="12801" width="7.59765625" style="273" customWidth="1"/>
    <col min="12802" max="12802" width="8.06640625" style="273" customWidth="1"/>
    <col min="12803" max="12803" width="17.265625" style="273" bestFit="1" customWidth="1"/>
    <col min="12804" max="12804" width="14.796875" style="273" bestFit="1" customWidth="1"/>
    <col min="12805" max="12805" width="4.33203125" style="273" bestFit="1" customWidth="1"/>
    <col min="12806" max="12806" width="4.33203125" style="273" customWidth="1"/>
    <col min="12807" max="12807" width="13.796875" style="273" customWidth="1"/>
    <col min="12808" max="12808" width="4.06640625" style="273" customWidth="1"/>
    <col min="12809" max="12809" width="24.06640625" style="273" bestFit="1" customWidth="1"/>
    <col min="12810" max="12810" width="27.73046875" style="273" customWidth="1"/>
    <col min="12811" max="12811" width="8.796875" style="273" customWidth="1"/>
    <col min="12812" max="12812" width="6.06640625" style="273" customWidth="1"/>
    <col min="12813" max="13056" width="11.33203125" style="273"/>
    <col min="13057" max="13057" width="7.59765625" style="273" customWidth="1"/>
    <col min="13058" max="13058" width="8.06640625" style="273" customWidth="1"/>
    <col min="13059" max="13059" width="17.265625" style="273" bestFit="1" customWidth="1"/>
    <col min="13060" max="13060" width="14.796875" style="273" bestFit="1" customWidth="1"/>
    <col min="13061" max="13061" width="4.33203125" style="273" bestFit="1" customWidth="1"/>
    <col min="13062" max="13062" width="4.33203125" style="273" customWidth="1"/>
    <col min="13063" max="13063" width="13.796875" style="273" customWidth="1"/>
    <col min="13064" max="13064" width="4.06640625" style="273" customWidth="1"/>
    <col min="13065" max="13065" width="24.06640625" style="273" bestFit="1" customWidth="1"/>
    <col min="13066" max="13066" width="27.73046875" style="273" customWidth="1"/>
    <col min="13067" max="13067" width="8.796875" style="273" customWidth="1"/>
    <col min="13068" max="13068" width="6.06640625" style="273" customWidth="1"/>
    <col min="13069" max="13312" width="11.33203125" style="273"/>
    <col min="13313" max="13313" width="7.59765625" style="273" customWidth="1"/>
    <col min="13314" max="13314" width="8.06640625" style="273" customWidth="1"/>
    <col min="13315" max="13315" width="17.265625" style="273" bestFit="1" customWidth="1"/>
    <col min="13316" max="13316" width="14.796875" style="273" bestFit="1" customWidth="1"/>
    <col min="13317" max="13317" width="4.33203125" style="273" bestFit="1" customWidth="1"/>
    <col min="13318" max="13318" width="4.33203125" style="273" customWidth="1"/>
    <col min="13319" max="13319" width="13.796875" style="273" customWidth="1"/>
    <col min="13320" max="13320" width="4.06640625" style="273" customWidth="1"/>
    <col min="13321" max="13321" width="24.06640625" style="273" bestFit="1" customWidth="1"/>
    <col min="13322" max="13322" width="27.73046875" style="273" customWidth="1"/>
    <col min="13323" max="13323" width="8.796875" style="273" customWidth="1"/>
    <col min="13324" max="13324" width="6.06640625" style="273" customWidth="1"/>
    <col min="13325" max="13568" width="11.33203125" style="273"/>
    <col min="13569" max="13569" width="7.59765625" style="273" customWidth="1"/>
    <col min="13570" max="13570" width="8.06640625" style="273" customWidth="1"/>
    <col min="13571" max="13571" width="17.265625" style="273" bestFit="1" customWidth="1"/>
    <col min="13572" max="13572" width="14.796875" style="273" bestFit="1" customWidth="1"/>
    <col min="13573" max="13573" width="4.33203125" style="273" bestFit="1" customWidth="1"/>
    <col min="13574" max="13574" width="4.33203125" style="273" customWidth="1"/>
    <col min="13575" max="13575" width="13.796875" style="273" customWidth="1"/>
    <col min="13576" max="13576" width="4.06640625" style="273" customWidth="1"/>
    <col min="13577" max="13577" width="24.06640625" style="273" bestFit="1" customWidth="1"/>
    <col min="13578" max="13578" width="27.73046875" style="273" customWidth="1"/>
    <col min="13579" max="13579" width="8.796875" style="273" customWidth="1"/>
    <col min="13580" max="13580" width="6.06640625" style="273" customWidth="1"/>
    <col min="13581" max="13824" width="11.33203125" style="273"/>
    <col min="13825" max="13825" width="7.59765625" style="273" customWidth="1"/>
    <col min="13826" max="13826" width="8.06640625" style="273" customWidth="1"/>
    <col min="13827" max="13827" width="17.265625" style="273" bestFit="1" customWidth="1"/>
    <col min="13828" max="13828" width="14.796875" style="273" bestFit="1" customWidth="1"/>
    <col min="13829" max="13829" width="4.33203125" style="273" bestFit="1" customWidth="1"/>
    <col min="13830" max="13830" width="4.33203125" style="273" customWidth="1"/>
    <col min="13831" max="13831" width="13.796875" style="273" customWidth="1"/>
    <col min="13832" max="13832" width="4.06640625" style="273" customWidth="1"/>
    <col min="13833" max="13833" width="24.06640625" style="273" bestFit="1" customWidth="1"/>
    <col min="13834" max="13834" width="27.73046875" style="273" customWidth="1"/>
    <col min="13835" max="13835" width="8.796875" style="273" customWidth="1"/>
    <col min="13836" max="13836" width="6.06640625" style="273" customWidth="1"/>
    <col min="13837" max="14080" width="11.33203125" style="273"/>
    <col min="14081" max="14081" width="7.59765625" style="273" customWidth="1"/>
    <col min="14082" max="14082" width="8.06640625" style="273" customWidth="1"/>
    <col min="14083" max="14083" width="17.265625" style="273" bestFit="1" customWidth="1"/>
    <col min="14084" max="14084" width="14.796875" style="273" bestFit="1" customWidth="1"/>
    <col min="14085" max="14085" width="4.33203125" style="273" bestFit="1" customWidth="1"/>
    <col min="14086" max="14086" width="4.33203125" style="273" customWidth="1"/>
    <col min="14087" max="14087" width="13.796875" style="273" customWidth="1"/>
    <col min="14088" max="14088" width="4.06640625" style="273" customWidth="1"/>
    <col min="14089" max="14089" width="24.06640625" style="273" bestFit="1" customWidth="1"/>
    <col min="14090" max="14090" width="27.73046875" style="273" customWidth="1"/>
    <col min="14091" max="14091" width="8.796875" style="273" customWidth="1"/>
    <col min="14092" max="14092" width="6.06640625" style="273" customWidth="1"/>
    <col min="14093" max="14336" width="11.33203125" style="273"/>
    <col min="14337" max="14337" width="7.59765625" style="273" customWidth="1"/>
    <col min="14338" max="14338" width="8.06640625" style="273" customWidth="1"/>
    <col min="14339" max="14339" width="17.265625" style="273" bestFit="1" customWidth="1"/>
    <col min="14340" max="14340" width="14.796875" style="273" bestFit="1" customWidth="1"/>
    <col min="14341" max="14341" width="4.33203125" style="273" bestFit="1" customWidth="1"/>
    <col min="14342" max="14342" width="4.33203125" style="273" customWidth="1"/>
    <col min="14343" max="14343" width="13.796875" style="273" customWidth="1"/>
    <col min="14344" max="14344" width="4.06640625" style="273" customWidth="1"/>
    <col min="14345" max="14345" width="24.06640625" style="273" bestFit="1" customWidth="1"/>
    <col min="14346" max="14346" width="27.73046875" style="273" customWidth="1"/>
    <col min="14347" max="14347" width="8.796875" style="273" customWidth="1"/>
    <col min="14348" max="14348" width="6.06640625" style="273" customWidth="1"/>
    <col min="14349" max="14592" width="11.33203125" style="273"/>
    <col min="14593" max="14593" width="7.59765625" style="273" customWidth="1"/>
    <col min="14594" max="14594" width="8.06640625" style="273" customWidth="1"/>
    <col min="14595" max="14595" width="17.265625" style="273" bestFit="1" customWidth="1"/>
    <col min="14596" max="14596" width="14.796875" style="273" bestFit="1" customWidth="1"/>
    <col min="14597" max="14597" width="4.33203125" style="273" bestFit="1" customWidth="1"/>
    <col min="14598" max="14598" width="4.33203125" style="273" customWidth="1"/>
    <col min="14599" max="14599" width="13.796875" style="273" customWidth="1"/>
    <col min="14600" max="14600" width="4.06640625" style="273" customWidth="1"/>
    <col min="14601" max="14601" width="24.06640625" style="273" bestFit="1" customWidth="1"/>
    <col min="14602" max="14602" width="27.73046875" style="273" customWidth="1"/>
    <col min="14603" max="14603" width="8.796875" style="273" customWidth="1"/>
    <col min="14604" max="14604" width="6.06640625" style="273" customWidth="1"/>
    <col min="14605" max="14848" width="11.33203125" style="273"/>
    <col min="14849" max="14849" width="7.59765625" style="273" customWidth="1"/>
    <col min="14850" max="14850" width="8.06640625" style="273" customWidth="1"/>
    <col min="14851" max="14851" width="17.265625" style="273" bestFit="1" customWidth="1"/>
    <col min="14852" max="14852" width="14.796875" style="273" bestFit="1" customWidth="1"/>
    <col min="14853" max="14853" width="4.33203125" style="273" bestFit="1" customWidth="1"/>
    <col min="14854" max="14854" width="4.33203125" style="273" customWidth="1"/>
    <col min="14855" max="14855" width="13.796875" style="273" customWidth="1"/>
    <col min="14856" max="14856" width="4.06640625" style="273" customWidth="1"/>
    <col min="14857" max="14857" width="24.06640625" style="273" bestFit="1" customWidth="1"/>
    <col min="14858" max="14858" width="27.73046875" style="273" customWidth="1"/>
    <col min="14859" max="14859" width="8.796875" style="273" customWidth="1"/>
    <col min="14860" max="14860" width="6.06640625" style="273" customWidth="1"/>
    <col min="14861" max="15104" width="11.33203125" style="273"/>
    <col min="15105" max="15105" width="7.59765625" style="273" customWidth="1"/>
    <col min="15106" max="15106" width="8.06640625" style="273" customWidth="1"/>
    <col min="15107" max="15107" width="17.265625" style="273" bestFit="1" customWidth="1"/>
    <col min="15108" max="15108" width="14.796875" style="273" bestFit="1" customWidth="1"/>
    <col min="15109" max="15109" width="4.33203125" style="273" bestFit="1" customWidth="1"/>
    <col min="15110" max="15110" width="4.33203125" style="273" customWidth="1"/>
    <col min="15111" max="15111" width="13.796875" style="273" customWidth="1"/>
    <col min="15112" max="15112" width="4.06640625" style="273" customWidth="1"/>
    <col min="15113" max="15113" width="24.06640625" style="273" bestFit="1" customWidth="1"/>
    <col min="15114" max="15114" width="27.73046875" style="273" customWidth="1"/>
    <col min="15115" max="15115" width="8.796875" style="273" customWidth="1"/>
    <col min="15116" max="15116" width="6.06640625" style="273" customWidth="1"/>
    <col min="15117" max="15360" width="11.33203125" style="273"/>
    <col min="15361" max="15361" width="7.59765625" style="273" customWidth="1"/>
    <col min="15362" max="15362" width="8.06640625" style="273" customWidth="1"/>
    <col min="15363" max="15363" width="17.265625" style="273" bestFit="1" customWidth="1"/>
    <col min="15364" max="15364" width="14.796875" style="273" bestFit="1" customWidth="1"/>
    <col min="15365" max="15365" width="4.33203125" style="273" bestFit="1" customWidth="1"/>
    <col min="15366" max="15366" width="4.33203125" style="273" customWidth="1"/>
    <col min="15367" max="15367" width="13.796875" style="273" customWidth="1"/>
    <col min="15368" max="15368" width="4.06640625" style="273" customWidth="1"/>
    <col min="15369" max="15369" width="24.06640625" style="273" bestFit="1" customWidth="1"/>
    <col min="15370" max="15370" width="27.73046875" style="273" customWidth="1"/>
    <col min="15371" max="15371" width="8.796875" style="273" customWidth="1"/>
    <col min="15372" max="15372" width="6.06640625" style="273" customWidth="1"/>
    <col min="15373" max="15616" width="11.33203125" style="273"/>
    <col min="15617" max="15617" width="7.59765625" style="273" customWidth="1"/>
    <col min="15618" max="15618" width="8.06640625" style="273" customWidth="1"/>
    <col min="15619" max="15619" width="17.265625" style="273" bestFit="1" customWidth="1"/>
    <col min="15620" max="15620" width="14.796875" style="273" bestFit="1" customWidth="1"/>
    <col min="15621" max="15621" width="4.33203125" style="273" bestFit="1" customWidth="1"/>
    <col min="15622" max="15622" width="4.33203125" style="273" customWidth="1"/>
    <col min="15623" max="15623" width="13.796875" style="273" customWidth="1"/>
    <col min="15624" max="15624" width="4.06640625" style="273" customWidth="1"/>
    <col min="15625" max="15625" width="24.06640625" style="273" bestFit="1" customWidth="1"/>
    <col min="15626" max="15626" width="27.73046875" style="273" customWidth="1"/>
    <col min="15627" max="15627" width="8.796875" style="273" customWidth="1"/>
    <col min="15628" max="15628" width="6.06640625" style="273" customWidth="1"/>
    <col min="15629" max="15872" width="11.33203125" style="273"/>
    <col min="15873" max="15873" width="7.59765625" style="273" customWidth="1"/>
    <col min="15874" max="15874" width="8.06640625" style="273" customWidth="1"/>
    <col min="15875" max="15875" width="17.265625" style="273" bestFit="1" customWidth="1"/>
    <col min="15876" max="15876" width="14.796875" style="273" bestFit="1" customWidth="1"/>
    <col min="15877" max="15877" width="4.33203125" style="273" bestFit="1" customWidth="1"/>
    <col min="15878" max="15878" width="4.33203125" style="273" customWidth="1"/>
    <col min="15879" max="15879" width="13.796875" style="273" customWidth="1"/>
    <col min="15880" max="15880" width="4.06640625" style="273" customWidth="1"/>
    <col min="15881" max="15881" width="24.06640625" style="273" bestFit="1" customWidth="1"/>
    <col min="15882" max="15882" width="27.73046875" style="273" customWidth="1"/>
    <col min="15883" max="15883" width="8.796875" style="273" customWidth="1"/>
    <col min="15884" max="15884" width="6.06640625" style="273" customWidth="1"/>
    <col min="15885" max="16128" width="11.33203125" style="273"/>
    <col min="16129" max="16129" width="7.59765625" style="273" customWidth="1"/>
    <col min="16130" max="16130" width="8.06640625" style="273" customWidth="1"/>
    <col min="16131" max="16131" width="17.265625" style="273" bestFit="1" customWidth="1"/>
    <col min="16132" max="16132" width="14.796875" style="273" bestFit="1" customWidth="1"/>
    <col min="16133" max="16133" width="4.33203125" style="273" bestFit="1" customWidth="1"/>
    <col min="16134" max="16134" width="4.33203125" style="273" customWidth="1"/>
    <col min="16135" max="16135" width="13.796875" style="273" customWidth="1"/>
    <col min="16136" max="16136" width="4.06640625" style="273" customWidth="1"/>
    <col min="16137" max="16137" width="24.06640625" style="273" bestFit="1" customWidth="1"/>
    <col min="16138" max="16138" width="27.73046875" style="273" customWidth="1"/>
    <col min="16139" max="16139" width="8.796875" style="273" customWidth="1"/>
    <col min="16140" max="16140" width="6.06640625" style="273" customWidth="1"/>
    <col min="16141" max="16384" width="11.33203125" style="273"/>
  </cols>
  <sheetData>
    <row r="1" spans="1:17" s="268" customFormat="1" ht="22.5" customHeight="1" x14ac:dyDescent="0.5">
      <c r="A1" s="231" t="s">
        <v>2435</v>
      </c>
      <c r="B1" s="232"/>
      <c r="C1" s="233"/>
      <c r="D1" s="234"/>
      <c r="E1" s="234"/>
      <c r="F1" s="235"/>
      <c r="G1" s="234"/>
      <c r="H1" s="234"/>
      <c r="I1" s="236"/>
      <c r="J1" s="232"/>
      <c r="K1" s="235"/>
    </row>
    <row r="2" spans="1:17" s="269" customFormat="1" ht="21" customHeight="1" x14ac:dyDescent="0.45">
      <c r="A2" s="237" t="s">
        <v>2436</v>
      </c>
      <c r="B2" s="232"/>
      <c r="C2" s="233"/>
      <c r="D2" s="234"/>
      <c r="E2" s="234"/>
      <c r="F2" s="235"/>
      <c r="G2" s="234"/>
      <c r="H2" s="234"/>
      <c r="I2" s="236"/>
      <c r="J2" s="232"/>
      <c r="K2" s="235"/>
    </row>
    <row r="3" spans="1:17" s="269" customFormat="1" ht="21" customHeight="1" x14ac:dyDescent="0.45">
      <c r="A3" s="237" t="s">
        <v>1876</v>
      </c>
      <c r="B3" s="232"/>
      <c r="C3" s="233"/>
      <c r="D3" s="234"/>
      <c r="E3" s="234"/>
      <c r="F3" s="235"/>
      <c r="G3" s="236"/>
      <c r="H3" s="234"/>
      <c r="I3" s="236"/>
      <c r="J3" s="232"/>
      <c r="K3" s="235"/>
    </row>
    <row r="4" spans="1:17" ht="39.4" x14ac:dyDescent="0.4">
      <c r="A4" s="238" t="s">
        <v>30</v>
      </c>
      <c r="B4" s="228" t="s">
        <v>31</v>
      </c>
      <c r="C4" s="228" t="s">
        <v>32</v>
      </c>
      <c r="D4" s="228" t="s">
        <v>33</v>
      </c>
      <c r="E4" s="230" t="s">
        <v>34</v>
      </c>
      <c r="F4" s="230" t="s">
        <v>35</v>
      </c>
      <c r="G4" s="230" t="s">
        <v>36</v>
      </c>
      <c r="H4" s="239" t="s">
        <v>37</v>
      </c>
      <c r="I4" s="229" t="s">
        <v>38</v>
      </c>
      <c r="J4" s="229" t="s">
        <v>39</v>
      </c>
      <c r="K4" s="240" t="s">
        <v>2367</v>
      </c>
      <c r="L4" s="270"/>
      <c r="M4" s="271"/>
      <c r="N4" s="272"/>
      <c r="Q4" s="274"/>
    </row>
    <row r="5" spans="1:17" ht="12.75" customHeight="1" x14ac:dyDescent="0.35">
      <c r="A5" s="241">
        <v>38175</v>
      </c>
      <c r="B5" s="242" t="s">
        <v>40</v>
      </c>
      <c r="C5" s="243" t="s">
        <v>41</v>
      </c>
      <c r="D5" s="243" t="s">
        <v>42</v>
      </c>
      <c r="E5" s="243"/>
      <c r="F5" s="244" t="s">
        <v>43</v>
      </c>
      <c r="G5" s="275" t="s">
        <v>44</v>
      </c>
      <c r="H5" s="276" t="s">
        <v>66</v>
      </c>
      <c r="I5" s="243" t="s">
        <v>46</v>
      </c>
      <c r="J5" s="243" t="s">
        <v>47</v>
      </c>
      <c r="K5" s="247" t="s">
        <v>48</v>
      </c>
    </row>
    <row r="6" spans="1:17" ht="12.75" customHeight="1" x14ac:dyDescent="0.35">
      <c r="A6" s="241">
        <v>38730</v>
      </c>
      <c r="B6" s="242" t="s">
        <v>1877</v>
      </c>
      <c r="C6" s="249" t="s">
        <v>1878</v>
      </c>
      <c r="D6" s="249" t="s">
        <v>1879</v>
      </c>
      <c r="E6" s="249" t="s">
        <v>2368</v>
      </c>
      <c r="F6" s="244" t="s">
        <v>43</v>
      </c>
      <c r="G6" s="275" t="s">
        <v>44</v>
      </c>
      <c r="H6" s="276" t="s">
        <v>180</v>
      </c>
      <c r="I6" s="249" t="s">
        <v>46</v>
      </c>
      <c r="J6" s="249" t="s">
        <v>47</v>
      </c>
      <c r="K6" s="247" t="s">
        <v>48</v>
      </c>
      <c r="M6" s="277"/>
      <c r="N6" s="277"/>
    </row>
    <row r="7" spans="1:17" ht="12.75" customHeight="1" x14ac:dyDescent="0.35">
      <c r="A7" s="241">
        <v>3175</v>
      </c>
      <c r="B7" s="242" t="s">
        <v>2437</v>
      </c>
      <c r="C7" s="242" t="s">
        <v>2438</v>
      </c>
      <c r="D7" s="242" t="s">
        <v>117</v>
      </c>
      <c r="E7" s="248"/>
      <c r="F7" s="244" t="s">
        <v>43</v>
      </c>
      <c r="G7" s="275" t="s">
        <v>67</v>
      </c>
      <c r="H7" s="276"/>
      <c r="I7" s="243" t="s">
        <v>46</v>
      </c>
      <c r="J7" s="243" t="s">
        <v>47</v>
      </c>
      <c r="K7" s="247" t="s">
        <v>48</v>
      </c>
    </row>
    <row r="8" spans="1:17" ht="12.75" customHeight="1" x14ac:dyDescent="0.35">
      <c r="A8" s="241">
        <v>7306</v>
      </c>
      <c r="B8" s="242" t="s">
        <v>54</v>
      </c>
      <c r="C8" s="243" t="s">
        <v>55</v>
      </c>
      <c r="D8" s="243" t="s">
        <v>56</v>
      </c>
      <c r="E8" s="243"/>
      <c r="F8" s="244" t="s">
        <v>49</v>
      </c>
      <c r="G8" s="275" t="s">
        <v>50</v>
      </c>
      <c r="H8" s="276" t="s">
        <v>45</v>
      </c>
      <c r="I8" s="243" t="s">
        <v>46</v>
      </c>
      <c r="J8" s="243" t="s">
        <v>47</v>
      </c>
      <c r="K8" s="247" t="s">
        <v>48</v>
      </c>
    </row>
    <row r="9" spans="1:17" ht="12.75" customHeight="1" x14ac:dyDescent="0.35">
      <c r="A9" s="241">
        <v>38591</v>
      </c>
      <c r="B9" s="242" t="s">
        <v>2320</v>
      </c>
      <c r="C9" s="243" t="s">
        <v>60</v>
      </c>
      <c r="D9" s="243" t="s">
        <v>61</v>
      </c>
      <c r="E9" s="243"/>
      <c r="F9" s="244" t="s">
        <v>43</v>
      </c>
      <c r="G9" s="275" t="s">
        <v>44</v>
      </c>
      <c r="H9" s="276"/>
      <c r="I9" s="243" t="s">
        <v>46</v>
      </c>
      <c r="J9" s="243" t="s">
        <v>47</v>
      </c>
      <c r="K9" s="247" t="s">
        <v>48</v>
      </c>
    </row>
    <row r="10" spans="1:17" ht="12.75" customHeight="1" x14ac:dyDescent="0.35">
      <c r="A10" s="241">
        <v>25487</v>
      </c>
      <c r="B10" s="242" t="s">
        <v>62</v>
      </c>
      <c r="C10" s="243" t="s">
        <v>63</v>
      </c>
      <c r="D10" s="243" t="s">
        <v>64</v>
      </c>
      <c r="E10" s="243"/>
      <c r="F10" s="244" t="s">
        <v>43</v>
      </c>
      <c r="G10" s="275" t="s">
        <v>44</v>
      </c>
      <c r="H10" s="276" t="s">
        <v>45</v>
      </c>
      <c r="I10" s="243" t="s">
        <v>46</v>
      </c>
      <c r="J10" s="243" t="s">
        <v>47</v>
      </c>
      <c r="K10" s="247" t="s">
        <v>48</v>
      </c>
    </row>
    <row r="11" spans="1:17" ht="12.75" customHeight="1" x14ac:dyDescent="0.35">
      <c r="A11" s="241">
        <v>7291</v>
      </c>
      <c r="B11" s="242" t="s">
        <v>68</v>
      </c>
      <c r="C11" s="243" t="s">
        <v>69</v>
      </c>
      <c r="D11" s="243" t="s">
        <v>70</v>
      </c>
      <c r="E11" s="243"/>
      <c r="F11" s="244" t="s">
        <v>43</v>
      </c>
      <c r="G11" s="275" t="s">
        <v>58</v>
      </c>
      <c r="H11" s="276" t="s">
        <v>45</v>
      </c>
      <c r="I11" s="243" t="s">
        <v>46</v>
      </c>
      <c r="J11" s="243" t="s">
        <v>47</v>
      </c>
      <c r="K11" s="247" t="s">
        <v>48</v>
      </c>
    </row>
    <row r="12" spans="1:17" ht="12.75" customHeight="1" x14ac:dyDescent="0.35">
      <c r="A12" s="241">
        <v>25445</v>
      </c>
      <c r="B12" s="242" t="s">
        <v>76</v>
      </c>
      <c r="C12" s="243" t="s">
        <v>69</v>
      </c>
      <c r="D12" s="243" t="s">
        <v>77</v>
      </c>
      <c r="E12" s="243"/>
      <c r="F12" s="244" t="s">
        <v>49</v>
      </c>
      <c r="G12" s="275" t="s">
        <v>228</v>
      </c>
      <c r="H12" s="276" t="s">
        <v>51</v>
      </c>
      <c r="I12" s="243" t="s">
        <v>46</v>
      </c>
      <c r="J12" s="243" t="s">
        <v>47</v>
      </c>
      <c r="K12" s="247" t="s">
        <v>48</v>
      </c>
    </row>
    <row r="13" spans="1:17" ht="12.75" customHeight="1" x14ac:dyDescent="0.35">
      <c r="A13" s="241">
        <v>38859</v>
      </c>
      <c r="B13" s="242" t="s">
        <v>2245</v>
      </c>
      <c r="C13" s="243" t="s">
        <v>2246</v>
      </c>
      <c r="D13" s="243" t="s">
        <v>99</v>
      </c>
      <c r="E13" s="243"/>
      <c r="F13" s="244" t="s">
        <v>43</v>
      </c>
      <c r="G13" s="275" t="s">
        <v>44</v>
      </c>
      <c r="H13" s="276" t="s">
        <v>66</v>
      </c>
      <c r="I13" s="243" t="s">
        <v>46</v>
      </c>
      <c r="J13" s="243" t="s">
        <v>47</v>
      </c>
      <c r="K13" s="247" t="s">
        <v>48</v>
      </c>
    </row>
    <row r="14" spans="1:17" ht="12.75" customHeight="1" x14ac:dyDescent="0.35">
      <c r="A14" s="241">
        <v>7295</v>
      </c>
      <c r="B14" s="242" t="s">
        <v>71</v>
      </c>
      <c r="C14" s="243" t="s">
        <v>72</v>
      </c>
      <c r="D14" s="243" t="s">
        <v>73</v>
      </c>
      <c r="E14" s="243"/>
      <c r="F14" s="244" t="s">
        <v>43</v>
      </c>
      <c r="G14" s="275" t="s">
        <v>58</v>
      </c>
      <c r="H14" s="276" t="s">
        <v>45</v>
      </c>
      <c r="I14" s="243" t="s">
        <v>46</v>
      </c>
      <c r="J14" s="243" t="s">
        <v>47</v>
      </c>
      <c r="K14" s="247" t="s">
        <v>48</v>
      </c>
      <c r="L14" s="272"/>
      <c r="M14" s="272"/>
      <c r="N14" s="272"/>
      <c r="Q14" s="274"/>
    </row>
    <row r="15" spans="1:17" ht="12.75" customHeight="1" x14ac:dyDescent="0.35">
      <c r="A15" s="241">
        <v>29170</v>
      </c>
      <c r="B15" s="242" t="s">
        <v>2369</v>
      </c>
      <c r="C15" s="249" t="s">
        <v>74</v>
      </c>
      <c r="D15" s="249" t="s">
        <v>75</v>
      </c>
      <c r="E15" s="249" t="s">
        <v>2368</v>
      </c>
      <c r="F15" s="244" t="s">
        <v>43</v>
      </c>
      <c r="G15" s="275" t="s">
        <v>52</v>
      </c>
      <c r="H15" s="276"/>
      <c r="I15" s="249" t="s">
        <v>46</v>
      </c>
      <c r="J15" s="249" t="s">
        <v>47</v>
      </c>
      <c r="K15" s="247" t="s">
        <v>48</v>
      </c>
      <c r="L15" s="272"/>
      <c r="M15" s="272"/>
      <c r="N15" s="272"/>
      <c r="Q15" s="274"/>
    </row>
    <row r="16" spans="1:17" ht="12.75" customHeight="1" x14ac:dyDescent="0.35">
      <c r="A16" s="241">
        <v>38592</v>
      </c>
      <c r="B16" s="242" t="s">
        <v>2321</v>
      </c>
      <c r="C16" s="243" t="s">
        <v>2322</v>
      </c>
      <c r="D16" s="243" t="s">
        <v>78</v>
      </c>
      <c r="E16" s="243"/>
      <c r="F16" s="244" t="s">
        <v>49</v>
      </c>
      <c r="G16" s="275" t="s">
        <v>79</v>
      </c>
      <c r="H16" s="276"/>
      <c r="I16" s="243" t="s">
        <v>46</v>
      </c>
      <c r="J16" s="243" t="s">
        <v>47</v>
      </c>
      <c r="K16" s="247" t="s">
        <v>48</v>
      </c>
      <c r="L16" s="272"/>
      <c r="M16" s="272"/>
      <c r="N16" s="272"/>
      <c r="Q16" s="274"/>
    </row>
    <row r="17" spans="1:17" ht="12.75" customHeight="1" x14ac:dyDescent="0.35">
      <c r="A17" s="241">
        <v>38771</v>
      </c>
      <c r="B17" s="242" t="s">
        <v>2011</v>
      </c>
      <c r="C17" s="243" t="s">
        <v>2012</v>
      </c>
      <c r="D17" s="243" t="s">
        <v>2013</v>
      </c>
      <c r="E17" s="243"/>
      <c r="F17" s="244" t="s">
        <v>43</v>
      </c>
      <c r="G17" s="275" t="s">
        <v>94</v>
      </c>
      <c r="H17" s="276" t="s">
        <v>45</v>
      </c>
      <c r="I17" s="243" t="s">
        <v>83</v>
      </c>
      <c r="J17" s="243" t="s">
        <v>84</v>
      </c>
      <c r="K17" s="247" t="s">
        <v>85</v>
      </c>
      <c r="L17" s="272"/>
      <c r="M17" s="272"/>
      <c r="N17" s="272"/>
      <c r="Q17" s="274"/>
    </row>
    <row r="18" spans="1:17" ht="12.75" customHeight="1" x14ac:dyDescent="0.35">
      <c r="A18" s="241">
        <v>38861</v>
      </c>
      <c r="B18" s="242" t="s">
        <v>2294</v>
      </c>
      <c r="C18" s="243" t="s">
        <v>2295</v>
      </c>
      <c r="D18" s="243" t="s">
        <v>810</v>
      </c>
      <c r="E18" s="243"/>
      <c r="F18" s="244" t="s">
        <v>43</v>
      </c>
      <c r="G18" s="275" t="s">
        <v>362</v>
      </c>
      <c r="H18" s="276" t="s">
        <v>104</v>
      </c>
      <c r="I18" s="243" t="s">
        <v>83</v>
      </c>
      <c r="J18" s="243" t="s">
        <v>84</v>
      </c>
      <c r="K18" s="247" t="s">
        <v>85</v>
      </c>
      <c r="L18" s="272"/>
      <c r="M18" s="272"/>
      <c r="N18" s="272"/>
      <c r="Q18" s="274"/>
    </row>
    <row r="19" spans="1:17" ht="12.75" customHeight="1" x14ac:dyDescent="0.35">
      <c r="A19" s="241">
        <v>25917</v>
      </c>
      <c r="B19" s="242" t="s">
        <v>2083</v>
      </c>
      <c r="C19" s="243" t="s">
        <v>2084</v>
      </c>
      <c r="D19" s="243" t="s">
        <v>75</v>
      </c>
      <c r="E19" s="243"/>
      <c r="F19" s="244" t="s">
        <v>43</v>
      </c>
      <c r="G19" s="275" t="s">
        <v>44</v>
      </c>
      <c r="H19" s="276" t="s">
        <v>45</v>
      </c>
      <c r="I19" s="243" t="s">
        <v>83</v>
      </c>
      <c r="J19" s="243" t="s">
        <v>84</v>
      </c>
      <c r="K19" s="247" t="s">
        <v>85</v>
      </c>
    </row>
    <row r="20" spans="1:17" ht="12.75" customHeight="1" x14ac:dyDescent="0.35">
      <c r="A20" s="241">
        <v>38761</v>
      </c>
      <c r="B20" s="242" t="s">
        <v>1880</v>
      </c>
      <c r="C20" s="243" t="s">
        <v>1881</v>
      </c>
      <c r="D20" s="243" t="s">
        <v>1882</v>
      </c>
      <c r="E20" s="243"/>
      <c r="F20" s="244" t="s">
        <v>43</v>
      </c>
      <c r="G20" s="275" t="s">
        <v>44</v>
      </c>
      <c r="H20" s="276"/>
      <c r="I20" s="243" t="s">
        <v>83</v>
      </c>
      <c r="J20" s="243" t="s">
        <v>84</v>
      </c>
      <c r="K20" s="247" t="s">
        <v>85</v>
      </c>
    </row>
    <row r="21" spans="1:17" ht="12.75" customHeight="1" x14ac:dyDescent="0.35">
      <c r="A21" s="241">
        <v>38855</v>
      </c>
      <c r="B21" s="242" t="s">
        <v>2247</v>
      </c>
      <c r="C21" s="243" t="s">
        <v>2248</v>
      </c>
      <c r="D21" s="243" t="s">
        <v>954</v>
      </c>
      <c r="E21" s="243"/>
      <c r="F21" s="244" t="s">
        <v>43</v>
      </c>
      <c r="G21" s="275" t="s">
        <v>94</v>
      </c>
      <c r="H21" s="276" t="s">
        <v>51</v>
      </c>
      <c r="I21" s="243" t="s">
        <v>83</v>
      </c>
      <c r="J21" s="243" t="s">
        <v>84</v>
      </c>
      <c r="K21" s="247" t="s">
        <v>85</v>
      </c>
    </row>
    <row r="22" spans="1:17" ht="12.75" customHeight="1" x14ac:dyDescent="0.35">
      <c r="A22" s="241">
        <v>38001</v>
      </c>
      <c r="B22" s="242" t="s">
        <v>91</v>
      </c>
      <c r="C22" s="249" t="s">
        <v>92</v>
      </c>
      <c r="D22" s="249" t="s">
        <v>93</v>
      </c>
      <c r="E22" s="249" t="s">
        <v>2368</v>
      </c>
      <c r="F22" s="244" t="s">
        <v>43</v>
      </c>
      <c r="G22" s="275" t="s">
        <v>44</v>
      </c>
      <c r="H22" s="276" t="s">
        <v>180</v>
      </c>
      <c r="I22" s="249" t="s">
        <v>83</v>
      </c>
      <c r="J22" s="249" t="s">
        <v>84</v>
      </c>
      <c r="K22" s="247" t="s">
        <v>85</v>
      </c>
    </row>
    <row r="23" spans="1:17" s="269" customFormat="1" ht="12.75" customHeight="1" x14ac:dyDescent="0.45">
      <c r="A23" s="241">
        <v>16336</v>
      </c>
      <c r="B23" s="242" t="s">
        <v>95</v>
      </c>
      <c r="C23" s="243" t="s">
        <v>96</v>
      </c>
      <c r="D23" s="243" t="s">
        <v>97</v>
      </c>
      <c r="E23" s="243"/>
      <c r="F23" s="244" t="s">
        <v>43</v>
      </c>
      <c r="G23" s="275" t="s">
        <v>67</v>
      </c>
      <c r="H23" s="276" t="s">
        <v>66</v>
      </c>
      <c r="I23" s="243" t="s">
        <v>83</v>
      </c>
      <c r="J23" s="243" t="s">
        <v>84</v>
      </c>
      <c r="K23" s="247" t="s">
        <v>85</v>
      </c>
    </row>
    <row r="24" spans="1:17" ht="12.75" customHeight="1" x14ac:dyDescent="0.35">
      <c r="A24" s="241">
        <v>38845</v>
      </c>
      <c r="B24" s="242" t="s">
        <v>2085</v>
      </c>
      <c r="C24" s="243" t="s">
        <v>2086</v>
      </c>
      <c r="D24" s="243" t="s">
        <v>2087</v>
      </c>
      <c r="E24" s="243"/>
      <c r="F24" s="244" t="s">
        <v>43</v>
      </c>
      <c r="G24" s="275" t="s">
        <v>89</v>
      </c>
      <c r="H24" s="276" t="s">
        <v>51</v>
      </c>
      <c r="I24" s="243" t="s">
        <v>83</v>
      </c>
      <c r="J24" s="243" t="s">
        <v>84</v>
      </c>
      <c r="K24" s="247" t="s">
        <v>85</v>
      </c>
      <c r="L24" s="272"/>
      <c r="M24" s="272"/>
      <c r="N24" s="272"/>
      <c r="Q24" s="274"/>
    </row>
    <row r="25" spans="1:17" ht="12.75" customHeight="1" x14ac:dyDescent="0.35">
      <c r="A25" s="241">
        <v>38843</v>
      </c>
      <c r="B25" s="242" t="s">
        <v>2088</v>
      </c>
      <c r="C25" s="243" t="s">
        <v>2089</v>
      </c>
      <c r="D25" s="243" t="s">
        <v>2090</v>
      </c>
      <c r="E25" s="243"/>
      <c r="F25" s="244" t="s">
        <v>49</v>
      </c>
      <c r="G25" s="275" t="s">
        <v>775</v>
      </c>
      <c r="H25" s="276" t="s">
        <v>104</v>
      </c>
      <c r="I25" s="243" t="s">
        <v>83</v>
      </c>
      <c r="J25" s="243" t="s">
        <v>84</v>
      </c>
      <c r="K25" s="247" t="s">
        <v>85</v>
      </c>
      <c r="L25" s="272"/>
      <c r="M25" s="272"/>
      <c r="N25" s="272"/>
      <c r="Q25" s="274"/>
    </row>
    <row r="26" spans="1:17" ht="12.75" customHeight="1" x14ac:dyDescent="0.35">
      <c r="A26" s="241">
        <v>38844</v>
      </c>
      <c r="B26" s="242" t="s">
        <v>2091</v>
      </c>
      <c r="C26" s="243" t="s">
        <v>2092</v>
      </c>
      <c r="D26" s="243" t="s">
        <v>669</v>
      </c>
      <c r="E26" s="243"/>
      <c r="F26" s="244" t="s">
        <v>43</v>
      </c>
      <c r="G26" s="275" t="s">
        <v>362</v>
      </c>
      <c r="H26" s="276" t="s">
        <v>45</v>
      </c>
      <c r="I26" s="243" t="s">
        <v>83</v>
      </c>
      <c r="J26" s="243" t="s">
        <v>84</v>
      </c>
      <c r="K26" s="247" t="s">
        <v>85</v>
      </c>
      <c r="L26" s="272"/>
      <c r="M26" s="272"/>
      <c r="N26" s="272"/>
      <c r="Q26" s="274"/>
    </row>
    <row r="27" spans="1:17" ht="12.75" customHeight="1" x14ac:dyDescent="0.35">
      <c r="A27" s="241">
        <v>25691</v>
      </c>
      <c r="B27" s="242" t="s">
        <v>2296</v>
      </c>
      <c r="C27" s="243" t="s">
        <v>2092</v>
      </c>
      <c r="D27" s="243" t="s">
        <v>143</v>
      </c>
      <c r="E27" s="243"/>
      <c r="F27" s="244" t="s">
        <v>43</v>
      </c>
      <c r="G27" s="275" t="s">
        <v>67</v>
      </c>
      <c r="H27" s="276" t="s">
        <v>45</v>
      </c>
      <c r="I27" s="243" t="s">
        <v>83</v>
      </c>
      <c r="J27" s="243" t="s">
        <v>84</v>
      </c>
      <c r="K27" s="247" t="s">
        <v>85</v>
      </c>
      <c r="L27" s="272"/>
      <c r="M27" s="272"/>
      <c r="N27" s="272"/>
      <c r="Q27" s="274"/>
    </row>
    <row r="28" spans="1:17" ht="12.75" customHeight="1" x14ac:dyDescent="0.35">
      <c r="A28" s="241">
        <v>38902</v>
      </c>
      <c r="B28" s="242" t="s">
        <v>2370</v>
      </c>
      <c r="C28" s="243" t="s">
        <v>2371</v>
      </c>
      <c r="D28" s="243" t="s">
        <v>1380</v>
      </c>
      <c r="E28" s="243"/>
      <c r="F28" s="244" t="s">
        <v>43</v>
      </c>
      <c r="G28" s="275" t="s">
        <v>44</v>
      </c>
      <c r="H28" s="276"/>
      <c r="I28" s="243" t="s">
        <v>83</v>
      </c>
      <c r="J28" s="243" t="s">
        <v>84</v>
      </c>
      <c r="K28" s="247" t="s">
        <v>85</v>
      </c>
      <c r="L28" s="272"/>
      <c r="M28" s="272"/>
      <c r="N28" s="272"/>
      <c r="Q28" s="274"/>
    </row>
    <row r="29" spans="1:17" ht="12.75" customHeight="1" x14ac:dyDescent="0.35">
      <c r="A29" s="241">
        <v>28367</v>
      </c>
      <c r="B29" s="242" t="s">
        <v>1639</v>
      </c>
      <c r="C29" s="243" t="s">
        <v>502</v>
      </c>
      <c r="D29" s="243" t="s">
        <v>53</v>
      </c>
      <c r="E29" s="243"/>
      <c r="F29" s="244" t="s">
        <v>43</v>
      </c>
      <c r="G29" s="275" t="s">
        <v>44</v>
      </c>
      <c r="H29" s="276" t="s">
        <v>239</v>
      </c>
      <c r="I29" s="243" t="s">
        <v>83</v>
      </c>
      <c r="J29" s="243" t="s">
        <v>84</v>
      </c>
      <c r="K29" s="247" t="s">
        <v>85</v>
      </c>
      <c r="L29" s="272"/>
      <c r="M29" s="272"/>
      <c r="N29" s="272"/>
      <c r="Q29" s="274"/>
    </row>
    <row r="30" spans="1:17" ht="12.75" customHeight="1" x14ac:dyDescent="0.35">
      <c r="A30" s="241">
        <v>25005</v>
      </c>
      <c r="B30" s="242" t="s">
        <v>550</v>
      </c>
      <c r="C30" s="243" t="s">
        <v>551</v>
      </c>
      <c r="D30" s="243" t="s">
        <v>552</v>
      </c>
      <c r="E30" s="243"/>
      <c r="F30" s="244" t="s">
        <v>43</v>
      </c>
      <c r="G30" s="275" t="s">
        <v>67</v>
      </c>
      <c r="H30" s="276" t="s">
        <v>66</v>
      </c>
      <c r="I30" s="243" t="s">
        <v>83</v>
      </c>
      <c r="J30" s="243" t="s">
        <v>84</v>
      </c>
      <c r="K30" s="247" t="s">
        <v>85</v>
      </c>
    </row>
    <row r="31" spans="1:17" ht="12.75" customHeight="1" x14ac:dyDescent="0.35">
      <c r="A31" s="241">
        <v>38893</v>
      </c>
      <c r="B31" s="242" t="s">
        <v>2372</v>
      </c>
      <c r="C31" s="243" t="s">
        <v>2373</v>
      </c>
      <c r="D31" s="243" t="s">
        <v>2374</v>
      </c>
      <c r="E31" s="243"/>
      <c r="F31" s="244" t="s">
        <v>43</v>
      </c>
      <c r="G31" s="275" t="s">
        <v>2061</v>
      </c>
      <c r="H31" s="276"/>
      <c r="I31" s="243" t="s">
        <v>83</v>
      </c>
      <c r="J31" s="243" t="s">
        <v>84</v>
      </c>
      <c r="K31" s="247" t="s">
        <v>85</v>
      </c>
      <c r="L31" s="272"/>
      <c r="M31" s="272"/>
      <c r="N31" s="272"/>
      <c r="Q31" s="274"/>
    </row>
    <row r="32" spans="1:17" ht="12.75" customHeight="1" x14ac:dyDescent="0.35">
      <c r="A32" s="241">
        <v>7646</v>
      </c>
      <c r="B32" s="242" t="s">
        <v>100</v>
      </c>
      <c r="C32" s="243" t="s">
        <v>101</v>
      </c>
      <c r="D32" s="243" t="s">
        <v>87</v>
      </c>
      <c r="E32" s="243"/>
      <c r="F32" s="244" t="s">
        <v>43</v>
      </c>
      <c r="G32" s="275" t="s">
        <v>67</v>
      </c>
      <c r="H32" s="276" t="s">
        <v>66</v>
      </c>
      <c r="I32" s="243" t="s">
        <v>83</v>
      </c>
      <c r="J32" s="243" t="s">
        <v>84</v>
      </c>
      <c r="K32" s="247" t="s">
        <v>85</v>
      </c>
      <c r="L32" s="272"/>
      <c r="M32" s="272"/>
      <c r="N32" s="272"/>
      <c r="Q32" s="274"/>
    </row>
    <row r="33" spans="1:17" ht="12.75" customHeight="1" x14ac:dyDescent="0.35">
      <c r="A33" s="241">
        <v>25690</v>
      </c>
      <c r="B33" s="242" t="s">
        <v>1147</v>
      </c>
      <c r="C33" s="243" t="s">
        <v>1148</v>
      </c>
      <c r="D33" s="243" t="s">
        <v>93</v>
      </c>
      <c r="E33" s="243"/>
      <c r="F33" s="244" t="s">
        <v>43</v>
      </c>
      <c r="G33" s="275" t="s">
        <v>44</v>
      </c>
      <c r="H33" s="276" t="s">
        <v>180</v>
      </c>
      <c r="I33" s="243" t="s">
        <v>83</v>
      </c>
      <c r="J33" s="243" t="s">
        <v>84</v>
      </c>
      <c r="K33" s="247" t="s">
        <v>85</v>
      </c>
      <c r="L33" s="272"/>
      <c r="M33" s="272"/>
      <c r="N33" s="272"/>
      <c r="Q33" s="274"/>
    </row>
    <row r="34" spans="1:17" ht="12.75" customHeight="1" x14ac:dyDescent="0.35">
      <c r="A34" s="241">
        <v>38149</v>
      </c>
      <c r="B34" s="242" t="s">
        <v>102</v>
      </c>
      <c r="C34" s="243" t="s">
        <v>103</v>
      </c>
      <c r="D34" s="243" t="s">
        <v>65</v>
      </c>
      <c r="E34" s="243"/>
      <c r="F34" s="244" t="s">
        <v>43</v>
      </c>
      <c r="G34" s="275" t="s">
        <v>52</v>
      </c>
      <c r="H34" s="276" t="s">
        <v>51</v>
      </c>
      <c r="I34" s="243" t="s">
        <v>83</v>
      </c>
      <c r="J34" s="243" t="s">
        <v>84</v>
      </c>
      <c r="K34" s="247" t="s">
        <v>85</v>
      </c>
    </row>
    <row r="35" spans="1:17" ht="12.75" customHeight="1" x14ac:dyDescent="0.35">
      <c r="A35" s="241">
        <v>38772</v>
      </c>
      <c r="B35" s="242" t="s">
        <v>2014</v>
      </c>
      <c r="C35" s="243" t="s">
        <v>2015</v>
      </c>
      <c r="D35" s="243" t="s">
        <v>82</v>
      </c>
      <c r="E35" s="243"/>
      <c r="F35" s="244" t="s">
        <v>43</v>
      </c>
      <c r="G35" s="275" t="s">
        <v>362</v>
      </c>
      <c r="H35" s="276" t="s">
        <v>104</v>
      </c>
      <c r="I35" s="243" t="s">
        <v>83</v>
      </c>
      <c r="J35" s="243" t="s">
        <v>84</v>
      </c>
      <c r="K35" s="247" t="s">
        <v>85</v>
      </c>
      <c r="L35" s="272"/>
      <c r="M35" s="272"/>
      <c r="N35" s="272"/>
      <c r="Q35" s="274"/>
    </row>
    <row r="36" spans="1:17" ht="12.75" customHeight="1" x14ac:dyDescent="0.35">
      <c r="A36" s="241">
        <v>38729</v>
      </c>
      <c r="B36" s="242" t="s">
        <v>1883</v>
      </c>
      <c r="C36" s="243" t="s">
        <v>1884</v>
      </c>
      <c r="D36" s="243" t="s">
        <v>669</v>
      </c>
      <c r="E36" s="243"/>
      <c r="F36" s="244" t="s">
        <v>43</v>
      </c>
      <c r="G36" s="275" t="s">
        <v>44</v>
      </c>
      <c r="H36" s="276" t="s">
        <v>66</v>
      </c>
      <c r="I36" s="243" t="s">
        <v>83</v>
      </c>
      <c r="J36" s="243" t="s">
        <v>84</v>
      </c>
      <c r="K36" s="247" t="s">
        <v>85</v>
      </c>
    </row>
    <row r="37" spans="1:17" ht="12.75" customHeight="1" x14ac:dyDescent="0.35">
      <c r="A37" s="241">
        <v>25829</v>
      </c>
      <c r="B37" s="242" t="s">
        <v>110</v>
      </c>
      <c r="C37" s="243" t="s">
        <v>111</v>
      </c>
      <c r="D37" s="243" t="s">
        <v>112</v>
      </c>
      <c r="E37" s="243"/>
      <c r="F37" s="244" t="s">
        <v>43</v>
      </c>
      <c r="G37" s="275" t="s">
        <v>67</v>
      </c>
      <c r="H37" s="276" t="s">
        <v>45</v>
      </c>
      <c r="I37" s="243" t="s">
        <v>83</v>
      </c>
      <c r="J37" s="243" t="s">
        <v>84</v>
      </c>
      <c r="K37" s="247" t="s">
        <v>85</v>
      </c>
    </row>
    <row r="38" spans="1:17" ht="12.75" customHeight="1" x14ac:dyDescent="0.35">
      <c r="A38" s="241">
        <v>38352</v>
      </c>
      <c r="B38" s="242" t="s">
        <v>123</v>
      </c>
      <c r="C38" s="243" t="s">
        <v>124</v>
      </c>
      <c r="D38" s="243" t="s">
        <v>125</v>
      </c>
      <c r="E38" s="243"/>
      <c r="F38" s="244" t="s">
        <v>43</v>
      </c>
      <c r="G38" s="245" t="s">
        <v>67</v>
      </c>
      <c r="H38" s="246">
        <v>0</v>
      </c>
      <c r="I38" s="243" t="s">
        <v>126</v>
      </c>
      <c r="J38" s="243" t="s">
        <v>127</v>
      </c>
      <c r="K38" s="247" t="s">
        <v>128</v>
      </c>
    </row>
    <row r="39" spans="1:17" ht="12.75" customHeight="1" x14ac:dyDescent="0.35">
      <c r="A39" s="241">
        <v>38540</v>
      </c>
      <c r="B39" s="242" t="s">
        <v>130</v>
      </c>
      <c r="C39" s="243" t="s">
        <v>131</v>
      </c>
      <c r="D39" s="243" t="s">
        <v>132</v>
      </c>
      <c r="E39" s="243"/>
      <c r="F39" s="244" t="s">
        <v>43</v>
      </c>
      <c r="G39" s="275" t="s">
        <v>44</v>
      </c>
      <c r="H39" s="276"/>
      <c r="I39" s="243" t="s">
        <v>126</v>
      </c>
      <c r="J39" s="243" t="s">
        <v>127</v>
      </c>
      <c r="K39" s="247" t="s">
        <v>128</v>
      </c>
    </row>
    <row r="40" spans="1:17" ht="12.75" customHeight="1" x14ac:dyDescent="0.35">
      <c r="A40" s="241">
        <v>38539</v>
      </c>
      <c r="B40" s="242" t="s">
        <v>151</v>
      </c>
      <c r="C40" s="243" t="s">
        <v>131</v>
      </c>
      <c r="D40" s="243" t="s">
        <v>152</v>
      </c>
      <c r="E40" s="243"/>
      <c r="F40" s="244" t="s">
        <v>49</v>
      </c>
      <c r="G40" s="275" t="s">
        <v>79</v>
      </c>
      <c r="H40" s="276"/>
      <c r="I40" s="243" t="s">
        <v>126</v>
      </c>
      <c r="J40" s="243" t="s">
        <v>127</v>
      </c>
      <c r="K40" s="247" t="s">
        <v>128</v>
      </c>
      <c r="L40" s="272"/>
      <c r="M40" s="272"/>
      <c r="N40" s="272"/>
      <c r="Q40" s="274"/>
    </row>
    <row r="41" spans="1:17" ht="12.75" customHeight="1" x14ac:dyDescent="0.35">
      <c r="A41" s="241">
        <v>25359</v>
      </c>
      <c r="B41" s="242" t="s">
        <v>133</v>
      </c>
      <c r="C41" s="243" t="s">
        <v>134</v>
      </c>
      <c r="D41" s="243" t="s">
        <v>135</v>
      </c>
      <c r="E41" s="243"/>
      <c r="F41" s="244" t="s">
        <v>43</v>
      </c>
      <c r="G41" s="245" t="s">
        <v>44</v>
      </c>
      <c r="H41" s="246">
        <v>0</v>
      </c>
      <c r="I41" s="243" t="s">
        <v>126</v>
      </c>
      <c r="J41" s="243" t="s">
        <v>127</v>
      </c>
      <c r="K41" s="247" t="s">
        <v>128</v>
      </c>
    </row>
    <row r="42" spans="1:17" ht="12.75" customHeight="1" x14ac:dyDescent="0.35">
      <c r="A42" s="241">
        <v>25965</v>
      </c>
      <c r="B42" s="242">
        <v>9111296</v>
      </c>
      <c r="C42" s="243" t="s">
        <v>137</v>
      </c>
      <c r="D42" s="243" t="s">
        <v>138</v>
      </c>
      <c r="E42" s="243"/>
      <c r="F42" s="244" t="s">
        <v>49</v>
      </c>
      <c r="G42" s="275" t="s">
        <v>50</v>
      </c>
      <c r="H42" s="276" t="s">
        <v>104</v>
      </c>
      <c r="I42" s="243" t="s">
        <v>126</v>
      </c>
      <c r="J42" s="243" t="s">
        <v>127</v>
      </c>
      <c r="K42" s="247" t="s">
        <v>128</v>
      </c>
    </row>
    <row r="43" spans="1:17" ht="12.75" customHeight="1" x14ac:dyDescent="0.35">
      <c r="A43" s="241">
        <v>38425</v>
      </c>
      <c r="B43" s="242" t="s">
        <v>141</v>
      </c>
      <c r="C43" s="243" t="s">
        <v>142</v>
      </c>
      <c r="D43" s="243" t="s">
        <v>143</v>
      </c>
      <c r="E43" s="243"/>
      <c r="F43" s="244" t="s">
        <v>43</v>
      </c>
      <c r="G43" s="275" t="s">
        <v>52</v>
      </c>
      <c r="H43" s="276" t="s">
        <v>104</v>
      </c>
      <c r="I43" s="243" t="s">
        <v>126</v>
      </c>
      <c r="J43" s="243" t="s">
        <v>127</v>
      </c>
      <c r="K43" s="247" t="s">
        <v>128</v>
      </c>
      <c r="L43" s="272"/>
      <c r="M43" s="272"/>
      <c r="N43" s="272"/>
      <c r="Q43" s="274"/>
    </row>
    <row r="44" spans="1:17" ht="12.75" customHeight="1" x14ac:dyDescent="0.35">
      <c r="A44" s="241">
        <v>38369</v>
      </c>
      <c r="B44" s="242" t="s">
        <v>144</v>
      </c>
      <c r="C44" s="249" t="s">
        <v>145</v>
      </c>
      <c r="D44" s="249" t="s">
        <v>73</v>
      </c>
      <c r="E44" s="249" t="s">
        <v>2368</v>
      </c>
      <c r="F44" s="244" t="s">
        <v>43</v>
      </c>
      <c r="G44" s="275" t="s">
        <v>52</v>
      </c>
      <c r="H44" s="276" t="s">
        <v>104</v>
      </c>
      <c r="I44" s="249" t="s">
        <v>126</v>
      </c>
      <c r="J44" s="243" t="s">
        <v>127</v>
      </c>
      <c r="K44" s="247" t="s">
        <v>128</v>
      </c>
    </row>
    <row r="45" spans="1:17" ht="12.75" customHeight="1" x14ac:dyDescent="0.35">
      <c r="A45" s="241">
        <v>16165</v>
      </c>
      <c r="B45" s="242" t="s">
        <v>146</v>
      </c>
      <c r="C45" s="243" t="s">
        <v>147</v>
      </c>
      <c r="D45" s="243" t="s">
        <v>148</v>
      </c>
      <c r="E45" s="243"/>
      <c r="F45" s="244" t="s">
        <v>49</v>
      </c>
      <c r="G45" s="275" t="s">
        <v>228</v>
      </c>
      <c r="H45" s="276"/>
      <c r="I45" s="243" t="s">
        <v>126</v>
      </c>
      <c r="J45" s="243" t="s">
        <v>127</v>
      </c>
      <c r="K45" s="247" t="s">
        <v>128</v>
      </c>
    </row>
    <row r="46" spans="1:17" ht="12.75" customHeight="1" x14ac:dyDescent="0.35">
      <c r="A46" s="241">
        <v>38134</v>
      </c>
      <c r="B46" s="242" t="s">
        <v>149</v>
      </c>
      <c r="C46" s="243" t="s">
        <v>143</v>
      </c>
      <c r="D46" s="243" t="s">
        <v>150</v>
      </c>
      <c r="E46" s="243"/>
      <c r="F46" s="244" t="s">
        <v>43</v>
      </c>
      <c r="G46" s="275" t="s">
        <v>44</v>
      </c>
      <c r="H46" s="276" t="s">
        <v>45</v>
      </c>
      <c r="I46" s="243" t="s">
        <v>126</v>
      </c>
      <c r="J46" s="243" t="s">
        <v>127</v>
      </c>
      <c r="K46" s="247" t="s">
        <v>128</v>
      </c>
    </row>
    <row r="47" spans="1:17" ht="12.75" customHeight="1" x14ac:dyDescent="0.35">
      <c r="A47" s="241">
        <v>25378</v>
      </c>
      <c r="B47" s="242" t="s">
        <v>157</v>
      </c>
      <c r="C47" s="243" t="s">
        <v>158</v>
      </c>
      <c r="D47" s="243" t="s">
        <v>159</v>
      </c>
      <c r="E47" s="243"/>
      <c r="F47" s="244" t="s">
        <v>49</v>
      </c>
      <c r="G47" s="275" t="s">
        <v>79</v>
      </c>
      <c r="H47" s="276"/>
      <c r="I47" s="243" t="s">
        <v>154</v>
      </c>
      <c r="J47" s="243" t="s">
        <v>155</v>
      </c>
      <c r="K47" s="247" t="s">
        <v>156</v>
      </c>
    </row>
    <row r="48" spans="1:17" ht="12.75" customHeight="1" x14ac:dyDescent="0.35">
      <c r="A48" s="241">
        <v>38490</v>
      </c>
      <c r="B48" s="242" t="s">
        <v>160</v>
      </c>
      <c r="C48" s="249" t="s">
        <v>161</v>
      </c>
      <c r="D48" s="249" t="s">
        <v>77</v>
      </c>
      <c r="E48" s="249" t="s">
        <v>2368</v>
      </c>
      <c r="F48" s="244" t="s">
        <v>49</v>
      </c>
      <c r="G48" s="275" t="s">
        <v>139</v>
      </c>
      <c r="H48" s="276" t="s">
        <v>104</v>
      </c>
      <c r="I48" s="249" t="s">
        <v>154</v>
      </c>
      <c r="J48" s="249" t="s">
        <v>155</v>
      </c>
      <c r="K48" s="247" t="s">
        <v>156</v>
      </c>
      <c r="L48" s="272"/>
      <c r="M48" s="272"/>
      <c r="N48" s="272"/>
      <c r="Q48" s="274"/>
    </row>
    <row r="49" spans="1:17" ht="12.75" customHeight="1" x14ac:dyDescent="0.35">
      <c r="A49" s="241">
        <v>7265</v>
      </c>
      <c r="B49" s="242" t="s">
        <v>163</v>
      </c>
      <c r="C49" s="243" t="s">
        <v>164</v>
      </c>
      <c r="D49" s="243" t="s">
        <v>165</v>
      </c>
      <c r="E49" s="243"/>
      <c r="F49" s="244" t="s">
        <v>43</v>
      </c>
      <c r="G49" s="275" t="s">
        <v>52</v>
      </c>
      <c r="H49" s="276" t="s">
        <v>45</v>
      </c>
      <c r="I49" s="243" t="s">
        <v>154</v>
      </c>
      <c r="J49" s="243" t="s">
        <v>155</v>
      </c>
      <c r="K49" s="247" t="s">
        <v>156</v>
      </c>
      <c r="L49" s="272"/>
      <c r="M49" s="272"/>
      <c r="N49" s="272"/>
      <c r="Q49" s="274"/>
    </row>
    <row r="50" spans="1:17" ht="12.75" customHeight="1" x14ac:dyDescent="0.35">
      <c r="A50" s="241">
        <v>25436</v>
      </c>
      <c r="B50" s="242">
        <v>9065975</v>
      </c>
      <c r="C50" s="243" t="s">
        <v>166</v>
      </c>
      <c r="D50" s="243" t="s">
        <v>167</v>
      </c>
      <c r="E50" s="243"/>
      <c r="F50" s="244" t="s">
        <v>49</v>
      </c>
      <c r="G50" s="275" t="s">
        <v>139</v>
      </c>
      <c r="H50" s="276" t="s">
        <v>45</v>
      </c>
      <c r="I50" s="243" t="s">
        <v>154</v>
      </c>
      <c r="J50" s="243" t="s">
        <v>155</v>
      </c>
      <c r="K50" s="247" t="s">
        <v>156</v>
      </c>
      <c r="L50" s="272"/>
      <c r="M50" s="272"/>
      <c r="N50" s="272"/>
      <c r="Q50" s="274"/>
    </row>
    <row r="51" spans="1:17" ht="12.75" customHeight="1" x14ac:dyDescent="0.35">
      <c r="A51" s="241">
        <v>16897</v>
      </c>
      <c r="B51" s="242">
        <v>9019450</v>
      </c>
      <c r="C51" s="249" t="s">
        <v>166</v>
      </c>
      <c r="D51" s="249" t="s">
        <v>117</v>
      </c>
      <c r="E51" s="249" t="s">
        <v>2368</v>
      </c>
      <c r="F51" s="244" t="s">
        <v>43</v>
      </c>
      <c r="G51" s="275" t="s">
        <v>67</v>
      </c>
      <c r="H51" s="276" t="s">
        <v>45</v>
      </c>
      <c r="I51" s="249" t="s">
        <v>154</v>
      </c>
      <c r="J51" s="249" t="s">
        <v>155</v>
      </c>
      <c r="K51" s="247" t="s">
        <v>156</v>
      </c>
      <c r="L51" s="272"/>
      <c r="M51" s="272"/>
      <c r="N51" s="272"/>
      <c r="Q51" s="274"/>
    </row>
    <row r="52" spans="1:17" ht="12.75" customHeight="1" x14ac:dyDescent="0.35">
      <c r="A52" s="241">
        <v>25760</v>
      </c>
      <c r="B52" s="242">
        <v>9099239</v>
      </c>
      <c r="C52" s="249" t="s">
        <v>168</v>
      </c>
      <c r="D52" s="249" t="s">
        <v>169</v>
      </c>
      <c r="E52" s="249" t="s">
        <v>2368</v>
      </c>
      <c r="F52" s="244" t="s">
        <v>43</v>
      </c>
      <c r="G52" s="275" t="s">
        <v>44</v>
      </c>
      <c r="H52" s="276" t="s">
        <v>66</v>
      </c>
      <c r="I52" s="249" t="s">
        <v>154</v>
      </c>
      <c r="J52" s="249" t="s">
        <v>155</v>
      </c>
      <c r="K52" s="247" t="s">
        <v>156</v>
      </c>
      <c r="L52" s="272"/>
      <c r="M52" s="272"/>
      <c r="N52" s="272"/>
      <c r="Q52" s="274"/>
    </row>
    <row r="53" spans="1:17" ht="12.75" customHeight="1" x14ac:dyDescent="0.35">
      <c r="A53" s="241">
        <v>7286</v>
      </c>
      <c r="B53" s="242" t="s">
        <v>170</v>
      </c>
      <c r="C53" s="243" t="s">
        <v>171</v>
      </c>
      <c r="D53" s="243" t="s">
        <v>73</v>
      </c>
      <c r="E53" s="243"/>
      <c r="F53" s="244" t="s">
        <v>43</v>
      </c>
      <c r="G53" s="275" t="s">
        <v>52</v>
      </c>
      <c r="H53" s="276" t="s">
        <v>51</v>
      </c>
      <c r="I53" s="243" t="s">
        <v>154</v>
      </c>
      <c r="J53" s="243" t="s">
        <v>155</v>
      </c>
      <c r="K53" s="247" t="s">
        <v>156</v>
      </c>
      <c r="L53" s="272"/>
      <c r="M53" s="272"/>
      <c r="N53" s="272"/>
      <c r="Q53" s="274"/>
    </row>
    <row r="54" spans="1:17" ht="12.75" customHeight="1" x14ac:dyDescent="0.35">
      <c r="A54" s="241">
        <v>7283</v>
      </c>
      <c r="B54" s="242" t="s">
        <v>172</v>
      </c>
      <c r="C54" s="243" t="s">
        <v>173</v>
      </c>
      <c r="D54" s="243" t="s">
        <v>117</v>
      </c>
      <c r="E54" s="243"/>
      <c r="F54" s="244" t="s">
        <v>43</v>
      </c>
      <c r="G54" s="275" t="s">
        <v>52</v>
      </c>
      <c r="H54" s="276" t="s">
        <v>45</v>
      </c>
      <c r="I54" s="243" t="s">
        <v>154</v>
      </c>
      <c r="J54" s="243" t="s">
        <v>155</v>
      </c>
      <c r="K54" s="247" t="s">
        <v>156</v>
      </c>
      <c r="L54" s="272"/>
      <c r="M54" s="272"/>
      <c r="N54" s="272"/>
      <c r="Q54" s="274"/>
    </row>
    <row r="55" spans="1:17" ht="12.75" customHeight="1" x14ac:dyDescent="0.35">
      <c r="A55" s="241">
        <v>7282</v>
      </c>
      <c r="B55" s="242" t="s">
        <v>174</v>
      </c>
      <c r="C55" s="243" t="s">
        <v>175</v>
      </c>
      <c r="D55" s="243" t="s">
        <v>176</v>
      </c>
      <c r="E55" s="243"/>
      <c r="F55" s="244" t="s">
        <v>43</v>
      </c>
      <c r="G55" s="275" t="s">
        <v>52</v>
      </c>
      <c r="H55" s="276" t="s">
        <v>51</v>
      </c>
      <c r="I55" s="243" t="s">
        <v>154</v>
      </c>
      <c r="J55" s="243" t="s">
        <v>155</v>
      </c>
      <c r="K55" s="247" t="s">
        <v>156</v>
      </c>
      <c r="L55" s="272"/>
      <c r="M55" s="272"/>
      <c r="N55" s="272"/>
      <c r="Q55" s="274"/>
    </row>
    <row r="56" spans="1:17" ht="12.75" customHeight="1" x14ac:dyDescent="0.35">
      <c r="A56" s="241">
        <v>38930</v>
      </c>
      <c r="B56" s="242" t="s">
        <v>2439</v>
      </c>
      <c r="C56" s="243" t="s">
        <v>2440</v>
      </c>
      <c r="D56" s="243" t="s">
        <v>266</v>
      </c>
      <c r="E56" s="243"/>
      <c r="F56" s="244" t="s">
        <v>43</v>
      </c>
      <c r="G56" s="275" t="s">
        <v>67</v>
      </c>
      <c r="H56" s="276">
        <v>0</v>
      </c>
      <c r="I56" s="243" t="s">
        <v>154</v>
      </c>
      <c r="J56" s="243" t="s">
        <v>155</v>
      </c>
      <c r="K56" s="247" t="s">
        <v>156</v>
      </c>
      <c r="L56" s="272"/>
      <c r="M56" s="272"/>
      <c r="N56" s="272"/>
      <c r="Q56" s="274"/>
    </row>
    <row r="57" spans="1:17" ht="12.75" customHeight="1" x14ac:dyDescent="0.35">
      <c r="A57" s="241">
        <v>38886</v>
      </c>
      <c r="B57" s="242" t="s">
        <v>2323</v>
      </c>
      <c r="C57" s="243" t="s">
        <v>153</v>
      </c>
      <c r="D57" s="243" t="s">
        <v>150</v>
      </c>
      <c r="E57" s="243"/>
      <c r="F57" s="244" t="s">
        <v>43</v>
      </c>
      <c r="G57" s="275" t="s">
        <v>94</v>
      </c>
      <c r="H57" s="276" t="s">
        <v>45</v>
      </c>
      <c r="I57" s="243" t="s">
        <v>177</v>
      </c>
      <c r="J57" s="243" t="s">
        <v>155</v>
      </c>
      <c r="K57" s="247" t="s">
        <v>156</v>
      </c>
    </row>
    <row r="58" spans="1:17" ht="12.75" customHeight="1" x14ac:dyDescent="0.35">
      <c r="A58" s="241">
        <v>25761</v>
      </c>
      <c r="B58" s="242">
        <v>9091544</v>
      </c>
      <c r="C58" s="243" t="s">
        <v>178</v>
      </c>
      <c r="D58" s="243" t="s">
        <v>179</v>
      </c>
      <c r="E58" s="243"/>
      <c r="F58" s="244" t="s">
        <v>43</v>
      </c>
      <c r="G58" s="275" t="s">
        <v>44</v>
      </c>
      <c r="H58" s="276" t="s">
        <v>66</v>
      </c>
      <c r="I58" s="243" t="s">
        <v>177</v>
      </c>
      <c r="J58" s="243" t="s">
        <v>155</v>
      </c>
      <c r="K58" s="247" t="s">
        <v>156</v>
      </c>
      <c r="L58" s="272"/>
      <c r="M58" s="272"/>
      <c r="N58" s="272"/>
      <c r="Q58" s="274"/>
    </row>
    <row r="59" spans="1:17" ht="12.75" customHeight="1" x14ac:dyDescent="0.35">
      <c r="A59" s="241">
        <v>38082</v>
      </c>
      <c r="B59" s="242" t="s">
        <v>181</v>
      </c>
      <c r="C59" s="243" t="s">
        <v>182</v>
      </c>
      <c r="D59" s="243" t="s">
        <v>93</v>
      </c>
      <c r="E59" s="243"/>
      <c r="F59" s="244" t="s">
        <v>43</v>
      </c>
      <c r="G59" s="275" t="s">
        <v>44</v>
      </c>
      <c r="H59" s="276" t="s">
        <v>45</v>
      </c>
      <c r="I59" s="243" t="s">
        <v>177</v>
      </c>
      <c r="J59" s="243" t="s">
        <v>155</v>
      </c>
      <c r="K59" s="247" t="s">
        <v>156</v>
      </c>
      <c r="L59" s="272"/>
      <c r="M59" s="272"/>
      <c r="N59" s="272"/>
      <c r="Q59" s="274"/>
    </row>
    <row r="60" spans="1:17" ht="12.75" customHeight="1" x14ac:dyDescent="0.35">
      <c r="A60" s="241">
        <v>38885</v>
      </c>
      <c r="B60" s="242" t="s">
        <v>2324</v>
      </c>
      <c r="C60" s="243" t="s">
        <v>2325</v>
      </c>
      <c r="D60" s="243" t="s">
        <v>132</v>
      </c>
      <c r="E60" s="243"/>
      <c r="F60" s="244" t="s">
        <v>43</v>
      </c>
      <c r="G60" s="275" t="s">
        <v>44</v>
      </c>
      <c r="H60" s="276"/>
      <c r="I60" s="243" t="s">
        <v>177</v>
      </c>
      <c r="J60" s="243" t="s">
        <v>155</v>
      </c>
      <c r="K60" s="247" t="s">
        <v>156</v>
      </c>
      <c r="L60" s="272"/>
      <c r="M60" s="272"/>
      <c r="N60" s="272"/>
      <c r="Q60" s="274"/>
    </row>
    <row r="61" spans="1:17" ht="12.75" customHeight="1" x14ac:dyDescent="0.35">
      <c r="A61" s="241">
        <v>25932</v>
      </c>
      <c r="B61" s="242">
        <v>9111565</v>
      </c>
      <c r="C61" s="243" t="s">
        <v>183</v>
      </c>
      <c r="D61" s="243" t="s">
        <v>184</v>
      </c>
      <c r="E61" s="243"/>
      <c r="F61" s="244" t="s">
        <v>43</v>
      </c>
      <c r="G61" s="275" t="s">
        <v>44</v>
      </c>
      <c r="H61" s="276" t="s">
        <v>66</v>
      </c>
      <c r="I61" s="243" t="s">
        <v>177</v>
      </c>
      <c r="J61" s="243" t="s">
        <v>155</v>
      </c>
      <c r="K61" s="247" t="s">
        <v>156</v>
      </c>
      <c r="L61" s="272"/>
      <c r="M61" s="272"/>
      <c r="N61" s="272"/>
      <c r="Q61" s="274"/>
    </row>
    <row r="62" spans="1:17" ht="12.75" customHeight="1" x14ac:dyDescent="0.35">
      <c r="A62" s="241">
        <v>25044</v>
      </c>
      <c r="B62" s="242" t="s">
        <v>185</v>
      </c>
      <c r="C62" s="243" t="s">
        <v>60</v>
      </c>
      <c r="D62" s="243" t="s">
        <v>184</v>
      </c>
      <c r="E62" s="243"/>
      <c r="F62" s="244" t="s">
        <v>43</v>
      </c>
      <c r="G62" s="275" t="s">
        <v>67</v>
      </c>
      <c r="H62" s="276" t="s">
        <v>180</v>
      </c>
      <c r="I62" s="243" t="s">
        <v>177</v>
      </c>
      <c r="J62" s="243" t="s">
        <v>155</v>
      </c>
      <c r="K62" s="247" t="s">
        <v>156</v>
      </c>
    </row>
    <row r="63" spans="1:17" ht="12.75" customHeight="1" x14ac:dyDescent="0.35">
      <c r="A63" s="241">
        <v>38683</v>
      </c>
      <c r="B63" s="242" t="s">
        <v>186</v>
      </c>
      <c r="C63" s="243" t="s">
        <v>171</v>
      </c>
      <c r="D63" s="243" t="s">
        <v>187</v>
      </c>
      <c r="E63" s="243"/>
      <c r="F63" s="244" t="s">
        <v>43</v>
      </c>
      <c r="G63" s="275" t="s">
        <v>67</v>
      </c>
      <c r="H63" s="276" t="s">
        <v>45</v>
      </c>
      <c r="I63" s="243" t="s">
        <v>177</v>
      </c>
      <c r="J63" s="243" t="s">
        <v>155</v>
      </c>
      <c r="K63" s="247" t="s">
        <v>156</v>
      </c>
    </row>
    <row r="64" spans="1:17" ht="12.75" customHeight="1" x14ac:dyDescent="0.35">
      <c r="A64" s="241">
        <v>25519</v>
      </c>
      <c r="B64" s="242">
        <v>9059995</v>
      </c>
      <c r="C64" s="243" t="s">
        <v>188</v>
      </c>
      <c r="D64" s="243" t="s">
        <v>99</v>
      </c>
      <c r="E64" s="243"/>
      <c r="F64" s="244" t="s">
        <v>43</v>
      </c>
      <c r="G64" s="275" t="s">
        <v>44</v>
      </c>
      <c r="H64" s="276" t="s">
        <v>180</v>
      </c>
      <c r="I64" s="243" t="s">
        <v>177</v>
      </c>
      <c r="J64" s="243" t="s">
        <v>155</v>
      </c>
      <c r="K64" s="247" t="s">
        <v>156</v>
      </c>
    </row>
    <row r="65" spans="1:11" ht="12.75" customHeight="1" x14ac:dyDescent="0.35">
      <c r="A65" s="241">
        <v>25521</v>
      </c>
      <c r="B65" s="242" t="s">
        <v>189</v>
      </c>
      <c r="C65" s="243" t="s">
        <v>190</v>
      </c>
      <c r="D65" s="243" t="s">
        <v>191</v>
      </c>
      <c r="E65" s="243"/>
      <c r="F65" s="244" t="s">
        <v>43</v>
      </c>
      <c r="G65" s="275" t="s">
        <v>44</v>
      </c>
      <c r="H65" s="276" t="s">
        <v>239</v>
      </c>
      <c r="I65" s="243" t="s">
        <v>177</v>
      </c>
      <c r="J65" s="243" t="s">
        <v>155</v>
      </c>
      <c r="K65" s="247" t="s">
        <v>156</v>
      </c>
    </row>
    <row r="66" spans="1:11" ht="12.75" customHeight="1" x14ac:dyDescent="0.35">
      <c r="A66" s="241">
        <v>25973</v>
      </c>
      <c r="B66" s="242" t="s">
        <v>193</v>
      </c>
      <c r="C66" s="249" t="s">
        <v>194</v>
      </c>
      <c r="D66" s="249" t="s">
        <v>195</v>
      </c>
      <c r="E66" s="249" t="s">
        <v>2368</v>
      </c>
      <c r="F66" s="244" t="s">
        <v>43</v>
      </c>
      <c r="G66" s="275" t="s">
        <v>44</v>
      </c>
      <c r="H66" s="276" t="s">
        <v>45</v>
      </c>
      <c r="I66" s="249" t="s">
        <v>177</v>
      </c>
      <c r="J66" s="249" t="s">
        <v>155</v>
      </c>
      <c r="K66" s="247" t="s">
        <v>156</v>
      </c>
    </row>
    <row r="67" spans="1:11" ht="12.75" customHeight="1" x14ac:dyDescent="0.35">
      <c r="A67" s="241">
        <v>16854</v>
      </c>
      <c r="B67" s="242" t="s">
        <v>196</v>
      </c>
      <c r="C67" s="243" t="s">
        <v>197</v>
      </c>
      <c r="D67" s="243" t="s">
        <v>120</v>
      </c>
      <c r="E67" s="243"/>
      <c r="F67" s="244" t="s">
        <v>43</v>
      </c>
      <c r="G67" s="275" t="s">
        <v>44</v>
      </c>
      <c r="H67" s="276" t="s">
        <v>45</v>
      </c>
      <c r="I67" s="243" t="s">
        <v>177</v>
      </c>
      <c r="J67" s="243" t="s">
        <v>155</v>
      </c>
      <c r="K67" s="247" t="s">
        <v>156</v>
      </c>
    </row>
    <row r="68" spans="1:11" ht="12.75" customHeight="1" x14ac:dyDescent="0.35">
      <c r="A68" s="241">
        <v>7279</v>
      </c>
      <c r="B68" s="242" t="s">
        <v>198</v>
      </c>
      <c r="C68" s="243" t="s">
        <v>199</v>
      </c>
      <c r="D68" s="243" t="s">
        <v>200</v>
      </c>
      <c r="E68" s="243"/>
      <c r="F68" s="244" t="s">
        <v>43</v>
      </c>
      <c r="G68" s="275" t="s">
        <v>58</v>
      </c>
      <c r="H68" s="276"/>
      <c r="I68" s="243" t="s">
        <v>177</v>
      </c>
      <c r="J68" s="243" t="s">
        <v>155</v>
      </c>
      <c r="K68" s="247" t="s">
        <v>156</v>
      </c>
    </row>
    <row r="69" spans="1:11" ht="12.75" customHeight="1" x14ac:dyDescent="0.35">
      <c r="A69" s="241">
        <v>16707</v>
      </c>
      <c r="B69" s="242" t="s">
        <v>201</v>
      </c>
      <c r="C69" s="243" t="s">
        <v>202</v>
      </c>
      <c r="D69" s="243" t="s">
        <v>143</v>
      </c>
      <c r="E69" s="243"/>
      <c r="F69" s="244" t="s">
        <v>43</v>
      </c>
      <c r="G69" s="275" t="s">
        <v>67</v>
      </c>
      <c r="H69" s="276" t="s">
        <v>45</v>
      </c>
      <c r="I69" s="249" t="s">
        <v>203</v>
      </c>
      <c r="J69" s="243" t="s">
        <v>204</v>
      </c>
      <c r="K69" s="247" t="s">
        <v>205</v>
      </c>
    </row>
    <row r="70" spans="1:11" ht="12.75" customHeight="1" x14ac:dyDescent="0.35">
      <c r="A70" s="241">
        <v>7714</v>
      </c>
      <c r="B70" s="242" t="s">
        <v>207</v>
      </c>
      <c r="C70" s="243" t="s">
        <v>208</v>
      </c>
      <c r="D70" s="243" t="s">
        <v>143</v>
      </c>
      <c r="E70" s="243"/>
      <c r="F70" s="244" t="s">
        <v>43</v>
      </c>
      <c r="G70" s="275" t="s">
        <v>67</v>
      </c>
      <c r="H70" s="276" t="s">
        <v>45</v>
      </c>
      <c r="I70" s="243" t="s">
        <v>203</v>
      </c>
      <c r="J70" s="243" t="s">
        <v>204</v>
      </c>
      <c r="K70" s="247" t="s">
        <v>205</v>
      </c>
    </row>
    <row r="71" spans="1:11" ht="12.75" customHeight="1" x14ac:dyDescent="0.35">
      <c r="A71" s="241">
        <v>25944</v>
      </c>
      <c r="B71" s="242">
        <v>9111764</v>
      </c>
      <c r="C71" s="249" t="s">
        <v>209</v>
      </c>
      <c r="D71" s="249" t="s">
        <v>210</v>
      </c>
      <c r="E71" s="249" t="s">
        <v>2368</v>
      </c>
      <c r="F71" s="244" t="s">
        <v>43</v>
      </c>
      <c r="G71" s="275" t="s">
        <v>52</v>
      </c>
      <c r="H71" s="276" t="s">
        <v>51</v>
      </c>
      <c r="I71" s="249" t="s">
        <v>203</v>
      </c>
      <c r="J71" s="243" t="s">
        <v>204</v>
      </c>
      <c r="K71" s="247" t="s">
        <v>205</v>
      </c>
    </row>
    <row r="72" spans="1:11" ht="12.75" customHeight="1" x14ac:dyDescent="0.35">
      <c r="A72" s="241">
        <v>25811</v>
      </c>
      <c r="B72" s="242" t="s">
        <v>211</v>
      </c>
      <c r="C72" s="243" t="s">
        <v>212</v>
      </c>
      <c r="D72" s="243" t="s">
        <v>213</v>
      </c>
      <c r="E72" s="243"/>
      <c r="F72" s="244" t="s">
        <v>43</v>
      </c>
      <c r="G72" s="275" t="s">
        <v>44</v>
      </c>
      <c r="H72" s="276" t="s">
        <v>45</v>
      </c>
      <c r="I72" s="243" t="s">
        <v>203</v>
      </c>
      <c r="J72" s="243" t="s">
        <v>204</v>
      </c>
      <c r="K72" s="247" t="s">
        <v>205</v>
      </c>
    </row>
    <row r="73" spans="1:11" ht="12.75" customHeight="1" x14ac:dyDescent="0.35">
      <c r="A73" s="241">
        <v>7761</v>
      </c>
      <c r="B73" s="242" t="s">
        <v>214</v>
      </c>
      <c r="C73" s="243" t="s">
        <v>215</v>
      </c>
      <c r="D73" s="243" t="s">
        <v>73</v>
      </c>
      <c r="E73" s="243"/>
      <c r="F73" s="244" t="s">
        <v>43</v>
      </c>
      <c r="G73" s="275" t="s">
        <v>58</v>
      </c>
      <c r="H73" s="276" t="s">
        <v>51</v>
      </c>
      <c r="I73" s="243" t="s">
        <v>203</v>
      </c>
      <c r="J73" s="243" t="s">
        <v>204</v>
      </c>
      <c r="K73" s="247" t="s">
        <v>205</v>
      </c>
    </row>
    <row r="74" spans="1:11" ht="12.75" customHeight="1" x14ac:dyDescent="0.35">
      <c r="A74" s="241">
        <v>7758</v>
      </c>
      <c r="B74" s="242" t="s">
        <v>216</v>
      </c>
      <c r="C74" s="243" t="s">
        <v>217</v>
      </c>
      <c r="D74" s="243" t="s">
        <v>167</v>
      </c>
      <c r="E74" s="243"/>
      <c r="F74" s="244" t="s">
        <v>49</v>
      </c>
      <c r="G74" s="275" t="s">
        <v>139</v>
      </c>
      <c r="H74" s="276" t="s">
        <v>66</v>
      </c>
      <c r="I74" s="243" t="s">
        <v>218</v>
      </c>
      <c r="J74" s="243" t="s">
        <v>204</v>
      </c>
      <c r="K74" s="247" t="s">
        <v>205</v>
      </c>
    </row>
    <row r="75" spans="1:11" ht="12.75" customHeight="1" x14ac:dyDescent="0.35">
      <c r="A75" s="241">
        <v>7754</v>
      </c>
      <c r="B75" s="242" t="s">
        <v>219</v>
      </c>
      <c r="C75" s="243" t="s">
        <v>220</v>
      </c>
      <c r="D75" s="243" t="s">
        <v>77</v>
      </c>
      <c r="E75" s="243"/>
      <c r="F75" s="244" t="s">
        <v>49</v>
      </c>
      <c r="G75" s="275" t="s">
        <v>50</v>
      </c>
      <c r="H75" s="276" t="s">
        <v>45</v>
      </c>
      <c r="I75" s="243" t="s">
        <v>218</v>
      </c>
      <c r="J75" s="243" t="s">
        <v>204</v>
      </c>
      <c r="K75" s="247" t="s">
        <v>205</v>
      </c>
    </row>
    <row r="76" spans="1:11" ht="12.75" customHeight="1" x14ac:dyDescent="0.35">
      <c r="A76" s="241">
        <v>7753</v>
      </c>
      <c r="B76" s="242" t="s">
        <v>221</v>
      </c>
      <c r="C76" s="243" t="s">
        <v>222</v>
      </c>
      <c r="D76" s="243" t="s">
        <v>223</v>
      </c>
      <c r="E76" s="243"/>
      <c r="F76" s="244" t="s">
        <v>49</v>
      </c>
      <c r="G76" s="275" t="s">
        <v>50</v>
      </c>
      <c r="H76" s="276" t="s">
        <v>66</v>
      </c>
      <c r="I76" s="243" t="s">
        <v>218</v>
      </c>
      <c r="J76" s="243" t="s">
        <v>204</v>
      </c>
      <c r="K76" s="247" t="s">
        <v>205</v>
      </c>
    </row>
    <row r="77" spans="1:11" ht="12.75" customHeight="1" x14ac:dyDescent="0.35">
      <c r="A77" s="241">
        <v>7757</v>
      </c>
      <c r="B77" s="242" t="s">
        <v>224</v>
      </c>
      <c r="C77" s="243" t="s">
        <v>225</v>
      </c>
      <c r="D77" s="243" t="s">
        <v>226</v>
      </c>
      <c r="E77" s="243"/>
      <c r="F77" s="244" t="s">
        <v>49</v>
      </c>
      <c r="G77" s="275" t="s">
        <v>139</v>
      </c>
      <c r="H77" s="276" t="s">
        <v>45</v>
      </c>
      <c r="I77" s="243" t="s">
        <v>218</v>
      </c>
      <c r="J77" s="243" t="s">
        <v>204</v>
      </c>
      <c r="K77" s="247" t="s">
        <v>205</v>
      </c>
    </row>
    <row r="78" spans="1:11" ht="12.75" customHeight="1" x14ac:dyDescent="0.35">
      <c r="A78" s="241">
        <v>7019</v>
      </c>
      <c r="B78" s="242" t="s">
        <v>2441</v>
      </c>
      <c r="C78" s="243" t="s">
        <v>227</v>
      </c>
      <c r="D78" s="243" t="s">
        <v>2442</v>
      </c>
      <c r="E78" s="243"/>
      <c r="F78" s="244" t="s">
        <v>49</v>
      </c>
      <c r="G78" s="250" t="s">
        <v>228</v>
      </c>
      <c r="H78" s="251">
        <v>0</v>
      </c>
      <c r="I78" s="243" t="s">
        <v>218</v>
      </c>
      <c r="J78" s="243" t="s">
        <v>204</v>
      </c>
      <c r="K78" s="247" t="s">
        <v>205</v>
      </c>
    </row>
    <row r="79" spans="1:11" ht="12.75" customHeight="1" x14ac:dyDescent="0.35">
      <c r="A79" s="241">
        <v>38560</v>
      </c>
      <c r="B79" s="242" t="s">
        <v>909</v>
      </c>
      <c r="C79" s="249" t="s">
        <v>910</v>
      </c>
      <c r="D79" s="249" t="s">
        <v>911</v>
      </c>
      <c r="E79" s="249" t="s">
        <v>2368</v>
      </c>
      <c r="F79" s="244" t="s">
        <v>49</v>
      </c>
      <c r="G79" s="275" t="s">
        <v>79</v>
      </c>
      <c r="H79" s="276" t="s">
        <v>66</v>
      </c>
      <c r="I79" s="249" t="s">
        <v>218</v>
      </c>
      <c r="J79" s="249" t="s">
        <v>204</v>
      </c>
      <c r="K79" s="247" t="s">
        <v>205</v>
      </c>
    </row>
    <row r="80" spans="1:11" ht="12.75" customHeight="1" x14ac:dyDescent="0.35">
      <c r="A80" s="241">
        <v>7755</v>
      </c>
      <c r="B80" s="242" t="s">
        <v>1885</v>
      </c>
      <c r="C80" s="243" t="s">
        <v>229</v>
      </c>
      <c r="D80" s="243" t="s">
        <v>230</v>
      </c>
      <c r="E80" s="243"/>
      <c r="F80" s="244" t="s">
        <v>49</v>
      </c>
      <c r="G80" s="245" t="s">
        <v>50</v>
      </c>
      <c r="H80" s="246">
        <v>0</v>
      </c>
      <c r="I80" s="243" t="s">
        <v>218</v>
      </c>
      <c r="J80" s="243" t="s">
        <v>204</v>
      </c>
      <c r="K80" s="247" t="s">
        <v>205</v>
      </c>
    </row>
    <row r="81" spans="1:17" ht="12.75" customHeight="1" x14ac:dyDescent="0.35">
      <c r="A81" s="241">
        <v>16245</v>
      </c>
      <c r="B81" s="242" t="s">
        <v>2443</v>
      </c>
      <c r="C81" s="243" t="s">
        <v>2444</v>
      </c>
      <c r="D81" s="243" t="s">
        <v>705</v>
      </c>
      <c r="E81" s="243"/>
      <c r="F81" s="244" t="s">
        <v>43</v>
      </c>
      <c r="G81" s="245" t="s">
        <v>52</v>
      </c>
      <c r="H81" s="246">
        <v>0</v>
      </c>
      <c r="I81" s="243" t="s">
        <v>232</v>
      </c>
      <c r="J81" s="243" t="s">
        <v>204</v>
      </c>
      <c r="K81" s="247" t="s">
        <v>205</v>
      </c>
    </row>
    <row r="82" spans="1:17" ht="12.75" customHeight="1" x14ac:dyDescent="0.35">
      <c r="A82" s="241">
        <v>16243</v>
      </c>
      <c r="B82" s="242" t="s">
        <v>2375</v>
      </c>
      <c r="C82" s="243" t="s">
        <v>237</v>
      </c>
      <c r="D82" s="243" t="s">
        <v>238</v>
      </c>
      <c r="E82" s="243"/>
      <c r="F82" s="244" t="s">
        <v>43</v>
      </c>
      <c r="G82" s="275" t="s">
        <v>44</v>
      </c>
      <c r="H82" s="276" t="s">
        <v>239</v>
      </c>
      <c r="I82" s="243" t="s">
        <v>232</v>
      </c>
      <c r="J82" s="243" t="s">
        <v>204</v>
      </c>
      <c r="K82" s="247" t="s">
        <v>205</v>
      </c>
    </row>
    <row r="83" spans="1:17" ht="12.75" customHeight="1" x14ac:dyDescent="0.35">
      <c r="A83" s="241">
        <v>16896</v>
      </c>
      <c r="B83" s="242" t="s">
        <v>245</v>
      </c>
      <c r="C83" s="249" t="s">
        <v>246</v>
      </c>
      <c r="D83" s="249" t="s">
        <v>99</v>
      </c>
      <c r="E83" s="249" t="s">
        <v>2368</v>
      </c>
      <c r="F83" s="244" t="s">
        <v>43</v>
      </c>
      <c r="G83" s="275" t="s">
        <v>44</v>
      </c>
      <c r="H83" s="276" t="s">
        <v>239</v>
      </c>
      <c r="I83" s="249" t="s">
        <v>232</v>
      </c>
      <c r="J83" s="249" t="s">
        <v>204</v>
      </c>
      <c r="K83" s="247" t="s">
        <v>205</v>
      </c>
      <c r="L83" s="272"/>
      <c r="M83" s="272"/>
      <c r="N83" s="272"/>
      <c r="Q83" s="274"/>
    </row>
    <row r="84" spans="1:17" ht="12.75" customHeight="1" x14ac:dyDescent="0.35">
      <c r="A84" s="241">
        <v>7102</v>
      </c>
      <c r="B84" s="242" t="s">
        <v>629</v>
      </c>
      <c r="C84" s="243" t="s">
        <v>630</v>
      </c>
      <c r="D84" s="243" t="s">
        <v>99</v>
      </c>
      <c r="E84" s="243"/>
      <c r="F84" s="244" t="s">
        <v>43</v>
      </c>
      <c r="G84" s="275" t="s">
        <v>44</v>
      </c>
      <c r="H84" s="276" t="s">
        <v>180</v>
      </c>
      <c r="I84" s="243" t="s">
        <v>232</v>
      </c>
      <c r="J84" s="243" t="s">
        <v>204</v>
      </c>
      <c r="K84" s="247" t="s">
        <v>205</v>
      </c>
      <c r="L84" s="272"/>
      <c r="M84" s="272"/>
      <c r="N84" s="272"/>
      <c r="Q84" s="274"/>
    </row>
    <row r="85" spans="1:17" ht="12.75" customHeight="1" x14ac:dyDescent="0.35">
      <c r="A85" s="241">
        <v>7724</v>
      </c>
      <c r="B85" s="242" t="s">
        <v>247</v>
      </c>
      <c r="C85" s="243" t="s">
        <v>248</v>
      </c>
      <c r="D85" s="243" t="s">
        <v>87</v>
      </c>
      <c r="E85" s="243"/>
      <c r="F85" s="244" t="s">
        <v>43</v>
      </c>
      <c r="G85" s="275" t="s">
        <v>44</v>
      </c>
      <c r="H85" s="276" t="s">
        <v>180</v>
      </c>
      <c r="I85" s="243" t="s">
        <v>232</v>
      </c>
      <c r="J85" s="243" t="s">
        <v>204</v>
      </c>
      <c r="K85" s="247" t="s">
        <v>205</v>
      </c>
      <c r="L85" s="272"/>
      <c r="M85" s="272"/>
      <c r="N85" s="272"/>
      <c r="Q85" s="274"/>
    </row>
    <row r="86" spans="1:17" ht="12.75" customHeight="1" x14ac:dyDescent="0.35">
      <c r="A86" s="241">
        <v>7725</v>
      </c>
      <c r="B86" s="242" t="s">
        <v>249</v>
      </c>
      <c r="C86" s="243" t="s">
        <v>250</v>
      </c>
      <c r="D86" s="243" t="s">
        <v>179</v>
      </c>
      <c r="E86" s="243"/>
      <c r="F86" s="244" t="s">
        <v>43</v>
      </c>
      <c r="G86" s="275" t="s">
        <v>44</v>
      </c>
      <c r="H86" s="276" t="s">
        <v>180</v>
      </c>
      <c r="I86" s="243" t="s">
        <v>232</v>
      </c>
      <c r="J86" s="243" t="s">
        <v>204</v>
      </c>
      <c r="K86" s="247" t="s">
        <v>205</v>
      </c>
      <c r="L86" s="272"/>
      <c r="M86" s="272"/>
      <c r="N86" s="272"/>
      <c r="Q86" s="274"/>
    </row>
    <row r="87" spans="1:17" ht="12.75" customHeight="1" x14ac:dyDescent="0.35">
      <c r="A87" s="241">
        <v>7734</v>
      </c>
      <c r="B87" s="242" t="s">
        <v>1142</v>
      </c>
      <c r="C87" s="243" t="s">
        <v>797</v>
      </c>
      <c r="D87" s="243" t="s">
        <v>1143</v>
      </c>
      <c r="E87" s="243"/>
      <c r="F87" s="244" t="s">
        <v>43</v>
      </c>
      <c r="G87" s="275" t="s">
        <v>44</v>
      </c>
      <c r="H87" s="276" t="s">
        <v>239</v>
      </c>
      <c r="I87" s="243" t="s">
        <v>232</v>
      </c>
      <c r="J87" s="243" t="s">
        <v>204</v>
      </c>
      <c r="K87" s="247" t="s">
        <v>205</v>
      </c>
      <c r="L87" s="272"/>
      <c r="M87" s="272"/>
      <c r="N87" s="272"/>
      <c r="Q87" s="274"/>
    </row>
    <row r="88" spans="1:17" ht="12.75" customHeight="1" x14ac:dyDescent="0.35">
      <c r="A88" s="241">
        <v>38906</v>
      </c>
      <c r="B88" s="242" t="s">
        <v>2445</v>
      </c>
      <c r="C88" s="243" t="s">
        <v>2446</v>
      </c>
      <c r="D88" s="243" t="s">
        <v>547</v>
      </c>
      <c r="E88" s="243"/>
      <c r="F88" s="244" t="s">
        <v>49</v>
      </c>
      <c r="G88" s="275" t="s">
        <v>79</v>
      </c>
      <c r="H88" s="276"/>
      <c r="I88" s="243" t="s">
        <v>255</v>
      </c>
      <c r="J88" s="243" t="s">
        <v>204</v>
      </c>
      <c r="K88" s="247" t="s">
        <v>205</v>
      </c>
      <c r="L88" s="272"/>
      <c r="M88" s="272"/>
      <c r="N88" s="272"/>
      <c r="Q88" s="274"/>
    </row>
    <row r="89" spans="1:17" ht="12.75" customHeight="1" x14ac:dyDescent="0.35">
      <c r="A89" s="241">
        <v>7742</v>
      </c>
      <c r="B89" s="242">
        <v>614207</v>
      </c>
      <c r="C89" s="243" t="s">
        <v>240</v>
      </c>
      <c r="D89" s="243" t="s">
        <v>97</v>
      </c>
      <c r="E89" s="243"/>
      <c r="F89" s="244" t="s">
        <v>43</v>
      </c>
      <c r="G89" s="245" t="s">
        <v>52</v>
      </c>
      <c r="H89" s="246">
        <v>0</v>
      </c>
      <c r="I89" s="243" t="s">
        <v>255</v>
      </c>
      <c r="J89" s="243" t="s">
        <v>204</v>
      </c>
      <c r="K89" s="247" t="s">
        <v>205</v>
      </c>
      <c r="L89" s="272"/>
      <c r="M89" s="272"/>
      <c r="N89" s="272"/>
      <c r="Q89" s="274"/>
    </row>
    <row r="90" spans="1:17" ht="12.75" customHeight="1" x14ac:dyDescent="0.35">
      <c r="A90" s="241">
        <v>7800</v>
      </c>
      <c r="B90" s="242">
        <v>663313</v>
      </c>
      <c r="C90" s="243" t="s">
        <v>240</v>
      </c>
      <c r="D90" s="243" t="s">
        <v>254</v>
      </c>
      <c r="E90" s="243"/>
      <c r="F90" s="244" t="s">
        <v>49</v>
      </c>
      <c r="G90" s="245" t="s">
        <v>139</v>
      </c>
      <c r="H90" s="246">
        <v>0</v>
      </c>
      <c r="I90" s="243" t="s">
        <v>255</v>
      </c>
      <c r="J90" s="243" t="s">
        <v>204</v>
      </c>
      <c r="K90" s="247" t="s">
        <v>205</v>
      </c>
      <c r="L90" s="272"/>
      <c r="M90" s="272"/>
      <c r="N90" s="272"/>
      <c r="Q90" s="274"/>
    </row>
    <row r="91" spans="1:17" ht="12.75" customHeight="1" x14ac:dyDescent="0.35">
      <c r="A91" s="241">
        <v>7005</v>
      </c>
      <c r="B91" s="242" t="s">
        <v>256</v>
      </c>
      <c r="C91" s="243" t="s">
        <v>227</v>
      </c>
      <c r="D91" s="243" t="s">
        <v>257</v>
      </c>
      <c r="E91" s="243"/>
      <c r="F91" s="244" t="s">
        <v>43</v>
      </c>
      <c r="G91" s="275" t="s">
        <v>58</v>
      </c>
      <c r="H91" s="276" t="s">
        <v>51</v>
      </c>
      <c r="I91" s="243" t="s">
        <v>255</v>
      </c>
      <c r="J91" s="243" t="s">
        <v>204</v>
      </c>
      <c r="K91" s="247" t="s">
        <v>205</v>
      </c>
      <c r="L91" s="272"/>
      <c r="M91" s="272"/>
      <c r="N91" s="272"/>
      <c r="Q91" s="274"/>
    </row>
    <row r="92" spans="1:17" ht="12.75" customHeight="1" x14ac:dyDescent="0.35">
      <c r="A92" s="241">
        <v>38931</v>
      </c>
      <c r="B92" s="242" t="s">
        <v>2447</v>
      </c>
      <c r="C92" s="243" t="s">
        <v>630</v>
      </c>
      <c r="D92" s="243" t="s">
        <v>2448</v>
      </c>
      <c r="E92" s="243"/>
      <c r="F92" s="244" t="s">
        <v>49</v>
      </c>
      <c r="G92" s="250" t="s">
        <v>79</v>
      </c>
      <c r="H92" s="251">
        <v>0</v>
      </c>
      <c r="I92" s="243" t="s">
        <v>255</v>
      </c>
      <c r="J92" s="243" t="s">
        <v>204</v>
      </c>
      <c r="K92" s="247" t="s">
        <v>205</v>
      </c>
      <c r="L92" s="272"/>
      <c r="M92" s="272"/>
      <c r="N92" s="272"/>
      <c r="Q92" s="274"/>
    </row>
    <row r="93" spans="1:17" ht="12.75" customHeight="1" x14ac:dyDescent="0.35">
      <c r="A93" s="241">
        <v>16080</v>
      </c>
      <c r="B93" s="242" t="s">
        <v>2249</v>
      </c>
      <c r="C93" s="243" t="s">
        <v>2250</v>
      </c>
      <c r="D93" s="243" t="s">
        <v>2251</v>
      </c>
      <c r="E93" s="243"/>
      <c r="F93" s="244" t="s">
        <v>43</v>
      </c>
      <c r="G93" s="275" t="s">
        <v>58</v>
      </c>
      <c r="H93" s="276" t="s">
        <v>66</v>
      </c>
      <c r="I93" s="243" t="s">
        <v>258</v>
      </c>
      <c r="J93" s="243" t="s">
        <v>259</v>
      </c>
      <c r="K93" s="247" t="s">
        <v>29</v>
      </c>
      <c r="L93" s="272"/>
      <c r="M93" s="272"/>
      <c r="N93" s="272"/>
      <c r="Q93" s="274"/>
    </row>
    <row r="94" spans="1:17" ht="12.75" customHeight="1" x14ac:dyDescent="0.35">
      <c r="A94" s="241">
        <v>38595</v>
      </c>
      <c r="B94" s="242" t="s">
        <v>261</v>
      </c>
      <c r="C94" s="243" t="s">
        <v>262</v>
      </c>
      <c r="D94" s="243" t="s">
        <v>263</v>
      </c>
      <c r="E94" s="243"/>
      <c r="F94" s="244" t="s">
        <v>43</v>
      </c>
      <c r="G94" s="275" t="s">
        <v>67</v>
      </c>
      <c r="H94" s="276" t="s">
        <v>104</v>
      </c>
      <c r="I94" s="243" t="s">
        <v>258</v>
      </c>
      <c r="J94" s="243" t="s">
        <v>259</v>
      </c>
      <c r="K94" s="247" t="s">
        <v>29</v>
      </c>
      <c r="L94" s="272"/>
      <c r="M94" s="272"/>
      <c r="N94" s="272"/>
      <c r="Q94" s="274"/>
    </row>
    <row r="95" spans="1:17" ht="12.75" customHeight="1" x14ac:dyDescent="0.35">
      <c r="A95" s="241">
        <v>38236</v>
      </c>
      <c r="B95" s="242" t="s">
        <v>2252</v>
      </c>
      <c r="C95" s="243" t="s">
        <v>80</v>
      </c>
      <c r="D95" s="243" t="s">
        <v>2253</v>
      </c>
      <c r="E95" s="243"/>
      <c r="F95" s="244" t="s">
        <v>43</v>
      </c>
      <c r="G95" s="275" t="s">
        <v>52</v>
      </c>
      <c r="H95" s="276" t="s">
        <v>51</v>
      </c>
      <c r="I95" s="249" t="s">
        <v>258</v>
      </c>
      <c r="J95" s="243" t="s">
        <v>259</v>
      </c>
      <c r="K95" s="247" t="s">
        <v>29</v>
      </c>
      <c r="L95" s="272"/>
      <c r="M95" s="272"/>
      <c r="N95" s="272"/>
      <c r="Q95" s="274"/>
    </row>
    <row r="96" spans="1:17" ht="12.75" customHeight="1" x14ac:dyDescent="0.35">
      <c r="A96" s="241">
        <v>16086</v>
      </c>
      <c r="B96" s="242" t="s">
        <v>2257</v>
      </c>
      <c r="C96" s="243" t="s">
        <v>265</v>
      </c>
      <c r="D96" s="243" t="s">
        <v>99</v>
      </c>
      <c r="E96" s="243"/>
      <c r="F96" s="244" t="s">
        <v>43</v>
      </c>
      <c r="G96" s="275" t="s">
        <v>44</v>
      </c>
      <c r="H96" s="276" t="s">
        <v>180</v>
      </c>
      <c r="I96" s="243" t="s">
        <v>258</v>
      </c>
      <c r="J96" s="243" t="s">
        <v>259</v>
      </c>
      <c r="K96" s="247" t="s">
        <v>29</v>
      </c>
      <c r="L96" s="272"/>
      <c r="M96" s="272"/>
      <c r="N96" s="272"/>
      <c r="Q96" s="274"/>
    </row>
    <row r="97" spans="1:17" ht="12.75" customHeight="1" x14ac:dyDescent="0.35">
      <c r="A97" s="241">
        <v>38909</v>
      </c>
      <c r="B97" s="242" t="s">
        <v>2449</v>
      </c>
      <c r="C97" s="243" t="s">
        <v>265</v>
      </c>
      <c r="D97" s="243" t="s">
        <v>994</v>
      </c>
      <c r="E97" s="243"/>
      <c r="F97" s="244" t="s">
        <v>43</v>
      </c>
      <c r="G97" s="275" t="s">
        <v>94</v>
      </c>
      <c r="H97" s="276"/>
      <c r="I97" s="243" t="s">
        <v>258</v>
      </c>
      <c r="J97" s="243" t="s">
        <v>259</v>
      </c>
      <c r="K97" s="247" t="s">
        <v>29</v>
      </c>
      <c r="L97" s="272"/>
      <c r="M97" s="272"/>
      <c r="N97" s="272"/>
      <c r="Q97" s="274"/>
    </row>
    <row r="98" spans="1:17" ht="12.75" customHeight="1" x14ac:dyDescent="0.35">
      <c r="A98" s="241">
        <v>16092</v>
      </c>
      <c r="B98" s="242" t="s">
        <v>2254</v>
      </c>
      <c r="C98" s="243" t="s">
        <v>265</v>
      </c>
      <c r="D98" s="243" t="s">
        <v>2255</v>
      </c>
      <c r="E98" s="243"/>
      <c r="F98" s="244" t="s">
        <v>49</v>
      </c>
      <c r="G98" s="275" t="s">
        <v>228</v>
      </c>
      <c r="H98" s="276" t="s">
        <v>51</v>
      </c>
      <c r="I98" s="243" t="s">
        <v>258</v>
      </c>
      <c r="J98" s="243" t="s">
        <v>259</v>
      </c>
      <c r="K98" s="247" t="s">
        <v>29</v>
      </c>
      <c r="L98" s="272"/>
      <c r="M98" s="272"/>
      <c r="N98" s="272"/>
      <c r="Q98" s="274"/>
    </row>
    <row r="99" spans="1:17" ht="12.75" customHeight="1" x14ac:dyDescent="0.35">
      <c r="A99" s="241">
        <v>16088</v>
      </c>
      <c r="B99" s="242" t="s">
        <v>2256</v>
      </c>
      <c r="C99" s="243" t="s">
        <v>265</v>
      </c>
      <c r="D99" s="243" t="s">
        <v>266</v>
      </c>
      <c r="E99" s="243"/>
      <c r="F99" s="244" t="s">
        <v>43</v>
      </c>
      <c r="G99" s="275" t="s">
        <v>44</v>
      </c>
      <c r="H99" s="276" t="s">
        <v>45</v>
      </c>
      <c r="I99" s="243" t="s">
        <v>258</v>
      </c>
      <c r="J99" s="243" t="s">
        <v>259</v>
      </c>
      <c r="K99" s="247" t="s">
        <v>29</v>
      </c>
      <c r="L99" s="272"/>
      <c r="M99" s="272"/>
      <c r="N99" s="272"/>
      <c r="Q99" s="274"/>
    </row>
    <row r="100" spans="1:17" ht="12.75" customHeight="1" x14ac:dyDescent="0.35">
      <c r="A100" s="241">
        <v>16083</v>
      </c>
      <c r="B100" s="242" t="s">
        <v>267</v>
      </c>
      <c r="C100" s="243" t="s">
        <v>265</v>
      </c>
      <c r="D100" s="243" t="s">
        <v>97</v>
      </c>
      <c r="E100" s="243"/>
      <c r="F100" s="244" t="s">
        <v>43</v>
      </c>
      <c r="G100" s="275" t="s">
        <v>58</v>
      </c>
      <c r="H100" s="276" t="s">
        <v>51</v>
      </c>
      <c r="I100" s="243" t="s">
        <v>258</v>
      </c>
      <c r="J100" s="243" t="s">
        <v>259</v>
      </c>
      <c r="K100" s="247" t="s">
        <v>29</v>
      </c>
    </row>
    <row r="101" spans="1:17" ht="12.75" customHeight="1" x14ac:dyDescent="0.35">
      <c r="A101" s="241">
        <v>38597</v>
      </c>
      <c r="B101" s="242" t="s">
        <v>268</v>
      </c>
      <c r="C101" s="243" t="s">
        <v>269</v>
      </c>
      <c r="D101" s="243" t="s">
        <v>270</v>
      </c>
      <c r="E101" s="243"/>
      <c r="F101" s="244" t="s">
        <v>43</v>
      </c>
      <c r="G101" s="275" t="s">
        <v>44</v>
      </c>
      <c r="H101" s="276" t="s">
        <v>45</v>
      </c>
      <c r="I101" s="243" t="s">
        <v>258</v>
      </c>
      <c r="J101" s="243" t="s">
        <v>259</v>
      </c>
      <c r="K101" s="247" t="s">
        <v>29</v>
      </c>
    </row>
    <row r="102" spans="1:17" ht="12.75" customHeight="1" x14ac:dyDescent="0.35">
      <c r="A102" s="241">
        <v>25731</v>
      </c>
      <c r="B102" s="242" t="s">
        <v>2258</v>
      </c>
      <c r="C102" s="243" t="s">
        <v>2259</v>
      </c>
      <c r="D102" s="243" t="s">
        <v>117</v>
      </c>
      <c r="E102" s="243"/>
      <c r="F102" s="244" t="s">
        <v>43</v>
      </c>
      <c r="G102" s="275" t="s">
        <v>44</v>
      </c>
      <c r="H102" s="276" t="s">
        <v>45</v>
      </c>
      <c r="I102" s="243" t="s">
        <v>258</v>
      </c>
      <c r="J102" s="243" t="s">
        <v>259</v>
      </c>
      <c r="K102" s="247" t="s">
        <v>29</v>
      </c>
      <c r="L102" s="272"/>
      <c r="M102" s="272"/>
      <c r="N102" s="272"/>
      <c r="Q102" s="274"/>
    </row>
    <row r="103" spans="1:17" ht="12.75" customHeight="1" x14ac:dyDescent="0.35">
      <c r="A103" s="241">
        <v>16999</v>
      </c>
      <c r="B103" s="242" t="s">
        <v>2376</v>
      </c>
      <c r="C103" s="243" t="s">
        <v>274</v>
      </c>
      <c r="D103" s="243" t="s">
        <v>120</v>
      </c>
      <c r="E103" s="243"/>
      <c r="F103" s="244" t="s">
        <v>43</v>
      </c>
      <c r="G103" s="275" t="s">
        <v>58</v>
      </c>
      <c r="H103" s="276"/>
      <c r="I103" s="243" t="s">
        <v>275</v>
      </c>
      <c r="J103" s="243" t="s">
        <v>276</v>
      </c>
      <c r="K103" s="247" t="s">
        <v>277</v>
      </c>
      <c r="L103" s="272"/>
      <c r="M103" s="272"/>
      <c r="N103" s="272"/>
      <c r="Q103" s="274"/>
    </row>
    <row r="104" spans="1:17" ht="12.75" customHeight="1" x14ac:dyDescent="0.35">
      <c r="A104" s="241">
        <v>25945</v>
      </c>
      <c r="B104" s="242" t="s">
        <v>2260</v>
      </c>
      <c r="C104" s="243" t="s">
        <v>2261</v>
      </c>
      <c r="D104" s="243" t="s">
        <v>624</v>
      </c>
      <c r="E104" s="243"/>
      <c r="F104" s="244" t="s">
        <v>43</v>
      </c>
      <c r="G104" s="275" t="s">
        <v>52</v>
      </c>
      <c r="H104" s="276" t="s">
        <v>45</v>
      </c>
      <c r="I104" s="243" t="s">
        <v>275</v>
      </c>
      <c r="J104" s="243" t="s">
        <v>276</v>
      </c>
      <c r="K104" s="247" t="s">
        <v>277</v>
      </c>
      <c r="L104" s="272"/>
      <c r="M104" s="272"/>
      <c r="N104" s="272"/>
      <c r="Q104" s="274"/>
    </row>
    <row r="105" spans="1:17" ht="12.75" customHeight="1" x14ac:dyDescent="0.35">
      <c r="A105" s="241">
        <v>38033</v>
      </c>
      <c r="B105" s="242" t="s">
        <v>278</v>
      </c>
      <c r="C105" s="243" t="s">
        <v>279</v>
      </c>
      <c r="D105" s="243" t="s">
        <v>99</v>
      </c>
      <c r="E105" s="243"/>
      <c r="F105" s="244" t="s">
        <v>43</v>
      </c>
      <c r="G105" s="275" t="s">
        <v>44</v>
      </c>
      <c r="H105" s="276" t="s">
        <v>66</v>
      </c>
      <c r="I105" s="243" t="s">
        <v>275</v>
      </c>
      <c r="J105" s="243" t="s">
        <v>276</v>
      </c>
      <c r="K105" s="247" t="s">
        <v>277</v>
      </c>
      <c r="L105" s="272"/>
      <c r="M105" s="272"/>
      <c r="N105" s="272"/>
      <c r="Q105" s="274"/>
    </row>
    <row r="106" spans="1:17" ht="12.75" customHeight="1" x14ac:dyDescent="0.35">
      <c r="A106" s="241">
        <v>38034</v>
      </c>
      <c r="B106" s="242" t="s">
        <v>280</v>
      </c>
      <c r="C106" s="243" t="s">
        <v>279</v>
      </c>
      <c r="D106" s="243" t="s">
        <v>64</v>
      </c>
      <c r="E106" s="243"/>
      <c r="F106" s="244" t="s">
        <v>43</v>
      </c>
      <c r="G106" s="275" t="s">
        <v>44</v>
      </c>
      <c r="H106" s="276" t="s">
        <v>66</v>
      </c>
      <c r="I106" s="243" t="s">
        <v>275</v>
      </c>
      <c r="J106" s="243" t="s">
        <v>276</v>
      </c>
      <c r="K106" s="247" t="s">
        <v>277</v>
      </c>
      <c r="L106" s="272"/>
      <c r="M106" s="272"/>
      <c r="N106" s="272"/>
      <c r="Q106" s="274"/>
    </row>
    <row r="107" spans="1:17" ht="12.75" customHeight="1" x14ac:dyDescent="0.35">
      <c r="A107" s="241">
        <v>38270</v>
      </c>
      <c r="B107" s="242" t="s">
        <v>611</v>
      </c>
      <c r="C107" s="243" t="s">
        <v>612</v>
      </c>
      <c r="D107" s="243" t="s">
        <v>132</v>
      </c>
      <c r="E107" s="243"/>
      <c r="F107" s="244" t="s">
        <v>43</v>
      </c>
      <c r="G107" s="275" t="s">
        <v>44</v>
      </c>
      <c r="H107" s="276" t="s">
        <v>66</v>
      </c>
      <c r="I107" s="243" t="s">
        <v>275</v>
      </c>
      <c r="J107" s="243" t="s">
        <v>276</v>
      </c>
      <c r="K107" s="247" t="s">
        <v>277</v>
      </c>
    </row>
    <row r="108" spans="1:17" ht="12.75" customHeight="1" x14ac:dyDescent="0.35">
      <c r="A108" s="241">
        <v>38565</v>
      </c>
      <c r="B108" s="242" t="s">
        <v>2450</v>
      </c>
      <c r="C108" s="243" t="s">
        <v>2451</v>
      </c>
      <c r="D108" s="243" t="s">
        <v>284</v>
      </c>
      <c r="E108" s="243"/>
      <c r="F108" s="244" t="s">
        <v>43</v>
      </c>
      <c r="G108" s="245" t="s">
        <v>44</v>
      </c>
      <c r="H108" s="246">
        <v>0</v>
      </c>
      <c r="I108" s="243" t="s">
        <v>275</v>
      </c>
      <c r="J108" s="243" t="s">
        <v>276</v>
      </c>
      <c r="K108" s="247" t="s">
        <v>277</v>
      </c>
    </row>
    <row r="109" spans="1:17" ht="12.75" customHeight="1" x14ac:dyDescent="0.35">
      <c r="A109" s="241">
        <v>38237</v>
      </c>
      <c r="B109" s="242" t="s">
        <v>285</v>
      </c>
      <c r="C109" s="243" t="s">
        <v>131</v>
      </c>
      <c r="D109" s="243" t="s">
        <v>64</v>
      </c>
      <c r="E109" s="243"/>
      <c r="F109" s="244" t="s">
        <v>43</v>
      </c>
      <c r="G109" s="275" t="s">
        <v>44</v>
      </c>
      <c r="H109" s="276" t="s">
        <v>45</v>
      </c>
      <c r="I109" s="243" t="s">
        <v>275</v>
      </c>
      <c r="J109" s="243" t="s">
        <v>276</v>
      </c>
      <c r="K109" s="247" t="s">
        <v>277</v>
      </c>
    </row>
    <row r="110" spans="1:17" ht="12.75" customHeight="1" x14ac:dyDescent="0.35">
      <c r="A110" s="241">
        <v>38322</v>
      </c>
      <c r="B110" s="242" t="s">
        <v>2262</v>
      </c>
      <c r="C110" s="243" t="s">
        <v>2263</v>
      </c>
      <c r="D110" s="243" t="s">
        <v>286</v>
      </c>
      <c r="E110" s="243"/>
      <c r="F110" s="244" t="s">
        <v>43</v>
      </c>
      <c r="G110" s="275" t="s">
        <v>58</v>
      </c>
      <c r="H110" s="276" t="s">
        <v>45</v>
      </c>
      <c r="I110" s="243" t="s">
        <v>275</v>
      </c>
      <c r="J110" s="243" t="s">
        <v>276</v>
      </c>
      <c r="K110" s="247" t="s">
        <v>277</v>
      </c>
    </row>
    <row r="111" spans="1:17" ht="12.75" customHeight="1" x14ac:dyDescent="0.35">
      <c r="A111" s="241">
        <v>38183</v>
      </c>
      <c r="B111" s="242" t="s">
        <v>2264</v>
      </c>
      <c r="C111" s="243" t="s">
        <v>2263</v>
      </c>
      <c r="D111" s="243" t="s">
        <v>287</v>
      </c>
      <c r="E111" s="243"/>
      <c r="F111" s="244" t="s">
        <v>43</v>
      </c>
      <c r="G111" s="275" t="s">
        <v>44</v>
      </c>
      <c r="H111" s="276" t="s">
        <v>180</v>
      </c>
      <c r="I111" s="243" t="s">
        <v>275</v>
      </c>
      <c r="J111" s="243" t="s">
        <v>276</v>
      </c>
      <c r="K111" s="247" t="s">
        <v>277</v>
      </c>
    </row>
    <row r="112" spans="1:17" ht="12.75" customHeight="1" x14ac:dyDescent="0.35">
      <c r="A112" s="241">
        <v>38250</v>
      </c>
      <c r="B112" s="242" t="s">
        <v>288</v>
      </c>
      <c r="C112" s="243" t="s">
        <v>289</v>
      </c>
      <c r="D112" s="243" t="s">
        <v>179</v>
      </c>
      <c r="E112" s="243"/>
      <c r="F112" s="244" t="s">
        <v>43</v>
      </c>
      <c r="G112" s="275" t="s">
        <v>44</v>
      </c>
      <c r="H112" s="276" t="s">
        <v>45</v>
      </c>
      <c r="I112" s="243" t="s">
        <v>275</v>
      </c>
      <c r="J112" s="243" t="s">
        <v>276</v>
      </c>
      <c r="K112" s="247" t="s">
        <v>277</v>
      </c>
    </row>
    <row r="113" spans="1:17" ht="12.75" customHeight="1" x14ac:dyDescent="0.35">
      <c r="A113" s="241">
        <v>38898</v>
      </c>
      <c r="B113" s="242" t="s">
        <v>2377</v>
      </c>
      <c r="C113" s="243" t="s">
        <v>2378</v>
      </c>
      <c r="D113" s="243" t="s">
        <v>600</v>
      </c>
      <c r="E113" s="243"/>
      <c r="F113" s="244" t="s">
        <v>43</v>
      </c>
      <c r="G113" s="275" t="s">
        <v>44</v>
      </c>
      <c r="H113" s="276"/>
      <c r="I113" s="243" t="s">
        <v>275</v>
      </c>
      <c r="J113" s="243" t="s">
        <v>276</v>
      </c>
      <c r="K113" s="247" t="s">
        <v>277</v>
      </c>
    </row>
    <row r="114" spans="1:17" ht="12.75" customHeight="1" x14ac:dyDescent="0.35">
      <c r="A114" s="241">
        <v>38899</v>
      </c>
      <c r="B114" s="242" t="s">
        <v>2379</v>
      </c>
      <c r="C114" s="243" t="s">
        <v>2380</v>
      </c>
      <c r="D114" s="243" t="s">
        <v>2381</v>
      </c>
      <c r="E114" s="243"/>
      <c r="F114" s="244" t="s">
        <v>49</v>
      </c>
      <c r="G114" s="245" t="s">
        <v>79</v>
      </c>
      <c r="H114" s="246">
        <v>0</v>
      </c>
      <c r="I114" s="243" t="s">
        <v>275</v>
      </c>
      <c r="J114" s="243" t="s">
        <v>276</v>
      </c>
      <c r="K114" s="247" t="s">
        <v>277</v>
      </c>
    </row>
    <row r="115" spans="1:17" s="269" customFormat="1" ht="12.75" customHeight="1" x14ac:dyDescent="0.45">
      <c r="A115" s="241">
        <v>38789</v>
      </c>
      <c r="B115" s="242" t="s">
        <v>2093</v>
      </c>
      <c r="C115" s="243" t="s">
        <v>2094</v>
      </c>
      <c r="D115" s="243" t="s">
        <v>152</v>
      </c>
      <c r="E115" s="243"/>
      <c r="F115" s="244" t="s">
        <v>49</v>
      </c>
      <c r="G115" s="275" t="s">
        <v>79</v>
      </c>
      <c r="H115" s="276" t="s">
        <v>104</v>
      </c>
      <c r="I115" s="243" t="s">
        <v>275</v>
      </c>
      <c r="J115" s="243" t="s">
        <v>276</v>
      </c>
      <c r="K115" s="247" t="s">
        <v>277</v>
      </c>
      <c r="L115" s="278"/>
      <c r="M115" s="278"/>
      <c r="N115" s="278"/>
      <c r="Q115" s="279"/>
    </row>
    <row r="116" spans="1:17" ht="12.75" customHeight="1" x14ac:dyDescent="0.35">
      <c r="A116" s="241">
        <v>25064</v>
      </c>
      <c r="B116" s="242" t="s">
        <v>1901</v>
      </c>
      <c r="C116" s="243" t="s">
        <v>1273</v>
      </c>
      <c r="D116" s="243" t="s">
        <v>87</v>
      </c>
      <c r="E116" s="243"/>
      <c r="F116" s="244" t="s">
        <v>43</v>
      </c>
      <c r="G116" s="275" t="s">
        <v>44</v>
      </c>
      <c r="H116" s="276" t="s">
        <v>180</v>
      </c>
      <c r="I116" s="243" t="s">
        <v>275</v>
      </c>
      <c r="J116" s="243" t="s">
        <v>276</v>
      </c>
      <c r="K116" s="247" t="s">
        <v>277</v>
      </c>
    </row>
    <row r="117" spans="1:17" ht="12.75" customHeight="1" x14ac:dyDescent="0.35">
      <c r="A117" s="241">
        <v>38926</v>
      </c>
      <c r="B117" s="242" t="s">
        <v>2452</v>
      </c>
      <c r="C117" s="243" t="s">
        <v>292</v>
      </c>
      <c r="D117" s="243" t="s">
        <v>73</v>
      </c>
      <c r="E117" s="243"/>
      <c r="F117" s="244" t="s">
        <v>43</v>
      </c>
      <c r="G117" s="275" t="s">
        <v>52</v>
      </c>
      <c r="H117" s="276">
        <v>0</v>
      </c>
      <c r="I117" s="243" t="s">
        <v>275</v>
      </c>
      <c r="J117" s="243" t="s">
        <v>276</v>
      </c>
      <c r="K117" s="247" t="s">
        <v>277</v>
      </c>
    </row>
    <row r="118" spans="1:17" ht="12.75" customHeight="1" x14ac:dyDescent="0.35">
      <c r="A118" s="241">
        <v>38684</v>
      </c>
      <c r="B118" s="242" t="s">
        <v>291</v>
      </c>
      <c r="C118" s="243" t="s">
        <v>292</v>
      </c>
      <c r="D118" s="243" t="s">
        <v>293</v>
      </c>
      <c r="E118" s="243"/>
      <c r="F118" s="244" t="s">
        <v>43</v>
      </c>
      <c r="G118" s="275" t="s">
        <v>94</v>
      </c>
      <c r="H118" s="276" t="s">
        <v>66</v>
      </c>
      <c r="I118" s="243" t="s">
        <v>275</v>
      </c>
      <c r="J118" s="243" t="s">
        <v>276</v>
      </c>
      <c r="K118" s="247" t="s">
        <v>277</v>
      </c>
    </row>
    <row r="119" spans="1:17" ht="12.75" customHeight="1" x14ac:dyDescent="0.35">
      <c r="A119" s="241">
        <v>38731</v>
      </c>
      <c r="B119" s="242" t="s">
        <v>1886</v>
      </c>
      <c r="C119" s="243" t="s">
        <v>1887</v>
      </c>
      <c r="D119" s="243" t="s">
        <v>1888</v>
      </c>
      <c r="E119" s="243"/>
      <c r="F119" s="244" t="s">
        <v>43</v>
      </c>
      <c r="G119" s="275" t="s">
        <v>44</v>
      </c>
      <c r="H119" s="276" t="s">
        <v>51</v>
      </c>
      <c r="I119" s="243" t="s">
        <v>275</v>
      </c>
      <c r="J119" s="243" t="s">
        <v>276</v>
      </c>
      <c r="K119" s="247" t="s">
        <v>277</v>
      </c>
    </row>
    <row r="120" spans="1:17" ht="12.75" customHeight="1" x14ac:dyDescent="0.35">
      <c r="A120" s="241">
        <v>38631</v>
      </c>
      <c r="B120" s="242" t="s">
        <v>2453</v>
      </c>
      <c r="C120" s="243" t="s">
        <v>215</v>
      </c>
      <c r="D120" s="243" t="s">
        <v>1786</v>
      </c>
      <c r="E120" s="243"/>
      <c r="F120" s="244" t="s">
        <v>43</v>
      </c>
      <c r="G120" s="250" t="s">
        <v>44</v>
      </c>
      <c r="H120" s="251">
        <v>0</v>
      </c>
      <c r="I120" s="243" t="s">
        <v>275</v>
      </c>
      <c r="J120" s="243" t="s">
        <v>276</v>
      </c>
      <c r="K120" s="247" t="s">
        <v>277</v>
      </c>
    </row>
    <row r="121" spans="1:17" ht="12.75" customHeight="1" x14ac:dyDescent="0.35">
      <c r="A121" s="241">
        <v>38173</v>
      </c>
      <c r="B121" s="242" t="s">
        <v>294</v>
      </c>
      <c r="C121" s="243" t="s">
        <v>295</v>
      </c>
      <c r="D121" s="243" t="s">
        <v>296</v>
      </c>
      <c r="E121" s="243"/>
      <c r="F121" s="244" t="s">
        <v>49</v>
      </c>
      <c r="G121" s="275" t="s">
        <v>79</v>
      </c>
      <c r="H121" s="276" t="s">
        <v>45</v>
      </c>
      <c r="I121" s="243" t="s">
        <v>275</v>
      </c>
      <c r="J121" s="243" t="s">
        <v>276</v>
      </c>
      <c r="K121" s="247" t="s">
        <v>277</v>
      </c>
    </row>
    <row r="122" spans="1:17" ht="12.75" customHeight="1" x14ac:dyDescent="0.35">
      <c r="A122" s="241">
        <v>38172</v>
      </c>
      <c r="B122" s="242" t="s">
        <v>298</v>
      </c>
      <c r="C122" s="243" t="s">
        <v>299</v>
      </c>
      <c r="D122" s="243" t="s">
        <v>53</v>
      </c>
      <c r="E122" s="243"/>
      <c r="F122" s="244" t="s">
        <v>43</v>
      </c>
      <c r="G122" s="275" t="s">
        <v>44</v>
      </c>
      <c r="H122" s="276" t="s">
        <v>51</v>
      </c>
      <c r="I122" s="243" t="s">
        <v>275</v>
      </c>
      <c r="J122" s="243" t="s">
        <v>276</v>
      </c>
      <c r="K122" s="247" t="s">
        <v>277</v>
      </c>
    </row>
    <row r="123" spans="1:17" ht="12.75" customHeight="1" x14ac:dyDescent="0.35">
      <c r="A123" s="241">
        <v>7926</v>
      </c>
      <c r="B123" s="242" t="s">
        <v>300</v>
      </c>
      <c r="C123" s="243" t="s">
        <v>301</v>
      </c>
      <c r="D123" s="243" t="s">
        <v>302</v>
      </c>
      <c r="E123" s="243"/>
      <c r="F123" s="244" t="s">
        <v>43</v>
      </c>
      <c r="G123" s="275" t="s">
        <v>52</v>
      </c>
      <c r="H123" s="276"/>
      <c r="I123" s="243" t="s">
        <v>303</v>
      </c>
      <c r="J123" s="243" t="s">
        <v>304</v>
      </c>
      <c r="K123" s="247" t="s">
        <v>305</v>
      </c>
    </row>
    <row r="124" spans="1:17" ht="12.75" customHeight="1" x14ac:dyDescent="0.35">
      <c r="A124" s="241">
        <v>7928</v>
      </c>
      <c r="B124" s="242" t="s">
        <v>306</v>
      </c>
      <c r="C124" s="243" t="s">
        <v>264</v>
      </c>
      <c r="D124" s="243" t="s">
        <v>307</v>
      </c>
      <c r="E124" s="243"/>
      <c r="F124" s="244" t="s">
        <v>43</v>
      </c>
      <c r="G124" s="275" t="s">
        <v>44</v>
      </c>
      <c r="H124" s="276" t="s">
        <v>51</v>
      </c>
      <c r="I124" s="243" t="s">
        <v>303</v>
      </c>
      <c r="J124" s="243" t="s">
        <v>304</v>
      </c>
      <c r="K124" s="247" t="s">
        <v>305</v>
      </c>
    </row>
    <row r="125" spans="1:17" ht="12.75" customHeight="1" x14ac:dyDescent="0.35">
      <c r="A125" s="241">
        <v>7930</v>
      </c>
      <c r="B125" s="242" t="s">
        <v>308</v>
      </c>
      <c r="C125" s="243" t="s">
        <v>309</v>
      </c>
      <c r="D125" s="243" t="s">
        <v>310</v>
      </c>
      <c r="E125" s="243"/>
      <c r="F125" s="244" t="s">
        <v>49</v>
      </c>
      <c r="G125" s="275" t="s">
        <v>50</v>
      </c>
      <c r="H125" s="276" t="s">
        <v>45</v>
      </c>
      <c r="I125" s="243" t="s">
        <v>303</v>
      </c>
      <c r="J125" s="243" t="s">
        <v>304</v>
      </c>
      <c r="K125" s="247" t="s">
        <v>305</v>
      </c>
    </row>
    <row r="126" spans="1:17" ht="12.75" customHeight="1" x14ac:dyDescent="0.35">
      <c r="A126" s="241">
        <v>7927</v>
      </c>
      <c r="B126" s="242" t="s">
        <v>311</v>
      </c>
      <c r="C126" s="243" t="s">
        <v>312</v>
      </c>
      <c r="D126" s="243" t="s">
        <v>73</v>
      </c>
      <c r="E126" s="243"/>
      <c r="F126" s="244" t="s">
        <v>43</v>
      </c>
      <c r="G126" s="275" t="s">
        <v>52</v>
      </c>
      <c r="H126" s="276" t="s">
        <v>45</v>
      </c>
      <c r="I126" s="243" t="s">
        <v>303</v>
      </c>
      <c r="J126" s="243" t="s">
        <v>304</v>
      </c>
      <c r="K126" s="247" t="s">
        <v>305</v>
      </c>
    </row>
    <row r="127" spans="1:17" ht="12.75" customHeight="1" x14ac:dyDescent="0.35">
      <c r="A127" s="241">
        <v>16977</v>
      </c>
      <c r="B127" s="242" t="s">
        <v>313</v>
      </c>
      <c r="C127" s="249" t="s">
        <v>209</v>
      </c>
      <c r="D127" s="249" t="s">
        <v>53</v>
      </c>
      <c r="E127" s="249" t="s">
        <v>2368</v>
      </c>
      <c r="F127" s="244" t="s">
        <v>43</v>
      </c>
      <c r="G127" s="275" t="s">
        <v>44</v>
      </c>
      <c r="H127" s="276" t="s">
        <v>180</v>
      </c>
      <c r="I127" s="249" t="s">
        <v>303</v>
      </c>
      <c r="J127" s="249" t="s">
        <v>304</v>
      </c>
      <c r="K127" s="247" t="s">
        <v>305</v>
      </c>
    </row>
    <row r="128" spans="1:17" ht="12.75" customHeight="1" x14ac:dyDescent="0.35">
      <c r="A128" s="241">
        <v>7929</v>
      </c>
      <c r="B128" s="242" t="s">
        <v>314</v>
      </c>
      <c r="C128" s="243" t="s">
        <v>315</v>
      </c>
      <c r="D128" s="243" t="s">
        <v>316</v>
      </c>
      <c r="E128" s="243"/>
      <c r="F128" s="244" t="s">
        <v>49</v>
      </c>
      <c r="G128" s="252" t="s">
        <v>228</v>
      </c>
      <c r="H128" s="253">
        <v>0</v>
      </c>
      <c r="I128" s="243" t="s">
        <v>303</v>
      </c>
      <c r="J128" s="243" t="s">
        <v>304</v>
      </c>
      <c r="K128" s="247" t="s">
        <v>305</v>
      </c>
    </row>
    <row r="129" spans="1:11" ht="12.75" customHeight="1" x14ac:dyDescent="0.35">
      <c r="A129" s="241">
        <v>38882</v>
      </c>
      <c r="B129" s="242" t="s">
        <v>2326</v>
      </c>
      <c r="C129" s="243" t="s">
        <v>2327</v>
      </c>
      <c r="D129" s="243" t="s">
        <v>231</v>
      </c>
      <c r="E129" s="243"/>
      <c r="F129" s="244" t="s">
        <v>43</v>
      </c>
      <c r="G129" s="275" t="s">
        <v>67</v>
      </c>
      <c r="H129" s="276"/>
      <c r="I129" s="243" t="s">
        <v>303</v>
      </c>
      <c r="J129" s="243" t="s">
        <v>304</v>
      </c>
      <c r="K129" s="247" t="s">
        <v>305</v>
      </c>
    </row>
    <row r="130" spans="1:11" ht="12.75" customHeight="1" x14ac:dyDescent="0.35">
      <c r="A130" s="241">
        <v>38881</v>
      </c>
      <c r="B130" s="242" t="s">
        <v>2328</v>
      </c>
      <c r="C130" s="243" t="s">
        <v>2327</v>
      </c>
      <c r="D130" s="243" t="s">
        <v>2329</v>
      </c>
      <c r="E130" s="243"/>
      <c r="F130" s="244" t="s">
        <v>43</v>
      </c>
      <c r="G130" s="275" t="s">
        <v>44</v>
      </c>
      <c r="H130" s="276"/>
      <c r="I130" s="243" t="s">
        <v>303</v>
      </c>
      <c r="J130" s="243" t="s">
        <v>304</v>
      </c>
      <c r="K130" s="247" t="s">
        <v>305</v>
      </c>
    </row>
    <row r="131" spans="1:11" ht="12.75" customHeight="1" x14ac:dyDescent="0.35">
      <c r="A131" s="241">
        <v>38697</v>
      </c>
      <c r="B131" s="242" t="s">
        <v>318</v>
      </c>
      <c r="C131" s="243" t="s">
        <v>319</v>
      </c>
      <c r="D131" s="243" t="s">
        <v>320</v>
      </c>
      <c r="E131" s="243"/>
      <c r="F131" s="244" t="s">
        <v>49</v>
      </c>
      <c r="G131" s="275" t="s">
        <v>139</v>
      </c>
      <c r="H131" s="276" t="s">
        <v>51</v>
      </c>
      <c r="I131" s="243" t="s">
        <v>321</v>
      </c>
      <c r="J131" s="243" t="s">
        <v>304</v>
      </c>
      <c r="K131" s="247" t="s">
        <v>305</v>
      </c>
    </row>
    <row r="132" spans="1:11" ht="12.75" customHeight="1" x14ac:dyDescent="0.35">
      <c r="A132" s="241">
        <v>38512</v>
      </c>
      <c r="B132" s="242" t="s">
        <v>322</v>
      </c>
      <c r="C132" s="243" t="s">
        <v>323</v>
      </c>
      <c r="D132" s="243" t="s">
        <v>324</v>
      </c>
      <c r="E132" s="243"/>
      <c r="F132" s="244" t="s">
        <v>49</v>
      </c>
      <c r="G132" s="275" t="s">
        <v>228</v>
      </c>
      <c r="H132" s="276" t="s">
        <v>45</v>
      </c>
      <c r="I132" s="243" t="s">
        <v>321</v>
      </c>
      <c r="J132" s="243" t="s">
        <v>304</v>
      </c>
      <c r="K132" s="247" t="s">
        <v>305</v>
      </c>
    </row>
    <row r="133" spans="1:11" ht="12.75" customHeight="1" x14ac:dyDescent="0.35">
      <c r="A133" s="241">
        <v>7956</v>
      </c>
      <c r="B133" s="242" t="s">
        <v>325</v>
      </c>
      <c r="C133" s="243" t="s">
        <v>326</v>
      </c>
      <c r="D133" s="243" t="s">
        <v>167</v>
      </c>
      <c r="E133" s="243"/>
      <c r="F133" s="244" t="s">
        <v>49</v>
      </c>
      <c r="G133" s="275" t="s">
        <v>50</v>
      </c>
      <c r="H133" s="276" t="s">
        <v>51</v>
      </c>
      <c r="I133" s="243" t="s">
        <v>321</v>
      </c>
      <c r="J133" s="243" t="s">
        <v>304</v>
      </c>
      <c r="K133" s="247" t="s">
        <v>305</v>
      </c>
    </row>
    <row r="134" spans="1:11" s="269" customFormat="1" ht="12.75" customHeight="1" x14ac:dyDescent="0.45">
      <c r="A134" s="241">
        <v>7946</v>
      </c>
      <c r="B134" s="242" t="s">
        <v>327</v>
      </c>
      <c r="C134" s="243" t="s">
        <v>326</v>
      </c>
      <c r="D134" s="243" t="s">
        <v>73</v>
      </c>
      <c r="E134" s="243"/>
      <c r="F134" s="244" t="s">
        <v>43</v>
      </c>
      <c r="G134" s="275" t="s">
        <v>52</v>
      </c>
      <c r="H134" s="276" t="s">
        <v>104</v>
      </c>
      <c r="I134" s="243" t="s">
        <v>321</v>
      </c>
      <c r="J134" s="243" t="s">
        <v>304</v>
      </c>
      <c r="K134" s="247" t="s">
        <v>305</v>
      </c>
    </row>
    <row r="135" spans="1:11" ht="12.75" customHeight="1" x14ac:dyDescent="0.35">
      <c r="A135" s="241">
        <v>7952</v>
      </c>
      <c r="B135" s="242" t="s">
        <v>328</v>
      </c>
      <c r="C135" s="243" t="s">
        <v>329</v>
      </c>
      <c r="D135" s="243" t="s">
        <v>330</v>
      </c>
      <c r="E135" s="243"/>
      <c r="F135" s="244" t="s">
        <v>49</v>
      </c>
      <c r="G135" s="275" t="s">
        <v>228</v>
      </c>
      <c r="H135" s="276"/>
      <c r="I135" s="243" t="s">
        <v>321</v>
      </c>
      <c r="J135" s="243" t="s">
        <v>304</v>
      </c>
      <c r="K135" s="247" t="s">
        <v>305</v>
      </c>
    </row>
    <row r="136" spans="1:11" ht="12.75" customHeight="1" x14ac:dyDescent="0.35">
      <c r="A136" s="241">
        <v>25310</v>
      </c>
      <c r="B136" s="242" t="s">
        <v>331</v>
      </c>
      <c r="C136" s="249" t="s">
        <v>332</v>
      </c>
      <c r="D136" s="249" t="s">
        <v>333</v>
      </c>
      <c r="E136" s="249" t="s">
        <v>2368</v>
      </c>
      <c r="F136" s="244" t="s">
        <v>43</v>
      </c>
      <c r="G136" s="275" t="s">
        <v>44</v>
      </c>
      <c r="H136" s="276" t="s">
        <v>51</v>
      </c>
      <c r="I136" s="249" t="s">
        <v>321</v>
      </c>
      <c r="J136" s="249" t="s">
        <v>304</v>
      </c>
      <c r="K136" s="247" t="s">
        <v>305</v>
      </c>
    </row>
    <row r="137" spans="1:11" ht="12.75" customHeight="1" x14ac:dyDescent="0.35">
      <c r="A137" s="241">
        <v>38879</v>
      </c>
      <c r="B137" s="242" t="s">
        <v>2330</v>
      </c>
      <c r="C137" s="243" t="s">
        <v>2096</v>
      </c>
      <c r="D137" s="243" t="s">
        <v>493</v>
      </c>
      <c r="E137" s="243"/>
      <c r="F137" s="244" t="s">
        <v>43</v>
      </c>
      <c r="G137" s="275" t="s">
        <v>362</v>
      </c>
      <c r="H137" s="276" t="s">
        <v>104</v>
      </c>
      <c r="I137" s="243" t="s">
        <v>321</v>
      </c>
      <c r="J137" s="243" t="s">
        <v>304</v>
      </c>
      <c r="K137" s="247" t="s">
        <v>305</v>
      </c>
    </row>
    <row r="138" spans="1:11" ht="12.75" customHeight="1" x14ac:dyDescent="0.35">
      <c r="A138" s="241">
        <v>38790</v>
      </c>
      <c r="B138" s="242" t="s">
        <v>2095</v>
      </c>
      <c r="C138" s="243" t="s">
        <v>2096</v>
      </c>
      <c r="D138" s="243" t="s">
        <v>1485</v>
      </c>
      <c r="E138" s="243"/>
      <c r="F138" s="244" t="s">
        <v>49</v>
      </c>
      <c r="G138" s="275" t="s">
        <v>139</v>
      </c>
      <c r="H138" s="276"/>
      <c r="I138" s="243" t="s">
        <v>321</v>
      </c>
      <c r="J138" s="243" t="s">
        <v>304</v>
      </c>
      <c r="K138" s="247" t="s">
        <v>305</v>
      </c>
    </row>
    <row r="139" spans="1:11" s="269" customFormat="1" ht="12.75" customHeight="1" x14ac:dyDescent="0.45">
      <c r="A139" s="241">
        <v>38880</v>
      </c>
      <c r="B139" s="242" t="s">
        <v>2331</v>
      </c>
      <c r="C139" s="243" t="s">
        <v>2098</v>
      </c>
      <c r="D139" s="243" t="s">
        <v>99</v>
      </c>
      <c r="E139" s="243"/>
      <c r="F139" s="244" t="s">
        <v>43</v>
      </c>
      <c r="G139" s="275" t="s">
        <v>67</v>
      </c>
      <c r="H139" s="276" t="s">
        <v>51</v>
      </c>
      <c r="I139" s="243" t="s">
        <v>321</v>
      </c>
      <c r="J139" s="243" t="s">
        <v>304</v>
      </c>
      <c r="K139" s="247" t="s">
        <v>305</v>
      </c>
    </row>
    <row r="140" spans="1:11" s="269" customFormat="1" ht="12.75" customHeight="1" x14ac:dyDescent="0.45">
      <c r="A140" s="241">
        <v>38825</v>
      </c>
      <c r="B140" s="242" t="s">
        <v>2097</v>
      </c>
      <c r="C140" s="243" t="s">
        <v>2098</v>
      </c>
      <c r="D140" s="243" t="s">
        <v>2099</v>
      </c>
      <c r="E140" s="243"/>
      <c r="F140" s="244" t="s">
        <v>49</v>
      </c>
      <c r="G140" s="275" t="s">
        <v>228</v>
      </c>
      <c r="H140" s="276" t="s">
        <v>45</v>
      </c>
      <c r="I140" s="243" t="s">
        <v>321</v>
      </c>
      <c r="J140" s="243" t="s">
        <v>304</v>
      </c>
      <c r="K140" s="247" t="s">
        <v>305</v>
      </c>
    </row>
    <row r="141" spans="1:11" ht="12.75" customHeight="1" x14ac:dyDescent="0.35">
      <c r="A141" s="241">
        <v>7945</v>
      </c>
      <c r="B141" s="242" t="s">
        <v>334</v>
      </c>
      <c r="C141" s="243" t="s">
        <v>297</v>
      </c>
      <c r="D141" s="243" t="s">
        <v>335</v>
      </c>
      <c r="E141" s="243"/>
      <c r="F141" s="244" t="s">
        <v>43</v>
      </c>
      <c r="G141" s="275" t="s">
        <v>52</v>
      </c>
      <c r="H141" s="276"/>
      <c r="I141" s="243" t="s">
        <v>321</v>
      </c>
      <c r="J141" s="243" t="s">
        <v>304</v>
      </c>
      <c r="K141" s="247" t="s">
        <v>305</v>
      </c>
    </row>
    <row r="142" spans="1:11" ht="12.75" customHeight="1" x14ac:dyDescent="0.35">
      <c r="A142" s="241">
        <v>7947</v>
      </c>
      <c r="B142" s="242" t="s">
        <v>1889</v>
      </c>
      <c r="C142" s="249" t="s">
        <v>347</v>
      </c>
      <c r="D142" s="249" t="s">
        <v>206</v>
      </c>
      <c r="E142" s="249" t="s">
        <v>2368</v>
      </c>
      <c r="F142" s="244" t="s">
        <v>43</v>
      </c>
      <c r="G142" s="275" t="s">
        <v>52</v>
      </c>
      <c r="H142" s="276" t="s">
        <v>51</v>
      </c>
      <c r="I142" s="249" t="s">
        <v>345</v>
      </c>
      <c r="J142" s="249" t="s">
        <v>304</v>
      </c>
      <c r="K142" s="247" t="s">
        <v>305</v>
      </c>
    </row>
    <row r="143" spans="1:11" ht="12.75" customHeight="1" x14ac:dyDescent="0.35">
      <c r="A143" s="241">
        <v>7937</v>
      </c>
      <c r="B143" s="242" t="s">
        <v>346</v>
      </c>
      <c r="C143" s="243" t="s">
        <v>347</v>
      </c>
      <c r="D143" s="243" t="s">
        <v>348</v>
      </c>
      <c r="E143" s="243"/>
      <c r="F143" s="244" t="s">
        <v>43</v>
      </c>
      <c r="G143" s="275" t="s">
        <v>44</v>
      </c>
      <c r="H143" s="276" t="s">
        <v>239</v>
      </c>
      <c r="I143" s="243" t="s">
        <v>345</v>
      </c>
      <c r="J143" s="243" t="s">
        <v>304</v>
      </c>
      <c r="K143" s="247" t="s">
        <v>305</v>
      </c>
    </row>
    <row r="144" spans="1:11" ht="12.75" customHeight="1" x14ac:dyDescent="0.35">
      <c r="A144" s="241">
        <v>7746</v>
      </c>
      <c r="B144" s="242" t="s">
        <v>349</v>
      </c>
      <c r="C144" s="243" t="s">
        <v>350</v>
      </c>
      <c r="D144" s="243" t="s">
        <v>57</v>
      </c>
      <c r="E144" s="243"/>
      <c r="F144" s="244" t="s">
        <v>43</v>
      </c>
      <c r="G144" s="275" t="s">
        <v>67</v>
      </c>
      <c r="H144" s="276" t="s">
        <v>180</v>
      </c>
      <c r="I144" s="243" t="s">
        <v>345</v>
      </c>
      <c r="J144" s="243" t="s">
        <v>304</v>
      </c>
      <c r="K144" s="247" t="s">
        <v>305</v>
      </c>
    </row>
    <row r="145" spans="1:11" ht="12.75" customHeight="1" x14ac:dyDescent="0.35">
      <c r="A145" s="241">
        <v>7977</v>
      </c>
      <c r="B145" s="242" t="s">
        <v>351</v>
      </c>
      <c r="C145" s="243" t="s">
        <v>352</v>
      </c>
      <c r="D145" s="243" t="s">
        <v>353</v>
      </c>
      <c r="E145" s="243"/>
      <c r="F145" s="244" t="s">
        <v>49</v>
      </c>
      <c r="G145" s="275" t="s">
        <v>139</v>
      </c>
      <c r="H145" s="276" t="s">
        <v>180</v>
      </c>
      <c r="I145" s="243" t="s">
        <v>345</v>
      </c>
      <c r="J145" s="243" t="s">
        <v>304</v>
      </c>
      <c r="K145" s="247" t="s">
        <v>305</v>
      </c>
    </row>
    <row r="146" spans="1:11" ht="12.75" customHeight="1" x14ac:dyDescent="0.35">
      <c r="A146" s="241">
        <v>38257</v>
      </c>
      <c r="B146" s="242" t="s">
        <v>354</v>
      </c>
      <c r="C146" s="243" t="s">
        <v>355</v>
      </c>
      <c r="D146" s="243" t="s">
        <v>356</v>
      </c>
      <c r="E146" s="243"/>
      <c r="F146" s="244" t="s">
        <v>43</v>
      </c>
      <c r="G146" s="275" t="s">
        <v>67</v>
      </c>
      <c r="H146" s="276" t="s">
        <v>45</v>
      </c>
      <c r="I146" s="243" t="s">
        <v>345</v>
      </c>
      <c r="J146" s="243" t="s">
        <v>304</v>
      </c>
      <c r="K146" s="247" t="s">
        <v>305</v>
      </c>
    </row>
    <row r="147" spans="1:11" ht="12.75" customHeight="1" x14ac:dyDescent="0.35">
      <c r="A147" s="241">
        <v>16469</v>
      </c>
      <c r="B147" s="242" t="s">
        <v>1890</v>
      </c>
      <c r="C147" s="249" t="s">
        <v>1891</v>
      </c>
      <c r="D147" s="249" t="s">
        <v>1892</v>
      </c>
      <c r="E147" s="249" t="s">
        <v>2368</v>
      </c>
      <c r="F147" s="244" t="s">
        <v>43</v>
      </c>
      <c r="G147" s="275" t="s">
        <v>67</v>
      </c>
      <c r="H147" s="276" t="s">
        <v>180</v>
      </c>
      <c r="I147" s="249" t="s">
        <v>345</v>
      </c>
      <c r="J147" s="249" t="s">
        <v>304</v>
      </c>
      <c r="K147" s="247" t="s">
        <v>305</v>
      </c>
    </row>
    <row r="148" spans="1:11" ht="12.75" customHeight="1" x14ac:dyDescent="0.35">
      <c r="A148" s="241">
        <v>38184</v>
      </c>
      <c r="B148" s="242" t="s">
        <v>357</v>
      </c>
      <c r="C148" s="243" t="s">
        <v>358</v>
      </c>
      <c r="D148" s="243" t="s">
        <v>359</v>
      </c>
      <c r="E148" s="243"/>
      <c r="F148" s="244" t="s">
        <v>43</v>
      </c>
      <c r="G148" s="275" t="s">
        <v>58</v>
      </c>
      <c r="H148" s="276" t="s">
        <v>66</v>
      </c>
      <c r="I148" s="243" t="s">
        <v>345</v>
      </c>
      <c r="J148" s="243" t="s">
        <v>304</v>
      </c>
      <c r="K148" s="247" t="s">
        <v>305</v>
      </c>
    </row>
    <row r="149" spans="1:11" ht="12.75" customHeight="1" x14ac:dyDescent="0.35">
      <c r="A149" s="241">
        <v>38469</v>
      </c>
      <c r="B149" s="242" t="s">
        <v>363</v>
      </c>
      <c r="C149" s="243" t="s">
        <v>360</v>
      </c>
      <c r="D149" s="243" t="s">
        <v>364</v>
      </c>
      <c r="E149" s="243"/>
      <c r="F149" s="244" t="s">
        <v>43</v>
      </c>
      <c r="G149" s="275" t="s">
        <v>67</v>
      </c>
      <c r="H149" s="276" t="s">
        <v>45</v>
      </c>
      <c r="I149" s="243" t="s">
        <v>345</v>
      </c>
      <c r="J149" s="243" t="s">
        <v>304</v>
      </c>
      <c r="K149" s="247" t="s">
        <v>305</v>
      </c>
    </row>
    <row r="150" spans="1:11" ht="12.75" customHeight="1" x14ac:dyDescent="0.35">
      <c r="A150" s="241">
        <v>38443</v>
      </c>
      <c r="B150" s="242" t="s">
        <v>365</v>
      </c>
      <c r="C150" s="243" t="s">
        <v>360</v>
      </c>
      <c r="D150" s="243" t="s">
        <v>366</v>
      </c>
      <c r="E150" s="243"/>
      <c r="F150" s="244" t="s">
        <v>43</v>
      </c>
      <c r="G150" s="275" t="s">
        <v>94</v>
      </c>
      <c r="H150" s="276" t="s">
        <v>51</v>
      </c>
      <c r="I150" s="243" t="s">
        <v>345</v>
      </c>
      <c r="J150" s="243" t="s">
        <v>304</v>
      </c>
      <c r="K150" s="247" t="s">
        <v>305</v>
      </c>
    </row>
    <row r="151" spans="1:11" ht="12.75" customHeight="1" x14ac:dyDescent="0.35">
      <c r="A151" s="241">
        <v>7965</v>
      </c>
      <c r="B151" s="242" t="s">
        <v>367</v>
      </c>
      <c r="C151" s="243" t="s">
        <v>368</v>
      </c>
      <c r="D151" s="243" t="s">
        <v>369</v>
      </c>
      <c r="E151" s="243"/>
      <c r="F151" s="244" t="s">
        <v>43</v>
      </c>
      <c r="G151" s="275" t="s">
        <v>67</v>
      </c>
      <c r="H151" s="276" t="s">
        <v>180</v>
      </c>
      <c r="I151" s="243" t="s">
        <v>345</v>
      </c>
      <c r="J151" s="243" t="s">
        <v>304</v>
      </c>
      <c r="K151" s="247" t="s">
        <v>305</v>
      </c>
    </row>
    <row r="152" spans="1:11" ht="12.75" customHeight="1" x14ac:dyDescent="0.35">
      <c r="A152" s="241">
        <v>7438</v>
      </c>
      <c r="B152" s="242">
        <v>9099133</v>
      </c>
      <c r="C152" s="243" t="s">
        <v>370</v>
      </c>
      <c r="D152" s="243" t="s">
        <v>371</v>
      </c>
      <c r="E152" s="243"/>
      <c r="F152" s="244" t="s">
        <v>49</v>
      </c>
      <c r="G152" s="275" t="s">
        <v>79</v>
      </c>
      <c r="H152" s="276" t="s">
        <v>239</v>
      </c>
      <c r="I152" s="243" t="s">
        <v>345</v>
      </c>
      <c r="J152" s="243" t="s">
        <v>304</v>
      </c>
      <c r="K152" s="247" t="s">
        <v>305</v>
      </c>
    </row>
    <row r="153" spans="1:11" ht="12.75" customHeight="1" x14ac:dyDescent="0.35">
      <c r="A153" s="241">
        <v>7741</v>
      </c>
      <c r="B153" s="242" t="s">
        <v>236</v>
      </c>
      <c r="C153" s="243" t="s">
        <v>136</v>
      </c>
      <c r="D153" s="243" t="s">
        <v>143</v>
      </c>
      <c r="E153" s="243"/>
      <c r="F153" s="244" t="s">
        <v>43</v>
      </c>
      <c r="G153" s="275" t="s">
        <v>67</v>
      </c>
      <c r="H153" s="276" t="s">
        <v>45</v>
      </c>
      <c r="I153" s="243" t="s">
        <v>345</v>
      </c>
      <c r="J153" s="243" t="s">
        <v>304</v>
      </c>
      <c r="K153" s="247" t="s">
        <v>305</v>
      </c>
    </row>
    <row r="154" spans="1:11" s="269" customFormat="1" ht="12.75" customHeight="1" x14ac:dyDescent="0.45">
      <c r="A154" s="241">
        <v>38671</v>
      </c>
      <c r="B154" s="242" t="s">
        <v>430</v>
      </c>
      <c r="C154" s="249" t="s">
        <v>2454</v>
      </c>
      <c r="D154" s="249" t="s">
        <v>290</v>
      </c>
      <c r="E154" s="249" t="s">
        <v>2368</v>
      </c>
      <c r="F154" s="244" t="s">
        <v>43</v>
      </c>
      <c r="G154" s="275" t="s">
        <v>44</v>
      </c>
      <c r="H154" s="276"/>
      <c r="I154" s="249" t="s">
        <v>345</v>
      </c>
      <c r="J154" s="249" t="s">
        <v>304</v>
      </c>
      <c r="K154" s="247" t="s">
        <v>305</v>
      </c>
    </row>
    <row r="155" spans="1:11" ht="12.75" customHeight="1" x14ac:dyDescent="0.35">
      <c r="A155" s="241">
        <v>13166</v>
      </c>
      <c r="B155" s="242" t="s">
        <v>372</v>
      </c>
      <c r="C155" s="249" t="s">
        <v>373</v>
      </c>
      <c r="D155" s="249" t="s">
        <v>87</v>
      </c>
      <c r="E155" s="249" t="s">
        <v>2368</v>
      </c>
      <c r="F155" s="244" t="s">
        <v>43</v>
      </c>
      <c r="G155" s="275" t="s">
        <v>44</v>
      </c>
      <c r="H155" s="276" t="s">
        <v>45</v>
      </c>
      <c r="I155" s="249" t="s">
        <v>345</v>
      </c>
      <c r="J155" s="249" t="s">
        <v>304</v>
      </c>
      <c r="K155" s="247" t="s">
        <v>305</v>
      </c>
    </row>
    <row r="156" spans="1:11" ht="12.75" customHeight="1" x14ac:dyDescent="0.35">
      <c r="A156" s="241">
        <v>7958</v>
      </c>
      <c r="B156" s="242">
        <v>9111157</v>
      </c>
      <c r="C156" s="243" t="s">
        <v>374</v>
      </c>
      <c r="D156" s="243" t="s">
        <v>375</v>
      </c>
      <c r="E156" s="243"/>
      <c r="F156" s="244" t="s">
        <v>43</v>
      </c>
      <c r="G156" s="275" t="s">
        <v>58</v>
      </c>
      <c r="H156" s="276" t="s">
        <v>45</v>
      </c>
      <c r="I156" s="243" t="s">
        <v>345</v>
      </c>
      <c r="J156" s="243" t="s">
        <v>304</v>
      </c>
      <c r="K156" s="247" t="s">
        <v>305</v>
      </c>
    </row>
    <row r="157" spans="1:11" ht="12.75" customHeight="1" x14ac:dyDescent="0.35">
      <c r="A157" s="241">
        <v>7972</v>
      </c>
      <c r="B157" s="242" t="s">
        <v>2332</v>
      </c>
      <c r="C157" s="243" t="s">
        <v>374</v>
      </c>
      <c r="D157" s="243" t="s">
        <v>226</v>
      </c>
      <c r="E157" s="243"/>
      <c r="F157" s="244" t="s">
        <v>49</v>
      </c>
      <c r="G157" s="275" t="s">
        <v>50</v>
      </c>
      <c r="H157" s="276" t="s">
        <v>45</v>
      </c>
      <c r="I157" s="243" t="s">
        <v>345</v>
      </c>
      <c r="J157" s="243" t="s">
        <v>304</v>
      </c>
      <c r="K157" s="247" t="s">
        <v>305</v>
      </c>
    </row>
    <row r="158" spans="1:11" ht="12.75" customHeight="1" x14ac:dyDescent="0.35">
      <c r="A158" s="241">
        <v>36237</v>
      </c>
      <c r="B158" s="242" t="s">
        <v>376</v>
      </c>
      <c r="C158" s="243" t="s">
        <v>377</v>
      </c>
      <c r="D158" s="243" t="s">
        <v>378</v>
      </c>
      <c r="E158" s="243"/>
      <c r="F158" s="244" t="s">
        <v>43</v>
      </c>
      <c r="G158" s="275" t="s">
        <v>58</v>
      </c>
      <c r="H158" s="276" t="s">
        <v>51</v>
      </c>
      <c r="I158" s="243" t="s">
        <v>345</v>
      </c>
      <c r="J158" s="243" t="s">
        <v>304</v>
      </c>
      <c r="K158" s="247" t="s">
        <v>305</v>
      </c>
    </row>
    <row r="159" spans="1:11" ht="12.75" customHeight="1" x14ac:dyDescent="0.35">
      <c r="A159" s="241">
        <v>16263</v>
      </c>
      <c r="B159" s="242" t="s">
        <v>617</v>
      </c>
      <c r="C159" s="243" t="s">
        <v>618</v>
      </c>
      <c r="D159" s="243" t="s">
        <v>619</v>
      </c>
      <c r="E159" s="243"/>
      <c r="F159" s="244" t="s">
        <v>43</v>
      </c>
      <c r="G159" s="275" t="s">
        <v>52</v>
      </c>
      <c r="H159" s="276" t="s">
        <v>180</v>
      </c>
      <c r="I159" s="243" t="s">
        <v>345</v>
      </c>
      <c r="J159" s="243" t="s">
        <v>304</v>
      </c>
      <c r="K159" s="247" t="s">
        <v>305</v>
      </c>
    </row>
    <row r="160" spans="1:11" ht="12.75" customHeight="1" x14ac:dyDescent="0.35">
      <c r="A160" s="241">
        <v>7735</v>
      </c>
      <c r="B160" s="242" t="s">
        <v>242</v>
      </c>
      <c r="C160" s="243" t="s">
        <v>243</v>
      </c>
      <c r="D160" s="243" t="s">
        <v>244</v>
      </c>
      <c r="E160" s="243"/>
      <c r="F160" s="244" t="s">
        <v>43</v>
      </c>
      <c r="G160" s="275" t="s">
        <v>52</v>
      </c>
      <c r="H160" s="276" t="s">
        <v>239</v>
      </c>
      <c r="I160" s="243" t="s">
        <v>345</v>
      </c>
      <c r="J160" s="243" t="s">
        <v>304</v>
      </c>
      <c r="K160" s="247" t="s">
        <v>305</v>
      </c>
    </row>
    <row r="161" spans="1:17" ht="12.75" customHeight="1" x14ac:dyDescent="0.35">
      <c r="A161" s="241">
        <v>10124</v>
      </c>
      <c r="B161" s="242" t="s">
        <v>1694</v>
      </c>
      <c r="C161" s="243" t="s">
        <v>337</v>
      </c>
      <c r="D161" s="243" t="s">
        <v>107</v>
      </c>
      <c r="E161" s="243"/>
      <c r="F161" s="244" t="s">
        <v>43</v>
      </c>
      <c r="G161" s="275" t="s">
        <v>44</v>
      </c>
      <c r="H161" s="276" t="s">
        <v>239</v>
      </c>
      <c r="I161" s="249" t="s">
        <v>345</v>
      </c>
      <c r="J161" s="243" t="s">
        <v>304</v>
      </c>
      <c r="K161" s="247" t="s">
        <v>305</v>
      </c>
    </row>
    <row r="162" spans="1:17" ht="12.75" customHeight="1" x14ac:dyDescent="0.35">
      <c r="A162" s="241">
        <v>16475</v>
      </c>
      <c r="B162" s="242" t="s">
        <v>1895</v>
      </c>
      <c r="C162" s="249" t="s">
        <v>1896</v>
      </c>
      <c r="D162" s="249" t="s">
        <v>1897</v>
      </c>
      <c r="E162" s="249" t="s">
        <v>2368</v>
      </c>
      <c r="F162" s="244" t="s">
        <v>49</v>
      </c>
      <c r="G162" s="275" t="s">
        <v>50</v>
      </c>
      <c r="H162" s="276" t="s">
        <v>45</v>
      </c>
      <c r="I162" s="249" t="s">
        <v>345</v>
      </c>
      <c r="J162" s="249" t="s">
        <v>304</v>
      </c>
      <c r="K162" s="247" t="s">
        <v>305</v>
      </c>
    </row>
    <row r="163" spans="1:17" ht="12.75" customHeight="1" x14ac:dyDescent="0.35">
      <c r="A163" s="241">
        <v>7083</v>
      </c>
      <c r="B163" s="242" t="s">
        <v>384</v>
      </c>
      <c r="C163" s="243" t="s">
        <v>385</v>
      </c>
      <c r="D163" s="243" t="s">
        <v>386</v>
      </c>
      <c r="E163" s="243"/>
      <c r="F163" s="244" t="s">
        <v>49</v>
      </c>
      <c r="G163" s="275" t="s">
        <v>79</v>
      </c>
      <c r="H163" s="276" t="s">
        <v>239</v>
      </c>
      <c r="I163" s="243" t="s">
        <v>345</v>
      </c>
      <c r="J163" s="243" t="s">
        <v>304</v>
      </c>
      <c r="K163" s="247" t="s">
        <v>305</v>
      </c>
    </row>
    <row r="164" spans="1:17" ht="12.75" customHeight="1" x14ac:dyDescent="0.35">
      <c r="A164" s="241">
        <v>38616</v>
      </c>
      <c r="B164" s="242" t="s">
        <v>387</v>
      </c>
      <c r="C164" s="249" t="s">
        <v>388</v>
      </c>
      <c r="D164" s="249" t="s">
        <v>389</v>
      </c>
      <c r="E164" s="249" t="s">
        <v>2368</v>
      </c>
      <c r="F164" s="244" t="s">
        <v>43</v>
      </c>
      <c r="G164" s="275" t="s">
        <v>52</v>
      </c>
      <c r="H164" s="276" t="s">
        <v>66</v>
      </c>
      <c r="I164" s="249" t="s">
        <v>345</v>
      </c>
      <c r="J164" s="249" t="s">
        <v>304</v>
      </c>
      <c r="K164" s="247" t="s">
        <v>305</v>
      </c>
    </row>
    <row r="165" spans="1:17" ht="12.75" customHeight="1" x14ac:dyDescent="0.35">
      <c r="A165" s="241">
        <v>7976</v>
      </c>
      <c r="B165" s="242" t="s">
        <v>390</v>
      </c>
      <c r="C165" s="243" t="s">
        <v>388</v>
      </c>
      <c r="D165" s="243" t="s">
        <v>230</v>
      </c>
      <c r="E165" s="243"/>
      <c r="F165" s="244" t="s">
        <v>49</v>
      </c>
      <c r="G165" s="275" t="s">
        <v>50</v>
      </c>
      <c r="H165" s="276" t="s">
        <v>45</v>
      </c>
      <c r="I165" s="243" t="s">
        <v>345</v>
      </c>
      <c r="J165" s="243" t="s">
        <v>304</v>
      </c>
      <c r="K165" s="247" t="s">
        <v>305</v>
      </c>
    </row>
    <row r="166" spans="1:17" ht="12.75" customHeight="1" x14ac:dyDescent="0.35">
      <c r="A166" s="241">
        <v>38256</v>
      </c>
      <c r="B166" s="242" t="s">
        <v>391</v>
      </c>
      <c r="C166" s="243" t="s">
        <v>392</v>
      </c>
      <c r="D166" s="243" t="s">
        <v>393</v>
      </c>
      <c r="E166" s="243"/>
      <c r="F166" s="244" t="s">
        <v>49</v>
      </c>
      <c r="G166" s="275" t="s">
        <v>139</v>
      </c>
      <c r="H166" s="276" t="s">
        <v>51</v>
      </c>
      <c r="I166" s="243" t="s">
        <v>345</v>
      </c>
      <c r="J166" s="243" t="s">
        <v>304</v>
      </c>
      <c r="K166" s="247" t="s">
        <v>305</v>
      </c>
    </row>
    <row r="167" spans="1:17" ht="12.75" customHeight="1" x14ac:dyDescent="0.35">
      <c r="A167" s="241">
        <v>38255</v>
      </c>
      <c r="B167" s="242" t="s">
        <v>394</v>
      </c>
      <c r="C167" s="243" t="s">
        <v>392</v>
      </c>
      <c r="D167" s="243" t="s">
        <v>395</v>
      </c>
      <c r="E167" s="243"/>
      <c r="F167" s="244" t="s">
        <v>43</v>
      </c>
      <c r="G167" s="275" t="s">
        <v>44</v>
      </c>
      <c r="H167" s="276" t="s">
        <v>66</v>
      </c>
      <c r="I167" s="243" t="s">
        <v>345</v>
      </c>
      <c r="J167" s="243" t="s">
        <v>304</v>
      </c>
      <c r="K167" s="247" t="s">
        <v>305</v>
      </c>
    </row>
    <row r="168" spans="1:17" ht="12.75" customHeight="1" x14ac:dyDescent="0.35">
      <c r="A168" s="241">
        <v>7740</v>
      </c>
      <c r="B168" s="242" t="s">
        <v>396</v>
      </c>
      <c r="C168" s="243" t="s">
        <v>397</v>
      </c>
      <c r="D168" s="243" t="s">
        <v>98</v>
      </c>
      <c r="E168" s="243"/>
      <c r="F168" s="244" t="s">
        <v>43</v>
      </c>
      <c r="G168" s="275" t="s">
        <v>52</v>
      </c>
      <c r="H168" s="276" t="s">
        <v>45</v>
      </c>
      <c r="I168" s="243" t="s">
        <v>345</v>
      </c>
      <c r="J168" s="243" t="s">
        <v>304</v>
      </c>
      <c r="K168" s="247" t="s">
        <v>305</v>
      </c>
    </row>
    <row r="169" spans="1:17" ht="12.75" customHeight="1" x14ac:dyDescent="0.35">
      <c r="A169" s="241">
        <v>38376</v>
      </c>
      <c r="B169" s="242" t="s">
        <v>398</v>
      </c>
      <c r="C169" s="243" t="s">
        <v>399</v>
      </c>
      <c r="D169" s="243" t="s">
        <v>136</v>
      </c>
      <c r="E169" s="243"/>
      <c r="F169" s="244" t="s">
        <v>43</v>
      </c>
      <c r="G169" s="275" t="s">
        <v>52</v>
      </c>
      <c r="H169" s="276" t="s">
        <v>51</v>
      </c>
      <c r="I169" s="243" t="s">
        <v>345</v>
      </c>
      <c r="J169" s="243" t="s">
        <v>304</v>
      </c>
      <c r="K169" s="247" t="s">
        <v>305</v>
      </c>
    </row>
    <row r="170" spans="1:17" ht="12.75" customHeight="1" x14ac:dyDescent="0.35">
      <c r="A170" s="241">
        <v>38824</v>
      </c>
      <c r="B170" s="242" t="s">
        <v>2100</v>
      </c>
      <c r="C170" s="249" t="s">
        <v>2101</v>
      </c>
      <c r="D170" s="249" t="s">
        <v>125</v>
      </c>
      <c r="E170" s="249" t="s">
        <v>2368</v>
      </c>
      <c r="F170" s="244" t="s">
        <v>43</v>
      </c>
      <c r="G170" s="275" t="s">
        <v>44</v>
      </c>
      <c r="H170" s="276" t="s">
        <v>51</v>
      </c>
      <c r="I170" s="249" t="s">
        <v>345</v>
      </c>
      <c r="J170" s="249" t="s">
        <v>304</v>
      </c>
      <c r="K170" s="247" t="s">
        <v>305</v>
      </c>
    </row>
    <row r="171" spans="1:17" ht="12.75" customHeight="1" x14ac:dyDescent="0.35">
      <c r="A171" s="241">
        <v>38907</v>
      </c>
      <c r="B171" s="242" t="s">
        <v>2455</v>
      </c>
      <c r="C171" s="249" t="s">
        <v>2456</v>
      </c>
      <c r="D171" s="249" t="s">
        <v>143</v>
      </c>
      <c r="E171" s="249" t="s">
        <v>2368</v>
      </c>
      <c r="F171" s="244" t="s">
        <v>43</v>
      </c>
      <c r="G171" s="275" t="s">
        <v>44</v>
      </c>
      <c r="H171" s="276"/>
      <c r="I171" s="249" t="s">
        <v>345</v>
      </c>
      <c r="J171" s="249" t="s">
        <v>304</v>
      </c>
      <c r="K171" s="247" t="s">
        <v>305</v>
      </c>
      <c r="L171" s="272"/>
      <c r="M171" s="272"/>
      <c r="N171" s="272"/>
      <c r="Q171" s="274"/>
    </row>
    <row r="172" spans="1:17" ht="12.75" customHeight="1" x14ac:dyDescent="0.35">
      <c r="A172" s="241">
        <v>7959</v>
      </c>
      <c r="B172" s="242" t="s">
        <v>403</v>
      </c>
      <c r="C172" s="249" t="s">
        <v>404</v>
      </c>
      <c r="D172" s="249" t="s">
        <v>405</v>
      </c>
      <c r="E172" s="249" t="s">
        <v>2368</v>
      </c>
      <c r="F172" s="244" t="s">
        <v>43</v>
      </c>
      <c r="G172" s="275" t="s">
        <v>44</v>
      </c>
      <c r="H172" s="276" t="s">
        <v>66</v>
      </c>
      <c r="I172" s="249" t="s">
        <v>345</v>
      </c>
      <c r="J172" s="249" t="s">
        <v>304</v>
      </c>
      <c r="K172" s="247" t="s">
        <v>305</v>
      </c>
    </row>
    <row r="173" spans="1:17" ht="12.75" customHeight="1" x14ac:dyDescent="0.35">
      <c r="A173" s="241">
        <v>38377</v>
      </c>
      <c r="B173" s="242" t="s">
        <v>406</v>
      </c>
      <c r="C173" s="243" t="s">
        <v>407</v>
      </c>
      <c r="D173" s="243" t="s">
        <v>254</v>
      </c>
      <c r="E173" s="243"/>
      <c r="F173" s="244" t="s">
        <v>49</v>
      </c>
      <c r="G173" s="275" t="s">
        <v>139</v>
      </c>
      <c r="H173" s="276" t="s">
        <v>51</v>
      </c>
      <c r="I173" s="243" t="s">
        <v>345</v>
      </c>
      <c r="J173" s="243" t="s">
        <v>304</v>
      </c>
      <c r="K173" s="247" t="s">
        <v>305</v>
      </c>
    </row>
    <row r="174" spans="1:17" ht="12.75" customHeight="1" x14ac:dyDescent="0.35">
      <c r="A174" s="241">
        <v>25753</v>
      </c>
      <c r="B174" s="242" t="s">
        <v>408</v>
      </c>
      <c r="C174" s="249" t="s">
        <v>407</v>
      </c>
      <c r="D174" s="249" t="s">
        <v>195</v>
      </c>
      <c r="E174" s="249" t="s">
        <v>2368</v>
      </c>
      <c r="F174" s="244" t="s">
        <v>43</v>
      </c>
      <c r="G174" s="275" t="s">
        <v>44</v>
      </c>
      <c r="H174" s="276" t="s">
        <v>45</v>
      </c>
      <c r="I174" s="249" t="s">
        <v>345</v>
      </c>
      <c r="J174" s="249" t="s">
        <v>304</v>
      </c>
      <c r="K174" s="247" t="s">
        <v>305</v>
      </c>
    </row>
    <row r="175" spans="1:17" ht="12.75" customHeight="1" x14ac:dyDescent="0.35">
      <c r="A175" s="241">
        <v>16782</v>
      </c>
      <c r="B175" s="242" t="s">
        <v>409</v>
      </c>
      <c r="C175" s="243" t="s">
        <v>410</v>
      </c>
      <c r="D175" s="243" t="s">
        <v>383</v>
      </c>
      <c r="E175" s="243"/>
      <c r="F175" s="244" t="s">
        <v>43</v>
      </c>
      <c r="G175" s="275" t="s">
        <v>67</v>
      </c>
      <c r="H175" s="276" t="s">
        <v>66</v>
      </c>
      <c r="I175" s="243" t="s">
        <v>345</v>
      </c>
      <c r="J175" s="243" t="s">
        <v>304</v>
      </c>
      <c r="K175" s="247" t="s">
        <v>305</v>
      </c>
    </row>
    <row r="176" spans="1:17" ht="12.75" customHeight="1" x14ac:dyDescent="0.35">
      <c r="A176" s="241">
        <v>25982</v>
      </c>
      <c r="B176" s="242" t="s">
        <v>411</v>
      </c>
      <c r="C176" s="243" t="s">
        <v>412</v>
      </c>
      <c r="D176" s="243" t="s">
        <v>413</v>
      </c>
      <c r="E176" s="243"/>
      <c r="F176" s="244" t="s">
        <v>49</v>
      </c>
      <c r="G176" s="275" t="s">
        <v>79</v>
      </c>
      <c r="H176" s="276" t="s">
        <v>66</v>
      </c>
      <c r="I176" s="243" t="s">
        <v>345</v>
      </c>
      <c r="J176" s="243" t="s">
        <v>304</v>
      </c>
      <c r="K176" s="247" t="s">
        <v>305</v>
      </c>
    </row>
    <row r="177" spans="1:17" ht="12.75" customHeight="1" x14ac:dyDescent="0.35">
      <c r="A177" s="241">
        <v>36696</v>
      </c>
      <c r="B177" s="242" t="s">
        <v>2187</v>
      </c>
      <c r="C177" s="243" t="s">
        <v>2188</v>
      </c>
      <c r="D177" s="243" t="s">
        <v>2189</v>
      </c>
      <c r="E177" s="243"/>
      <c r="F177" s="244" t="s">
        <v>49</v>
      </c>
      <c r="G177" s="275" t="s">
        <v>79</v>
      </c>
      <c r="H177" s="276" t="s">
        <v>180</v>
      </c>
      <c r="I177" s="243" t="s">
        <v>345</v>
      </c>
      <c r="J177" s="243" t="s">
        <v>304</v>
      </c>
      <c r="K177" s="247" t="s">
        <v>305</v>
      </c>
    </row>
    <row r="178" spans="1:17" ht="12.75" customHeight="1" x14ac:dyDescent="0.35">
      <c r="A178" s="241">
        <v>7975</v>
      </c>
      <c r="B178" s="242" t="s">
        <v>414</v>
      </c>
      <c r="C178" s="243" t="s">
        <v>415</v>
      </c>
      <c r="D178" s="243" t="s">
        <v>320</v>
      </c>
      <c r="E178" s="243"/>
      <c r="F178" s="244" t="s">
        <v>49</v>
      </c>
      <c r="G178" s="275" t="s">
        <v>50</v>
      </c>
      <c r="H178" s="276" t="s">
        <v>66</v>
      </c>
      <c r="I178" s="243" t="s">
        <v>345</v>
      </c>
      <c r="J178" s="243" t="s">
        <v>304</v>
      </c>
      <c r="K178" s="247" t="s">
        <v>305</v>
      </c>
    </row>
    <row r="179" spans="1:17" ht="12.75" customHeight="1" x14ac:dyDescent="0.35">
      <c r="A179" s="241">
        <v>16641</v>
      </c>
      <c r="B179" s="242">
        <v>9111159</v>
      </c>
      <c r="C179" s="243" t="s">
        <v>416</v>
      </c>
      <c r="D179" s="243" t="s">
        <v>57</v>
      </c>
      <c r="E179" s="243"/>
      <c r="F179" s="244" t="s">
        <v>43</v>
      </c>
      <c r="G179" s="275" t="s">
        <v>58</v>
      </c>
      <c r="H179" s="276" t="s">
        <v>66</v>
      </c>
      <c r="I179" s="243" t="s">
        <v>345</v>
      </c>
      <c r="J179" s="243" t="s">
        <v>304</v>
      </c>
      <c r="K179" s="247" t="s">
        <v>305</v>
      </c>
      <c r="L179" s="272"/>
      <c r="M179" s="272"/>
      <c r="N179" s="272"/>
      <c r="Q179" s="274"/>
    </row>
    <row r="180" spans="1:17" ht="12.75" customHeight="1" x14ac:dyDescent="0.35">
      <c r="A180" s="241">
        <v>16454</v>
      </c>
      <c r="B180" s="242" t="s">
        <v>417</v>
      </c>
      <c r="C180" s="243" t="s">
        <v>418</v>
      </c>
      <c r="D180" s="243" t="s">
        <v>61</v>
      </c>
      <c r="E180" s="243"/>
      <c r="F180" s="244" t="s">
        <v>43</v>
      </c>
      <c r="G180" s="275" t="s">
        <v>44</v>
      </c>
      <c r="H180" s="276"/>
      <c r="I180" s="243" t="s">
        <v>345</v>
      </c>
      <c r="J180" s="243" t="s">
        <v>304</v>
      </c>
      <c r="K180" s="247" t="s">
        <v>305</v>
      </c>
    </row>
    <row r="181" spans="1:17" ht="12.75" customHeight="1" x14ac:dyDescent="0.35">
      <c r="A181" s="241">
        <v>7974</v>
      </c>
      <c r="B181" s="242" t="s">
        <v>419</v>
      </c>
      <c r="C181" s="243" t="s">
        <v>215</v>
      </c>
      <c r="D181" s="243" t="s">
        <v>420</v>
      </c>
      <c r="E181" s="243"/>
      <c r="F181" s="244" t="s">
        <v>49</v>
      </c>
      <c r="G181" s="275" t="s">
        <v>228</v>
      </c>
      <c r="H181" s="276" t="s">
        <v>45</v>
      </c>
      <c r="I181" s="243" t="s">
        <v>345</v>
      </c>
      <c r="J181" s="243" t="s">
        <v>304</v>
      </c>
      <c r="K181" s="247" t="s">
        <v>305</v>
      </c>
    </row>
    <row r="182" spans="1:17" ht="12.75" customHeight="1" x14ac:dyDescent="0.35">
      <c r="A182" s="241">
        <v>7961</v>
      </c>
      <c r="B182" s="242" t="s">
        <v>421</v>
      </c>
      <c r="C182" s="243" t="s">
        <v>215</v>
      </c>
      <c r="D182" s="243" t="s">
        <v>117</v>
      </c>
      <c r="E182" s="243"/>
      <c r="F182" s="244" t="s">
        <v>43</v>
      </c>
      <c r="G182" s="275" t="s">
        <v>52</v>
      </c>
      <c r="H182" s="276" t="s">
        <v>45</v>
      </c>
      <c r="I182" s="243" t="s">
        <v>345</v>
      </c>
      <c r="J182" s="243" t="s">
        <v>304</v>
      </c>
      <c r="K182" s="247" t="s">
        <v>305</v>
      </c>
    </row>
    <row r="183" spans="1:17" ht="12.75" customHeight="1" x14ac:dyDescent="0.35">
      <c r="A183" s="241">
        <v>26201</v>
      </c>
      <c r="B183" s="242" t="s">
        <v>425</v>
      </c>
      <c r="C183" s="249" t="s">
        <v>426</v>
      </c>
      <c r="D183" s="249" t="s">
        <v>427</v>
      </c>
      <c r="E183" s="249" t="s">
        <v>2368</v>
      </c>
      <c r="F183" s="244" t="s">
        <v>49</v>
      </c>
      <c r="G183" s="275" t="s">
        <v>79</v>
      </c>
      <c r="H183" s="276" t="s">
        <v>180</v>
      </c>
      <c r="I183" s="249" t="s">
        <v>345</v>
      </c>
      <c r="J183" s="249" t="s">
        <v>304</v>
      </c>
      <c r="K183" s="247" t="s">
        <v>305</v>
      </c>
    </row>
    <row r="184" spans="1:17" ht="12.75" customHeight="1" x14ac:dyDescent="0.35">
      <c r="A184" s="241">
        <v>7738</v>
      </c>
      <c r="B184" s="242" t="s">
        <v>428</v>
      </c>
      <c r="C184" s="243" t="s">
        <v>429</v>
      </c>
      <c r="D184" s="243" t="s">
        <v>117</v>
      </c>
      <c r="E184" s="243"/>
      <c r="F184" s="244" t="s">
        <v>43</v>
      </c>
      <c r="G184" s="275" t="s">
        <v>52</v>
      </c>
      <c r="H184" s="276" t="s">
        <v>180</v>
      </c>
      <c r="I184" s="243" t="s">
        <v>345</v>
      </c>
      <c r="J184" s="243" t="s">
        <v>304</v>
      </c>
      <c r="K184" s="247" t="s">
        <v>305</v>
      </c>
    </row>
    <row r="185" spans="1:17" ht="12.75" customHeight="1" x14ac:dyDescent="0.35">
      <c r="A185" s="241">
        <v>38513</v>
      </c>
      <c r="B185" s="242" t="s">
        <v>431</v>
      </c>
      <c r="C185" s="243" t="s">
        <v>432</v>
      </c>
      <c r="D185" s="243" t="s">
        <v>433</v>
      </c>
      <c r="E185" s="243"/>
      <c r="F185" s="244" t="s">
        <v>49</v>
      </c>
      <c r="G185" s="275" t="s">
        <v>79</v>
      </c>
      <c r="H185" s="276" t="s">
        <v>45</v>
      </c>
      <c r="I185" s="243" t="s">
        <v>345</v>
      </c>
      <c r="J185" s="243" t="s">
        <v>304</v>
      </c>
      <c r="K185" s="247" t="s">
        <v>305</v>
      </c>
    </row>
    <row r="186" spans="1:17" ht="12.75" customHeight="1" x14ac:dyDescent="0.35">
      <c r="A186" s="241">
        <v>25551</v>
      </c>
      <c r="B186" s="242" t="s">
        <v>434</v>
      </c>
      <c r="C186" s="243" t="s">
        <v>435</v>
      </c>
      <c r="D186" s="243" t="s">
        <v>386</v>
      </c>
      <c r="E186" s="243"/>
      <c r="F186" s="244" t="s">
        <v>49</v>
      </c>
      <c r="G186" s="275" t="s">
        <v>79</v>
      </c>
      <c r="H186" s="276" t="s">
        <v>66</v>
      </c>
      <c r="I186" s="249" t="s">
        <v>345</v>
      </c>
      <c r="J186" s="243" t="s">
        <v>304</v>
      </c>
      <c r="K186" s="247" t="s">
        <v>305</v>
      </c>
    </row>
    <row r="187" spans="1:17" ht="12.75" customHeight="1" x14ac:dyDescent="0.35">
      <c r="A187" s="241">
        <v>25465</v>
      </c>
      <c r="B187" s="242" t="s">
        <v>436</v>
      </c>
      <c r="C187" s="243" t="s">
        <v>435</v>
      </c>
      <c r="D187" s="243" t="s">
        <v>437</v>
      </c>
      <c r="E187" s="243"/>
      <c r="F187" s="244" t="s">
        <v>43</v>
      </c>
      <c r="G187" s="275" t="s">
        <v>44</v>
      </c>
      <c r="H187" s="276" t="s">
        <v>180</v>
      </c>
      <c r="I187" s="249" t="s">
        <v>345</v>
      </c>
      <c r="J187" s="243" t="s">
        <v>304</v>
      </c>
      <c r="K187" s="247" t="s">
        <v>305</v>
      </c>
    </row>
    <row r="188" spans="1:17" ht="12.75" customHeight="1" x14ac:dyDescent="0.35">
      <c r="A188" s="241">
        <v>25350</v>
      </c>
      <c r="B188" s="242" t="s">
        <v>251</v>
      </c>
      <c r="C188" s="249" t="s">
        <v>252</v>
      </c>
      <c r="D188" s="249" t="s">
        <v>253</v>
      </c>
      <c r="E188" s="249" t="s">
        <v>2368</v>
      </c>
      <c r="F188" s="244" t="s">
        <v>43</v>
      </c>
      <c r="G188" s="275" t="s">
        <v>67</v>
      </c>
      <c r="H188" s="276" t="s">
        <v>66</v>
      </c>
      <c r="I188" s="249" t="s">
        <v>345</v>
      </c>
      <c r="J188" s="249" t="s">
        <v>304</v>
      </c>
      <c r="K188" s="247" t="s">
        <v>305</v>
      </c>
    </row>
    <row r="189" spans="1:17" ht="12.75" customHeight="1" x14ac:dyDescent="0.35">
      <c r="A189" s="241">
        <v>38045</v>
      </c>
      <c r="B189" s="242" t="s">
        <v>336</v>
      </c>
      <c r="C189" s="243" t="s">
        <v>337</v>
      </c>
      <c r="D189" s="243" t="s">
        <v>338</v>
      </c>
      <c r="E189" s="243"/>
      <c r="F189" s="244" t="s">
        <v>49</v>
      </c>
      <c r="G189" s="275" t="s">
        <v>79</v>
      </c>
      <c r="H189" s="276" t="s">
        <v>239</v>
      </c>
      <c r="I189" s="243" t="s">
        <v>255</v>
      </c>
      <c r="J189" s="243" t="s">
        <v>304</v>
      </c>
      <c r="K189" s="247" t="s">
        <v>305</v>
      </c>
    </row>
    <row r="190" spans="1:17" ht="12.75" customHeight="1" x14ac:dyDescent="0.35">
      <c r="A190" s="241">
        <v>25329</v>
      </c>
      <c r="B190" s="242" t="s">
        <v>339</v>
      </c>
      <c r="C190" s="243" t="s">
        <v>340</v>
      </c>
      <c r="D190" s="243" t="s">
        <v>341</v>
      </c>
      <c r="E190" s="243"/>
      <c r="F190" s="244" t="s">
        <v>49</v>
      </c>
      <c r="G190" s="245" t="s">
        <v>79</v>
      </c>
      <c r="H190" s="246">
        <v>0</v>
      </c>
      <c r="I190" s="243" t="s">
        <v>255</v>
      </c>
      <c r="J190" s="243" t="s">
        <v>304</v>
      </c>
      <c r="K190" s="247" t="s">
        <v>305</v>
      </c>
    </row>
    <row r="191" spans="1:17" ht="12.75" customHeight="1" x14ac:dyDescent="0.35">
      <c r="A191" s="241">
        <v>7981</v>
      </c>
      <c r="B191" s="242" t="s">
        <v>438</v>
      </c>
      <c r="C191" s="243" t="s">
        <v>439</v>
      </c>
      <c r="D191" s="243" t="s">
        <v>440</v>
      </c>
      <c r="E191" s="243"/>
      <c r="F191" s="244" t="s">
        <v>49</v>
      </c>
      <c r="G191" s="275" t="s">
        <v>139</v>
      </c>
      <c r="H191" s="276"/>
      <c r="I191" s="243" t="s">
        <v>441</v>
      </c>
      <c r="J191" s="243" t="s">
        <v>442</v>
      </c>
      <c r="K191" s="247" t="s">
        <v>443</v>
      </c>
    </row>
    <row r="192" spans="1:17" ht="12.75" customHeight="1" x14ac:dyDescent="0.35">
      <c r="A192" s="241">
        <v>25408</v>
      </c>
      <c r="B192" s="242" t="s">
        <v>444</v>
      </c>
      <c r="C192" s="243" t="s">
        <v>445</v>
      </c>
      <c r="D192" s="243" t="s">
        <v>446</v>
      </c>
      <c r="E192" s="243"/>
      <c r="F192" s="244" t="s">
        <v>43</v>
      </c>
      <c r="G192" s="275" t="s">
        <v>44</v>
      </c>
      <c r="H192" s="276" t="s">
        <v>66</v>
      </c>
      <c r="I192" s="243" t="s">
        <v>441</v>
      </c>
      <c r="J192" s="243" t="s">
        <v>442</v>
      </c>
      <c r="K192" s="247" t="s">
        <v>443</v>
      </c>
    </row>
    <row r="193" spans="1:17" ht="12.75" customHeight="1" x14ac:dyDescent="0.35">
      <c r="A193" s="241">
        <v>38110</v>
      </c>
      <c r="B193" s="242" t="s">
        <v>447</v>
      </c>
      <c r="C193" s="243" t="s">
        <v>448</v>
      </c>
      <c r="D193" s="243" t="s">
        <v>179</v>
      </c>
      <c r="E193" s="243"/>
      <c r="F193" s="244" t="s">
        <v>43</v>
      </c>
      <c r="G193" s="275" t="s">
        <v>44</v>
      </c>
      <c r="H193" s="276" t="s">
        <v>180</v>
      </c>
      <c r="I193" s="243" t="s">
        <v>441</v>
      </c>
      <c r="J193" s="243" t="s">
        <v>442</v>
      </c>
      <c r="K193" s="247" t="s">
        <v>443</v>
      </c>
      <c r="L193" s="272"/>
      <c r="M193" s="272"/>
      <c r="N193" s="272"/>
      <c r="Q193" s="274"/>
    </row>
    <row r="194" spans="1:17" ht="12.75" customHeight="1" x14ac:dyDescent="0.35">
      <c r="A194" s="241">
        <v>25543</v>
      </c>
      <c r="B194" s="242" t="s">
        <v>449</v>
      </c>
      <c r="C194" s="243" t="s">
        <v>450</v>
      </c>
      <c r="D194" s="243" t="s">
        <v>451</v>
      </c>
      <c r="E194" s="243"/>
      <c r="F194" s="244" t="s">
        <v>43</v>
      </c>
      <c r="G194" s="275" t="s">
        <v>58</v>
      </c>
      <c r="H194" s="276" t="s">
        <v>45</v>
      </c>
      <c r="I194" s="243" t="s">
        <v>441</v>
      </c>
      <c r="J194" s="243" t="s">
        <v>442</v>
      </c>
      <c r="K194" s="247" t="s">
        <v>443</v>
      </c>
    </row>
    <row r="195" spans="1:17" ht="12.75" customHeight="1" x14ac:dyDescent="0.35">
      <c r="A195" s="241">
        <v>25542</v>
      </c>
      <c r="B195" s="242" t="s">
        <v>452</v>
      </c>
      <c r="C195" s="243" t="s">
        <v>453</v>
      </c>
      <c r="D195" s="243" t="s">
        <v>454</v>
      </c>
      <c r="E195" s="243"/>
      <c r="F195" s="244" t="s">
        <v>49</v>
      </c>
      <c r="G195" s="275" t="s">
        <v>50</v>
      </c>
      <c r="H195" s="276" t="s">
        <v>51</v>
      </c>
      <c r="I195" s="243" t="s">
        <v>441</v>
      </c>
      <c r="J195" s="243" t="s">
        <v>442</v>
      </c>
      <c r="K195" s="247" t="s">
        <v>443</v>
      </c>
    </row>
    <row r="196" spans="1:17" ht="12.75" customHeight="1" x14ac:dyDescent="0.35">
      <c r="A196" s="241">
        <v>24731</v>
      </c>
      <c r="B196" s="242" t="s">
        <v>456</v>
      </c>
      <c r="C196" s="243" t="s">
        <v>457</v>
      </c>
      <c r="D196" s="243" t="s">
        <v>82</v>
      </c>
      <c r="E196" s="243"/>
      <c r="F196" s="244" t="s">
        <v>43</v>
      </c>
      <c r="G196" s="275" t="s">
        <v>44</v>
      </c>
      <c r="H196" s="276" t="s">
        <v>45</v>
      </c>
      <c r="I196" s="243" t="s">
        <v>441</v>
      </c>
      <c r="J196" s="243" t="s">
        <v>442</v>
      </c>
      <c r="K196" s="247" t="s">
        <v>443</v>
      </c>
    </row>
    <row r="197" spans="1:17" ht="12.75" customHeight="1" x14ac:dyDescent="0.35">
      <c r="A197" s="241">
        <v>38827</v>
      </c>
      <c r="B197" s="242" t="s">
        <v>2102</v>
      </c>
      <c r="C197" s="243" t="s">
        <v>2103</v>
      </c>
      <c r="D197" s="243" t="s">
        <v>2104</v>
      </c>
      <c r="E197" s="243"/>
      <c r="F197" s="244" t="s">
        <v>43</v>
      </c>
      <c r="G197" s="275" t="s">
        <v>44</v>
      </c>
      <c r="H197" s="276" t="s">
        <v>66</v>
      </c>
      <c r="I197" s="243" t="s">
        <v>441</v>
      </c>
      <c r="J197" s="243" t="s">
        <v>442</v>
      </c>
      <c r="K197" s="247" t="s">
        <v>443</v>
      </c>
    </row>
    <row r="198" spans="1:17" ht="12.75" customHeight="1" x14ac:dyDescent="0.35">
      <c r="A198" s="241">
        <v>25138</v>
      </c>
      <c r="B198" s="242" t="s">
        <v>462</v>
      </c>
      <c r="C198" s="243" t="s">
        <v>329</v>
      </c>
      <c r="D198" s="243" t="s">
        <v>463</v>
      </c>
      <c r="E198" s="243"/>
      <c r="F198" s="244" t="s">
        <v>43</v>
      </c>
      <c r="G198" s="275" t="s">
        <v>52</v>
      </c>
      <c r="H198" s="276" t="s">
        <v>45</v>
      </c>
      <c r="I198" s="243" t="s">
        <v>441</v>
      </c>
      <c r="J198" s="243" t="s">
        <v>442</v>
      </c>
      <c r="K198" s="247" t="s">
        <v>443</v>
      </c>
    </row>
    <row r="199" spans="1:17" ht="12.75" customHeight="1" x14ac:dyDescent="0.35">
      <c r="A199" s="241">
        <v>16633</v>
      </c>
      <c r="B199" s="242" t="s">
        <v>464</v>
      </c>
      <c r="C199" s="243" t="s">
        <v>465</v>
      </c>
      <c r="D199" s="243" t="s">
        <v>307</v>
      </c>
      <c r="E199" s="243"/>
      <c r="F199" s="244" t="s">
        <v>43</v>
      </c>
      <c r="G199" s="275" t="s">
        <v>67</v>
      </c>
      <c r="H199" s="276"/>
      <c r="I199" s="243" t="s">
        <v>441</v>
      </c>
      <c r="J199" s="243" t="s">
        <v>442</v>
      </c>
      <c r="K199" s="247" t="s">
        <v>443</v>
      </c>
    </row>
    <row r="200" spans="1:17" ht="12.75" customHeight="1" x14ac:dyDescent="0.35">
      <c r="A200" s="241">
        <v>38665</v>
      </c>
      <c r="B200" s="242" t="s">
        <v>466</v>
      </c>
      <c r="C200" s="243" t="s">
        <v>140</v>
      </c>
      <c r="D200" s="243" t="s">
        <v>231</v>
      </c>
      <c r="E200" s="243"/>
      <c r="F200" s="244" t="s">
        <v>43</v>
      </c>
      <c r="G200" s="275" t="s">
        <v>44</v>
      </c>
      <c r="H200" s="276" t="s">
        <v>66</v>
      </c>
      <c r="I200" s="243" t="s">
        <v>441</v>
      </c>
      <c r="J200" s="243" t="s">
        <v>442</v>
      </c>
      <c r="K200" s="247" t="s">
        <v>443</v>
      </c>
    </row>
    <row r="201" spans="1:17" ht="12.75" customHeight="1" x14ac:dyDescent="0.35">
      <c r="A201" s="241">
        <v>38842</v>
      </c>
      <c r="B201" s="242" t="s">
        <v>2105</v>
      </c>
      <c r="C201" s="243" t="s">
        <v>2106</v>
      </c>
      <c r="D201" s="243" t="s">
        <v>348</v>
      </c>
      <c r="E201" s="243"/>
      <c r="F201" s="244" t="s">
        <v>43</v>
      </c>
      <c r="G201" s="275" t="s">
        <v>44</v>
      </c>
      <c r="H201" s="276" t="s">
        <v>66</v>
      </c>
      <c r="I201" s="243" t="s">
        <v>441</v>
      </c>
      <c r="J201" s="243" t="s">
        <v>442</v>
      </c>
      <c r="K201" s="247" t="s">
        <v>443</v>
      </c>
    </row>
    <row r="202" spans="1:17" ht="12.75" customHeight="1" x14ac:dyDescent="0.35">
      <c r="A202" s="241">
        <v>16064</v>
      </c>
      <c r="B202" s="242" t="s">
        <v>467</v>
      </c>
      <c r="C202" s="243" t="s">
        <v>468</v>
      </c>
      <c r="D202" s="243" t="s">
        <v>73</v>
      </c>
      <c r="E202" s="243"/>
      <c r="F202" s="244" t="s">
        <v>43</v>
      </c>
      <c r="G202" s="275" t="s">
        <v>52</v>
      </c>
      <c r="H202" s="276" t="s">
        <v>66</v>
      </c>
      <c r="I202" s="243" t="s">
        <v>441</v>
      </c>
      <c r="J202" s="243" t="s">
        <v>442</v>
      </c>
      <c r="K202" s="247" t="s">
        <v>443</v>
      </c>
    </row>
    <row r="203" spans="1:17" ht="12.75" customHeight="1" x14ac:dyDescent="0.35">
      <c r="A203" s="241">
        <v>16044</v>
      </c>
      <c r="B203" s="242" t="s">
        <v>469</v>
      </c>
      <c r="C203" s="243" t="s">
        <v>470</v>
      </c>
      <c r="D203" s="243" t="s">
        <v>87</v>
      </c>
      <c r="E203" s="243"/>
      <c r="F203" s="244" t="s">
        <v>43</v>
      </c>
      <c r="G203" s="245" t="s">
        <v>44</v>
      </c>
      <c r="H203" s="246">
        <v>0</v>
      </c>
      <c r="I203" s="243" t="s">
        <v>441</v>
      </c>
      <c r="J203" s="243" t="s">
        <v>442</v>
      </c>
      <c r="K203" s="247" t="s">
        <v>443</v>
      </c>
    </row>
    <row r="204" spans="1:17" ht="12.75" customHeight="1" x14ac:dyDescent="0.35">
      <c r="A204" s="241">
        <v>38829</v>
      </c>
      <c r="B204" s="242" t="s">
        <v>2107</v>
      </c>
      <c r="C204" s="243" t="s">
        <v>2108</v>
      </c>
      <c r="D204" s="243" t="s">
        <v>2109</v>
      </c>
      <c r="E204" s="243"/>
      <c r="F204" s="244" t="s">
        <v>43</v>
      </c>
      <c r="G204" s="275" t="s">
        <v>44</v>
      </c>
      <c r="H204" s="276"/>
      <c r="I204" s="243" t="s">
        <v>441</v>
      </c>
      <c r="J204" s="243" t="s">
        <v>442</v>
      </c>
      <c r="K204" s="247" t="s">
        <v>443</v>
      </c>
    </row>
    <row r="205" spans="1:17" ht="12.75" customHeight="1" x14ac:dyDescent="0.35">
      <c r="A205" s="241">
        <v>38696</v>
      </c>
      <c r="B205" s="242" t="s">
        <v>471</v>
      </c>
      <c r="C205" s="243" t="s">
        <v>472</v>
      </c>
      <c r="D205" s="243" t="s">
        <v>284</v>
      </c>
      <c r="E205" s="243"/>
      <c r="F205" s="244" t="s">
        <v>43</v>
      </c>
      <c r="G205" s="275" t="s">
        <v>44</v>
      </c>
      <c r="H205" s="276"/>
      <c r="I205" s="243" t="s">
        <v>441</v>
      </c>
      <c r="J205" s="243" t="s">
        <v>442</v>
      </c>
      <c r="K205" s="247" t="s">
        <v>443</v>
      </c>
    </row>
    <row r="206" spans="1:17" ht="12.75" customHeight="1" x14ac:dyDescent="0.35">
      <c r="A206" s="241">
        <v>7985</v>
      </c>
      <c r="B206" s="242" t="s">
        <v>473</v>
      </c>
      <c r="C206" s="243" t="s">
        <v>474</v>
      </c>
      <c r="D206" s="243" t="s">
        <v>475</v>
      </c>
      <c r="E206" s="243"/>
      <c r="F206" s="244" t="s">
        <v>49</v>
      </c>
      <c r="G206" s="275" t="s">
        <v>228</v>
      </c>
      <c r="H206" s="276"/>
      <c r="I206" s="243" t="s">
        <v>441</v>
      </c>
      <c r="J206" s="243" t="s">
        <v>442</v>
      </c>
      <c r="K206" s="247" t="s">
        <v>443</v>
      </c>
    </row>
    <row r="207" spans="1:17" ht="12.75" customHeight="1" x14ac:dyDescent="0.35">
      <c r="A207" s="241">
        <v>38703</v>
      </c>
      <c r="B207" s="242" t="s">
        <v>476</v>
      </c>
      <c r="C207" s="243" t="s">
        <v>477</v>
      </c>
      <c r="D207" s="243" t="s">
        <v>478</v>
      </c>
      <c r="E207" s="243"/>
      <c r="F207" s="244" t="s">
        <v>49</v>
      </c>
      <c r="G207" s="275" t="s">
        <v>79</v>
      </c>
      <c r="H207" s="276"/>
      <c r="I207" s="243" t="s">
        <v>441</v>
      </c>
      <c r="J207" s="243" t="s">
        <v>442</v>
      </c>
      <c r="K207" s="247" t="s">
        <v>443</v>
      </c>
    </row>
    <row r="208" spans="1:17" ht="12.75" customHeight="1" x14ac:dyDescent="0.35">
      <c r="A208" s="241">
        <v>38568</v>
      </c>
      <c r="B208" s="242" t="s">
        <v>480</v>
      </c>
      <c r="C208" s="243" t="s">
        <v>481</v>
      </c>
      <c r="D208" s="243" t="s">
        <v>99</v>
      </c>
      <c r="E208" s="243"/>
      <c r="F208" s="244" t="s">
        <v>43</v>
      </c>
      <c r="G208" s="275" t="s">
        <v>44</v>
      </c>
      <c r="H208" s="276" t="s">
        <v>66</v>
      </c>
      <c r="I208" s="243" t="s">
        <v>441</v>
      </c>
      <c r="J208" s="243" t="s">
        <v>442</v>
      </c>
      <c r="K208" s="247" t="s">
        <v>443</v>
      </c>
    </row>
    <row r="209" spans="1:17" ht="12.75" customHeight="1" x14ac:dyDescent="0.35">
      <c r="A209" s="241">
        <v>16069</v>
      </c>
      <c r="B209" s="242" t="s">
        <v>482</v>
      </c>
      <c r="C209" s="243" t="s">
        <v>481</v>
      </c>
      <c r="D209" s="243" t="s">
        <v>483</v>
      </c>
      <c r="E209" s="243"/>
      <c r="F209" s="244" t="s">
        <v>43</v>
      </c>
      <c r="G209" s="275" t="s">
        <v>52</v>
      </c>
      <c r="H209" s="276"/>
      <c r="I209" s="243" t="s">
        <v>441</v>
      </c>
      <c r="J209" s="243" t="s">
        <v>442</v>
      </c>
      <c r="K209" s="247" t="s">
        <v>443</v>
      </c>
    </row>
    <row r="210" spans="1:17" ht="12.75" customHeight="1" x14ac:dyDescent="0.35">
      <c r="A210" s="241">
        <v>38911</v>
      </c>
      <c r="B210" s="242" t="s">
        <v>2457</v>
      </c>
      <c r="C210" s="243" t="s">
        <v>2458</v>
      </c>
      <c r="D210" s="243" t="s">
        <v>152</v>
      </c>
      <c r="E210" s="243"/>
      <c r="F210" s="244" t="s">
        <v>49</v>
      </c>
      <c r="G210" s="245" t="s">
        <v>79</v>
      </c>
      <c r="H210" s="246">
        <v>0</v>
      </c>
      <c r="I210" s="243" t="s">
        <v>441</v>
      </c>
      <c r="J210" s="243" t="s">
        <v>442</v>
      </c>
      <c r="K210" s="247" t="s">
        <v>443</v>
      </c>
    </row>
    <row r="211" spans="1:17" ht="12.75" customHeight="1" x14ac:dyDescent="0.35">
      <c r="A211" s="241">
        <v>38707</v>
      </c>
      <c r="B211" s="242" t="s">
        <v>484</v>
      </c>
      <c r="C211" s="243" t="s">
        <v>485</v>
      </c>
      <c r="D211" s="243" t="s">
        <v>132</v>
      </c>
      <c r="E211" s="243"/>
      <c r="F211" s="244" t="s">
        <v>43</v>
      </c>
      <c r="G211" s="275" t="s">
        <v>44</v>
      </c>
      <c r="H211" s="276"/>
      <c r="I211" s="243" t="s">
        <v>441</v>
      </c>
      <c r="J211" s="243" t="s">
        <v>442</v>
      </c>
      <c r="K211" s="247" t="s">
        <v>443</v>
      </c>
    </row>
    <row r="212" spans="1:17" ht="12.75" customHeight="1" x14ac:dyDescent="0.35">
      <c r="A212" s="241">
        <v>38828</v>
      </c>
      <c r="B212" s="242" t="s">
        <v>2110</v>
      </c>
      <c r="C212" s="243" t="s">
        <v>2111</v>
      </c>
      <c r="D212" s="243" t="s">
        <v>195</v>
      </c>
      <c r="E212" s="243"/>
      <c r="F212" s="244" t="s">
        <v>43</v>
      </c>
      <c r="G212" s="275" t="s">
        <v>44</v>
      </c>
      <c r="H212" s="276"/>
      <c r="I212" s="243" t="s">
        <v>441</v>
      </c>
      <c r="J212" s="243" t="s">
        <v>442</v>
      </c>
      <c r="K212" s="247" t="s">
        <v>443</v>
      </c>
    </row>
    <row r="213" spans="1:17" ht="12.75" customHeight="1" x14ac:dyDescent="0.35">
      <c r="A213" s="241">
        <v>16051</v>
      </c>
      <c r="B213" s="242" t="s">
        <v>486</v>
      </c>
      <c r="C213" s="243" t="s">
        <v>487</v>
      </c>
      <c r="D213" s="243" t="s">
        <v>238</v>
      </c>
      <c r="E213" s="243"/>
      <c r="F213" s="244" t="s">
        <v>43</v>
      </c>
      <c r="G213" s="275" t="s">
        <v>44</v>
      </c>
      <c r="H213" s="276" t="s">
        <v>180</v>
      </c>
      <c r="I213" s="243" t="s">
        <v>488</v>
      </c>
      <c r="J213" s="243" t="s">
        <v>442</v>
      </c>
      <c r="K213" s="247" t="s">
        <v>443</v>
      </c>
    </row>
    <row r="214" spans="1:17" ht="12.75" customHeight="1" x14ac:dyDescent="0.35">
      <c r="A214" s="241">
        <v>16024</v>
      </c>
      <c r="B214" s="242" t="s">
        <v>489</v>
      </c>
      <c r="C214" s="243" t="s">
        <v>487</v>
      </c>
      <c r="D214" s="243" t="s">
        <v>490</v>
      </c>
      <c r="E214" s="243"/>
      <c r="F214" s="244" t="s">
        <v>43</v>
      </c>
      <c r="G214" s="275" t="s">
        <v>44</v>
      </c>
      <c r="H214" s="276" t="s">
        <v>180</v>
      </c>
      <c r="I214" s="243" t="s">
        <v>488</v>
      </c>
      <c r="J214" s="243" t="s">
        <v>442</v>
      </c>
      <c r="K214" s="247" t="s">
        <v>443</v>
      </c>
    </row>
    <row r="215" spans="1:17" ht="12.75" customHeight="1" x14ac:dyDescent="0.35">
      <c r="A215" s="241">
        <v>25229</v>
      </c>
      <c r="B215" s="242" t="s">
        <v>920</v>
      </c>
      <c r="C215" s="243" t="s">
        <v>921</v>
      </c>
      <c r="D215" s="243" t="s">
        <v>624</v>
      </c>
      <c r="E215" s="243"/>
      <c r="F215" s="244" t="s">
        <v>43</v>
      </c>
      <c r="G215" s="275" t="s">
        <v>44</v>
      </c>
      <c r="H215" s="276" t="s">
        <v>66</v>
      </c>
      <c r="I215" s="243" t="s">
        <v>488</v>
      </c>
      <c r="J215" s="243" t="s">
        <v>442</v>
      </c>
      <c r="K215" s="247" t="s">
        <v>443</v>
      </c>
      <c r="L215" s="272"/>
      <c r="M215" s="272"/>
      <c r="N215" s="272"/>
      <c r="Q215" s="274"/>
    </row>
    <row r="216" spans="1:17" ht="12.75" customHeight="1" x14ac:dyDescent="0.35">
      <c r="A216" s="241">
        <v>7587</v>
      </c>
      <c r="B216" s="242" t="s">
        <v>491</v>
      </c>
      <c r="C216" s="243" t="s">
        <v>492</v>
      </c>
      <c r="D216" s="243" t="s">
        <v>493</v>
      </c>
      <c r="E216" s="243"/>
      <c r="F216" s="244" t="s">
        <v>43</v>
      </c>
      <c r="G216" s="275" t="s">
        <v>44</v>
      </c>
      <c r="H216" s="276" t="s">
        <v>239</v>
      </c>
      <c r="I216" s="243" t="s">
        <v>488</v>
      </c>
      <c r="J216" s="243" t="s">
        <v>442</v>
      </c>
      <c r="K216" s="247" t="s">
        <v>443</v>
      </c>
    </row>
    <row r="217" spans="1:17" ht="12.75" customHeight="1" x14ac:dyDescent="0.35">
      <c r="A217" s="241">
        <v>7018</v>
      </c>
      <c r="B217" s="242" t="s">
        <v>494</v>
      </c>
      <c r="C217" s="243" t="s">
        <v>495</v>
      </c>
      <c r="D217" s="243" t="s">
        <v>496</v>
      </c>
      <c r="E217" s="243"/>
      <c r="F217" s="244" t="s">
        <v>43</v>
      </c>
      <c r="G217" s="275" t="s">
        <v>44</v>
      </c>
      <c r="H217" s="276"/>
      <c r="I217" s="243" t="s">
        <v>488</v>
      </c>
      <c r="J217" s="243" t="s">
        <v>442</v>
      </c>
      <c r="K217" s="247" t="s">
        <v>443</v>
      </c>
      <c r="L217" s="272"/>
      <c r="M217" s="272"/>
      <c r="N217" s="272"/>
      <c r="Q217" s="274"/>
    </row>
    <row r="218" spans="1:17" ht="12.75" customHeight="1" x14ac:dyDescent="0.35">
      <c r="A218" s="241">
        <v>16002</v>
      </c>
      <c r="B218" s="242" t="s">
        <v>497</v>
      </c>
      <c r="C218" s="243" t="s">
        <v>498</v>
      </c>
      <c r="D218" s="243" t="s">
        <v>499</v>
      </c>
      <c r="E218" s="243"/>
      <c r="F218" s="244" t="s">
        <v>43</v>
      </c>
      <c r="G218" s="275" t="s">
        <v>67</v>
      </c>
      <c r="H218" s="276" t="s">
        <v>45</v>
      </c>
      <c r="I218" s="243" t="s">
        <v>488</v>
      </c>
      <c r="J218" s="243" t="s">
        <v>442</v>
      </c>
      <c r="K218" s="247" t="s">
        <v>443</v>
      </c>
    </row>
    <row r="219" spans="1:17" ht="12.75" customHeight="1" x14ac:dyDescent="0.35">
      <c r="A219" s="241">
        <v>7590</v>
      </c>
      <c r="B219" s="242" t="s">
        <v>504</v>
      </c>
      <c r="C219" s="243" t="s">
        <v>505</v>
      </c>
      <c r="D219" s="243" t="s">
        <v>506</v>
      </c>
      <c r="E219" s="243"/>
      <c r="F219" s="244" t="s">
        <v>43</v>
      </c>
      <c r="G219" s="245" t="s">
        <v>52</v>
      </c>
      <c r="H219" s="246">
        <v>0</v>
      </c>
      <c r="I219" s="243" t="s">
        <v>255</v>
      </c>
      <c r="J219" s="243" t="s">
        <v>442</v>
      </c>
      <c r="K219" s="247" t="s">
        <v>443</v>
      </c>
      <c r="L219" s="272"/>
      <c r="M219" s="272"/>
      <c r="N219" s="272"/>
      <c r="Q219" s="274"/>
    </row>
    <row r="220" spans="1:17" ht="12.75" customHeight="1" x14ac:dyDescent="0.35">
      <c r="A220" s="241">
        <v>38701</v>
      </c>
      <c r="B220" s="242" t="s">
        <v>507</v>
      </c>
      <c r="C220" s="243" t="s">
        <v>508</v>
      </c>
      <c r="D220" s="243" t="s">
        <v>509</v>
      </c>
      <c r="E220" s="243"/>
      <c r="F220" s="244" t="s">
        <v>49</v>
      </c>
      <c r="G220" s="275" t="s">
        <v>79</v>
      </c>
      <c r="H220" s="276" t="s">
        <v>51</v>
      </c>
      <c r="I220" s="243" t="s">
        <v>510</v>
      </c>
      <c r="J220" s="243" t="s">
        <v>511</v>
      </c>
      <c r="K220" s="247" t="s">
        <v>512</v>
      </c>
      <c r="L220" s="272"/>
      <c r="M220" s="272"/>
      <c r="N220" s="272"/>
      <c r="Q220" s="274"/>
    </row>
    <row r="221" spans="1:17" ht="12.75" customHeight="1" x14ac:dyDescent="0.35">
      <c r="A221" s="241">
        <v>25784</v>
      </c>
      <c r="B221" s="242" t="s">
        <v>513</v>
      </c>
      <c r="C221" s="243" t="s">
        <v>514</v>
      </c>
      <c r="D221" s="243" t="s">
        <v>479</v>
      </c>
      <c r="E221" s="243"/>
      <c r="F221" s="244" t="s">
        <v>43</v>
      </c>
      <c r="G221" s="252" t="s">
        <v>67</v>
      </c>
      <c r="H221" s="253">
        <v>0</v>
      </c>
      <c r="I221" s="243" t="s">
        <v>510</v>
      </c>
      <c r="J221" s="243" t="s">
        <v>511</v>
      </c>
      <c r="K221" s="247" t="s">
        <v>512</v>
      </c>
      <c r="L221" s="272"/>
      <c r="M221" s="272"/>
      <c r="N221" s="272"/>
      <c r="Q221" s="274"/>
    </row>
    <row r="222" spans="1:17" ht="12.75" customHeight="1" x14ac:dyDescent="0.35">
      <c r="A222" s="241">
        <v>38359</v>
      </c>
      <c r="B222" s="242" t="s">
        <v>515</v>
      </c>
      <c r="C222" s="243" t="s">
        <v>516</v>
      </c>
      <c r="D222" s="243" t="s">
        <v>136</v>
      </c>
      <c r="E222" s="243"/>
      <c r="F222" s="244" t="s">
        <v>43</v>
      </c>
      <c r="G222" s="250" t="s">
        <v>52</v>
      </c>
      <c r="H222" s="251">
        <v>0</v>
      </c>
      <c r="I222" s="243" t="s">
        <v>510</v>
      </c>
      <c r="J222" s="243" t="s">
        <v>511</v>
      </c>
      <c r="K222" s="247" t="s">
        <v>512</v>
      </c>
      <c r="L222" s="272"/>
      <c r="M222" s="272"/>
      <c r="N222" s="272"/>
      <c r="Q222" s="274"/>
    </row>
    <row r="223" spans="1:17" ht="12.75" customHeight="1" x14ac:dyDescent="0.35">
      <c r="A223" s="241">
        <v>16341</v>
      </c>
      <c r="B223" s="242" t="s">
        <v>517</v>
      </c>
      <c r="C223" s="243" t="s">
        <v>518</v>
      </c>
      <c r="D223" s="243" t="s">
        <v>254</v>
      </c>
      <c r="E223" s="243"/>
      <c r="F223" s="244" t="s">
        <v>49</v>
      </c>
      <c r="G223" s="252" t="s">
        <v>139</v>
      </c>
      <c r="H223" s="253">
        <v>0</v>
      </c>
      <c r="I223" s="243" t="s">
        <v>510</v>
      </c>
      <c r="J223" s="243" t="s">
        <v>511</v>
      </c>
      <c r="K223" s="247" t="s">
        <v>512</v>
      </c>
      <c r="L223" s="272"/>
      <c r="M223" s="272"/>
      <c r="N223" s="272"/>
      <c r="Q223" s="274"/>
    </row>
    <row r="224" spans="1:17" ht="12.75" customHeight="1" x14ac:dyDescent="0.35">
      <c r="A224" s="241">
        <v>16338</v>
      </c>
      <c r="B224" s="242" t="s">
        <v>519</v>
      </c>
      <c r="C224" s="243" t="s">
        <v>520</v>
      </c>
      <c r="D224" s="243" t="s">
        <v>143</v>
      </c>
      <c r="E224" s="243"/>
      <c r="F224" s="244" t="s">
        <v>43</v>
      </c>
      <c r="G224" s="275" t="s">
        <v>67</v>
      </c>
      <c r="H224" s="276" t="s">
        <v>45</v>
      </c>
      <c r="I224" s="243" t="s">
        <v>510</v>
      </c>
      <c r="J224" s="243" t="s">
        <v>511</v>
      </c>
      <c r="K224" s="247" t="s">
        <v>512</v>
      </c>
      <c r="L224" s="272"/>
      <c r="M224" s="272"/>
      <c r="N224" s="272"/>
      <c r="Q224" s="274"/>
    </row>
    <row r="225" spans="1:17" ht="12.75" customHeight="1" x14ac:dyDescent="0.35">
      <c r="A225" s="241">
        <v>38472</v>
      </c>
      <c r="B225" s="242" t="s">
        <v>521</v>
      </c>
      <c r="C225" s="249" t="s">
        <v>522</v>
      </c>
      <c r="D225" s="249" t="s">
        <v>107</v>
      </c>
      <c r="E225" s="249" t="s">
        <v>2368</v>
      </c>
      <c r="F225" s="244" t="s">
        <v>43</v>
      </c>
      <c r="G225" s="275" t="s">
        <v>52</v>
      </c>
      <c r="H225" s="276" t="s">
        <v>45</v>
      </c>
      <c r="I225" s="249" t="s">
        <v>510</v>
      </c>
      <c r="J225" s="249" t="s">
        <v>511</v>
      </c>
      <c r="K225" s="247" t="s">
        <v>512</v>
      </c>
      <c r="L225" s="272"/>
      <c r="M225" s="272"/>
      <c r="N225" s="272"/>
      <c r="Q225" s="274"/>
    </row>
    <row r="226" spans="1:17" ht="12.75" customHeight="1" x14ac:dyDescent="0.35">
      <c r="A226" s="241">
        <v>16335</v>
      </c>
      <c r="B226" s="242" t="s">
        <v>523</v>
      </c>
      <c r="C226" s="243" t="s">
        <v>96</v>
      </c>
      <c r="D226" s="243" t="s">
        <v>524</v>
      </c>
      <c r="E226" s="243"/>
      <c r="F226" s="244" t="s">
        <v>43</v>
      </c>
      <c r="G226" s="252" t="s">
        <v>58</v>
      </c>
      <c r="H226" s="253">
        <v>0</v>
      </c>
      <c r="I226" s="243" t="s">
        <v>510</v>
      </c>
      <c r="J226" s="243" t="s">
        <v>511</v>
      </c>
      <c r="K226" s="247" t="s">
        <v>512</v>
      </c>
      <c r="L226" s="272"/>
      <c r="M226" s="272"/>
      <c r="N226" s="272"/>
      <c r="Q226" s="274"/>
    </row>
    <row r="227" spans="1:17" ht="12.75" customHeight="1" x14ac:dyDescent="0.35">
      <c r="A227" s="241">
        <v>16342</v>
      </c>
      <c r="B227" s="242" t="s">
        <v>525</v>
      </c>
      <c r="C227" s="243" t="s">
        <v>96</v>
      </c>
      <c r="D227" s="243" t="s">
        <v>526</v>
      </c>
      <c r="E227" s="243"/>
      <c r="F227" s="244" t="s">
        <v>49</v>
      </c>
      <c r="G227" s="245" t="s">
        <v>228</v>
      </c>
      <c r="H227" s="246">
        <v>0</v>
      </c>
      <c r="I227" s="243" t="s">
        <v>510</v>
      </c>
      <c r="J227" s="243" t="s">
        <v>511</v>
      </c>
      <c r="K227" s="247" t="s">
        <v>512</v>
      </c>
      <c r="L227" s="272"/>
      <c r="M227" s="272"/>
      <c r="N227" s="272"/>
      <c r="Q227" s="274"/>
    </row>
    <row r="228" spans="1:17" ht="12.75" customHeight="1" x14ac:dyDescent="0.35">
      <c r="A228" s="241">
        <v>38892</v>
      </c>
      <c r="B228" s="242" t="s">
        <v>2382</v>
      </c>
      <c r="C228" s="243" t="s">
        <v>2383</v>
      </c>
      <c r="D228" s="243" t="s">
        <v>669</v>
      </c>
      <c r="E228" s="243"/>
      <c r="F228" s="244" t="s">
        <v>43</v>
      </c>
      <c r="G228" s="275" t="s">
        <v>94</v>
      </c>
      <c r="H228" s="276" t="s">
        <v>51</v>
      </c>
      <c r="I228" s="243" t="s">
        <v>510</v>
      </c>
      <c r="J228" s="243" t="s">
        <v>511</v>
      </c>
      <c r="K228" s="247" t="s">
        <v>512</v>
      </c>
      <c r="L228" s="272"/>
      <c r="M228" s="272"/>
      <c r="N228" s="272"/>
      <c r="Q228" s="274"/>
    </row>
    <row r="229" spans="1:17" ht="12.75" customHeight="1" x14ac:dyDescent="0.35">
      <c r="A229" s="241">
        <v>16324</v>
      </c>
      <c r="B229" s="242" t="s">
        <v>527</v>
      </c>
      <c r="C229" s="243" t="s">
        <v>528</v>
      </c>
      <c r="D229" s="243" t="s">
        <v>529</v>
      </c>
      <c r="E229" s="243"/>
      <c r="F229" s="244" t="s">
        <v>43</v>
      </c>
      <c r="G229" s="275" t="s">
        <v>52</v>
      </c>
      <c r="H229" s="276" t="s">
        <v>66</v>
      </c>
      <c r="I229" s="243" t="s">
        <v>510</v>
      </c>
      <c r="J229" s="243" t="s">
        <v>511</v>
      </c>
      <c r="K229" s="247" t="s">
        <v>512</v>
      </c>
    </row>
    <row r="230" spans="1:17" ht="12.75" customHeight="1" x14ac:dyDescent="0.35">
      <c r="A230" s="241">
        <v>7372</v>
      </c>
      <c r="B230" s="242" t="s">
        <v>532</v>
      </c>
      <c r="C230" s="243" t="s">
        <v>530</v>
      </c>
      <c r="D230" s="243" t="s">
        <v>533</v>
      </c>
      <c r="E230" s="243"/>
      <c r="F230" s="244" t="s">
        <v>49</v>
      </c>
      <c r="G230" s="275" t="s">
        <v>79</v>
      </c>
      <c r="H230" s="276" t="s">
        <v>180</v>
      </c>
      <c r="I230" s="243" t="s">
        <v>510</v>
      </c>
      <c r="J230" s="243" t="s">
        <v>511</v>
      </c>
      <c r="K230" s="247" t="s">
        <v>512</v>
      </c>
      <c r="L230" s="272"/>
      <c r="M230" s="272"/>
      <c r="N230" s="272"/>
      <c r="Q230" s="274"/>
    </row>
    <row r="231" spans="1:17" ht="12.75" customHeight="1" x14ac:dyDescent="0.35">
      <c r="A231" s="241">
        <v>25178</v>
      </c>
      <c r="B231" s="242" t="s">
        <v>534</v>
      </c>
      <c r="C231" s="243" t="s">
        <v>535</v>
      </c>
      <c r="D231" s="243" t="s">
        <v>536</v>
      </c>
      <c r="E231" s="243"/>
      <c r="F231" s="244" t="s">
        <v>49</v>
      </c>
      <c r="G231" s="275" t="s">
        <v>79</v>
      </c>
      <c r="H231" s="276"/>
      <c r="I231" s="243" t="s">
        <v>510</v>
      </c>
      <c r="J231" s="243" t="s">
        <v>511</v>
      </c>
      <c r="K231" s="247" t="s">
        <v>512</v>
      </c>
      <c r="L231" s="272"/>
      <c r="M231" s="272"/>
      <c r="N231" s="272"/>
      <c r="Q231" s="274"/>
    </row>
    <row r="232" spans="1:17" ht="12.75" customHeight="1" x14ac:dyDescent="0.35">
      <c r="A232" s="241">
        <v>25351</v>
      </c>
      <c r="B232" s="242" t="s">
        <v>540</v>
      </c>
      <c r="C232" s="243" t="s">
        <v>541</v>
      </c>
      <c r="D232" s="243" t="s">
        <v>70</v>
      </c>
      <c r="E232" s="243"/>
      <c r="F232" s="244" t="s">
        <v>43</v>
      </c>
      <c r="G232" s="275" t="s">
        <v>52</v>
      </c>
      <c r="H232" s="276" t="s">
        <v>45</v>
      </c>
      <c r="I232" s="243" t="s">
        <v>510</v>
      </c>
      <c r="J232" s="243" t="s">
        <v>511</v>
      </c>
      <c r="K232" s="247" t="s">
        <v>512</v>
      </c>
      <c r="L232" s="272"/>
      <c r="M232" s="272"/>
      <c r="N232" s="272"/>
      <c r="Q232" s="274"/>
    </row>
    <row r="233" spans="1:17" ht="12.75" customHeight="1" x14ac:dyDescent="0.35">
      <c r="A233" s="241">
        <v>16805</v>
      </c>
      <c r="B233" s="242" t="s">
        <v>543</v>
      </c>
      <c r="C233" s="243" t="s">
        <v>544</v>
      </c>
      <c r="D233" s="243" t="s">
        <v>533</v>
      </c>
      <c r="E233" s="243"/>
      <c r="F233" s="244" t="s">
        <v>49</v>
      </c>
      <c r="G233" s="275" t="s">
        <v>79</v>
      </c>
      <c r="H233" s="276" t="s">
        <v>66</v>
      </c>
      <c r="I233" s="243" t="s">
        <v>510</v>
      </c>
      <c r="J233" s="243" t="s">
        <v>511</v>
      </c>
      <c r="K233" s="247" t="s">
        <v>512</v>
      </c>
      <c r="L233" s="272"/>
      <c r="M233" s="272"/>
      <c r="N233" s="272"/>
      <c r="Q233" s="274"/>
    </row>
    <row r="234" spans="1:17" ht="12.75" customHeight="1" x14ac:dyDescent="0.35">
      <c r="A234" s="241">
        <v>38416</v>
      </c>
      <c r="B234" s="242" t="s">
        <v>545</v>
      </c>
      <c r="C234" s="249" t="s">
        <v>546</v>
      </c>
      <c r="D234" s="249" t="s">
        <v>547</v>
      </c>
      <c r="E234" s="249" t="s">
        <v>2368</v>
      </c>
      <c r="F234" s="244" t="s">
        <v>49</v>
      </c>
      <c r="G234" s="275" t="s">
        <v>139</v>
      </c>
      <c r="H234" s="276" t="s">
        <v>51</v>
      </c>
      <c r="I234" s="249" t="s">
        <v>510</v>
      </c>
      <c r="J234" s="249" t="s">
        <v>511</v>
      </c>
      <c r="K234" s="247" t="s">
        <v>512</v>
      </c>
      <c r="L234" s="272"/>
      <c r="M234" s="272"/>
      <c r="N234" s="272"/>
      <c r="Q234" s="274"/>
    </row>
    <row r="235" spans="1:17" ht="12.75" customHeight="1" x14ac:dyDescent="0.35">
      <c r="A235" s="241">
        <v>38702</v>
      </c>
      <c r="B235" s="242" t="s">
        <v>548</v>
      </c>
      <c r="C235" s="243" t="s">
        <v>549</v>
      </c>
      <c r="D235" s="243" t="s">
        <v>107</v>
      </c>
      <c r="E235" s="243"/>
      <c r="F235" s="244" t="s">
        <v>43</v>
      </c>
      <c r="G235" s="275" t="s">
        <v>44</v>
      </c>
      <c r="H235" s="276" t="s">
        <v>45</v>
      </c>
      <c r="I235" s="243" t="s">
        <v>510</v>
      </c>
      <c r="J235" s="243" t="s">
        <v>511</v>
      </c>
      <c r="K235" s="247" t="s">
        <v>512</v>
      </c>
      <c r="L235" s="272"/>
      <c r="M235" s="272"/>
      <c r="N235" s="272"/>
      <c r="Q235" s="274"/>
    </row>
    <row r="236" spans="1:17" ht="12.75" customHeight="1" x14ac:dyDescent="0.35">
      <c r="A236" s="241">
        <v>38908</v>
      </c>
      <c r="B236" s="242" t="s">
        <v>2459</v>
      </c>
      <c r="C236" s="243" t="s">
        <v>2173</v>
      </c>
      <c r="D236" s="243" t="s">
        <v>125</v>
      </c>
      <c r="E236" s="243"/>
      <c r="F236" s="244" t="s">
        <v>43</v>
      </c>
      <c r="G236" s="275" t="s">
        <v>94</v>
      </c>
      <c r="H236" s="276"/>
      <c r="I236" s="243" t="s">
        <v>510</v>
      </c>
      <c r="J236" s="243" t="s">
        <v>511</v>
      </c>
      <c r="K236" s="247" t="s">
        <v>512</v>
      </c>
      <c r="L236" s="272"/>
      <c r="M236" s="272"/>
      <c r="N236" s="272"/>
      <c r="Q236" s="274"/>
    </row>
    <row r="237" spans="1:17" ht="12.75" customHeight="1" x14ac:dyDescent="0.35">
      <c r="A237" s="241">
        <v>13606</v>
      </c>
      <c r="B237" s="242" t="s">
        <v>553</v>
      </c>
      <c r="C237" s="243" t="s">
        <v>554</v>
      </c>
      <c r="D237" s="243" t="s">
        <v>320</v>
      </c>
      <c r="E237" s="243"/>
      <c r="F237" s="244" t="s">
        <v>49</v>
      </c>
      <c r="G237" s="275" t="s">
        <v>50</v>
      </c>
      <c r="H237" s="276"/>
      <c r="I237" s="243" t="s">
        <v>510</v>
      </c>
      <c r="J237" s="243" t="s">
        <v>511</v>
      </c>
      <c r="K237" s="247" t="s">
        <v>512</v>
      </c>
    </row>
    <row r="238" spans="1:17" ht="12.75" customHeight="1" x14ac:dyDescent="0.35">
      <c r="A238" s="241">
        <v>16327</v>
      </c>
      <c r="B238" s="242" t="s">
        <v>555</v>
      </c>
      <c r="C238" s="243" t="s">
        <v>143</v>
      </c>
      <c r="D238" s="243" t="s">
        <v>176</v>
      </c>
      <c r="E238" s="243"/>
      <c r="F238" s="244" t="s">
        <v>43</v>
      </c>
      <c r="G238" s="275" t="s">
        <v>52</v>
      </c>
      <c r="H238" s="276" t="s">
        <v>45</v>
      </c>
      <c r="I238" s="243" t="s">
        <v>510</v>
      </c>
      <c r="J238" s="243" t="s">
        <v>511</v>
      </c>
      <c r="K238" s="247" t="s">
        <v>512</v>
      </c>
    </row>
    <row r="239" spans="1:17" ht="12.75" customHeight="1" x14ac:dyDescent="0.35">
      <c r="A239" s="241">
        <v>16714</v>
      </c>
      <c r="B239" s="242" t="s">
        <v>1208</v>
      </c>
      <c r="C239" s="243" t="s">
        <v>991</v>
      </c>
      <c r="D239" s="243" t="s">
        <v>1209</v>
      </c>
      <c r="E239" s="243"/>
      <c r="F239" s="244" t="s">
        <v>43</v>
      </c>
      <c r="G239" s="245" t="s">
        <v>58</v>
      </c>
      <c r="H239" s="246">
        <v>0</v>
      </c>
      <c r="I239" s="243" t="s">
        <v>510</v>
      </c>
      <c r="J239" s="243" t="s">
        <v>511</v>
      </c>
      <c r="K239" s="247" t="s">
        <v>512</v>
      </c>
      <c r="L239" s="272"/>
      <c r="M239" s="272"/>
      <c r="N239" s="272"/>
      <c r="Q239" s="274"/>
    </row>
    <row r="240" spans="1:17" ht="12.75" customHeight="1" x14ac:dyDescent="0.35">
      <c r="A240" s="241">
        <v>7330</v>
      </c>
      <c r="B240" s="242" t="s">
        <v>556</v>
      </c>
      <c r="C240" s="243" t="s">
        <v>557</v>
      </c>
      <c r="D240" s="243" t="s">
        <v>558</v>
      </c>
      <c r="E240" s="243"/>
      <c r="F240" s="244" t="s">
        <v>43</v>
      </c>
      <c r="G240" s="250" t="s">
        <v>58</v>
      </c>
      <c r="H240" s="251">
        <v>0</v>
      </c>
      <c r="I240" s="243" t="s">
        <v>510</v>
      </c>
      <c r="J240" s="243" t="s">
        <v>511</v>
      </c>
      <c r="K240" s="247" t="s">
        <v>512</v>
      </c>
      <c r="L240" s="272"/>
      <c r="M240" s="272"/>
      <c r="N240" s="272"/>
      <c r="Q240" s="274"/>
    </row>
    <row r="241" spans="1:11" ht="12.75" customHeight="1" x14ac:dyDescent="0.35">
      <c r="A241" s="241">
        <v>16333</v>
      </c>
      <c r="B241" s="242" t="s">
        <v>559</v>
      </c>
      <c r="C241" s="243" t="s">
        <v>560</v>
      </c>
      <c r="D241" s="243" t="s">
        <v>99</v>
      </c>
      <c r="E241" s="243"/>
      <c r="F241" s="244" t="s">
        <v>43</v>
      </c>
      <c r="G241" s="275" t="s">
        <v>67</v>
      </c>
      <c r="H241" s="276"/>
      <c r="I241" s="243" t="s">
        <v>510</v>
      </c>
      <c r="J241" s="243" t="s">
        <v>511</v>
      </c>
      <c r="K241" s="247" t="s">
        <v>512</v>
      </c>
    </row>
    <row r="242" spans="1:11" ht="12.75" customHeight="1" x14ac:dyDescent="0.35">
      <c r="A242" s="241">
        <v>16085</v>
      </c>
      <c r="B242" s="242" t="s">
        <v>565</v>
      </c>
      <c r="C242" s="243" t="s">
        <v>566</v>
      </c>
      <c r="D242" s="243" t="s">
        <v>206</v>
      </c>
      <c r="E242" s="243"/>
      <c r="F242" s="244" t="s">
        <v>43</v>
      </c>
      <c r="G242" s="275" t="s">
        <v>67</v>
      </c>
      <c r="H242" s="276" t="s">
        <v>45</v>
      </c>
      <c r="I242" s="243" t="s">
        <v>563</v>
      </c>
      <c r="J242" s="243" t="s">
        <v>564</v>
      </c>
      <c r="K242" s="247" t="s">
        <v>24</v>
      </c>
    </row>
    <row r="243" spans="1:11" ht="12.75" customHeight="1" x14ac:dyDescent="0.35">
      <c r="A243" s="241">
        <v>38240</v>
      </c>
      <c r="B243" s="242" t="s">
        <v>567</v>
      </c>
      <c r="C243" s="243" t="s">
        <v>568</v>
      </c>
      <c r="D243" s="243" t="s">
        <v>405</v>
      </c>
      <c r="E243" s="243"/>
      <c r="F243" s="244" t="s">
        <v>43</v>
      </c>
      <c r="G243" s="275" t="s">
        <v>44</v>
      </c>
      <c r="H243" s="276" t="s">
        <v>45</v>
      </c>
      <c r="I243" s="243" t="s">
        <v>563</v>
      </c>
      <c r="J243" s="243" t="s">
        <v>564</v>
      </c>
      <c r="K243" s="247" t="s">
        <v>24</v>
      </c>
    </row>
    <row r="244" spans="1:11" ht="12.75" customHeight="1" x14ac:dyDescent="0.35">
      <c r="A244" s="241">
        <v>10662</v>
      </c>
      <c r="B244" s="242" t="s">
        <v>2460</v>
      </c>
      <c r="C244" s="243" t="s">
        <v>2461</v>
      </c>
      <c r="D244" s="243" t="s">
        <v>93</v>
      </c>
      <c r="E244" s="243"/>
      <c r="F244" s="244" t="s">
        <v>43</v>
      </c>
      <c r="G244" s="245" t="s">
        <v>44</v>
      </c>
      <c r="H244" s="246">
        <v>0</v>
      </c>
      <c r="I244" s="243" t="s">
        <v>563</v>
      </c>
      <c r="J244" s="243" t="s">
        <v>564</v>
      </c>
      <c r="K244" s="247" t="s">
        <v>24</v>
      </c>
    </row>
    <row r="245" spans="1:11" ht="12.75" customHeight="1" x14ac:dyDescent="0.35">
      <c r="A245" s="241">
        <v>16224</v>
      </c>
      <c r="B245" s="242" t="s">
        <v>569</v>
      </c>
      <c r="C245" s="249" t="s">
        <v>570</v>
      </c>
      <c r="D245" s="249" t="s">
        <v>571</v>
      </c>
      <c r="E245" s="249" t="s">
        <v>2368</v>
      </c>
      <c r="F245" s="244" t="s">
        <v>43</v>
      </c>
      <c r="G245" s="275" t="s">
        <v>58</v>
      </c>
      <c r="H245" s="276" t="s">
        <v>45</v>
      </c>
      <c r="I245" s="249" t="s">
        <v>563</v>
      </c>
      <c r="J245" s="249" t="s">
        <v>564</v>
      </c>
      <c r="K245" s="247" t="s">
        <v>24</v>
      </c>
    </row>
    <row r="246" spans="1:11" ht="12.75" customHeight="1" x14ac:dyDescent="0.35">
      <c r="A246" s="241">
        <v>16120</v>
      </c>
      <c r="B246" s="242" t="s">
        <v>573</v>
      </c>
      <c r="C246" s="243" t="s">
        <v>574</v>
      </c>
      <c r="D246" s="243" t="s">
        <v>226</v>
      </c>
      <c r="E246" s="243"/>
      <c r="F246" s="244" t="s">
        <v>49</v>
      </c>
      <c r="G246" s="275" t="s">
        <v>50</v>
      </c>
      <c r="H246" s="276" t="s">
        <v>66</v>
      </c>
      <c r="I246" s="243" t="s">
        <v>563</v>
      </c>
      <c r="J246" s="243" t="s">
        <v>564</v>
      </c>
      <c r="K246" s="247" t="s">
        <v>24</v>
      </c>
    </row>
    <row r="247" spans="1:11" ht="12.75" customHeight="1" x14ac:dyDescent="0.35">
      <c r="A247" s="241">
        <v>25911</v>
      </c>
      <c r="B247" s="242" t="s">
        <v>2462</v>
      </c>
      <c r="C247" s="243" t="s">
        <v>575</v>
      </c>
      <c r="D247" s="243" t="s">
        <v>117</v>
      </c>
      <c r="E247" s="243"/>
      <c r="F247" s="244" t="s">
        <v>43</v>
      </c>
      <c r="G247" s="275" t="s">
        <v>52</v>
      </c>
      <c r="H247" s="276" t="s">
        <v>104</v>
      </c>
      <c r="I247" s="243" t="s">
        <v>563</v>
      </c>
      <c r="J247" s="243" t="s">
        <v>564</v>
      </c>
      <c r="K247" s="247" t="s">
        <v>24</v>
      </c>
    </row>
    <row r="248" spans="1:11" ht="12.75" customHeight="1" x14ac:dyDescent="0.35">
      <c r="A248" s="241">
        <v>38287</v>
      </c>
      <c r="B248" s="242" t="s">
        <v>576</v>
      </c>
      <c r="C248" s="243" t="s">
        <v>577</v>
      </c>
      <c r="D248" s="243" t="s">
        <v>61</v>
      </c>
      <c r="E248" s="243"/>
      <c r="F248" s="244" t="s">
        <v>43</v>
      </c>
      <c r="G248" s="275" t="s">
        <v>67</v>
      </c>
      <c r="H248" s="276" t="s">
        <v>45</v>
      </c>
      <c r="I248" s="243" t="s">
        <v>563</v>
      </c>
      <c r="J248" s="243" t="s">
        <v>564</v>
      </c>
      <c r="K248" s="247" t="s">
        <v>24</v>
      </c>
    </row>
    <row r="249" spans="1:11" ht="12.75" customHeight="1" x14ac:dyDescent="0.35">
      <c r="A249" s="241">
        <v>16121</v>
      </c>
      <c r="B249" s="242" t="s">
        <v>578</v>
      </c>
      <c r="C249" s="243" t="s">
        <v>579</v>
      </c>
      <c r="D249" s="243" t="s">
        <v>580</v>
      </c>
      <c r="E249" s="243"/>
      <c r="F249" s="244" t="s">
        <v>49</v>
      </c>
      <c r="G249" s="275" t="s">
        <v>50</v>
      </c>
      <c r="H249" s="276"/>
      <c r="I249" s="243" t="s">
        <v>563</v>
      </c>
      <c r="J249" s="243" t="s">
        <v>564</v>
      </c>
      <c r="K249" s="247" t="s">
        <v>24</v>
      </c>
    </row>
    <row r="250" spans="1:11" ht="12.75" customHeight="1" x14ac:dyDescent="0.35">
      <c r="A250" s="241">
        <v>16214</v>
      </c>
      <c r="B250" s="242" t="s">
        <v>581</v>
      </c>
      <c r="C250" s="243" t="s">
        <v>579</v>
      </c>
      <c r="D250" s="243" t="s">
        <v>582</v>
      </c>
      <c r="E250" s="243"/>
      <c r="F250" s="244" t="s">
        <v>43</v>
      </c>
      <c r="G250" s="275" t="s">
        <v>58</v>
      </c>
      <c r="H250" s="276"/>
      <c r="I250" s="243" t="s">
        <v>563</v>
      </c>
      <c r="J250" s="243" t="s">
        <v>564</v>
      </c>
      <c r="K250" s="247" t="s">
        <v>24</v>
      </c>
    </row>
    <row r="251" spans="1:11" ht="12.75" customHeight="1" x14ac:dyDescent="0.35">
      <c r="A251" s="241">
        <v>38380</v>
      </c>
      <c r="B251" s="242" t="s">
        <v>583</v>
      </c>
      <c r="C251" s="243" t="s">
        <v>166</v>
      </c>
      <c r="D251" s="243" t="s">
        <v>584</v>
      </c>
      <c r="E251" s="243"/>
      <c r="F251" s="244" t="s">
        <v>43</v>
      </c>
      <c r="G251" s="275" t="s">
        <v>52</v>
      </c>
      <c r="H251" s="276" t="s">
        <v>45</v>
      </c>
      <c r="I251" s="243" t="s">
        <v>563</v>
      </c>
      <c r="J251" s="243" t="s">
        <v>564</v>
      </c>
      <c r="K251" s="247" t="s">
        <v>24</v>
      </c>
    </row>
    <row r="252" spans="1:11" ht="12.75" customHeight="1" x14ac:dyDescent="0.35">
      <c r="A252" s="241">
        <v>38838</v>
      </c>
      <c r="B252" s="242" t="s">
        <v>2112</v>
      </c>
      <c r="C252" s="243" t="s">
        <v>2113</v>
      </c>
      <c r="D252" s="243" t="s">
        <v>231</v>
      </c>
      <c r="E252" s="243"/>
      <c r="F252" s="244" t="s">
        <v>43</v>
      </c>
      <c r="G252" s="275" t="s">
        <v>94</v>
      </c>
      <c r="H252" s="276"/>
      <c r="I252" s="243" t="s">
        <v>563</v>
      </c>
      <c r="J252" s="243" t="s">
        <v>564</v>
      </c>
      <c r="K252" s="247" t="s">
        <v>24</v>
      </c>
    </row>
    <row r="253" spans="1:11" ht="12.75" customHeight="1" x14ac:dyDescent="0.35">
      <c r="A253" s="241">
        <v>25266</v>
      </c>
      <c r="B253" s="242" t="s">
        <v>585</v>
      </c>
      <c r="C253" s="249" t="s">
        <v>586</v>
      </c>
      <c r="D253" s="249" t="s">
        <v>587</v>
      </c>
      <c r="E253" s="249" t="s">
        <v>2368</v>
      </c>
      <c r="F253" s="244" t="s">
        <v>43</v>
      </c>
      <c r="G253" s="275" t="s">
        <v>67</v>
      </c>
      <c r="H253" s="276" t="s">
        <v>180</v>
      </c>
      <c r="I253" s="249" t="s">
        <v>563</v>
      </c>
      <c r="J253" s="249" t="s">
        <v>564</v>
      </c>
      <c r="K253" s="247" t="s">
        <v>24</v>
      </c>
    </row>
    <row r="254" spans="1:11" ht="12.75" customHeight="1" x14ac:dyDescent="0.35">
      <c r="A254" s="241">
        <v>29466</v>
      </c>
      <c r="B254" s="242" t="s">
        <v>2333</v>
      </c>
      <c r="C254" s="243" t="s">
        <v>2334</v>
      </c>
      <c r="D254" s="243" t="s">
        <v>143</v>
      </c>
      <c r="E254" s="243"/>
      <c r="F254" s="244" t="s">
        <v>43</v>
      </c>
      <c r="G254" s="275" t="s">
        <v>67</v>
      </c>
      <c r="H254" s="276" t="s">
        <v>66</v>
      </c>
      <c r="I254" s="243" t="s">
        <v>563</v>
      </c>
      <c r="J254" s="243" t="s">
        <v>564</v>
      </c>
      <c r="K254" s="247" t="s">
        <v>24</v>
      </c>
    </row>
    <row r="255" spans="1:11" ht="12.75" customHeight="1" x14ac:dyDescent="0.35">
      <c r="A255" s="241">
        <v>38556</v>
      </c>
      <c r="B255" s="242" t="s">
        <v>588</v>
      </c>
      <c r="C255" s="243" t="s">
        <v>589</v>
      </c>
      <c r="D255" s="243" t="s">
        <v>590</v>
      </c>
      <c r="E255" s="243"/>
      <c r="F255" s="244" t="s">
        <v>43</v>
      </c>
      <c r="G255" s="275" t="s">
        <v>44</v>
      </c>
      <c r="H255" s="276" t="s">
        <v>45</v>
      </c>
      <c r="I255" s="243" t="s">
        <v>563</v>
      </c>
      <c r="J255" s="243" t="s">
        <v>564</v>
      </c>
      <c r="K255" s="247" t="s">
        <v>24</v>
      </c>
    </row>
    <row r="256" spans="1:11" ht="12.75" customHeight="1" x14ac:dyDescent="0.35">
      <c r="A256" s="241">
        <v>16220</v>
      </c>
      <c r="B256" s="242" t="s">
        <v>591</v>
      </c>
      <c r="C256" s="243" t="s">
        <v>592</v>
      </c>
      <c r="D256" s="243" t="s">
        <v>97</v>
      </c>
      <c r="E256" s="243"/>
      <c r="F256" s="244" t="s">
        <v>43</v>
      </c>
      <c r="G256" s="275" t="s">
        <v>58</v>
      </c>
      <c r="H256" s="276" t="s">
        <v>45</v>
      </c>
      <c r="I256" s="243" t="s">
        <v>563</v>
      </c>
      <c r="J256" s="243" t="s">
        <v>564</v>
      </c>
      <c r="K256" s="247" t="s">
        <v>24</v>
      </c>
    </row>
    <row r="257" spans="1:17" ht="12.75" customHeight="1" x14ac:dyDescent="0.35">
      <c r="A257" s="241">
        <v>16218</v>
      </c>
      <c r="B257" s="242" t="s">
        <v>593</v>
      </c>
      <c r="C257" s="243" t="s">
        <v>594</v>
      </c>
      <c r="D257" s="243" t="s">
        <v>143</v>
      </c>
      <c r="E257" s="243"/>
      <c r="F257" s="244" t="s">
        <v>43</v>
      </c>
      <c r="G257" s="275" t="s">
        <v>52</v>
      </c>
      <c r="H257" s="276" t="s">
        <v>51</v>
      </c>
      <c r="I257" s="243" t="s">
        <v>563</v>
      </c>
      <c r="J257" s="243" t="s">
        <v>564</v>
      </c>
      <c r="K257" s="247" t="s">
        <v>24</v>
      </c>
    </row>
    <row r="258" spans="1:17" ht="12.75" customHeight="1" x14ac:dyDescent="0.35">
      <c r="A258" s="241">
        <v>38379</v>
      </c>
      <c r="B258" s="242" t="s">
        <v>595</v>
      </c>
      <c r="C258" s="243" t="s">
        <v>596</v>
      </c>
      <c r="D258" s="243" t="s">
        <v>597</v>
      </c>
      <c r="E258" s="243"/>
      <c r="F258" s="244" t="s">
        <v>43</v>
      </c>
      <c r="G258" s="275" t="s">
        <v>52</v>
      </c>
      <c r="H258" s="276" t="s">
        <v>51</v>
      </c>
      <c r="I258" s="243" t="s">
        <v>563</v>
      </c>
      <c r="J258" s="243" t="s">
        <v>564</v>
      </c>
      <c r="K258" s="247" t="s">
        <v>24</v>
      </c>
    </row>
    <row r="259" spans="1:17" ht="12.75" customHeight="1" x14ac:dyDescent="0.35">
      <c r="A259" s="241">
        <v>31583</v>
      </c>
      <c r="B259" s="242" t="s">
        <v>598</v>
      </c>
      <c r="C259" s="243" t="s">
        <v>599</v>
      </c>
      <c r="D259" s="243" t="s">
        <v>600</v>
      </c>
      <c r="E259" s="243"/>
      <c r="F259" s="244" t="s">
        <v>43</v>
      </c>
      <c r="G259" s="275" t="s">
        <v>44</v>
      </c>
      <c r="H259" s="276" t="s">
        <v>45</v>
      </c>
      <c r="I259" s="243" t="s">
        <v>563</v>
      </c>
      <c r="J259" s="243" t="s">
        <v>564</v>
      </c>
      <c r="K259" s="247" t="s">
        <v>24</v>
      </c>
    </row>
    <row r="260" spans="1:17" ht="12.75" customHeight="1" x14ac:dyDescent="0.35">
      <c r="A260" s="241">
        <v>38734</v>
      </c>
      <c r="B260" s="242" t="s">
        <v>1898</v>
      </c>
      <c r="C260" s="243" t="s">
        <v>602</v>
      </c>
      <c r="D260" s="243" t="s">
        <v>1380</v>
      </c>
      <c r="E260" s="243"/>
      <c r="F260" s="244" t="s">
        <v>43</v>
      </c>
      <c r="G260" s="275" t="s">
        <v>362</v>
      </c>
      <c r="H260" s="276" t="s">
        <v>51</v>
      </c>
      <c r="I260" s="243" t="s">
        <v>563</v>
      </c>
      <c r="J260" s="243" t="s">
        <v>564</v>
      </c>
      <c r="K260" s="247" t="s">
        <v>24</v>
      </c>
    </row>
    <row r="261" spans="1:17" ht="12.75" customHeight="1" x14ac:dyDescent="0.35">
      <c r="A261" s="241">
        <v>38733</v>
      </c>
      <c r="B261" s="242" t="s">
        <v>1899</v>
      </c>
      <c r="C261" s="243" t="s">
        <v>602</v>
      </c>
      <c r="D261" s="243" t="s">
        <v>1900</v>
      </c>
      <c r="E261" s="243"/>
      <c r="F261" s="244" t="s">
        <v>43</v>
      </c>
      <c r="G261" s="275" t="s">
        <v>44</v>
      </c>
      <c r="H261" s="276" t="s">
        <v>51</v>
      </c>
      <c r="I261" s="243" t="s">
        <v>563</v>
      </c>
      <c r="J261" s="243" t="s">
        <v>564</v>
      </c>
      <c r="K261" s="247" t="s">
        <v>24</v>
      </c>
      <c r="L261" s="272"/>
      <c r="M261" s="272"/>
      <c r="N261" s="272"/>
      <c r="Q261" s="274"/>
    </row>
    <row r="262" spans="1:17" ht="12.75" customHeight="1" x14ac:dyDescent="0.35">
      <c r="A262" s="241">
        <v>16292</v>
      </c>
      <c r="B262" s="242" t="s">
        <v>601</v>
      </c>
      <c r="C262" s="243" t="s">
        <v>602</v>
      </c>
      <c r="D262" s="243" t="s">
        <v>125</v>
      </c>
      <c r="E262" s="243"/>
      <c r="F262" s="244" t="s">
        <v>43</v>
      </c>
      <c r="G262" s="275" t="s">
        <v>44</v>
      </c>
      <c r="H262" s="276" t="s">
        <v>180</v>
      </c>
      <c r="I262" s="243" t="s">
        <v>563</v>
      </c>
      <c r="J262" s="243" t="s">
        <v>564</v>
      </c>
      <c r="K262" s="247" t="s">
        <v>24</v>
      </c>
      <c r="L262" s="272"/>
      <c r="M262" s="272"/>
      <c r="N262" s="272"/>
      <c r="Q262" s="274"/>
    </row>
    <row r="263" spans="1:17" ht="12.75" customHeight="1" x14ac:dyDescent="0.35">
      <c r="A263" s="241">
        <v>16215</v>
      </c>
      <c r="B263" s="242" t="s">
        <v>603</v>
      </c>
      <c r="C263" s="243" t="s">
        <v>604</v>
      </c>
      <c r="D263" s="243" t="s">
        <v>238</v>
      </c>
      <c r="E263" s="243"/>
      <c r="F263" s="244" t="s">
        <v>43</v>
      </c>
      <c r="G263" s="275" t="s">
        <v>44</v>
      </c>
      <c r="H263" s="276" t="s">
        <v>239</v>
      </c>
      <c r="I263" s="243" t="s">
        <v>563</v>
      </c>
      <c r="J263" s="243" t="s">
        <v>564</v>
      </c>
      <c r="K263" s="247" t="s">
        <v>24</v>
      </c>
    </row>
    <row r="264" spans="1:17" ht="12.75" customHeight="1" x14ac:dyDescent="0.35">
      <c r="A264" s="241">
        <v>38874</v>
      </c>
      <c r="B264" s="242" t="s">
        <v>2297</v>
      </c>
      <c r="C264" s="243" t="s">
        <v>2298</v>
      </c>
      <c r="D264" s="243" t="s">
        <v>437</v>
      </c>
      <c r="E264" s="243"/>
      <c r="F264" s="244" t="s">
        <v>43</v>
      </c>
      <c r="G264" s="250" t="s">
        <v>44</v>
      </c>
      <c r="H264" s="251">
        <v>0</v>
      </c>
      <c r="I264" s="243" t="s">
        <v>563</v>
      </c>
      <c r="J264" s="243" t="s">
        <v>564</v>
      </c>
      <c r="K264" s="247" t="s">
        <v>24</v>
      </c>
    </row>
    <row r="265" spans="1:17" ht="12.75" customHeight="1" x14ac:dyDescent="0.35">
      <c r="A265" s="241">
        <v>18884</v>
      </c>
      <c r="B265" s="242" t="s">
        <v>2114</v>
      </c>
      <c r="C265" s="243" t="s">
        <v>2115</v>
      </c>
      <c r="D265" s="243" t="s">
        <v>143</v>
      </c>
      <c r="E265" s="243"/>
      <c r="F265" s="244" t="s">
        <v>43</v>
      </c>
      <c r="G265" s="275" t="s">
        <v>67</v>
      </c>
      <c r="H265" s="276" t="s">
        <v>45</v>
      </c>
      <c r="I265" s="243" t="s">
        <v>563</v>
      </c>
      <c r="J265" s="243" t="s">
        <v>564</v>
      </c>
      <c r="K265" s="247" t="s">
        <v>24</v>
      </c>
    </row>
    <row r="266" spans="1:17" ht="12.75" customHeight="1" x14ac:dyDescent="0.35">
      <c r="A266" s="241">
        <v>38467</v>
      </c>
      <c r="B266" s="242" t="s">
        <v>605</v>
      </c>
      <c r="C266" s="243" t="s">
        <v>199</v>
      </c>
      <c r="D266" s="243" t="s">
        <v>606</v>
      </c>
      <c r="E266" s="243"/>
      <c r="F266" s="244" t="s">
        <v>43</v>
      </c>
      <c r="G266" s="275" t="s">
        <v>44</v>
      </c>
      <c r="H266" s="276" t="s">
        <v>66</v>
      </c>
      <c r="I266" s="243" t="s">
        <v>563</v>
      </c>
      <c r="J266" s="243" t="s">
        <v>564</v>
      </c>
      <c r="K266" s="247" t="s">
        <v>24</v>
      </c>
    </row>
    <row r="267" spans="1:17" ht="12.75" customHeight="1" x14ac:dyDescent="0.35">
      <c r="A267" s="241">
        <v>16722</v>
      </c>
      <c r="B267" s="242" t="s">
        <v>2463</v>
      </c>
      <c r="C267" s="243" t="s">
        <v>2464</v>
      </c>
      <c r="D267" s="243" t="s">
        <v>179</v>
      </c>
      <c r="E267" s="243"/>
      <c r="F267" s="244" t="s">
        <v>43</v>
      </c>
      <c r="G267" s="245" t="s">
        <v>44</v>
      </c>
      <c r="H267" s="246">
        <v>0</v>
      </c>
      <c r="I267" s="243" t="s">
        <v>563</v>
      </c>
      <c r="J267" s="243" t="s">
        <v>564</v>
      </c>
      <c r="K267" s="247" t="s">
        <v>24</v>
      </c>
    </row>
    <row r="268" spans="1:17" ht="12.75" customHeight="1" x14ac:dyDescent="0.35">
      <c r="A268" s="241">
        <v>38043</v>
      </c>
      <c r="B268" s="242" t="s">
        <v>609</v>
      </c>
      <c r="C268" s="243" t="s">
        <v>610</v>
      </c>
      <c r="D268" s="243" t="s">
        <v>238</v>
      </c>
      <c r="E268" s="243"/>
      <c r="F268" s="244" t="s">
        <v>43</v>
      </c>
      <c r="G268" s="275" t="s">
        <v>44</v>
      </c>
      <c r="H268" s="276" t="s">
        <v>180</v>
      </c>
      <c r="I268" s="243" t="s">
        <v>635</v>
      </c>
      <c r="J268" s="243" t="s">
        <v>636</v>
      </c>
      <c r="K268" s="247" t="s">
        <v>637</v>
      </c>
      <c r="L268" s="272"/>
      <c r="M268" s="272"/>
      <c r="N268" s="272"/>
      <c r="Q268" s="274"/>
    </row>
    <row r="269" spans="1:17" ht="12.75" customHeight="1" x14ac:dyDescent="0.35">
      <c r="A269" s="241">
        <v>16247</v>
      </c>
      <c r="B269" s="242" t="s">
        <v>281</v>
      </c>
      <c r="C269" s="243" t="s">
        <v>282</v>
      </c>
      <c r="D269" s="243" t="s">
        <v>283</v>
      </c>
      <c r="E269" s="243"/>
      <c r="F269" s="244" t="s">
        <v>43</v>
      </c>
      <c r="G269" s="275" t="s">
        <v>67</v>
      </c>
      <c r="H269" s="276" t="s">
        <v>51</v>
      </c>
      <c r="I269" s="243" t="s">
        <v>635</v>
      </c>
      <c r="J269" s="243" t="s">
        <v>636</v>
      </c>
      <c r="K269" s="247" t="s">
        <v>637</v>
      </c>
    </row>
    <row r="270" spans="1:17" ht="12.75" customHeight="1" x14ac:dyDescent="0.35">
      <c r="A270" s="241">
        <v>38249</v>
      </c>
      <c r="B270" s="242" t="s">
        <v>613</v>
      </c>
      <c r="C270" s="243" t="s">
        <v>614</v>
      </c>
      <c r="D270" s="243" t="s">
        <v>61</v>
      </c>
      <c r="E270" s="243"/>
      <c r="F270" s="244" t="s">
        <v>43</v>
      </c>
      <c r="G270" s="275" t="s">
        <v>44</v>
      </c>
      <c r="H270" s="276" t="s">
        <v>45</v>
      </c>
      <c r="I270" s="243" t="s">
        <v>635</v>
      </c>
      <c r="J270" s="243" t="s">
        <v>636</v>
      </c>
      <c r="K270" s="247" t="s">
        <v>637</v>
      </c>
    </row>
    <row r="271" spans="1:17" ht="12.75" customHeight="1" x14ac:dyDescent="0.35">
      <c r="A271" s="241">
        <v>7099</v>
      </c>
      <c r="B271" s="242">
        <v>9111146</v>
      </c>
      <c r="C271" s="243" t="s">
        <v>615</v>
      </c>
      <c r="D271" s="243" t="s">
        <v>82</v>
      </c>
      <c r="E271" s="243"/>
      <c r="F271" s="244" t="s">
        <v>43</v>
      </c>
      <c r="G271" s="275" t="s">
        <v>44</v>
      </c>
      <c r="H271" s="276" t="s">
        <v>239</v>
      </c>
      <c r="I271" s="243" t="s">
        <v>635</v>
      </c>
      <c r="J271" s="243" t="s">
        <v>636</v>
      </c>
      <c r="K271" s="247" t="s">
        <v>637</v>
      </c>
    </row>
    <row r="272" spans="1:17" ht="12.75" customHeight="1" x14ac:dyDescent="0.35">
      <c r="A272" s="241">
        <v>16533</v>
      </c>
      <c r="B272" s="242" t="s">
        <v>638</v>
      </c>
      <c r="C272" s="243" t="s">
        <v>639</v>
      </c>
      <c r="D272" s="243" t="s">
        <v>437</v>
      </c>
      <c r="E272" s="243"/>
      <c r="F272" s="244" t="s">
        <v>43</v>
      </c>
      <c r="G272" s="275" t="s">
        <v>44</v>
      </c>
      <c r="H272" s="276"/>
      <c r="I272" s="243" t="s">
        <v>635</v>
      </c>
      <c r="J272" s="243" t="s">
        <v>636</v>
      </c>
      <c r="K272" s="247" t="s">
        <v>637</v>
      </c>
    </row>
    <row r="273" spans="1:11" ht="12.75" customHeight="1" x14ac:dyDescent="0.35">
      <c r="A273" s="241">
        <v>16545</v>
      </c>
      <c r="B273" s="242" t="s">
        <v>640</v>
      </c>
      <c r="C273" s="243" t="s">
        <v>641</v>
      </c>
      <c r="D273" s="243" t="s">
        <v>263</v>
      </c>
      <c r="E273" s="243"/>
      <c r="F273" s="244" t="s">
        <v>43</v>
      </c>
      <c r="G273" s="275" t="s">
        <v>58</v>
      </c>
      <c r="H273" s="276" t="s">
        <v>45</v>
      </c>
      <c r="I273" s="243" t="s">
        <v>635</v>
      </c>
      <c r="J273" s="243" t="s">
        <v>636</v>
      </c>
      <c r="K273" s="247" t="s">
        <v>637</v>
      </c>
    </row>
    <row r="274" spans="1:11" ht="12.75" customHeight="1" x14ac:dyDescent="0.35">
      <c r="A274" s="241">
        <v>16532</v>
      </c>
      <c r="B274" s="242" t="s">
        <v>642</v>
      </c>
      <c r="C274" s="243" t="s">
        <v>641</v>
      </c>
      <c r="D274" s="243" t="s">
        <v>643</v>
      </c>
      <c r="E274" s="243"/>
      <c r="F274" s="244" t="s">
        <v>43</v>
      </c>
      <c r="G274" s="275" t="s">
        <v>67</v>
      </c>
      <c r="H274" s="276" t="s">
        <v>66</v>
      </c>
      <c r="I274" s="243" t="s">
        <v>635</v>
      </c>
      <c r="J274" s="243" t="s">
        <v>636</v>
      </c>
      <c r="K274" s="247" t="s">
        <v>637</v>
      </c>
    </row>
    <row r="275" spans="1:11" ht="12.75" customHeight="1" x14ac:dyDescent="0.35">
      <c r="A275" s="241">
        <v>16874</v>
      </c>
      <c r="B275" s="242" t="s">
        <v>644</v>
      </c>
      <c r="C275" s="243" t="s">
        <v>645</v>
      </c>
      <c r="D275" s="243" t="s">
        <v>646</v>
      </c>
      <c r="E275" s="243"/>
      <c r="F275" s="244" t="s">
        <v>43</v>
      </c>
      <c r="G275" s="275" t="s">
        <v>52</v>
      </c>
      <c r="H275" s="276"/>
      <c r="I275" s="243" t="s">
        <v>635</v>
      </c>
      <c r="J275" s="243" t="s">
        <v>636</v>
      </c>
      <c r="K275" s="247" t="s">
        <v>637</v>
      </c>
    </row>
    <row r="276" spans="1:11" ht="12.75" customHeight="1" x14ac:dyDescent="0.35">
      <c r="A276" s="241">
        <v>16534</v>
      </c>
      <c r="B276" s="242" t="s">
        <v>647</v>
      </c>
      <c r="C276" s="243" t="s">
        <v>648</v>
      </c>
      <c r="D276" s="243" t="s">
        <v>120</v>
      </c>
      <c r="E276" s="243"/>
      <c r="F276" s="244" t="s">
        <v>43</v>
      </c>
      <c r="G276" s="275" t="s">
        <v>67</v>
      </c>
      <c r="H276" s="276" t="s">
        <v>66</v>
      </c>
      <c r="I276" s="243" t="s">
        <v>635</v>
      </c>
      <c r="J276" s="243" t="s">
        <v>636</v>
      </c>
      <c r="K276" s="247" t="s">
        <v>637</v>
      </c>
    </row>
    <row r="277" spans="1:11" ht="12.75" customHeight="1" x14ac:dyDescent="0.35">
      <c r="A277" s="241">
        <v>25516</v>
      </c>
      <c r="B277" s="242" t="s">
        <v>2384</v>
      </c>
      <c r="C277" s="243" t="s">
        <v>2385</v>
      </c>
      <c r="D277" s="243" t="s">
        <v>143</v>
      </c>
      <c r="E277" s="243"/>
      <c r="F277" s="244" t="s">
        <v>43</v>
      </c>
      <c r="G277" s="275" t="s">
        <v>44</v>
      </c>
      <c r="H277" s="276" t="s">
        <v>180</v>
      </c>
      <c r="I277" s="243" t="s">
        <v>635</v>
      </c>
      <c r="J277" s="243" t="s">
        <v>636</v>
      </c>
      <c r="K277" s="247" t="s">
        <v>637</v>
      </c>
    </row>
    <row r="278" spans="1:11" ht="12.75" customHeight="1" x14ac:dyDescent="0.35">
      <c r="A278" s="241">
        <v>16873</v>
      </c>
      <c r="B278" s="242">
        <v>9019474</v>
      </c>
      <c r="C278" s="243" t="s">
        <v>1721</v>
      </c>
      <c r="D278" s="243" t="s">
        <v>1722</v>
      </c>
      <c r="E278" s="243"/>
      <c r="F278" s="244" t="s">
        <v>43</v>
      </c>
      <c r="G278" s="275" t="s">
        <v>52</v>
      </c>
      <c r="H278" s="276" t="s">
        <v>66</v>
      </c>
      <c r="I278" s="243" t="s">
        <v>635</v>
      </c>
      <c r="J278" s="243" t="s">
        <v>636</v>
      </c>
      <c r="K278" s="247" t="s">
        <v>637</v>
      </c>
    </row>
    <row r="279" spans="1:11" ht="12.75" customHeight="1" x14ac:dyDescent="0.35">
      <c r="A279" s="241">
        <v>38041</v>
      </c>
      <c r="B279" s="242">
        <v>9019458</v>
      </c>
      <c r="C279" s="243" t="s">
        <v>628</v>
      </c>
      <c r="D279" s="243" t="s">
        <v>253</v>
      </c>
      <c r="E279" s="243"/>
      <c r="F279" s="244" t="s">
        <v>43</v>
      </c>
      <c r="G279" s="275" t="s">
        <v>44</v>
      </c>
      <c r="H279" s="276" t="s">
        <v>180</v>
      </c>
      <c r="I279" s="243" t="s">
        <v>635</v>
      </c>
      <c r="J279" s="243" t="s">
        <v>636</v>
      </c>
      <c r="K279" s="247" t="s">
        <v>637</v>
      </c>
    </row>
    <row r="280" spans="1:11" ht="12.75" customHeight="1" x14ac:dyDescent="0.35">
      <c r="A280" s="241">
        <v>38688</v>
      </c>
      <c r="B280" s="242" t="s">
        <v>649</v>
      </c>
      <c r="C280" s="249" t="s">
        <v>650</v>
      </c>
      <c r="D280" s="249" t="s">
        <v>165</v>
      </c>
      <c r="E280" s="249" t="s">
        <v>2368</v>
      </c>
      <c r="F280" s="244" t="s">
        <v>43</v>
      </c>
      <c r="G280" s="275" t="s">
        <v>44</v>
      </c>
      <c r="H280" s="276" t="s">
        <v>51</v>
      </c>
      <c r="I280" s="249" t="s">
        <v>635</v>
      </c>
      <c r="J280" s="249" t="s">
        <v>636</v>
      </c>
      <c r="K280" s="247" t="s">
        <v>637</v>
      </c>
    </row>
    <row r="281" spans="1:11" ht="12.75" customHeight="1" x14ac:dyDescent="0.35">
      <c r="A281" s="241">
        <v>25883</v>
      </c>
      <c r="B281" s="242">
        <v>9111262</v>
      </c>
      <c r="C281" s="243" t="s">
        <v>651</v>
      </c>
      <c r="D281" s="243" t="s">
        <v>652</v>
      </c>
      <c r="E281" s="243"/>
      <c r="F281" s="244" t="s">
        <v>43</v>
      </c>
      <c r="G281" s="275" t="s">
        <v>52</v>
      </c>
      <c r="H281" s="276" t="s">
        <v>51</v>
      </c>
      <c r="I281" s="243" t="s">
        <v>635</v>
      </c>
      <c r="J281" s="243" t="s">
        <v>636</v>
      </c>
      <c r="K281" s="247" t="s">
        <v>637</v>
      </c>
    </row>
    <row r="282" spans="1:11" ht="12.75" customHeight="1" x14ac:dyDescent="0.35">
      <c r="A282" s="241">
        <v>16535</v>
      </c>
      <c r="B282" s="242" t="s">
        <v>653</v>
      </c>
      <c r="C282" s="243" t="s">
        <v>654</v>
      </c>
      <c r="D282" s="243" t="s">
        <v>655</v>
      </c>
      <c r="E282" s="243"/>
      <c r="F282" s="244" t="s">
        <v>43</v>
      </c>
      <c r="G282" s="275" t="s">
        <v>52</v>
      </c>
      <c r="H282" s="276" t="s">
        <v>51</v>
      </c>
      <c r="I282" s="243" t="s">
        <v>635</v>
      </c>
      <c r="J282" s="243" t="s">
        <v>636</v>
      </c>
      <c r="K282" s="247" t="s">
        <v>637</v>
      </c>
    </row>
    <row r="283" spans="1:11" ht="12.75" customHeight="1" x14ac:dyDescent="0.35">
      <c r="A283" s="241">
        <v>25063</v>
      </c>
      <c r="B283" s="242" t="s">
        <v>656</v>
      </c>
      <c r="C283" s="243" t="s">
        <v>657</v>
      </c>
      <c r="D283" s="243" t="s">
        <v>658</v>
      </c>
      <c r="E283" s="243"/>
      <c r="F283" s="244" t="s">
        <v>43</v>
      </c>
      <c r="G283" s="275" t="s">
        <v>52</v>
      </c>
      <c r="H283" s="276" t="s">
        <v>45</v>
      </c>
      <c r="I283" s="243" t="s">
        <v>635</v>
      </c>
      <c r="J283" s="243" t="s">
        <v>636</v>
      </c>
      <c r="K283" s="247" t="s">
        <v>637</v>
      </c>
    </row>
    <row r="284" spans="1:11" ht="12.75" customHeight="1" x14ac:dyDescent="0.35">
      <c r="A284" s="241">
        <v>25250</v>
      </c>
      <c r="B284" s="242" t="s">
        <v>1902</v>
      </c>
      <c r="C284" s="243" t="s">
        <v>657</v>
      </c>
      <c r="D284" s="243" t="s">
        <v>659</v>
      </c>
      <c r="E284" s="243"/>
      <c r="F284" s="244" t="s">
        <v>49</v>
      </c>
      <c r="G284" s="275" t="s">
        <v>50</v>
      </c>
      <c r="H284" s="276" t="s">
        <v>51</v>
      </c>
      <c r="I284" s="243" t="s">
        <v>635</v>
      </c>
      <c r="J284" s="243" t="s">
        <v>636</v>
      </c>
      <c r="K284" s="247" t="s">
        <v>637</v>
      </c>
    </row>
    <row r="285" spans="1:11" ht="12.75" customHeight="1" x14ac:dyDescent="0.35">
      <c r="A285" s="241">
        <v>38680</v>
      </c>
      <c r="B285" s="242" t="s">
        <v>633</v>
      </c>
      <c r="C285" s="243" t="s">
        <v>74</v>
      </c>
      <c r="D285" s="243" t="s">
        <v>195</v>
      </c>
      <c r="E285" s="243"/>
      <c r="F285" s="244" t="s">
        <v>43</v>
      </c>
      <c r="G285" s="275" t="s">
        <v>44</v>
      </c>
      <c r="H285" s="276"/>
      <c r="I285" s="243" t="s">
        <v>635</v>
      </c>
      <c r="J285" s="243" t="s">
        <v>636</v>
      </c>
      <c r="K285" s="247" t="s">
        <v>637</v>
      </c>
    </row>
    <row r="286" spans="1:11" ht="12.75" customHeight="1" x14ac:dyDescent="0.35">
      <c r="A286" s="241">
        <v>7230</v>
      </c>
      <c r="B286" s="242" t="s">
        <v>660</v>
      </c>
      <c r="C286" s="243" t="s">
        <v>661</v>
      </c>
      <c r="D286" s="243" t="s">
        <v>493</v>
      </c>
      <c r="E286" s="243"/>
      <c r="F286" s="244" t="s">
        <v>43</v>
      </c>
      <c r="G286" s="275" t="s">
        <v>44</v>
      </c>
      <c r="H286" s="276" t="s">
        <v>180</v>
      </c>
      <c r="I286" s="243" t="s">
        <v>662</v>
      </c>
      <c r="J286" s="243" t="s">
        <v>663</v>
      </c>
      <c r="K286" s="247" t="s">
        <v>12</v>
      </c>
    </row>
    <row r="287" spans="1:11" ht="12.75" customHeight="1" x14ac:dyDescent="0.35">
      <c r="A287" s="241">
        <v>7214</v>
      </c>
      <c r="B287" s="242" t="s">
        <v>2265</v>
      </c>
      <c r="C287" s="243" t="s">
        <v>664</v>
      </c>
      <c r="D287" s="243" t="s">
        <v>143</v>
      </c>
      <c r="E287" s="243"/>
      <c r="F287" s="244" t="s">
        <v>43</v>
      </c>
      <c r="G287" s="275" t="s">
        <v>67</v>
      </c>
      <c r="H287" s="276"/>
      <c r="I287" s="243" t="s">
        <v>662</v>
      </c>
      <c r="J287" s="243" t="s">
        <v>663</v>
      </c>
      <c r="K287" s="247" t="s">
        <v>12</v>
      </c>
    </row>
    <row r="288" spans="1:11" ht="12.75" customHeight="1" x14ac:dyDescent="0.35">
      <c r="A288" s="241">
        <v>7181</v>
      </c>
      <c r="B288" s="242" t="s">
        <v>665</v>
      </c>
      <c r="C288" s="243" t="s">
        <v>666</v>
      </c>
      <c r="D288" s="243" t="s">
        <v>463</v>
      </c>
      <c r="E288" s="243"/>
      <c r="F288" s="244" t="s">
        <v>43</v>
      </c>
      <c r="G288" s="245" t="s">
        <v>58</v>
      </c>
      <c r="H288" s="246">
        <v>0</v>
      </c>
      <c r="I288" s="243" t="s">
        <v>662</v>
      </c>
      <c r="J288" s="243" t="s">
        <v>663</v>
      </c>
      <c r="K288" s="247" t="s">
        <v>12</v>
      </c>
    </row>
    <row r="289" spans="1:17" ht="12.75" customHeight="1" x14ac:dyDescent="0.35">
      <c r="A289" s="241">
        <v>25455</v>
      </c>
      <c r="B289" s="242" t="s">
        <v>667</v>
      </c>
      <c r="C289" s="243" t="s">
        <v>668</v>
      </c>
      <c r="D289" s="243" t="s">
        <v>669</v>
      </c>
      <c r="E289" s="243"/>
      <c r="F289" s="244" t="s">
        <v>43</v>
      </c>
      <c r="G289" s="275" t="s">
        <v>44</v>
      </c>
      <c r="H289" s="276" t="s">
        <v>180</v>
      </c>
      <c r="I289" s="243" t="s">
        <v>662</v>
      </c>
      <c r="J289" s="243" t="s">
        <v>663</v>
      </c>
      <c r="K289" s="247" t="s">
        <v>12</v>
      </c>
    </row>
    <row r="290" spans="1:17" ht="12.75" customHeight="1" x14ac:dyDescent="0.35">
      <c r="A290" s="241">
        <v>7185</v>
      </c>
      <c r="B290" s="242" t="s">
        <v>2116</v>
      </c>
      <c r="C290" s="243" t="s">
        <v>668</v>
      </c>
      <c r="D290" s="243" t="s">
        <v>97</v>
      </c>
      <c r="E290" s="243"/>
      <c r="F290" s="244" t="s">
        <v>43</v>
      </c>
      <c r="G290" s="275" t="s">
        <v>52</v>
      </c>
      <c r="H290" s="276"/>
      <c r="I290" s="243" t="s">
        <v>662</v>
      </c>
      <c r="J290" s="243" t="s">
        <v>663</v>
      </c>
      <c r="K290" s="247" t="s">
        <v>12</v>
      </c>
    </row>
    <row r="291" spans="1:17" ht="12.75" customHeight="1" x14ac:dyDescent="0.35">
      <c r="A291" s="241">
        <v>16198</v>
      </c>
      <c r="B291" s="242" t="s">
        <v>2266</v>
      </c>
      <c r="C291" s="243" t="s">
        <v>670</v>
      </c>
      <c r="D291" s="243" t="s">
        <v>99</v>
      </c>
      <c r="E291" s="243"/>
      <c r="F291" s="244" t="s">
        <v>43</v>
      </c>
      <c r="G291" s="275" t="s">
        <v>44</v>
      </c>
      <c r="H291" s="276" t="s">
        <v>180</v>
      </c>
      <c r="I291" s="243" t="s">
        <v>662</v>
      </c>
      <c r="J291" s="243" t="s">
        <v>663</v>
      </c>
      <c r="K291" s="247" t="s">
        <v>12</v>
      </c>
    </row>
    <row r="292" spans="1:17" ht="12.75" customHeight="1" x14ac:dyDescent="0.35">
      <c r="A292" s="241">
        <v>38209</v>
      </c>
      <c r="B292" s="242" t="s">
        <v>671</v>
      </c>
      <c r="C292" s="243" t="s">
        <v>672</v>
      </c>
      <c r="D292" s="243" t="s">
        <v>136</v>
      </c>
      <c r="E292" s="243"/>
      <c r="F292" s="244" t="s">
        <v>43</v>
      </c>
      <c r="G292" s="275" t="s">
        <v>44</v>
      </c>
      <c r="H292" s="276" t="s">
        <v>239</v>
      </c>
      <c r="I292" s="243" t="s">
        <v>662</v>
      </c>
      <c r="J292" s="243" t="s">
        <v>663</v>
      </c>
      <c r="K292" s="247" t="s">
        <v>12</v>
      </c>
    </row>
    <row r="293" spans="1:17" ht="12.75" customHeight="1" x14ac:dyDescent="0.35">
      <c r="A293" s="241">
        <v>38927</v>
      </c>
      <c r="B293" s="242" t="s">
        <v>2465</v>
      </c>
      <c r="C293" s="243" t="s">
        <v>2215</v>
      </c>
      <c r="D293" s="243" t="s">
        <v>2228</v>
      </c>
      <c r="E293" s="243"/>
      <c r="F293" s="244" t="s">
        <v>43</v>
      </c>
      <c r="G293" s="250" t="s">
        <v>89</v>
      </c>
      <c r="H293" s="251">
        <v>0</v>
      </c>
      <c r="I293" s="243" t="s">
        <v>674</v>
      </c>
      <c r="J293" s="243" t="s">
        <v>675</v>
      </c>
      <c r="K293" s="247" t="s">
        <v>676</v>
      </c>
    </row>
    <row r="294" spans="1:17" ht="12.75" customHeight="1" x14ac:dyDescent="0.35">
      <c r="A294" s="241">
        <v>38795</v>
      </c>
      <c r="B294" s="242" t="s">
        <v>2117</v>
      </c>
      <c r="C294" s="256" t="s">
        <v>2118</v>
      </c>
      <c r="D294" s="249" t="s">
        <v>2119</v>
      </c>
      <c r="E294" s="249" t="s">
        <v>2368</v>
      </c>
      <c r="F294" s="244" t="s">
        <v>43</v>
      </c>
      <c r="G294" s="275" t="s">
        <v>89</v>
      </c>
      <c r="H294" s="276" t="s">
        <v>104</v>
      </c>
      <c r="I294" s="249" t="s">
        <v>674</v>
      </c>
      <c r="J294" s="249" t="s">
        <v>675</v>
      </c>
      <c r="K294" s="247" t="s">
        <v>676</v>
      </c>
    </row>
    <row r="295" spans="1:17" ht="12.75" customHeight="1" x14ac:dyDescent="0.35">
      <c r="A295" s="241">
        <v>38674</v>
      </c>
      <c r="B295" s="242" t="s">
        <v>1671</v>
      </c>
      <c r="C295" s="243" t="s">
        <v>1672</v>
      </c>
      <c r="D295" s="243" t="s">
        <v>1673</v>
      </c>
      <c r="E295" s="243"/>
      <c r="F295" s="244" t="s">
        <v>43</v>
      </c>
      <c r="G295" s="275" t="s">
        <v>362</v>
      </c>
      <c r="H295" s="276" t="s">
        <v>104</v>
      </c>
      <c r="I295" s="243" t="s">
        <v>674</v>
      </c>
      <c r="J295" s="243" t="s">
        <v>675</v>
      </c>
      <c r="K295" s="247" t="s">
        <v>676</v>
      </c>
    </row>
    <row r="296" spans="1:17" ht="12.75" customHeight="1" x14ac:dyDescent="0.35">
      <c r="A296" s="241">
        <v>38767</v>
      </c>
      <c r="B296" s="242" t="s">
        <v>1907</v>
      </c>
      <c r="C296" s="256" t="s">
        <v>1908</v>
      </c>
      <c r="D296" s="249" t="s">
        <v>1412</v>
      </c>
      <c r="E296" s="249" t="s">
        <v>2368</v>
      </c>
      <c r="F296" s="244" t="s">
        <v>43</v>
      </c>
      <c r="G296" s="275" t="s">
        <v>89</v>
      </c>
      <c r="H296" s="276" t="s">
        <v>104</v>
      </c>
      <c r="I296" s="249" t="s">
        <v>674</v>
      </c>
      <c r="J296" s="249" t="s">
        <v>675</v>
      </c>
      <c r="K296" s="247" t="s">
        <v>676</v>
      </c>
      <c r="L296" s="272"/>
      <c r="M296" s="272"/>
      <c r="N296" s="272"/>
      <c r="Q296" s="274"/>
    </row>
    <row r="297" spans="1:17" ht="12.75" customHeight="1" x14ac:dyDescent="0.35">
      <c r="A297" s="241">
        <v>38894</v>
      </c>
      <c r="B297" s="242" t="s">
        <v>2386</v>
      </c>
      <c r="C297" s="243" t="s">
        <v>2387</v>
      </c>
      <c r="D297" s="243" t="s">
        <v>1380</v>
      </c>
      <c r="E297" s="243"/>
      <c r="F297" s="244" t="s">
        <v>43</v>
      </c>
      <c r="G297" s="275" t="s">
        <v>89</v>
      </c>
      <c r="H297" s="276" t="s">
        <v>104</v>
      </c>
      <c r="I297" s="243" t="s">
        <v>674</v>
      </c>
      <c r="J297" s="243" t="s">
        <v>675</v>
      </c>
      <c r="K297" s="247" t="s">
        <v>676</v>
      </c>
      <c r="L297" s="272"/>
      <c r="M297" s="272"/>
      <c r="N297" s="272"/>
      <c r="Q297" s="274"/>
    </row>
    <row r="298" spans="1:17" ht="12.75" customHeight="1" x14ac:dyDescent="0.35">
      <c r="A298" s="241">
        <v>38915</v>
      </c>
      <c r="B298" s="242" t="s">
        <v>2466</v>
      </c>
      <c r="C298" s="243" t="s">
        <v>2467</v>
      </c>
      <c r="D298" s="243" t="s">
        <v>2468</v>
      </c>
      <c r="E298" s="243"/>
      <c r="F298" s="244" t="s">
        <v>43</v>
      </c>
      <c r="G298" s="250" t="s">
        <v>89</v>
      </c>
      <c r="H298" s="251">
        <v>0</v>
      </c>
      <c r="I298" s="243" t="s">
        <v>674</v>
      </c>
      <c r="J298" s="243" t="s">
        <v>675</v>
      </c>
      <c r="K298" s="247" t="s">
        <v>676</v>
      </c>
    </row>
    <row r="299" spans="1:17" ht="12.75" customHeight="1" x14ac:dyDescent="0.35">
      <c r="A299" s="241">
        <v>38781</v>
      </c>
      <c r="B299" s="242" t="s">
        <v>2043</v>
      </c>
      <c r="C299" s="256" t="s">
        <v>2044</v>
      </c>
      <c r="D299" s="249" t="s">
        <v>381</v>
      </c>
      <c r="E299" s="249" t="s">
        <v>2368</v>
      </c>
      <c r="F299" s="244" t="s">
        <v>43</v>
      </c>
      <c r="G299" s="275" t="s">
        <v>362</v>
      </c>
      <c r="H299" s="276" t="s">
        <v>104</v>
      </c>
      <c r="I299" s="249" t="s">
        <v>674</v>
      </c>
      <c r="J299" s="249" t="s">
        <v>675</v>
      </c>
      <c r="K299" s="247" t="s">
        <v>676</v>
      </c>
      <c r="L299" s="272"/>
      <c r="M299" s="272"/>
      <c r="N299" s="272"/>
      <c r="Q299" s="274"/>
    </row>
    <row r="300" spans="1:17" ht="12.75" customHeight="1" x14ac:dyDescent="0.35">
      <c r="A300" s="241">
        <v>7860</v>
      </c>
      <c r="B300" s="242" t="s">
        <v>2120</v>
      </c>
      <c r="C300" s="243" t="s">
        <v>677</v>
      </c>
      <c r="D300" s="243" t="s">
        <v>678</v>
      </c>
      <c r="E300" s="243"/>
      <c r="F300" s="244" t="s">
        <v>49</v>
      </c>
      <c r="G300" s="275" t="s">
        <v>50</v>
      </c>
      <c r="H300" s="276" t="s">
        <v>180</v>
      </c>
      <c r="I300" s="243" t="s">
        <v>682</v>
      </c>
      <c r="J300" s="243" t="s">
        <v>679</v>
      </c>
      <c r="K300" s="247" t="s">
        <v>680</v>
      </c>
      <c r="L300" s="272"/>
      <c r="M300" s="272"/>
      <c r="N300" s="272"/>
      <c r="Q300" s="274"/>
    </row>
    <row r="301" spans="1:17" ht="12.75" customHeight="1" x14ac:dyDescent="0.35">
      <c r="A301" s="241">
        <v>12248</v>
      </c>
      <c r="B301" s="242">
        <v>9042187</v>
      </c>
      <c r="C301" s="243" t="s">
        <v>681</v>
      </c>
      <c r="D301" s="243" t="s">
        <v>531</v>
      </c>
      <c r="E301" s="243"/>
      <c r="F301" s="244" t="s">
        <v>43</v>
      </c>
      <c r="G301" s="275" t="s">
        <v>44</v>
      </c>
      <c r="H301" s="276" t="s">
        <v>66</v>
      </c>
      <c r="I301" s="243" t="s">
        <v>682</v>
      </c>
      <c r="J301" s="243" t="s">
        <v>679</v>
      </c>
      <c r="K301" s="247" t="s">
        <v>680</v>
      </c>
      <c r="L301" s="272"/>
      <c r="M301" s="272"/>
      <c r="N301" s="272"/>
      <c r="Q301" s="274"/>
    </row>
    <row r="302" spans="1:17" ht="12.75" customHeight="1" x14ac:dyDescent="0.35">
      <c r="A302" s="241">
        <v>25387</v>
      </c>
      <c r="B302" s="242" t="s">
        <v>683</v>
      </c>
      <c r="C302" s="243" t="s">
        <v>684</v>
      </c>
      <c r="D302" s="243" t="s">
        <v>483</v>
      </c>
      <c r="E302" s="243"/>
      <c r="F302" s="244" t="s">
        <v>43</v>
      </c>
      <c r="G302" s="275" t="s">
        <v>67</v>
      </c>
      <c r="H302" s="276" t="s">
        <v>180</v>
      </c>
      <c r="I302" s="243" t="s">
        <v>682</v>
      </c>
      <c r="J302" s="243" t="s">
        <v>679</v>
      </c>
      <c r="K302" s="247" t="s">
        <v>680</v>
      </c>
      <c r="L302" s="272"/>
      <c r="M302" s="272"/>
      <c r="N302" s="272"/>
      <c r="Q302" s="274"/>
    </row>
    <row r="303" spans="1:17" ht="12.75" customHeight="1" x14ac:dyDescent="0.35">
      <c r="A303" s="241">
        <v>7967</v>
      </c>
      <c r="B303" s="242" t="s">
        <v>233</v>
      </c>
      <c r="C303" s="243" t="s">
        <v>234</v>
      </c>
      <c r="D303" s="243" t="s">
        <v>235</v>
      </c>
      <c r="E303" s="243"/>
      <c r="F303" s="244" t="s">
        <v>43</v>
      </c>
      <c r="G303" s="275" t="s">
        <v>58</v>
      </c>
      <c r="H303" s="276" t="s">
        <v>45</v>
      </c>
      <c r="I303" s="243" t="s">
        <v>682</v>
      </c>
      <c r="J303" s="243" t="s">
        <v>679</v>
      </c>
      <c r="K303" s="247" t="s">
        <v>680</v>
      </c>
      <c r="L303" s="272"/>
      <c r="M303" s="272"/>
      <c r="N303" s="272"/>
      <c r="Q303" s="274"/>
    </row>
    <row r="304" spans="1:17" ht="12.75" customHeight="1" x14ac:dyDescent="0.35">
      <c r="A304" s="241">
        <v>7193</v>
      </c>
      <c r="B304" s="242" t="s">
        <v>2299</v>
      </c>
      <c r="C304" s="243" t="s">
        <v>685</v>
      </c>
      <c r="D304" s="243" t="s">
        <v>686</v>
      </c>
      <c r="E304" s="243"/>
      <c r="F304" s="244" t="s">
        <v>43</v>
      </c>
      <c r="G304" s="275" t="s">
        <v>52</v>
      </c>
      <c r="H304" s="276" t="s">
        <v>66</v>
      </c>
      <c r="I304" s="243" t="s">
        <v>682</v>
      </c>
      <c r="J304" s="243" t="s">
        <v>679</v>
      </c>
      <c r="K304" s="247" t="s">
        <v>680</v>
      </c>
    </row>
    <row r="305" spans="1:17" ht="12.75" customHeight="1" x14ac:dyDescent="0.35">
      <c r="A305" s="241">
        <v>7747</v>
      </c>
      <c r="B305" s="242" t="s">
        <v>241</v>
      </c>
      <c r="C305" s="243" t="s">
        <v>240</v>
      </c>
      <c r="D305" s="243" t="s">
        <v>120</v>
      </c>
      <c r="E305" s="243"/>
      <c r="F305" s="244" t="s">
        <v>43</v>
      </c>
      <c r="G305" s="275" t="s">
        <v>67</v>
      </c>
      <c r="H305" s="276" t="s">
        <v>45</v>
      </c>
      <c r="I305" s="243" t="s">
        <v>682</v>
      </c>
      <c r="J305" s="243" t="s">
        <v>679</v>
      </c>
      <c r="K305" s="247" t="s">
        <v>680</v>
      </c>
    </row>
    <row r="306" spans="1:17" ht="12.75" customHeight="1" x14ac:dyDescent="0.35">
      <c r="A306" s="241">
        <v>38543</v>
      </c>
      <c r="B306" s="242" t="s">
        <v>687</v>
      </c>
      <c r="C306" s="243" t="s">
        <v>688</v>
      </c>
      <c r="D306" s="243" t="s">
        <v>689</v>
      </c>
      <c r="E306" s="243"/>
      <c r="F306" s="244" t="s">
        <v>43</v>
      </c>
      <c r="G306" s="275" t="s">
        <v>44</v>
      </c>
      <c r="H306" s="276"/>
      <c r="I306" s="243" t="s">
        <v>682</v>
      </c>
      <c r="J306" s="243" t="s">
        <v>679</v>
      </c>
      <c r="K306" s="247" t="s">
        <v>680</v>
      </c>
      <c r="L306" s="272"/>
      <c r="M306" s="272"/>
      <c r="N306" s="272"/>
      <c r="Q306" s="274"/>
    </row>
    <row r="307" spans="1:17" ht="12.75" customHeight="1" x14ac:dyDescent="0.35">
      <c r="A307" s="241">
        <v>6943</v>
      </c>
      <c r="B307" s="242" t="s">
        <v>1910</v>
      </c>
      <c r="C307" s="243" t="s">
        <v>1911</v>
      </c>
      <c r="D307" s="243" t="s">
        <v>179</v>
      </c>
      <c r="E307" s="243"/>
      <c r="F307" s="244" t="s">
        <v>43</v>
      </c>
      <c r="G307" s="275" t="s">
        <v>44</v>
      </c>
      <c r="H307" s="276" t="s">
        <v>51</v>
      </c>
      <c r="I307" s="243" t="s">
        <v>682</v>
      </c>
      <c r="J307" s="243" t="s">
        <v>679</v>
      </c>
      <c r="K307" s="247" t="s">
        <v>680</v>
      </c>
    </row>
    <row r="308" spans="1:17" ht="12.75" customHeight="1" x14ac:dyDescent="0.35">
      <c r="A308" s="241">
        <v>38735</v>
      </c>
      <c r="B308" s="242" t="s">
        <v>2469</v>
      </c>
      <c r="C308" s="243" t="s">
        <v>1911</v>
      </c>
      <c r="D308" s="243" t="s">
        <v>2470</v>
      </c>
      <c r="E308" s="243"/>
      <c r="F308" s="244" t="s">
        <v>49</v>
      </c>
      <c r="G308" s="250" t="s">
        <v>79</v>
      </c>
      <c r="H308" s="251">
        <v>0</v>
      </c>
      <c r="I308" s="243" t="s">
        <v>682</v>
      </c>
      <c r="J308" s="243" t="s">
        <v>679</v>
      </c>
      <c r="K308" s="247" t="s">
        <v>680</v>
      </c>
    </row>
    <row r="309" spans="1:17" ht="12.75" customHeight="1" x14ac:dyDescent="0.35">
      <c r="A309" s="241">
        <v>38900</v>
      </c>
      <c r="B309" s="242" t="s">
        <v>2388</v>
      </c>
      <c r="C309" s="256" t="s">
        <v>2389</v>
      </c>
      <c r="D309" s="249" t="s">
        <v>132</v>
      </c>
      <c r="E309" s="249" t="s">
        <v>2368</v>
      </c>
      <c r="F309" s="244" t="s">
        <v>43</v>
      </c>
      <c r="G309" s="275" t="s">
        <v>44</v>
      </c>
      <c r="H309" s="276"/>
      <c r="I309" s="249" t="s">
        <v>682</v>
      </c>
      <c r="J309" s="249" t="s">
        <v>679</v>
      </c>
      <c r="K309" s="247" t="s">
        <v>680</v>
      </c>
    </row>
    <row r="310" spans="1:17" ht="12.75" customHeight="1" x14ac:dyDescent="0.35">
      <c r="A310" s="241">
        <v>38901</v>
      </c>
      <c r="B310" s="242" t="s">
        <v>2390</v>
      </c>
      <c r="C310" s="256" t="s">
        <v>887</v>
      </c>
      <c r="D310" s="249" t="s">
        <v>845</v>
      </c>
      <c r="E310" s="249" t="s">
        <v>2368</v>
      </c>
      <c r="F310" s="244" t="s">
        <v>43</v>
      </c>
      <c r="G310" s="275" t="s">
        <v>94</v>
      </c>
      <c r="H310" s="276"/>
      <c r="I310" s="249" t="s">
        <v>682</v>
      </c>
      <c r="J310" s="249" t="s">
        <v>679</v>
      </c>
      <c r="K310" s="247" t="s">
        <v>680</v>
      </c>
    </row>
    <row r="311" spans="1:17" ht="12.75" customHeight="1" x14ac:dyDescent="0.35">
      <c r="A311" s="241">
        <v>16453</v>
      </c>
      <c r="B311" s="242">
        <v>9111158</v>
      </c>
      <c r="C311" s="243" t="s">
        <v>692</v>
      </c>
      <c r="D311" s="243" t="s">
        <v>597</v>
      </c>
      <c r="E311" s="243"/>
      <c r="F311" s="244" t="s">
        <v>43</v>
      </c>
      <c r="G311" s="275" t="s">
        <v>58</v>
      </c>
      <c r="H311" s="276" t="s">
        <v>45</v>
      </c>
      <c r="I311" s="243" t="s">
        <v>682</v>
      </c>
      <c r="J311" s="243" t="s">
        <v>679</v>
      </c>
      <c r="K311" s="247" t="s">
        <v>680</v>
      </c>
    </row>
    <row r="312" spans="1:17" ht="12.75" customHeight="1" x14ac:dyDescent="0.35">
      <c r="A312" s="241">
        <v>7156</v>
      </c>
      <c r="B312" s="242" t="s">
        <v>693</v>
      </c>
      <c r="C312" s="243" t="s">
        <v>694</v>
      </c>
      <c r="D312" s="243" t="s">
        <v>695</v>
      </c>
      <c r="E312" s="243"/>
      <c r="F312" s="244" t="s">
        <v>49</v>
      </c>
      <c r="G312" s="275" t="s">
        <v>79</v>
      </c>
      <c r="H312" s="276"/>
      <c r="I312" s="243" t="s">
        <v>682</v>
      </c>
      <c r="J312" s="243" t="s">
        <v>679</v>
      </c>
      <c r="K312" s="247" t="s">
        <v>680</v>
      </c>
    </row>
    <row r="313" spans="1:17" ht="12.75" customHeight="1" x14ac:dyDescent="0.35">
      <c r="A313" s="241">
        <v>25478</v>
      </c>
      <c r="B313" s="242">
        <v>9065825</v>
      </c>
      <c r="C313" s="243" t="s">
        <v>696</v>
      </c>
      <c r="D313" s="243" t="s">
        <v>455</v>
      </c>
      <c r="E313" s="243"/>
      <c r="F313" s="244" t="s">
        <v>49</v>
      </c>
      <c r="G313" s="275" t="s">
        <v>139</v>
      </c>
      <c r="H313" s="276" t="s">
        <v>51</v>
      </c>
      <c r="I313" s="243" t="s">
        <v>682</v>
      </c>
      <c r="J313" s="243" t="s">
        <v>679</v>
      </c>
      <c r="K313" s="247" t="s">
        <v>680</v>
      </c>
    </row>
    <row r="314" spans="1:17" ht="12.75" customHeight="1" x14ac:dyDescent="0.35">
      <c r="A314" s="241">
        <v>38836</v>
      </c>
      <c r="B314" s="242" t="s">
        <v>2121</v>
      </c>
      <c r="C314" s="256" t="s">
        <v>2122</v>
      </c>
      <c r="D314" s="249" t="s">
        <v>64</v>
      </c>
      <c r="E314" s="249" t="s">
        <v>2368</v>
      </c>
      <c r="F314" s="244" t="s">
        <v>43</v>
      </c>
      <c r="G314" s="275" t="s">
        <v>44</v>
      </c>
      <c r="H314" s="276"/>
      <c r="I314" s="249" t="s">
        <v>682</v>
      </c>
      <c r="J314" s="249" t="s">
        <v>679</v>
      </c>
      <c r="K314" s="247" t="s">
        <v>680</v>
      </c>
      <c r="L314" s="272"/>
      <c r="M314" s="272"/>
      <c r="N314" s="272"/>
      <c r="Q314" s="274"/>
    </row>
    <row r="315" spans="1:17" ht="12.75" customHeight="1" x14ac:dyDescent="0.35">
      <c r="A315" s="241">
        <v>7182</v>
      </c>
      <c r="B315" s="242" t="s">
        <v>697</v>
      </c>
      <c r="C315" s="243" t="s">
        <v>698</v>
      </c>
      <c r="D315" s="243" t="s">
        <v>184</v>
      </c>
      <c r="E315" s="243"/>
      <c r="F315" s="244" t="s">
        <v>43</v>
      </c>
      <c r="G315" s="275" t="s">
        <v>52</v>
      </c>
      <c r="H315" s="276" t="s">
        <v>66</v>
      </c>
      <c r="I315" s="243" t="s">
        <v>682</v>
      </c>
      <c r="J315" s="243" t="s">
        <v>679</v>
      </c>
      <c r="K315" s="247" t="s">
        <v>680</v>
      </c>
      <c r="L315" s="272"/>
      <c r="M315" s="272"/>
      <c r="N315" s="272"/>
      <c r="Q315" s="274"/>
    </row>
    <row r="316" spans="1:17" ht="12.75" customHeight="1" x14ac:dyDescent="0.35">
      <c r="A316" s="241">
        <v>7154</v>
      </c>
      <c r="B316" s="242" t="s">
        <v>699</v>
      </c>
      <c r="C316" s="243" t="s">
        <v>698</v>
      </c>
      <c r="D316" s="243" t="s">
        <v>700</v>
      </c>
      <c r="E316" s="243"/>
      <c r="F316" s="244" t="s">
        <v>49</v>
      </c>
      <c r="G316" s="275" t="s">
        <v>139</v>
      </c>
      <c r="H316" s="276" t="s">
        <v>180</v>
      </c>
      <c r="I316" s="243" t="s">
        <v>682</v>
      </c>
      <c r="J316" s="243" t="s">
        <v>679</v>
      </c>
      <c r="K316" s="247" t="s">
        <v>680</v>
      </c>
      <c r="L316" s="272"/>
      <c r="M316" s="272"/>
      <c r="N316" s="272"/>
      <c r="Q316" s="274"/>
    </row>
    <row r="317" spans="1:17" ht="12.75" customHeight="1" x14ac:dyDescent="0.35">
      <c r="A317" s="241">
        <v>25484</v>
      </c>
      <c r="B317" s="242" t="s">
        <v>701</v>
      </c>
      <c r="C317" s="243" t="s">
        <v>698</v>
      </c>
      <c r="D317" s="243" t="s">
        <v>702</v>
      </c>
      <c r="E317" s="243"/>
      <c r="F317" s="244" t="s">
        <v>43</v>
      </c>
      <c r="G317" s="275" t="s">
        <v>94</v>
      </c>
      <c r="H317" s="276" t="s">
        <v>180</v>
      </c>
      <c r="I317" s="243" t="s">
        <v>682</v>
      </c>
      <c r="J317" s="243" t="s">
        <v>679</v>
      </c>
      <c r="K317" s="247" t="s">
        <v>680</v>
      </c>
    </row>
    <row r="318" spans="1:17" ht="12.75" customHeight="1" x14ac:dyDescent="0.35">
      <c r="A318" s="241">
        <v>38115</v>
      </c>
      <c r="B318" s="242" t="s">
        <v>1183</v>
      </c>
      <c r="C318" s="243" t="s">
        <v>677</v>
      </c>
      <c r="D318" s="243" t="s">
        <v>1184</v>
      </c>
      <c r="E318" s="243"/>
      <c r="F318" s="244" t="s">
        <v>43</v>
      </c>
      <c r="G318" s="275" t="s">
        <v>44</v>
      </c>
      <c r="H318" s="276" t="s">
        <v>66</v>
      </c>
      <c r="I318" s="243" t="s">
        <v>703</v>
      </c>
      <c r="J318" s="243" t="s">
        <v>679</v>
      </c>
      <c r="K318" s="247" t="s">
        <v>680</v>
      </c>
    </row>
    <row r="319" spans="1:17" ht="12.75" customHeight="1" x14ac:dyDescent="0.35">
      <c r="A319" s="241">
        <v>7228</v>
      </c>
      <c r="B319" s="242">
        <v>889755</v>
      </c>
      <c r="C319" s="243" t="s">
        <v>704</v>
      </c>
      <c r="D319" s="243" t="s">
        <v>705</v>
      </c>
      <c r="E319" s="243"/>
      <c r="F319" s="244" t="s">
        <v>43</v>
      </c>
      <c r="G319" s="275" t="s">
        <v>44</v>
      </c>
      <c r="H319" s="276" t="s">
        <v>239</v>
      </c>
      <c r="I319" s="243" t="s">
        <v>703</v>
      </c>
      <c r="J319" s="243" t="s">
        <v>679</v>
      </c>
      <c r="K319" s="247" t="s">
        <v>680</v>
      </c>
    </row>
    <row r="320" spans="1:17" ht="12.75" customHeight="1" x14ac:dyDescent="0.35">
      <c r="A320" s="241">
        <v>7586</v>
      </c>
      <c r="B320" s="242" t="s">
        <v>706</v>
      </c>
      <c r="C320" s="243" t="s">
        <v>707</v>
      </c>
      <c r="D320" s="243" t="s">
        <v>641</v>
      </c>
      <c r="E320" s="243"/>
      <c r="F320" s="244" t="s">
        <v>43</v>
      </c>
      <c r="G320" s="275" t="s">
        <v>52</v>
      </c>
      <c r="H320" s="276" t="s">
        <v>45</v>
      </c>
      <c r="I320" s="243" t="s">
        <v>703</v>
      </c>
      <c r="J320" s="243" t="s">
        <v>679</v>
      </c>
      <c r="K320" s="247" t="s">
        <v>680</v>
      </c>
    </row>
    <row r="321" spans="1:17" ht="12.75" customHeight="1" x14ac:dyDescent="0.35">
      <c r="A321" s="241">
        <v>9936</v>
      </c>
      <c r="B321" s="242">
        <v>83471</v>
      </c>
      <c r="C321" s="243" t="s">
        <v>131</v>
      </c>
      <c r="D321" s="243" t="s">
        <v>2123</v>
      </c>
      <c r="E321" s="243"/>
      <c r="F321" s="244" t="s">
        <v>43</v>
      </c>
      <c r="G321" s="275" t="s">
        <v>94</v>
      </c>
      <c r="H321" s="276" t="s">
        <v>66</v>
      </c>
      <c r="I321" s="243" t="s">
        <v>703</v>
      </c>
      <c r="J321" s="243" t="s">
        <v>679</v>
      </c>
      <c r="K321" s="247" t="s">
        <v>680</v>
      </c>
    </row>
    <row r="322" spans="1:17" ht="12.75" customHeight="1" x14ac:dyDescent="0.35">
      <c r="A322" s="241">
        <v>7135</v>
      </c>
      <c r="B322" s="242" t="s">
        <v>708</v>
      </c>
      <c r="C322" s="243" t="s">
        <v>457</v>
      </c>
      <c r="D322" s="243" t="s">
        <v>709</v>
      </c>
      <c r="E322" s="243"/>
      <c r="F322" s="244" t="s">
        <v>43</v>
      </c>
      <c r="G322" s="275" t="s">
        <v>52</v>
      </c>
      <c r="H322" s="276" t="s">
        <v>45</v>
      </c>
      <c r="I322" s="243" t="s">
        <v>703</v>
      </c>
      <c r="J322" s="243" t="s">
        <v>679</v>
      </c>
      <c r="K322" s="247" t="s">
        <v>680</v>
      </c>
    </row>
    <row r="323" spans="1:17" ht="12.75" customHeight="1" x14ac:dyDescent="0.35">
      <c r="A323" s="241">
        <v>38275</v>
      </c>
      <c r="B323" s="242" t="s">
        <v>710</v>
      </c>
      <c r="C323" s="256" t="s">
        <v>457</v>
      </c>
      <c r="D323" s="249" t="s">
        <v>132</v>
      </c>
      <c r="E323" s="249" t="s">
        <v>2368</v>
      </c>
      <c r="F323" s="244" t="s">
        <v>43</v>
      </c>
      <c r="G323" s="275" t="s">
        <v>94</v>
      </c>
      <c r="H323" s="276" t="s">
        <v>66</v>
      </c>
      <c r="I323" s="249" t="s">
        <v>703</v>
      </c>
      <c r="J323" s="249" t="s">
        <v>679</v>
      </c>
      <c r="K323" s="247" t="s">
        <v>680</v>
      </c>
    </row>
    <row r="324" spans="1:17" ht="12.75" customHeight="1" x14ac:dyDescent="0.35">
      <c r="A324" s="241">
        <v>38366</v>
      </c>
      <c r="B324" s="242" t="s">
        <v>711</v>
      </c>
      <c r="C324" s="256" t="s">
        <v>712</v>
      </c>
      <c r="D324" s="249" t="s">
        <v>713</v>
      </c>
      <c r="E324" s="249" t="s">
        <v>2368</v>
      </c>
      <c r="F324" s="244" t="s">
        <v>43</v>
      </c>
      <c r="G324" s="275" t="s">
        <v>44</v>
      </c>
      <c r="H324" s="276" t="s">
        <v>180</v>
      </c>
      <c r="I324" s="249" t="s">
        <v>703</v>
      </c>
      <c r="J324" s="249" t="s">
        <v>679</v>
      </c>
      <c r="K324" s="247" t="s">
        <v>680</v>
      </c>
    </row>
    <row r="325" spans="1:17" ht="12.75" customHeight="1" x14ac:dyDescent="0.35">
      <c r="A325" s="241">
        <v>38367</v>
      </c>
      <c r="B325" s="242" t="s">
        <v>714</v>
      </c>
      <c r="C325" s="243" t="s">
        <v>715</v>
      </c>
      <c r="D325" s="243" t="s">
        <v>132</v>
      </c>
      <c r="E325" s="243"/>
      <c r="F325" s="244" t="s">
        <v>43</v>
      </c>
      <c r="G325" s="275" t="s">
        <v>44</v>
      </c>
      <c r="H325" s="276" t="s">
        <v>66</v>
      </c>
      <c r="I325" s="243" t="s">
        <v>703</v>
      </c>
      <c r="J325" s="243" t="s">
        <v>679</v>
      </c>
      <c r="K325" s="247" t="s">
        <v>680</v>
      </c>
    </row>
    <row r="326" spans="1:17" ht="12.75" customHeight="1" x14ac:dyDescent="0.35">
      <c r="A326" s="241">
        <v>38152</v>
      </c>
      <c r="B326" s="242" t="s">
        <v>716</v>
      </c>
      <c r="C326" s="243" t="s">
        <v>717</v>
      </c>
      <c r="D326" s="243" t="s">
        <v>658</v>
      </c>
      <c r="E326" s="243"/>
      <c r="F326" s="244" t="s">
        <v>43</v>
      </c>
      <c r="G326" s="275" t="s">
        <v>67</v>
      </c>
      <c r="H326" s="276"/>
      <c r="I326" s="243" t="s">
        <v>703</v>
      </c>
      <c r="J326" s="243" t="s">
        <v>679</v>
      </c>
      <c r="K326" s="247" t="s">
        <v>680</v>
      </c>
      <c r="L326" s="272"/>
      <c r="M326" s="272"/>
      <c r="N326" s="272"/>
      <c r="Q326" s="274"/>
    </row>
    <row r="327" spans="1:17" ht="12.75" customHeight="1" x14ac:dyDescent="0.35">
      <c r="A327" s="241">
        <v>25085</v>
      </c>
      <c r="B327" s="242" t="s">
        <v>718</v>
      </c>
      <c r="C327" s="243" t="s">
        <v>719</v>
      </c>
      <c r="D327" s="243" t="s">
        <v>195</v>
      </c>
      <c r="E327" s="243"/>
      <c r="F327" s="244" t="s">
        <v>43</v>
      </c>
      <c r="G327" s="275" t="s">
        <v>44</v>
      </c>
      <c r="H327" s="276"/>
      <c r="I327" s="243" t="s">
        <v>703</v>
      </c>
      <c r="J327" s="243" t="s">
        <v>679</v>
      </c>
      <c r="K327" s="247" t="s">
        <v>680</v>
      </c>
      <c r="L327" s="272"/>
      <c r="M327" s="272"/>
      <c r="N327" s="272"/>
      <c r="Q327" s="274"/>
    </row>
    <row r="328" spans="1:17" ht="12.75" customHeight="1" x14ac:dyDescent="0.35">
      <c r="A328" s="241">
        <v>25007</v>
      </c>
      <c r="B328" s="242" t="s">
        <v>720</v>
      </c>
      <c r="C328" s="243" t="s">
        <v>721</v>
      </c>
      <c r="D328" s="243" t="s">
        <v>722</v>
      </c>
      <c r="E328" s="243"/>
      <c r="F328" s="244" t="s">
        <v>49</v>
      </c>
      <c r="G328" s="275" t="s">
        <v>79</v>
      </c>
      <c r="H328" s="276"/>
      <c r="I328" s="243" t="s">
        <v>703</v>
      </c>
      <c r="J328" s="243" t="s">
        <v>679</v>
      </c>
      <c r="K328" s="247" t="s">
        <v>680</v>
      </c>
      <c r="L328" s="272"/>
      <c r="M328" s="272"/>
      <c r="N328" s="272"/>
      <c r="Q328" s="274"/>
    </row>
    <row r="329" spans="1:17" ht="12.75" customHeight="1" x14ac:dyDescent="0.35">
      <c r="A329" s="241">
        <v>38661</v>
      </c>
      <c r="B329" s="242" t="s">
        <v>723</v>
      </c>
      <c r="C329" s="256" t="s">
        <v>724</v>
      </c>
      <c r="D329" s="249" t="s">
        <v>117</v>
      </c>
      <c r="E329" s="249" t="s">
        <v>2368</v>
      </c>
      <c r="F329" s="244" t="s">
        <v>43</v>
      </c>
      <c r="G329" s="275" t="s">
        <v>52</v>
      </c>
      <c r="H329" s="276"/>
      <c r="I329" s="249" t="s">
        <v>703</v>
      </c>
      <c r="J329" s="249" t="s">
        <v>679</v>
      </c>
      <c r="K329" s="247" t="s">
        <v>680</v>
      </c>
      <c r="L329" s="272"/>
      <c r="M329" s="272"/>
      <c r="N329" s="272"/>
      <c r="Q329" s="274"/>
    </row>
    <row r="330" spans="1:17" ht="12.75" customHeight="1" x14ac:dyDescent="0.35">
      <c r="A330" s="241">
        <v>34393</v>
      </c>
      <c r="B330" s="242" t="s">
        <v>400</v>
      </c>
      <c r="C330" s="243" t="s">
        <v>401</v>
      </c>
      <c r="D330" s="243" t="s">
        <v>402</v>
      </c>
      <c r="E330" s="243"/>
      <c r="F330" s="244" t="s">
        <v>49</v>
      </c>
      <c r="G330" s="275" t="s">
        <v>79</v>
      </c>
      <c r="H330" s="276" t="s">
        <v>51</v>
      </c>
      <c r="I330" s="243" t="s">
        <v>703</v>
      </c>
      <c r="J330" s="243" t="s">
        <v>679</v>
      </c>
      <c r="K330" s="247" t="s">
        <v>680</v>
      </c>
    </row>
    <row r="331" spans="1:17" ht="12.75" customHeight="1" x14ac:dyDescent="0.35">
      <c r="A331" s="241">
        <v>38507</v>
      </c>
      <c r="B331" s="242" t="s">
        <v>725</v>
      </c>
      <c r="C331" s="256" t="s">
        <v>726</v>
      </c>
      <c r="D331" s="249" t="s">
        <v>727</v>
      </c>
      <c r="E331" s="249" t="s">
        <v>2368</v>
      </c>
      <c r="F331" s="244" t="s">
        <v>43</v>
      </c>
      <c r="G331" s="275" t="s">
        <v>52</v>
      </c>
      <c r="H331" s="276" t="s">
        <v>51</v>
      </c>
      <c r="I331" s="249" t="s">
        <v>703</v>
      </c>
      <c r="J331" s="249" t="s">
        <v>679</v>
      </c>
      <c r="K331" s="247" t="s">
        <v>680</v>
      </c>
      <c r="L331" s="272"/>
      <c r="M331" s="272"/>
      <c r="N331" s="272"/>
      <c r="Q331" s="274"/>
    </row>
    <row r="332" spans="1:17" ht="12.75" customHeight="1" x14ac:dyDescent="0.35">
      <c r="A332" s="241">
        <v>7123</v>
      </c>
      <c r="B332" s="242" t="s">
        <v>728</v>
      </c>
      <c r="C332" s="243" t="s">
        <v>729</v>
      </c>
      <c r="D332" s="243" t="s">
        <v>97</v>
      </c>
      <c r="E332" s="243"/>
      <c r="F332" s="244" t="s">
        <v>43</v>
      </c>
      <c r="G332" s="275" t="s">
        <v>52</v>
      </c>
      <c r="H332" s="276" t="s">
        <v>51</v>
      </c>
      <c r="I332" s="243" t="s">
        <v>703</v>
      </c>
      <c r="J332" s="243" t="s">
        <v>679</v>
      </c>
      <c r="K332" s="247" t="s">
        <v>680</v>
      </c>
    </row>
    <row r="333" spans="1:17" ht="12.75" customHeight="1" x14ac:dyDescent="0.35">
      <c r="A333" s="241">
        <v>7136</v>
      </c>
      <c r="B333" s="242" t="s">
        <v>730</v>
      </c>
      <c r="C333" s="243" t="s">
        <v>731</v>
      </c>
      <c r="D333" s="243" t="s">
        <v>732</v>
      </c>
      <c r="E333" s="243"/>
      <c r="F333" s="244" t="s">
        <v>43</v>
      </c>
      <c r="G333" s="275" t="s">
        <v>67</v>
      </c>
      <c r="H333" s="276" t="s">
        <v>45</v>
      </c>
      <c r="I333" s="243" t="s">
        <v>703</v>
      </c>
      <c r="J333" s="243" t="s">
        <v>679</v>
      </c>
      <c r="K333" s="247" t="s">
        <v>680</v>
      </c>
      <c r="L333" s="272"/>
      <c r="M333" s="272"/>
      <c r="N333" s="272"/>
      <c r="Q333" s="274"/>
    </row>
    <row r="334" spans="1:17" ht="12.75" customHeight="1" x14ac:dyDescent="0.35">
      <c r="A334" s="241">
        <v>38823</v>
      </c>
      <c r="B334" s="242" t="s">
        <v>2124</v>
      </c>
      <c r="C334" s="243" t="s">
        <v>2125</v>
      </c>
      <c r="D334" s="243" t="s">
        <v>61</v>
      </c>
      <c r="E334" s="243"/>
      <c r="F334" s="244" t="s">
        <v>43</v>
      </c>
      <c r="G334" s="275" t="s">
        <v>67</v>
      </c>
      <c r="H334" s="276" t="s">
        <v>45</v>
      </c>
      <c r="I334" s="243" t="s">
        <v>703</v>
      </c>
      <c r="J334" s="243" t="s">
        <v>679</v>
      </c>
      <c r="K334" s="247" t="s">
        <v>680</v>
      </c>
      <c r="L334" s="272"/>
      <c r="M334" s="272"/>
      <c r="N334" s="272"/>
      <c r="Q334" s="274"/>
    </row>
    <row r="335" spans="1:17" ht="12.75" customHeight="1" x14ac:dyDescent="0.35">
      <c r="A335" s="241">
        <v>25479</v>
      </c>
      <c r="B335" s="242" t="s">
        <v>2391</v>
      </c>
      <c r="C335" s="243" t="s">
        <v>696</v>
      </c>
      <c r="D335" s="243" t="s">
        <v>125</v>
      </c>
      <c r="E335" s="243"/>
      <c r="F335" s="244" t="s">
        <v>43</v>
      </c>
      <c r="G335" s="275" t="s">
        <v>67</v>
      </c>
      <c r="H335" s="276" t="s">
        <v>45</v>
      </c>
      <c r="I335" s="243" t="s">
        <v>703</v>
      </c>
      <c r="J335" s="243" t="s">
        <v>679</v>
      </c>
      <c r="K335" s="247" t="s">
        <v>680</v>
      </c>
    </row>
    <row r="336" spans="1:17" ht="12.75" customHeight="1" x14ac:dyDescent="0.35">
      <c r="A336" s="241">
        <v>7128</v>
      </c>
      <c r="B336" s="242" t="s">
        <v>733</v>
      </c>
      <c r="C336" s="243" t="s">
        <v>734</v>
      </c>
      <c r="D336" s="243" t="s">
        <v>624</v>
      </c>
      <c r="E336" s="243"/>
      <c r="F336" s="244" t="s">
        <v>43</v>
      </c>
      <c r="G336" s="275" t="s">
        <v>67</v>
      </c>
      <c r="H336" s="276" t="s">
        <v>45</v>
      </c>
      <c r="I336" s="243" t="s">
        <v>703</v>
      </c>
      <c r="J336" s="243" t="s">
        <v>679</v>
      </c>
      <c r="K336" s="247" t="s">
        <v>680</v>
      </c>
    </row>
    <row r="337" spans="1:11" ht="12.75" customHeight="1" x14ac:dyDescent="0.35">
      <c r="A337" s="241">
        <v>38509</v>
      </c>
      <c r="B337" s="242" t="s">
        <v>735</v>
      </c>
      <c r="C337" s="256" t="s">
        <v>736</v>
      </c>
      <c r="D337" s="249" t="s">
        <v>737</v>
      </c>
      <c r="E337" s="249" t="s">
        <v>2368</v>
      </c>
      <c r="F337" s="244" t="s">
        <v>43</v>
      </c>
      <c r="G337" s="275" t="s">
        <v>67</v>
      </c>
      <c r="H337" s="276" t="s">
        <v>51</v>
      </c>
      <c r="I337" s="249" t="s">
        <v>703</v>
      </c>
      <c r="J337" s="249" t="s">
        <v>679</v>
      </c>
      <c r="K337" s="247" t="s">
        <v>680</v>
      </c>
    </row>
    <row r="338" spans="1:11" ht="12.75" customHeight="1" x14ac:dyDescent="0.35">
      <c r="A338" s="241">
        <v>38760</v>
      </c>
      <c r="B338" s="242" t="s">
        <v>1912</v>
      </c>
      <c r="C338" s="256" t="s">
        <v>1913</v>
      </c>
      <c r="D338" s="249" t="s">
        <v>1914</v>
      </c>
      <c r="E338" s="249" t="s">
        <v>2368</v>
      </c>
      <c r="F338" s="244" t="s">
        <v>49</v>
      </c>
      <c r="G338" s="275" t="s">
        <v>775</v>
      </c>
      <c r="H338" s="276" t="s">
        <v>51</v>
      </c>
      <c r="I338" s="249" t="s">
        <v>741</v>
      </c>
      <c r="J338" s="249" t="s">
        <v>742</v>
      </c>
      <c r="K338" s="247" t="s">
        <v>743</v>
      </c>
    </row>
    <row r="339" spans="1:11" ht="12.75" customHeight="1" x14ac:dyDescent="0.35">
      <c r="A339" s="241">
        <v>38575</v>
      </c>
      <c r="B339" s="242" t="s">
        <v>738</v>
      </c>
      <c r="C339" s="256" t="s">
        <v>739</v>
      </c>
      <c r="D339" s="249" t="s">
        <v>740</v>
      </c>
      <c r="E339" s="249" t="s">
        <v>2368</v>
      </c>
      <c r="F339" s="244" t="s">
        <v>43</v>
      </c>
      <c r="G339" s="275" t="s">
        <v>44</v>
      </c>
      <c r="H339" s="276" t="s">
        <v>66</v>
      </c>
      <c r="I339" s="249" t="s">
        <v>741</v>
      </c>
      <c r="J339" s="249" t="s">
        <v>742</v>
      </c>
      <c r="K339" s="247" t="s">
        <v>743</v>
      </c>
    </row>
    <row r="340" spans="1:11" ht="12.75" customHeight="1" x14ac:dyDescent="0.35">
      <c r="A340" s="241">
        <v>25298</v>
      </c>
      <c r="B340" s="242" t="s">
        <v>744</v>
      </c>
      <c r="C340" s="243" t="s">
        <v>745</v>
      </c>
      <c r="D340" s="243" t="s">
        <v>746</v>
      </c>
      <c r="E340" s="243"/>
      <c r="F340" s="244" t="s">
        <v>49</v>
      </c>
      <c r="G340" s="275" t="s">
        <v>79</v>
      </c>
      <c r="H340" s="276" t="s">
        <v>66</v>
      </c>
      <c r="I340" s="243" t="s">
        <v>741</v>
      </c>
      <c r="J340" s="243" t="s">
        <v>742</v>
      </c>
      <c r="K340" s="247" t="s">
        <v>743</v>
      </c>
    </row>
    <row r="341" spans="1:11" ht="12.75" customHeight="1" x14ac:dyDescent="0.35">
      <c r="A341" s="241">
        <v>16888</v>
      </c>
      <c r="B341" s="242" t="s">
        <v>747</v>
      </c>
      <c r="C341" s="249" t="s">
        <v>745</v>
      </c>
      <c r="D341" s="249" t="s">
        <v>143</v>
      </c>
      <c r="E341" s="249" t="s">
        <v>2368</v>
      </c>
      <c r="F341" s="244" t="s">
        <v>43</v>
      </c>
      <c r="G341" s="275" t="s">
        <v>44</v>
      </c>
      <c r="H341" s="276" t="s">
        <v>180</v>
      </c>
      <c r="I341" s="243" t="s">
        <v>741</v>
      </c>
      <c r="J341" s="243" t="s">
        <v>742</v>
      </c>
      <c r="K341" s="247" t="s">
        <v>743</v>
      </c>
    </row>
    <row r="342" spans="1:11" ht="12.75" customHeight="1" x14ac:dyDescent="0.35">
      <c r="A342" s="241">
        <v>25323</v>
      </c>
      <c r="B342" s="242" t="s">
        <v>750</v>
      </c>
      <c r="C342" s="243" t="s">
        <v>751</v>
      </c>
      <c r="D342" s="243" t="s">
        <v>752</v>
      </c>
      <c r="E342" s="243"/>
      <c r="F342" s="244" t="s">
        <v>49</v>
      </c>
      <c r="G342" s="245" t="s">
        <v>79</v>
      </c>
      <c r="H342" s="246">
        <v>0</v>
      </c>
      <c r="I342" s="243" t="s">
        <v>741</v>
      </c>
      <c r="J342" s="243" t="s">
        <v>742</v>
      </c>
      <c r="K342" s="247" t="s">
        <v>743</v>
      </c>
    </row>
    <row r="343" spans="1:11" ht="12.75" customHeight="1" x14ac:dyDescent="0.35">
      <c r="A343" s="241">
        <v>38912</v>
      </c>
      <c r="B343" s="242" t="s">
        <v>2471</v>
      </c>
      <c r="C343" s="256" t="s">
        <v>1959</v>
      </c>
      <c r="D343" s="249" t="s">
        <v>2472</v>
      </c>
      <c r="E343" s="249" t="s">
        <v>2368</v>
      </c>
      <c r="F343" s="244" t="s">
        <v>43</v>
      </c>
      <c r="G343" s="245" t="s">
        <v>44</v>
      </c>
      <c r="H343" s="246">
        <v>0</v>
      </c>
      <c r="I343" s="249" t="s">
        <v>741</v>
      </c>
      <c r="J343" s="249" t="s">
        <v>742</v>
      </c>
      <c r="K343" s="247" t="s">
        <v>743</v>
      </c>
    </row>
    <row r="344" spans="1:11" ht="12.75" customHeight="1" x14ac:dyDescent="0.35">
      <c r="A344" s="241">
        <v>38809</v>
      </c>
      <c r="B344" s="242" t="s">
        <v>2126</v>
      </c>
      <c r="C344" s="256" t="s">
        <v>1959</v>
      </c>
      <c r="D344" s="249" t="s">
        <v>88</v>
      </c>
      <c r="E344" s="249" t="s">
        <v>2368</v>
      </c>
      <c r="F344" s="244" t="s">
        <v>43</v>
      </c>
      <c r="G344" s="275" t="s">
        <v>89</v>
      </c>
      <c r="H344" s="276" t="s">
        <v>104</v>
      </c>
      <c r="I344" s="249" t="s">
        <v>741</v>
      </c>
      <c r="J344" s="249" t="s">
        <v>742</v>
      </c>
      <c r="K344" s="247" t="s">
        <v>743</v>
      </c>
    </row>
    <row r="345" spans="1:11" ht="12.75" customHeight="1" x14ac:dyDescent="0.35">
      <c r="A345" s="241">
        <v>38725</v>
      </c>
      <c r="B345" s="242" t="s">
        <v>1915</v>
      </c>
      <c r="C345" s="256" t="s">
        <v>1916</v>
      </c>
      <c r="D345" s="249" t="s">
        <v>1426</v>
      </c>
      <c r="E345" s="249" t="s">
        <v>2368</v>
      </c>
      <c r="F345" s="244" t="s">
        <v>49</v>
      </c>
      <c r="G345" s="275" t="s">
        <v>79</v>
      </c>
      <c r="H345" s="276" t="s">
        <v>104</v>
      </c>
      <c r="I345" s="249" t="s">
        <v>741</v>
      </c>
      <c r="J345" s="249" t="s">
        <v>742</v>
      </c>
      <c r="K345" s="247" t="s">
        <v>743</v>
      </c>
    </row>
    <row r="346" spans="1:11" ht="12.75" customHeight="1" x14ac:dyDescent="0.35">
      <c r="A346" s="241">
        <v>38850</v>
      </c>
      <c r="B346" s="242" t="s">
        <v>2267</v>
      </c>
      <c r="C346" s="256" t="s">
        <v>2268</v>
      </c>
      <c r="D346" s="249" t="s">
        <v>1215</v>
      </c>
      <c r="E346" s="249" t="s">
        <v>2368</v>
      </c>
      <c r="F346" s="244" t="s">
        <v>43</v>
      </c>
      <c r="G346" s="275" t="s">
        <v>67</v>
      </c>
      <c r="H346" s="276"/>
      <c r="I346" s="249" t="s">
        <v>741</v>
      </c>
      <c r="J346" s="249" t="s">
        <v>742</v>
      </c>
      <c r="K346" s="247" t="s">
        <v>743</v>
      </c>
    </row>
    <row r="347" spans="1:11" ht="12.75" customHeight="1" x14ac:dyDescent="0.35">
      <c r="A347" s="241">
        <v>16889</v>
      </c>
      <c r="B347" s="242" t="s">
        <v>753</v>
      </c>
      <c r="C347" s="249" t="s">
        <v>754</v>
      </c>
      <c r="D347" s="249" t="s">
        <v>61</v>
      </c>
      <c r="E347" s="249" t="s">
        <v>2368</v>
      </c>
      <c r="F347" s="244" t="s">
        <v>43</v>
      </c>
      <c r="G347" s="275" t="s">
        <v>44</v>
      </c>
      <c r="H347" s="276" t="s">
        <v>66</v>
      </c>
      <c r="I347" s="243" t="s">
        <v>741</v>
      </c>
      <c r="J347" s="243" t="s">
        <v>742</v>
      </c>
      <c r="K347" s="247" t="s">
        <v>743</v>
      </c>
    </row>
    <row r="348" spans="1:11" ht="12.75" customHeight="1" x14ac:dyDescent="0.35">
      <c r="A348" s="241">
        <v>25630</v>
      </c>
      <c r="B348" s="242" t="s">
        <v>1284</v>
      </c>
      <c r="C348" s="243" t="s">
        <v>1219</v>
      </c>
      <c r="D348" s="243" t="s">
        <v>1285</v>
      </c>
      <c r="E348" s="243"/>
      <c r="F348" s="244" t="s">
        <v>49</v>
      </c>
      <c r="G348" s="275" t="s">
        <v>139</v>
      </c>
      <c r="H348" s="276" t="s">
        <v>66</v>
      </c>
      <c r="I348" s="243" t="s">
        <v>741</v>
      </c>
      <c r="J348" s="243" t="s">
        <v>742</v>
      </c>
      <c r="K348" s="247" t="s">
        <v>743</v>
      </c>
    </row>
    <row r="349" spans="1:11" ht="12.75" customHeight="1" x14ac:dyDescent="0.35">
      <c r="A349" s="241">
        <v>38812</v>
      </c>
      <c r="B349" s="242" t="s">
        <v>2127</v>
      </c>
      <c r="C349" s="256" t="s">
        <v>2128</v>
      </c>
      <c r="D349" s="249" t="s">
        <v>99</v>
      </c>
      <c r="E349" s="249" t="s">
        <v>2368</v>
      </c>
      <c r="F349" s="244" t="s">
        <v>43</v>
      </c>
      <c r="G349" s="275" t="s">
        <v>58</v>
      </c>
      <c r="H349" s="276" t="s">
        <v>51</v>
      </c>
      <c r="I349" s="249" t="s">
        <v>741</v>
      </c>
      <c r="J349" s="249" t="s">
        <v>742</v>
      </c>
      <c r="K349" s="247" t="s">
        <v>743</v>
      </c>
    </row>
    <row r="350" spans="1:11" ht="12.75" customHeight="1" x14ac:dyDescent="0.35">
      <c r="A350" s="241">
        <v>38811</v>
      </c>
      <c r="B350" s="242" t="s">
        <v>2129</v>
      </c>
      <c r="C350" s="256" t="s">
        <v>2128</v>
      </c>
      <c r="D350" s="249" t="s">
        <v>324</v>
      </c>
      <c r="E350" s="249" t="s">
        <v>2368</v>
      </c>
      <c r="F350" s="244" t="s">
        <v>49</v>
      </c>
      <c r="G350" s="275" t="s">
        <v>228</v>
      </c>
      <c r="H350" s="276"/>
      <c r="I350" s="249" t="s">
        <v>741</v>
      </c>
      <c r="J350" s="249" t="s">
        <v>742</v>
      </c>
      <c r="K350" s="247" t="s">
        <v>743</v>
      </c>
    </row>
    <row r="351" spans="1:11" ht="12.75" customHeight="1" x14ac:dyDescent="0.35">
      <c r="A351" s="241">
        <v>25644</v>
      </c>
      <c r="B351" s="242" t="s">
        <v>756</v>
      </c>
      <c r="C351" s="243" t="s">
        <v>757</v>
      </c>
      <c r="D351" s="243" t="s">
        <v>758</v>
      </c>
      <c r="E351" s="243"/>
      <c r="F351" s="244" t="s">
        <v>49</v>
      </c>
      <c r="G351" s="275" t="s">
        <v>228</v>
      </c>
      <c r="H351" s="276" t="s">
        <v>51</v>
      </c>
      <c r="I351" s="243" t="s">
        <v>741</v>
      </c>
      <c r="J351" s="243" t="s">
        <v>742</v>
      </c>
      <c r="K351" s="247" t="s">
        <v>743</v>
      </c>
    </row>
    <row r="352" spans="1:11" ht="12.75" customHeight="1" x14ac:dyDescent="0.35">
      <c r="A352" s="241">
        <v>25671</v>
      </c>
      <c r="B352" s="242" t="s">
        <v>2045</v>
      </c>
      <c r="C352" s="243" t="s">
        <v>757</v>
      </c>
      <c r="D352" s="243" t="s">
        <v>73</v>
      </c>
      <c r="E352" s="243"/>
      <c r="F352" s="244" t="s">
        <v>43</v>
      </c>
      <c r="G352" s="275" t="s">
        <v>52</v>
      </c>
      <c r="H352" s="276" t="s">
        <v>45</v>
      </c>
      <c r="I352" s="243" t="s">
        <v>741</v>
      </c>
      <c r="J352" s="243" t="s">
        <v>742</v>
      </c>
      <c r="K352" s="247" t="s">
        <v>743</v>
      </c>
    </row>
    <row r="353" spans="1:17" ht="12.75" customHeight="1" x14ac:dyDescent="0.35">
      <c r="A353" s="241">
        <v>16730</v>
      </c>
      <c r="B353" s="242" t="s">
        <v>759</v>
      </c>
      <c r="C353" s="243" t="s">
        <v>760</v>
      </c>
      <c r="D353" s="243" t="s">
        <v>169</v>
      </c>
      <c r="E353" s="243"/>
      <c r="F353" s="244" t="s">
        <v>43</v>
      </c>
      <c r="G353" s="275" t="s">
        <v>52</v>
      </c>
      <c r="H353" s="276" t="s">
        <v>180</v>
      </c>
      <c r="I353" s="243" t="s">
        <v>741</v>
      </c>
      <c r="J353" s="243" t="s">
        <v>742</v>
      </c>
      <c r="K353" s="247" t="s">
        <v>743</v>
      </c>
    </row>
    <row r="354" spans="1:17" ht="12.75" customHeight="1" x14ac:dyDescent="0.35">
      <c r="A354" s="241">
        <v>38092</v>
      </c>
      <c r="B354" s="242" t="s">
        <v>761</v>
      </c>
      <c r="C354" s="243" t="s">
        <v>760</v>
      </c>
      <c r="D354" s="243" t="s">
        <v>129</v>
      </c>
      <c r="E354" s="243"/>
      <c r="F354" s="244" t="s">
        <v>43</v>
      </c>
      <c r="G354" s="275" t="s">
        <v>44</v>
      </c>
      <c r="H354" s="276" t="s">
        <v>66</v>
      </c>
      <c r="I354" s="243" t="s">
        <v>741</v>
      </c>
      <c r="J354" s="243" t="s">
        <v>742</v>
      </c>
      <c r="K354" s="247" t="s">
        <v>743</v>
      </c>
    </row>
    <row r="355" spans="1:17" ht="12.75" customHeight="1" x14ac:dyDescent="0.35">
      <c r="A355" s="241">
        <v>25672</v>
      </c>
      <c r="B355" s="242" t="s">
        <v>1917</v>
      </c>
      <c r="C355" s="243" t="s">
        <v>762</v>
      </c>
      <c r="D355" s="243" t="s">
        <v>143</v>
      </c>
      <c r="E355" s="243"/>
      <c r="F355" s="244" t="s">
        <v>43</v>
      </c>
      <c r="G355" s="275" t="s">
        <v>67</v>
      </c>
      <c r="H355" s="276" t="s">
        <v>45</v>
      </c>
      <c r="I355" s="243" t="s">
        <v>741</v>
      </c>
      <c r="J355" s="243" t="s">
        <v>742</v>
      </c>
      <c r="K355" s="247" t="s">
        <v>743</v>
      </c>
    </row>
    <row r="356" spans="1:17" ht="12.75" customHeight="1" x14ac:dyDescent="0.35">
      <c r="A356" s="241">
        <v>25340</v>
      </c>
      <c r="B356" s="242" t="s">
        <v>763</v>
      </c>
      <c r="C356" s="243" t="s">
        <v>764</v>
      </c>
      <c r="D356" s="243" t="s">
        <v>713</v>
      </c>
      <c r="E356" s="243"/>
      <c r="F356" s="244" t="s">
        <v>43</v>
      </c>
      <c r="G356" s="275" t="s">
        <v>44</v>
      </c>
      <c r="H356" s="276" t="s">
        <v>180</v>
      </c>
      <c r="I356" s="243" t="s">
        <v>741</v>
      </c>
      <c r="J356" s="243" t="s">
        <v>742</v>
      </c>
      <c r="K356" s="247" t="s">
        <v>743</v>
      </c>
    </row>
    <row r="357" spans="1:17" ht="12.75" customHeight="1" x14ac:dyDescent="0.35">
      <c r="A357" s="241">
        <v>38727</v>
      </c>
      <c r="B357" s="242" t="s">
        <v>1918</v>
      </c>
      <c r="C357" s="256" t="s">
        <v>1919</v>
      </c>
      <c r="D357" s="249" t="s">
        <v>1920</v>
      </c>
      <c r="E357" s="249" t="s">
        <v>2368</v>
      </c>
      <c r="F357" s="244" t="s">
        <v>43</v>
      </c>
      <c r="G357" s="275" t="s">
        <v>44</v>
      </c>
      <c r="H357" s="276"/>
      <c r="I357" s="249" t="s">
        <v>741</v>
      </c>
      <c r="J357" s="249" t="s">
        <v>742</v>
      </c>
      <c r="K357" s="247" t="s">
        <v>743</v>
      </c>
    </row>
    <row r="358" spans="1:17" ht="12.75" customHeight="1" x14ac:dyDescent="0.35">
      <c r="A358" s="241">
        <v>38363</v>
      </c>
      <c r="B358" s="242" t="s">
        <v>765</v>
      </c>
      <c r="C358" s="243" t="s">
        <v>766</v>
      </c>
      <c r="D358" s="243" t="s">
        <v>767</v>
      </c>
      <c r="E358" s="243"/>
      <c r="F358" s="244" t="s">
        <v>43</v>
      </c>
      <c r="G358" s="275" t="s">
        <v>44</v>
      </c>
      <c r="H358" s="276"/>
      <c r="I358" s="243" t="s">
        <v>741</v>
      </c>
      <c r="J358" s="243" t="s">
        <v>742</v>
      </c>
      <c r="K358" s="247" t="s">
        <v>743</v>
      </c>
      <c r="L358" s="272"/>
      <c r="M358" s="272"/>
      <c r="N358" s="272"/>
      <c r="Q358" s="274"/>
    </row>
    <row r="359" spans="1:17" ht="12.75" customHeight="1" x14ac:dyDescent="0.35">
      <c r="A359" s="241">
        <v>38925</v>
      </c>
      <c r="B359" s="242" t="s">
        <v>2473</v>
      </c>
      <c r="C359" s="256" t="s">
        <v>2474</v>
      </c>
      <c r="D359" s="249" t="s">
        <v>810</v>
      </c>
      <c r="E359" s="249" t="s">
        <v>2368</v>
      </c>
      <c r="F359" s="244" t="s">
        <v>43</v>
      </c>
      <c r="G359" s="245" t="s">
        <v>2061</v>
      </c>
      <c r="H359" s="246">
        <v>0</v>
      </c>
      <c r="I359" s="249" t="s">
        <v>741</v>
      </c>
      <c r="J359" s="249" t="s">
        <v>742</v>
      </c>
      <c r="K359" s="247" t="s">
        <v>743</v>
      </c>
      <c r="L359" s="272"/>
      <c r="M359" s="272"/>
      <c r="N359" s="272"/>
      <c r="Q359" s="274"/>
    </row>
    <row r="360" spans="1:17" ht="12.75" customHeight="1" x14ac:dyDescent="0.35">
      <c r="A360" s="241">
        <v>38924</v>
      </c>
      <c r="B360" s="242" t="s">
        <v>2475</v>
      </c>
      <c r="C360" s="256" t="s">
        <v>2474</v>
      </c>
      <c r="D360" s="249" t="s">
        <v>2476</v>
      </c>
      <c r="E360" s="249" t="s">
        <v>2368</v>
      </c>
      <c r="F360" s="244" t="s">
        <v>43</v>
      </c>
      <c r="G360" s="245" t="s">
        <v>2061</v>
      </c>
      <c r="H360" s="246">
        <v>0</v>
      </c>
      <c r="I360" s="249" t="s">
        <v>741</v>
      </c>
      <c r="J360" s="249" t="s">
        <v>742</v>
      </c>
      <c r="K360" s="247" t="s">
        <v>743</v>
      </c>
    </row>
    <row r="361" spans="1:17" ht="12.75" customHeight="1" x14ac:dyDescent="0.35">
      <c r="A361" s="241">
        <v>25297</v>
      </c>
      <c r="B361" s="242" t="s">
        <v>770</v>
      </c>
      <c r="C361" s="243" t="s">
        <v>771</v>
      </c>
      <c r="D361" s="243" t="s">
        <v>73</v>
      </c>
      <c r="E361" s="243" t="s">
        <v>772</v>
      </c>
      <c r="F361" s="244" t="s">
        <v>43</v>
      </c>
      <c r="G361" s="275" t="s">
        <v>44</v>
      </c>
      <c r="H361" s="276" t="s">
        <v>180</v>
      </c>
      <c r="I361" s="243" t="s">
        <v>741</v>
      </c>
      <c r="J361" s="243" t="s">
        <v>742</v>
      </c>
      <c r="K361" s="247" t="s">
        <v>743</v>
      </c>
    </row>
    <row r="362" spans="1:17" ht="12.75" customHeight="1" x14ac:dyDescent="0.35">
      <c r="A362" s="241">
        <v>38056</v>
      </c>
      <c r="B362" s="242" t="s">
        <v>773</v>
      </c>
      <c r="C362" s="243" t="s">
        <v>771</v>
      </c>
      <c r="D362" s="243" t="s">
        <v>774</v>
      </c>
      <c r="E362" s="243" t="s">
        <v>772</v>
      </c>
      <c r="F362" s="244" t="s">
        <v>49</v>
      </c>
      <c r="G362" s="275" t="s">
        <v>79</v>
      </c>
      <c r="H362" s="276" t="s">
        <v>51</v>
      </c>
      <c r="I362" s="243" t="s">
        <v>741</v>
      </c>
      <c r="J362" s="243" t="s">
        <v>742</v>
      </c>
      <c r="K362" s="247" t="s">
        <v>743</v>
      </c>
    </row>
    <row r="363" spans="1:17" ht="12.75" customHeight="1" x14ac:dyDescent="0.35">
      <c r="A363" s="241">
        <v>38458</v>
      </c>
      <c r="B363" s="242" t="s">
        <v>776</v>
      </c>
      <c r="C363" s="243" t="s">
        <v>777</v>
      </c>
      <c r="D363" s="243" t="s">
        <v>778</v>
      </c>
      <c r="E363" s="243"/>
      <c r="F363" s="244" t="s">
        <v>49</v>
      </c>
      <c r="G363" s="275" t="s">
        <v>79</v>
      </c>
      <c r="H363" s="276" t="s">
        <v>66</v>
      </c>
      <c r="I363" s="243" t="s">
        <v>741</v>
      </c>
      <c r="J363" s="243" t="s">
        <v>742</v>
      </c>
      <c r="K363" s="247" t="s">
        <v>743</v>
      </c>
    </row>
    <row r="364" spans="1:17" ht="12.75" customHeight="1" x14ac:dyDescent="0.35">
      <c r="A364" s="241">
        <v>38833</v>
      </c>
      <c r="B364" s="242" t="s">
        <v>2130</v>
      </c>
      <c r="C364" s="256" t="s">
        <v>2131</v>
      </c>
      <c r="D364" s="249" t="s">
        <v>125</v>
      </c>
      <c r="E364" s="249" t="s">
        <v>2368</v>
      </c>
      <c r="F364" s="244" t="s">
        <v>43</v>
      </c>
      <c r="G364" s="275" t="s">
        <v>44</v>
      </c>
      <c r="H364" s="276" t="s">
        <v>51</v>
      </c>
      <c r="I364" s="249" t="s">
        <v>741</v>
      </c>
      <c r="J364" s="249" t="s">
        <v>742</v>
      </c>
      <c r="K364" s="247" t="s">
        <v>743</v>
      </c>
    </row>
    <row r="365" spans="1:17" ht="12.75" customHeight="1" x14ac:dyDescent="0.35">
      <c r="A365" s="241">
        <v>25011</v>
      </c>
      <c r="B365" s="242" t="s">
        <v>779</v>
      </c>
      <c r="C365" s="249" t="s">
        <v>780</v>
      </c>
      <c r="D365" s="249" t="s">
        <v>230</v>
      </c>
      <c r="E365" s="249" t="s">
        <v>2368</v>
      </c>
      <c r="F365" s="244" t="s">
        <v>49</v>
      </c>
      <c r="G365" s="245" t="s">
        <v>139</v>
      </c>
      <c r="H365" s="246">
        <v>0</v>
      </c>
      <c r="I365" s="249" t="s">
        <v>741</v>
      </c>
      <c r="J365" s="249" t="s">
        <v>742</v>
      </c>
      <c r="K365" s="247" t="s">
        <v>743</v>
      </c>
    </row>
    <row r="366" spans="1:17" ht="12.75" customHeight="1" x14ac:dyDescent="0.35">
      <c r="A366" s="241">
        <v>38849</v>
      </c>
      <c r="B366" s="242" t="s">
        <v>2269</v>
      </c>
      <c r="C366" s="256" t="s">
        <v>2270</v>
      </c>
      <c r="D366" s="249" t="s">
        <v>2090</v>
      </c>
      <c r="E366" s="249" t="s">
        <v>2368</v>
      </c>
      <c r="F366" s="244" t="s">
        <v>49</v>
      </c>
      <c r="G366" s="275" t="s">
        <v>775</v>
      </c>
      <c r="H366" s="276" t="s">
        <v>104</v>
      </c>
      <c r="I366" s="249" t="s">
        <v>741</v>
      </c>
      <c r="J366" s="249" t="s">
        <v>742</v>
      </c>
      <c r="K366" s="247" t="s">
        <v>743</v>
      </c>
      <c r="L366" s="272"/>
      <c r="M366" s="272"/>
      <c r="N366" s="272"/>
      <c r="Q366" s="274"/>
    </row>
    <row r="367" spans="1:17" ht="12.75" customHeight="1" x14ac:dyDescent="0.35">
      <c r="A367" s="241">
        <v>38848</v>
      </c>
      <c r="B367" s="242" t="s">
        <v>2271</v>
      </c>
      <c r="C367" s="256" t="s">
        <v>2270</v>
      </c>
      <c r="D367" s="249" t="s">
        <v>691</v>
      </c>
      <c r="E367" s="249" t="s">
        <v>2368</v>
      </c>
      <c r="F367" s="244" t="s">
        <v>49</v>
      </c>
      <c r="G367" s="275" t="s">
        <v>775</v>
      </c>
      <c r="H367" s="276" t="s">
        <v>104</v>
      </c>
      <c r="I367" s="249" t="s">
        <v>741</v>
      </c>
      <c r="J367" s="249" t="s">
        <v>742</v>
      </c>
      <c r="K367" s="247" t="s">
        <v>743</v>
      </c>
    </row>
    <row r="368" spans="1:17" ht="12.75" customHeight="1" x14ac:dyDescent="0.35">
      <c r="A368" s="241">
        <v>38814</v>
      </c>
      <c r="B368" s="242" t="s">
        <v>2132</v>
      </c>
      <c r="C368" s="256" t="s">
        <v>1697</v>
      </c>
      <c r="D368" s="249" t="s">
        <v>2133</v>
      </c>
      <c r="E368" s="249" t="s">
        <v>2368</v>
      </c>
      <c r="F368" s="244" t="s">
        <v>43</v>
      </c>
      <c r="G368" s="275" t="s">
        <v>52</v>
      </c>
      <c r="H368" s="276" t="s">
        <v>45</v>
      </c>
      <c r="I368" s="249" t="s">
        <v>741</v>
      </c>
      <c r="J368" s="249" t="s">
        <v>742</v>
      </c>
      <c r="K368" s="247" t="s">
        <v>743</v>
      </c>
    </row>
    <row r="369" spans="1:17" ht="12.75" customHeight="1" x14ac:dyDescent="0.35">
      <c r="A369" s="241">
        <v>38813</v>
      </c>
      <c r="B369" s="242" t="s">
        <v>2134</v>
      </c>
      <c r="C369" s="256" t="s">
        <v>2135</v>
      </c>
      <c r="D369" s="249" t="s">
        <v>1009</v>
      </c>
      <c r="E369" s="249" t="s">
        <v>2368</v>
      </c>
      <c r="F369" s="244" t="s">
        <v>43</v>
      </c>
      <c r="G369" s="275" t="s">
        <v>67</v>
      </c>
      <c r="H369" s="276" t="s">
        <v>45</v>
      </c>
      <c r="I369" s="249" t="s">
        <v>741</v>
      </c>
      <c r="J369" s="249" t="s">
        <v>742</v>
      </c>
      <c r="K369" s="247" t="s">
        <v>743</v>
      </c>
    </row>
    <row r="370" spans="1:17" ht="12.75" customHeight="1" x14ac:dyDescent="0.35">
      <c r="A370" s="241">
        <v>38720</v>
      </c>
      <c r="B370" s="242" t="s">
        <v>1921</v>
      </c>
      <c r="C370" s="256" t="s">
        <v>783</v>
      </c>
      <c r="D370" s="249" t="s">
        <v>82</v>
      </c>
      <c r="E370" s="249" t="s">
        <v>2368</v>
      </c>
      <c r="F370" s="244" t="s">
        <v>43</v>
      </c>
      <c r="G370" s="275" t="s">
        <v>44</v>
      </c>
      <c r="H370" s="276" t="s">
        <v>51</v>
      </c>
      <c r="I370" s="249" t="s">
        <v>741</v>
      </c>
      <c r="J370" s="249" t="s">
        <v>742</v>
      </c>
      <c r="K370" s="247" t="s">
        <v>743</v>
      </c>
    </row>
    <row r="371" spans="1:17" ht="12.75" customHeight="1" x14ac:dyDescent="0.35">
      <c r="A371" s="241">
        <v>38574</v>
      </c>
      <c r="B371" s="242" t="s">
        <v>782</v>
      </c>
      <c r="C371" s="256" t="s">
        <v>783</v>
      </c>
      <c r="D371" s="249" t="s">
        <v>784</v>
      </c>
      <c r="E371" s="249" t="s">
        <v>2368</v>
      </c>
      <c r="F371" s="244" t="s">
        <v>43</v>
      </c>
      <c r="G371" s="275" t="s">
        <v>44</v>
      </c>
      <c r="H371" s="276" t="s">
        <v>45</v>
      </c>
      <c r="I371" s="249" t="s">
        <v>741</v>
      </c>
      <c r="J371" s="249" t="s">
        <v>742</v>
      </c>
      <c r="K371" s="247" t="s">
        <v>743</v>
      </c>
      <c r="L371" s="272"/>
      <c r="M371" s="272"/>
      <c r="N371" s="272"/>
      <c r="Q371" s="274"/>
    </row>
    <row r="372" spans="1:17" ht="12.75" customHeight="1" x14ac:dyDescent="0.35">
      <c r="A372" s="241">
        <v>38832</v>
      </c>
      <c r="B372" s="242" t="s">
        <v>2136</v>
      </c>
      <c r="C372" s="256" t="s">
        <v>2137</v>
      </c>
      <c r="D372" s="249" t="s">
        <v>405</v>
      </c>
      <c r="E372" s="249" t="s">
        <v>2368</v>
      </c>
      <c r="F372" s="244" t="s">
        <v>43</v>
      </c>
      <c r="G372" s="275" t="s">
        <v>44</v>
      </c>
      <c r="H372" s="276" t="s">
        <v>51</v>
      </c>
      <c r="I372" s="249" t="s">
        <v>741</v>
      </c>
      <c r="J372" s="249" t="s">
        <v>742</v>
      </c>
      <c r="K372" s="247" t="s">
        <v>743</v>
      </c>
    </row>
    <row r="373" spans="1:17" ht="12.75" customHeight="1" x14ac:dyDescent="0.35">
      <c r="A373" s="241">
        <v>38719</v>
      </c>
      <c r="B373" s="242" t="s">
        <v>1922</v>
      </c>
      <c r="C373" s="256" t="s">
        <v>786</v>
      </c>
      <c r="D373" s="249" t="s">
        <v>896</v>
      </c>
      <c r="E373" s="249" t="s">
        <v>2368</v>
      </c>
      <c r="F373" s="244" t="s">
        <v>43</v>
      </c>
      <c r="G373" s="275" t="s">
        <v>362</v>
      </c>
      <c r="H373" s="276" t="s">
        <v>51</v>
      </c>
      <c r="I373" s="249" t="s">
        <v>741</v>
      </c>
      <c r="J373" s="249" t="s">
        <v>742</v>
      </c>
      <c r="K373" s="247" t="s">
        <v>743</v>
      </c>
    </row>
    <row r="374" spans="1:17" ht="12.75" customHeight="1" x14ac:dyDescent="0.35">
      <c r="A374" s="241">
        <v>38442</v>
      </c>
      <c r="B374" s="242" t="s">
        <v>785</v>
      </c>
      <c r="C374" s="243" t="s">
        <v>786</v>
      </c>
      <c r="D374" s="243" t="s">
        <v>787</v>
      </c>
      <c r="E374" s="243"/>
      <c r="F374" s="244" t="s">
        <v>43</v>
      </c>
      <c r="G374" s="275" t="s">
        <v>44</v>
      </c>
      <c r="H374" s="276" t="s">
        <v>45</v>
      </c>
      <c r="I374" s="243" t="s">
        <v>741</v>
      </c>
      <c r="J374" s="243" t="s">
        <v>742</v>
      </c>
      <c r="K374" s="247" t="s">
        <v>743</v>
      </c>
    </row>
    <row r="375" spans="1:17" ht="12.75" customHeight="1" x14ac:dyDescent="0.35">
      <c r="A375" s="241">
        <v>38561</v>
      </c>
      <c r="B375" s="242" t="s">
        <v>788</v>
      </c>
      <c r="C375" s="256" t="s">
        <v>786</v>
      </c>
      <c r="D375" s="249" t="s">
        <v>789</v>
      </c>
      <c r="E375" s="249" t="s">
        <v>2368</v>
      </c>
      <c r="F375" s="244" t="s">
        <v>49</v>
      </c>
      <c r="G375" s="275" t="s">
        <v>79</v>
      </c>
      <c r="H375" s="276" t="s">
        <v>104</v>
      </c>
      <c r="I375" s="249" t="s">
        <v>741</v>
      </c>
      <c r="J375" s="249" t="s">
        <v>742</v>
      </c>
      <c r="K375" s="247" t="s">
        <v>743</v>
      </c>
      <c r="L375" s="272"/>
      <c r="M375" s="272"/>
      <c r="N375" s="272"/>
      <c r="Q375" s="274"/>
    </row>
    <row r="376" spans="1:17" ht="12.75" customHeight="1" x14ac:dyDescent="0.35">
      <c r="A376" s="241">
        <v>38758</v>
      </c>
      <c r="B376" s="242" t="s">
        <v>1923</v>
      </c>
      <c r="C376" s="256" t="s">
        <v>1924</v>
      </c>
      <c r="D376" s="249" t="s">
        <v>273</v>
      </c>
      <c r="E376" s="249" t="s">
        <v>2368</v>
      </c>
      <c r="F376" s="244" t="s">
        <v>49</v>
      </c>
      <c r="G376" s="275" t="s">
        <v>79</v>
      </c>
      <c r="H376" s="276" t="s">
        <v>45</v>
      </c>
      <c r="I376" s="249" t="s">
        <v>741</v>
      </c>
      <c r="J376" s="249" t="s">
        <v>742</v>
      </c>
      <c r="K376" s="247" t="s">
        <v>743</v>
      </c>
    </row>
    <row r="377" spans="1:17" ht="12.75" customHeight="1" x14ac:dyDescent="0.35">
      <c r="A377" s="241">
        <v>38808</v>
      </c>
      <c r="B377" s="242" t="s">
        <v>2138</v>
      </c>
      <c r="C377" s="256" t="s">
        <v>1016</v>
      </c>
      <c r="D377" s="249" t="s">
        <v>999</v>
      </c>
      <c r="E377" s="249" t="s">
        <v>2368</v>
      </c>
      <c r="F377" s="244" t="s">
        <v>43</v>
      </c>
      <c r="G377" s="275" t="s">
        <v>362</v>
      </c>
      <c r="H377" s="276" t="s">
        <v>104</v>
      </c>
      <c r="I377" s="249" t="s">
        <v>741</v>
      </c>
      <c r="J377" s="249" t="s">
        <v>742</v>
      </c>
      <c r="K377" s="247" t="s">
        <v>743</v>
      </c>
    </row>
    <row r="378" spans="1:17" ht="12.75" customHeight="1" x14ac:dyDescent="0.35">
      <c r="A378" s="241">
        <v>16729</v>
      </c>
      <c r="B378" s="242" t="s">
        <v>790</v>
      </c>
      <c r="C378" s="243" t="s">
        <v>791</v>
      </c>
      <c r="D378" s="243" t="s">
        <v>195</v>
      </c>
      <c r="E378" s="243"/>
      <c r="F378" s="244" t="s">
        <v>43</v>
      </c>
      <c r="G378" s="275" t="s">
        <v>67</v>
      </c>
      <c r="H378" s="276" t="s">
        <v>45</v>
      </c>
      <c r="I378" s="243" t="s">
        <v>741</v>
      </c>
      <c r="J378" s="243" t="s">
        <v>742</v>
      </c>
      <c r="K378" s="247" t="s">
        <v>743</v>
      </c>
    </row>
    <row r="379" spans="1:17" ht="12.75" customHeight="1" x14ac:dyDescent="0.35">
      <c r="A379" s="241">
        <v>16518</v>
      </c>
      <c r="B379" s="242" t="s">
        <v>792</v>
      </c>
      <c r="C379" s="243" t="s">
        <v>793</v>
      </c>
      <c r="D379" s="243" t="s">
        <v>136</v>
      </c>
      <c r="E379" s="243"/>
      <c r="F379" s="244" t="s">
        <v>43</v>
      </c>
      <c r="G379" s="245" t="s">
        <v>52</v>
      </c>
      <c r="H379" s="246">
        <v>0</v>
      </c>
      <c r="I379" s="243" t="s">
        <v>741</v>
      </c>
      <c r="J379" s="243" t="s">
        <v>742</v>
      </c>
      <c r="K379" s="247" t="s">
        <v>743</v>
      </c>
    </row>
    <row r="380" spans="1:17" ht="12.75" customHeight="1" x14ac:dyDescent="0.35">
      <c r="A380" s="241">
        <v>38757</v>
      </c>
      <c r="B380" s="242" t="s">
        <v>1925</v>
      </c>
      <c r="C380" s="256" t="s">
        <v>795</v>
      </c>
      <c r="D380" s="249" t="s">
        <v>1926</v>
      </c>
      <c r="E380" s="249" t="s">
        <v>2368</v>
      </c>
      <c r="F380" s="244" t="s">
        <v>49</v>
      </c>
      <c r="G380" s="275" t="s">
        <v>79</v>
      </c>
      <c r="H380" s="276" t="s">
        <v>180</v>
      </c>
      <c r="I380" s="249" t="s">
        <v>741</v>
      </c>
      <c r="J380" s="249" t="s">
        <v>742</v>
      </c>
      <c r="K380" s="247" t="s">
        <v>743</v>
      </c>
    </row>
    <row r="381" spans="1:17" ht="12.75" customHeight="1" x14ac:dyDescent="0.35">
      <c r="A381" s="241">
        <v>16524</v>
      </c>
      <c r="B381" s="242" t="s">
        <v>794</v>
      </c>
      <c r="C381" s="243" t="s">
        <v>795</v>
      </c>
      <c r="D381" s="243" t="s">
        <v>383</v>
      </c>
      <c r="E381" s="243"/>
      <c r="F381" s="244" t="s">
        <v>43</v>
      </c>
      <c r="G381" s="275" t="s">
        <v>44</v>
      </c>
      <c r="H381" s="276" t="s">
        <v>66</v>
      </c>
      <c r="I381" s="243" t="s">
        <v>741</v>
      </c>
      <c r="J381" s="243" t="s">
        <v>742</v>
      </c>
      <c r="K381" s="247" t="s">
        <v>743</v>
      </c>
    </row>
    <row r="382" spans="1:17" ht="12.75" customHeight="1" x14ac:dyDescent="0.35">
      <c r="A382" s="241">
        <v>38896</v>
      </c>
      <c r="B382" s="242" t="s">
        <v>2392</v>
      </c>
      <c r="C382" s="256" t="s">
        <v>2393</v>
      </c>
      <c r="D382" s="249" t="s">
        <v>420</v>
      </c>
      <c r="E382" s="249" t="s">
        <v>2368</v>
      </c>
      <c r="F382" s="244" t="s">
        <v>49</v>
      </c>
      <c r="G382" s="275" t="s">
        <v>50</v>
      </c>
      <c r="H382" s="276"/>
      <c r="I382" s="249" t="s">
        <v>741</v>
      </c>
      <c r="J382" s="249" t="s">
        <v>742</v>
      </c>
      <c r="K382" s="247" t="s">
        <v>743</v>
      </c>
    </row>
    <row r="383" spans="1:17" ht="12.75" customHeight="1" x14ac:dyDescent="0.35">
      <c r="A383" s="241">
        <v>38922</v>
      </c>
      <c r="B383" s="242" t="s">
        <v>2477</v>
      </c>
      <c r="C383" s="256" t="s">
        <v>2478</v>
      </c>
      <c r="D383" s="249" t="s">
        <v>2479</v>
      </c>
      <c r="E383" s="249" t="s">
        <v>2368</v>
      </c>
      <c r="F383" s="244" t="s">
        <v>43</v>
      </c>
      <c r="G383" s="245" t="s">
        <v>89</v>
      </c>
      <c r="H383" s="246">
        <v>0</v>
      </c>
      <c r="I383" s="249" t="s">
        <v>741</v>
      </c>
      <c r="J383" s="249" t="s">
        <v>742</v>
      </c>
      <c r="K383" s="247" t="s">
        <v>743</v>
      </c>
    </row>
    <row r="384" spans="1:17" ht="12.75" customHeight="1" x14ac:dyDescent="0.35">
      <c r="A384" s="241">
        <v>38921</v>
      </c>
      <c r="B384" s="242" t="s">
        <v>2480</v>
      </c>
      <c r="C384" s="256" t="s">
        <v>2478</v>
      </c>
      <c r="D384" s="249" t="s">
        <v>2481</v>
      </c>
      <c r="E384" s="249" t="s">
        <v>2368</v>
      </c>
      <c r="F384" s="244" t="s">
        <v>49</v>
      </c>
      <c r="G384" s="245" t="s">
        <v>2482</v>
      </c>
      <c r="H384" s="246">
        <v>0</v>
      </c>
      <c r="I384" s="249" t="s">
        <v>741</v>
      </c>
      <c r="J384" s="249" t="s">
        <v>742</v>
      </c>
      <c r="K384" s="247" t="s">
        <v>743</v>
      </c>
    </row>
    <row r="385" spans="1:17" ht="12.75" customHeight="1" x14ac:dyDescent="0.35">
      <c r="A385" s="241">
        <v>25061</v>
      </c>
      <c r="B385" s="242" t="s">
        <v>796</v>
      </c>
      <c r="C385" s="243" t="s">
        <v>797</v>
      </c>
      <c r="D385" s="243" t="s">
        <v>87</v>
      </c>
      <c r="E385" s="243"/>
      <c r="F385" s="244" t="s">
        <v>43</v>
      </c>
      <c r="G385" s="275" t="s">
        <v>44</v>
      </c>
      <c r="H385" s="276" t="s">
        <v>66</v>
      </c>
      <c r="I385" s="243" t="s">
        <v>741</v>
      </c>
      <c r="J385" s="243" t="s">
        <v>742</v>
      </c>
      <c r="K385" s="247" t="s">
        <v>743</v>
      </c>
    </row>
    <row r="386" spans="1:17" ht="12.75" customHeight="1" x14ac:dyDescent="0.35">
      <c r="A386" s="241">
        <v>38920</v>
      </c>
      <c r="B386" s="242" t="s">
        <v>2483</v>
      </c>
      <c r="C386" s="256" t="s">
        <v>2484</v>
      </c>
      <c r="D386" s="249" t="s">
        <v>381</v>
      </c>
      <c r="E386" s="249" t="s">
        <v>2368</v>
      </c>
      <c r="F386" s="244" t="s">
        <v>43</v>
      </c>
      <c r="G386" s="245" t="s">
        <v>2061</v>
      </c>
      <c r="H386" s="246">
        <v>0</v>
      </c>
      <c r="I386" s="249" t="s">
        <v>741</v>
      </c>
      <c r="J386" s="249" t="s">
        <v>742</v>
      </c>
      <c r="K386" s="247" t="s">
        <v>743</v>
      </c>
    </row>
    <row r="387" spans="1:17" s="269" customFormat="1" ht="12.75" customHeight="1" x14ac:dyDescent="0.45">
      <c r="A387" s="241">
        <v>38724</v>
      </c>
      <c r="B387" s="242" t="s">
        <v>1927</v>
      </c>
      <c r="C387" s="256" t="s">
        <v>1928</v>
      </c>
      <c r="D387" s="249" t="s">
        <v>87</v>
      </c>
      <c r="E387" s="249" t="s">
        <v>2368</v>
      </c>
      <c r="F387" s="244" t="s">
        <v>43</v>
      </c>
      <c r="G387" s="275" t="s">
        <v>44</v>
      </c>
      <c r="H387" s="276"/>
      <c r="I387" s="249" t="s">
        <v>741</v>
      </c>
      <c r="J387" s="249" t="s">
        <v>742</v>
      </c>
      <c r="K387" s="247" t="s">
        <v>743</v>
      </c>
    </row>
    <row r="388" spans="1:17" ht="12.75" customHeight="1" x14ac:dyDescent="0.35">
      <c r="A388" s="241">
        <v>16667</v>
      </c>
      <c r="B388" s="242" t="s">
        <v>1929</v>
      </c>
      <c r="C388" s="243" t="s">
        <v>1930</v>
      </c>
      <c r="D388" s="243" t="s">
        <v>1931</v>
      </c>
      <c r="E388" s="243"/>
      <c r="F388" s="244" t="s">
        <v>49</v>
      </c>
      <c r="G388" s="275" t="s">
        <v>50</v>
      </c>
      <c r="H388" s="276"/>
      <c r="I388" s="243" t="s">
        <v>741</v>
      </c>
      <c r="J388" s="243" t="s">
        <v>742</v>
      </c>
      <c r="K388" s="247" t="s">
        <v>743</v>
      </c>
    </row>
    <row r="389" spans="1:17" s="269" customFormat="1" ht="12.75" customHeight="1" x14ac:dyDescent="0.45">
      <c r="A389" s="241">
        <v>38759</v>
      </c>
      <c r="B389" s="242" t="s">
        <v>1932</v>
      </c>
      <c r="C389" s="256" t="s">
        <v>1933</v>
      </c>
      <c r="D389" s="249" t="s">
        <v>1934</v>
      </c>
      <c r="E389" s="249" t="s">
        <v>2368</v>
      </c>
      <c r="F389" s="244" t="s">
        <v>49</v>
      </c>
      <c r="G389" s="275" t="s">
        <v>775</v>
      </c>
      <c r="H389" s="276" t="s">
        <v>104</v>
      </c>
      <c r="I389" s="249" t="s">
        <v>741</v>
      </c>
      <c r="J389" s="249" t="s">
        <v>742</v>
      </c>
      <c r="K389" s="247" t="s">
        <v>743</v>
      </c>
    </row>
    <row r="390" spans="1:17" s="269" customFormat="1" ht="12.75" customHeight="1" x14ac:dyDescent="0.45">
      <c r="A390" s="241">
        <v>38871</v>
      </c>
      <c r="B390" s="242" t="s">
        <v>2485</v>
      </c>
      <c r="C390" s="256" t="s">
        <v>2140</v>
      </c>
      <c r="D390" s="249" t="s">
        <v>53</v>
      </c>
      <c r="E390" s="249" t="s">
        <v>2368</v>
      </c>
      <c r="F390" s="244" t="s">
        <v>43</v>
      </c>
      <c r="G390" s="245" t="s">
        <v>44</v>
      </c>
      <c r="H390" s="246">
        <v>0</v>
      </c>
      <c r="I390" s="249" t="s">
        <v>741</v>
      </c>
      <c r="J390" s="249" t="s">
        <v>742</v>
      </c>
      <c r="K390" s="247" t="s">
        <v>743</v>
      </c>
      <c r="L390" s="278"/>
      <c r="M390" s="278"/>
      <c r="N390" s="278"/>
      <c r="Q390" s="279"/>
    </row>
    <row r="391" spans="1:17" s="269" customFormat="1" ht="12.75" customHeight="1" x14ac:dyDescent="0.45">
      <c r="A391" s="241">
        <v>38831</v>
      </c>
      <c r="B391" s="242" t="s">
        <v>2139</v>
      </c>
      <c r="C391" s="256" t="s">
        <v>2140</v>
      </c>
      <c r="D391" s="249" t="s">
        <v>2141</v>
      </c>
      <c r="E391" s="249" t="s">
        <v>2368</v>
      </c>
      <c r="F391" s="244" t="s">
        <v>49</v>
      </c>
      <c r="G391" s="275" t="s">
        <v>775</v>
      </c>
      <c r="H391" s="276"/>
      <c r="I391" s="249" t="s">
        <v>741</v>
      </c>
      <c r="J391" s="249" t="s">
        <v>742</v>
      </c>
      <c r="K391" s="247" t="s">
        <v>743</v>
      </c>
    </row>
    <row r="392" spans="1:17" s="269" customFormat="1" ht="12.75" customHeight="1" x14ac:dyDescent="0.45">
      <c r="A392" s="241">
        <v>16519</v>
      </c>
      <c r="B392" s="242" t="s">
        <v>798</v>
      </c>
      <c r="C392" s="243" t="s">
        <v>799</v>
      </c>
      <c r="D392" s="243" t="s">
        <v>767</v>
      </c>
      <c r="E392" s="243"/>
      <c r="F392" s="244" t="s">
        <v>43</v>
      </c>
      <c r="G392" s="275" t="s">
        <v>44</v>
      </c>
      <c r="H392" s="276" t="s">
        <v>239</v>
      </c>
      <c r="I392" s="243" t="s">
        <v>741</v>
      </c>
      <c r="J392" s="243" t="s">
        <v>742</v>
      </c>
      <c r="K392" s="247" t="s">
        <v>743</v>
      </c>
    </row>
    <row r="393" spans="1:17" s="269" customFormat="1" ht="12.75" customHeight="1" x14ac:dyDescent="0.45">
      <c r="A393" s="241">
        <v>38810</v>
      </c>
      <c r="B393" s="242" t="s">
        <v>2142</v>
      </c>
      <c r="C393" s="256" t="s">
        <v>2143</v>
      </c>
      <c r="D393" s="249" t="s">
        <v>287</v>
      </c>
      <c r="E393" s="249" t="s">
        <v>2368</v>
      </c>
      <c r="F393" s="244" t="s">
        <v>43</v>
      </c>
      <c r="G393" s="275" t="s">
        <v>89</v>
      </c>
      <c r="H393" s="276" t="s">
        <v>104</v>
      </c>
      <c r="I393" s="249" t="s">
        <v>741</v>
      </c>
      <c r="J393" s="249" t="s">
        <v>742</v>
      </c>
      <c r="K393" s="247" t="s">
        <v>743</v>
      </c>
      <c r="L393" s="278"/>
      <c r="M393" s="278"/>
      <c r="N393" s="278"/>
      <c r="Q393" s="279"/>
    </row>
    <row r="394" spans="1:17" s="269" customFormat="1" ht="12.75" customHeight="1" x14ac:dyDescent="0.45">
      <c r="A394" s="241">
        <v>38851</v>
      </c>
      <c r="B394" s="242" t="s">
        <v>2272</v>
      </c>
      <c r="C394" s="256" t="s">
        <v>2273</v>
      </c>
      <c r="D394" s="249" t="s">
        <v>57</v>
      </c>
      <c r="E394" s="249" t="s">
        <v>2368</v>
      </c>
      <c r="F394" s="244" t="s">
        <v>43</v>
      </c>
      <c r="G394" s="275" t="s">
        <v>44</v>
      </c>
      <c r="H394" s="276"/>
      <c r="I394" s="249" t="s">
        <v>741</v>
      </c>
      <c r="J394" s="249" t="s">
        <v>742</v>
      </c>
      <c r="K394" s="247" t="s">
        <v>743</v>
      </c>
      <c r="L394" s="278"/>
      <c r="M394" s="278"/>
      <c r="N394" s="278"/>
      <c r="Q394" s="279"/>
    </row>
    <row r="395" spans="1:17" s="269" customFormat="1" ht="12.75" customHeight="1" x14ac:dyDescent="0.45">
      <c r="A395" s="241">
        <v>38923</v>
      </c>
      <c r="B395" s="242" t="s">
        <v>2486</v>
      </c>
      <c r="C395" s="256" t="s">
        <v>2487</v>
      </c>
      <c r="D395" s="249" t="s">
        <v>2090</v>
      </c>
      <c r="E395" s="249" t="s">
        <v>2368</v>
      </c>
      <c r="F395" s="244" t="s">
        <v>49</v>
      </c>
      <c r="G395" s="245" t="s">
        <v>775</v>
      </c>
      <c r="H395" s="246">
        <v>0</v>
      </c>
      <c r="I395" s="249" t="s">
        <v>741</v>
      </c>
      <c r="J395" s="249" t="s">
        <v>742</v>
      </c>
      <c r="K395" s="247" t="s">
        <v>743</v>
      </c>
    </row>
    <row r="396" spans="1:17" ht="12.75" customHeight="1" x14ac:dyDescent="0.35">
      <c r="A396" s="241">
        <v>38773</v>
      </c>
      <c r="B396" s="242" t="s">
        <v>2046</v>
      </c>
      <c r="C396" s="256" t="s">
        <v>2047</v>
      </c>
      <c r="D396" s="249" t="s">
        <v>2048</v>
      </c>
      <c r="E396" s="249" t="s">
        <v>2368</v>
      </c>
      <c r="F396" s="244" t="s">
        <v>49</v>
      </c>
      <c r="G396" s="275" t="s">
        <v>775</v>
      </c>
      <c r="H396" s="276" t="s">
        <v>104</v>
      </c>
      <c r="I396" s="249" t="s">
        <v>741</v>
      </c>
      <c r="J396" s="249" t="s">
        <v>742</v>
      </c>
      <c r="K396" s="247" t="s">
        <v>743</v>
      </c>
    </row>
    <row r="397" spans="1:17" ht="12.75" customHeight="1" x14ac:dyDescent="0.35">
      <c r="A397" s="257">
        <v>7425</v>
      </c>
      <c r="B397" s="242" t="s">
        <v>800</v>
      </c>
      <c r="C397" s="243" t="s">
        <v>801</v>
      </c>
      <c r="D397" s="243" t="s">
        <v>73</v>
      </c>
      <c r="E397" s="243"/>
      <c r="F397" s="244" t="s">
        <v>43</v>
      </c>
      <c r="G397" s="275" t="s">
        <v>52</v>
      </c>
      <c r="H397" s="276" t="s">
        <v>180</v>
      </c>
      <c r="I397" s="243" t="s">
        <v>741</v>
      </c>
      <c r="J397" s="243" t="s">
        <v>742</v>
      </c>
      <c r="K397" s="247" t="s">
        <v>743</v>
      </c>
    </row>
    <row r="398" spans="1:17" ht="12.75" customHeight="1" x14ac:dyDescent="0.35">
      <c r="A398" s="241">
        <v>16465</v>
      </c>
      <c r="B398" s="242" t="s">
        <v>806</v>
      </c>
      <c r="C398" s="243" t="s">
        <v>807</v>
      </c>
      <c r="D398" s="243" t="s">
        <v>117</v>
      </c>
      <c r="E398" s="243"/>
      <c r="F398" s="244" t="s">
        <v>43</v>
      </c>
      <c r="G398" s="275" t="s">
        <v>67</v>
      </c>
      <c r="H398" s="276" t="s">
        <v>66</v>
      </c>
      <c r="I398" s="243" t="s">
        <v>805</v>
      </c>
      <c r="J398" s="243" t="s">
        <v>18</v>
      </c>
      <c r="K398" s="247" t="s">
        <v>22</v>
      </c>
    </row>
    <row r="399" spans="1:17" ht="12.75" customHeight="1" x14ac:dyDescent="0.35">
      <c r="A399" s="241">
        <v>25095</v>
      </c>
      <c r="B399" s="242" t="s">
        <v>1935</v>
      </c>
      <c r="C399" s="249" t="s">
        <v>574</v>
      </c>
      <c r="D399" s="249" t="s">
        <v>1759</v>
      </c>
      <c r="E399" s="249" t="s">
        <v>2368</v>
      </c>
      <c r="F399" s="244" t="s">
        <v>43</v>
      </c>
      <c r="G399" s="275" t="s">
        <v>67</v>
      </c>
      <c r="H399" s="276"/>
      <c r="I399" s="243" t="s">
        <v>805</v>
      </c>
      <c r="J399" s="243" t="s">
        <v>18</v>
      </c>
      <c r="K399" s="247" t="s">
        <v>22</v>
      </c>
    </row>
    <row r="400" spans="1:17" ht="12.75" customHeight="1" x14ac:dyDescent="0.35">
      <c r="A400" s="241">
        <v>25555</v>
      </c>
      <c r="B400" s="242">
        <v>9070673</v>
      </c>
      <c r="C400" s="249" t="s">
        <v>808</v>
      </c>
      <c r="D400" s="249" t="s">
        <v>809</v>
      </c>
      <c r="E400" s="249" t="s">
        <v>2368</v>
      </c>
      <c r="F400" s="244" t="s">
        <v>43</v>
      </c>
      <c r="G400" s="275" t="s">
        <v>44</v>
      </c>
      <c r="H400" s="276" t="s">
        <v>66</v>
      </c>
      <c r="I400" s="249" t="s">
        <v>805</v>
      </c>
      <c r="J400" s="249" t="s">
        <v>18</v>
      </c>
      <c r="K400" s="247" t="s">
        <v>22</v>
      </c>
    </row>
    <row r="401" spans="1:17" ht="12.75" customHeight="1" x14ac:dyDescent="0.35">
      <c r="A401" s="241">
        <v>25097</v>
      </c>
      <c r="B401" s="242" t="s">
        <v>811</v>
      </c>
      <c r="C401" s="249" t="s">
        <v>812</v>
      </c>
      <c r="D401" s="249" t="s">
        <v>634</v>
      </c>
      <c r="E401" s="249" t="s">
        <v>2368</v>
      </c>
      <c r="F401" s="244" t="s">
        <v>43</v>
      </c>
      <c r="G401" s="275" t="s">
        <v>44</v>
      </c>
      <c r="H401" s="276" t="s">
        <v>45</v>
      </c>
      <c r="I401" s="249" t="s">
        <v>805</v>
      </c>
      <c r="J401" s="249" t="s">
        <v>18</v>
      </c>
      <c r="K401" s="247" t="s">
        <v>22</v>
      </c>
    </row>
    <row r="402" spans="1:17" ht="12.75" customHeight="1" x14ac:dyDescent="0.35">
      <c r="A402" s="241">
        <v>25614</v>
      </c>
      <c r="B402" s="242" t="s">
        <v>2394</v>
      </c>
      <c r="C402" s="249" t="s">
        <v>813</v>
      </c>
      <c r="D402" s="249" t="s">
        <v>117</v>
      </c>
      <c r="E402" s="249" t="s">
        <v>2368</v>
      </c>
      <c r="F402" s="244" t="s">
        <v>43</v>
      </c>
      <c r="G402" s="275" t="s">
        <v>52</v>
      </c>
      <c r="H402" s="276" t="s">
        <v>51</v>
      </c>
      <c r="I402" s="249" t="s">
        <v>805</v>
      </c>
      <c r="J402" s="249" t="s">
        <v>18</v>
      </c>
      <c r="K402" s="247" t="s">
        <v>22</v>
      </c>
    </row>
    <row r="403" spans="1:17" ht="12.75" customHeight="1" x14ac:dyDescent="0.35">
      <c r="A403" s="241">
        <v>25093</v>
      </c>
      <c r="B403" s="242" t="s">
        <v>814</v>
      </c>
      <c r="C403" s="243" t="s">
        <v>815</v>
      </c>
      <c r="D403" s="243" t="s">
        <v>90</v>
      </c>
      <c r="E403" s="243"/>
      <c r="F403" s="244" t="s">
        <v>43</v>
      </c>
      <c r="G403" s="275" t="s">
        <v>67</v>
      </c>
      <c r="H403" s="276"/>
      <c r="I403" s="243" t="s">
        <v>805</v>
      </c>
      <c r="J403" s="243" t="s">
        <v>18</v>
      </c>
      <c r="K403" s="247" t="s">
        <v>22</v>
      </c>
    </row>
    <row r="404" spans="1:17" ht="12.75" customHeight="1" x14ac:dyDescent="0.35">
      <c r="A404" s="241">
        <v>38744</v>
      </c>
      <c r="B404" s="242" t="s">
        <v>1936</v>
      </c>
      <c r="C404" s="243" t="s">
        <v>1937</v>
      </c>
      <c r="D404" s="243" t="s">
        <v>150</v>
      </c>
      <c r="E404" s="243"/>
      <c r="F404" s="244" t="s">
        <v>43</v>
      </c>
      <c r="G404" s="275" t="s">
        <v>94</v>
      </c>
      <c r="H404" s="276" t="s">
        <v>45</v>
      </c>
      <c r="I404" s="243" t="s">
        <v>805</v>
      </c>
      <c r="J404" s="243" t="s">
        <v>18</v>
      </c>
      <c r="K404" s="247" t="s">
        <v>22</v>
      </c>
    </row>
    <row r="405" spans="1:17" ht="12.75" customHeight="1" x14ac:dyDescent="0.35">
      <c r="A405" s="241">
        <v>25948</v>
      </c>
      <c r="B405" s="242">
        <v>9111781</v>
      </c>
      <c r="C405" s="243" t="s">
        <v>816</v>
      </c>
      <c r="D405" s="243" t="s">
        <v>179</v>
      </c>
      <c r="E405" s="243"/>
      <c r="F405" s="244" t="s">
        <v>43</v>
      </c>
      <c r="G405" s="275" t="s">
        <v>44</v>
      </c>
      <c r="H405" s="276" t="s">
        <v>239</v>
      </c>
      <c r="I405" s="243" t="s">
        <v>805</v>
      </c>
      <c r="J405" s="243" t="s">
        <v>18</v>
      </c>
      <c r="K405" s="247" t="s">
        <v>22</v>
      </c>
    </row>
    <row r="406" spans="1:17" ht="12.75" customHeight="1" x14ac:dyDescent="0.35">
      <c r="A406" s="241">
        <v>38799</v>
      </c>
      <c r="B406" s="242" t="s">
        <v>2144</v>
      </c>
      <c r="C406" s="243" t="s">
        <v>2145</v>
      </c>
      <c r="D406" s="243" t="s">
        <v>2146</v>
      </c>
      <c r="E406" s="243"/>
      <c r="F406" s="244" t="s">
        <v>49</v>
      </c>
      <c r="G406" s="275" t="s">
        <v>79</v>
      </c>
      <c r="H406" s="276" t="s">
        <v>104</v>
      </c>
      <c r="I406" s="243" t="s">
        <v>805</v>
      </c>
      <c r="J406" s="243" t="s">
        <v>18</v>
      </c>
      <c r="K406" s="247" t="s">
        <v>22</v>
      </c>
    </row>
    <row r="407" spans="1:17" ht="12.75" customHeight="1" x14ac:dyDescent="0.35">
      <c r="A407" s="241">
        <v>25615</v>
      </c>
      <c r="B407" s="242" t="s">
        <v>2395</v>
      </c>
      <c r="C407" s="249" t="s">
        <v>817</v>
      </c>
      <c r="D407" s="249" t="s">
        <v>143</v>
      </c>
      <c r="E407" s="249" t="s">
        <v>2368</v>
      </c>
      <c r="F407" s="244" t="s">
        <v>43</v>
      </c>
      <c r="G407" s="275" t="s">
        <v>67</v>
      </c>
      <c r="H407" s="276" t="s">
        <v>66</v>
      </c>
      <c r="I407" s="249" t="s">
        <v>805</v>
      </c>
      <c r="J407" s="249" t="s">
        <v>18</v>
      </c>
      <c r="K407" s="247" t="s">
        <v>22</v>
      </c>
      <c r="L407" s="272"/>
      <c r="M407" s="272"/>
      <c r="N407" s="272"/>
      <c r="Q407" s="274"/>
    </row>
    <row r="408" spans="1:17" ht="12.75" customHeight="1" x14ac:dyDescent="0.35">
      <c r="A408" s="241">
        <v>16456</v>
      </c>
      <c r="B408" s="242">
        <v>9109458</v>
      </c>
      <c r="C408" s="243" t="s">
        <v>818</v>
      </c>
      <c r="D408" s="243" t="s">
        <v>183</v>
      </c>
      <c r="E408" s="243"/>
      <c r="F408" s="244" t="s">
        <v>43</v>
      </c>
      <c r="G408" s="275" t="s">
        <v>58</v>
      </c>
      <c r="H408" s="276" t="s">
        <v>51</v>
      </c>
      <c r="I408" s="243" t="s">
        <v>805</v>
      </c>
      <c r="J408" s="243" t="s">
        <v>18</v>
      </c>
      <c r="K408" s="247" t="s">
        <v>22</v>
      </c>
    </row>
    <row r="409" spans="1:17" ht="12.75" customHeight="1" x14ac:dyDescent="0.35">
      <c r="A409" s="241">
        <v>16459</v>
      </c>
      <c r="B409" s="242" t="s">
        <v>819</v>
      </c>
      <c r="C409" s="243" t="s">
        <v>820</v>
      </c>
      <c r="D409" s="243" t="s">
        <v>61</v>
      </c>
      <c r="E409" s="243"/>
      <c r="F409" s="244" t="s">
        <v>43</v>
      </c>
      <c r="G409" s="275" t="s">
        <v>52</v>
      </c>
      <c r="H409" s="276" t="s">
        <v>66</v>
      </c>
      <c r="I409" s="243" t="s">
        <v>805</v>
      </c>
      <c r="J409" s="243" t="s">
        <v>18</v>
      </c>
      <c r="K409" s="247" t="s">
        <v>22</v>
      </c>
    </row>
    <row r="410" spans="1:17" ht="12.75" customHeight="1" x14ac:dyDescent="0.35">
      <c r="A410" s="241">
        <v>38711</v>
      </c>
      <c r="B410" s="242" t="s">
        <v>821</v>
      </c>
      <c r="C410" s="243" t="s">
        <v>822</v>
      </c>
      <c r="D410" s="243" t="s">
        <v>823</v>
      </c>
      <c r="E410" s="243"/>
      <c r="F410" s="244" t="s">
        <v>43</v>
      </c>
      <c r="G410" s="275" t="s">
        <v>44</v>
      </c>
      <c r="H410" s="276" t="s">
        <v>180</v>
      </c>
      <c r="I410" s="243" t="s">
        <v>805</v>
      </c>
      <c r="J410" s="243" t="s">
        <v>18</v>
      </c>
      <c r="K410" s="247" t="s">
        <v>22</v>
      </c>
      <c r="L410" s="272"/>
      <c r="M410" s="272"/>
      <c r="N410" s="272"/>
      <c r="Q410" s="274"/>
    </row>
    <row r="411" spans="1:17" ht="12.75" customHeight="1" x14ac:dyDescent="0.35">
      <c r="A411" s="241">
        <v>16462</v>
      </c>
      <c r="B411" s="242" t="s">
        <v>824</v>
      </c>
      <c r="C411" s="243" t="s">
        <v>825</v>
      </c>
      <c r="D411" s="243" t="s">
        <v>165</v>
      </c>
      <c r="E411" s="243"/>
      <c r="F411" s="244" t="s">
        <v>43</v>
      </c>
      <c r="G411" s="275" t="s">
        <v>52</v>
      </c>
      <c r="H411" s="276" t="s">
        <v>66</v>
      </c>
      <c r="I411" s="243" t="s">
        <v>805</v>
      </c>
      <c r="J411" s="243" t="s">
        <v>18</v>
      </c>
      <c r="K411" s="247" t="s">
        <v>22</v>
      </c>
    </row>
    <row r="412" spans="1:17" ht="12.75" customHeight="1" x14ac:dyDescent="0.35">
      <c r="A412" s="241">
        <v>16811</v>
      </c>
      <c r="B412" s="242" t="s">
        <v>826</v>
      </c>
      <c r="C412" s="243" t="s">
        <v>502</v>
      </c>
      <c r="D412" s="243" t="s">
        <v>437</v>
      </c>
      <c r="E412" s="243"/>
      <c r="F412" s="244" t="s">
        <v>43</v>
      </c>
      <c r="G412" s="275" t="s">
        <v>52</v>
      </c>
      <c r="H412" s="276"/>
      <c r="I412" s="243" t="s">
        <v>805</v>
      </c>
      <c r="J412" s="243" t="s">
        <v>18</v>
      </c>
      <c r="K412" s="247" t="s">
        <v>22</v>
      </c>
    </row>
    <row r="413" spans="1:17" ht="12.75" customHeight="1" x14ac:dyDescent="0.35">
      <c r="A413" s="241">
        <v>25087</v>
      </c>
      <c r="B413" s="242" t="s">
        <v>827</v>
      </c>
      <c r="C413" s="243" t="s">
        <v>828</v>
      </c>
      <c r="D413" s="243" t="s">
        <v>195</v>
      </c>
      <c r="E413" s="243"/>
      <c r="F413" s="244" t="s">
        <v>43</v>
      </c>
      <c r="G413" s="275" t="s">
        <v>44</v>
      </c>
      <c r="H413" s="276" t="s">
        <v>45</v>
      </c>
      <c r="I413" s="243" t="s">
        <v>805</v>
      </c>
      <c r="J413" s="243" t="s">
        <v>18</v>
      </c>
      <c r="K413" s="247" t="s">
        <v>22</v>
      </c>
    </row>
    <row r="414" spans="1:17" ht="12.75" customHeight="1" x14ac:dyDescent="0.35">
      <c r="A414" s="241">
        <v>38826</v>
      </c>
      <c r="B414" s="242" t="s">
        <v>2147</v>
      </c>
      <c r="C414" s="243" t="s">
        <v>2148</v>
      </c>
      <c r="D414" s="243" t="s">
        <v>702</v>
      </c>
      <c r="E414" s="243"/>
      <c r="F414" s="244" t="s">
        <v>43</v>
      </c>
      <c r="G414" s="275" t="s">
        <v>44</v>
      </c>
      <c r="H414" s="276" t="s">
        <v>104</v>
      </c>
      <c r="I414" s="243" t="s">
        <v>805</v>
      </c>
      <c r="J414" s="243" t="s">
        <v>18</v>
      </c>
      <c r="K414" s="247" t="s">
        <v>22</v>
      </c>
    </row>
    <row r="415" spans="1:17" ht="12.75" customHeight="1" x14ac:dyDescent="0.35">
      <c r="A415" s="241">
        <v>38664</v>
      </c>
      <c r="B415" s="242" t="s">
        <v>829</v>
      </c>
      <c r="C415" s="243" t="s">
        <v>830</v>
      </c>
      <c r="D415" s="243" t="s">
        <v>831</v>
      </c>
      <c r="E415" s="243"/>
      <c r="F415" s="244" t="s">
        <v>43</v>
      </c>
      <c r="G415" s="275" t="s">
        <v>44</v>
      </c>
      <c r="H415" s="276"/>
      <c r="I415" s="243" t="s">
        <v>805</v>
      </c>
      <c r="J415" s="243" t="s">
        <v>18</v>
      </c>
      <c r="K415" s="247" t="s">
        <v>22</v>
      </c>
    </row>
    <row r="416" spans="1:17" ht="12.75" customHeight="1" x14ac:dyDescent="0.35">
      <c r="A416" s="241">
        <v>38878</v>
      </c>
      <c r="B416" s="242" t="s">
        <v>2488</v>
      </c>
      <c r="C416" s="243" t="s">
        <v>670</v>
      </c>
      <c r="D416" s="243" t="s">
        <v>1610</v>
      </c>
      <c r="E416" s="243"/>
      <c r="F416" s="244" t="s">
        <v>43</v>
      </c>
      <c r="G416" s="245" t="s">
        <v>44</v>
      </c>
      <c r="H416" s="246">
        <v>0</v>
      </c>
      <c r="I416" s="243" t="s">
        <v>805</v>
      </c>
      <c r="J416" s="243" t="s">
        <v>18</v>
      </c>
      <c r="K416" s="247" t="s">
        <v>22</v>
      </c>
    </row>
    <row r="417" spans="1:17" ht="12.75" customHeight="1" x14ac:dyDescent="0.35">
      <c r="A417" s="241">
        <v>10678</v>
      </c>
      <c r="B417" s="242" t="s">
        <v>832</v>
      </c>
      <c r="C417" s="243" t="s">
        <v>833</v>
      </c>
      <c r="D417" s="243" t="s">
        <v>834</v>
      </c>
      <c r="E417" s="243"/>
      <c r="F417" s="244" t="s">
        <v>43</v>
      </c>
      <c r="G417" s="275" t="s">
        <v>44</v>
      </c>
      <c r="H417" s="276" t="s">
        <v>45</v>
      </c>
      <c r="I417" s="243" t="s">
        <v>805</v>
      </c>
      <c r="J417" s="243" t="s">
        <v>18</v>
      </c>
      <c r="K417" s="247" t="s">
        <v>22</v>
      </c>
    </row>
    <row r="418" spans="1:17" ht="12.75" customHeight="1" x14ac:dyDescent="0.35">
      <c r="A418" s="257">
        <v>38403</v>
      </c>
      <c r="B418" s="242" t="s">
        <v>835</v>
      </c>
      <c r="C418" s="243" t="s">
        <v>836</v>
      </c>
      <c r="D418" s="243" t="s">
        <v>837</v>
      </c>
      <c r="E418" s="243"/>
      <c r="F418" s="244" t="s">
        <v>43</v>
      </c>
      <c r="G418" s="275" t="s">
        <v>44</v>
      </c>
      <c r="H418" s="276" t="s">
        <v>66</v>
      </c>
      <c r="I418" s="243" t="s">
        <v>805</v>
      </c>
      <c r="J418" s="243" t="s">
        <v>18</v>
      </c>
      <c r="K418" s="247" t="s">
        <v>22</v>
      </c>
    </row>
    <row r="419" spans="1:17" ht="12.75" customHeight="1" x14ac:dyDescent="0.35">
      <c r="A419" s="241">
        <v>16471</v>
      </c>
      <c r="B419" s="242" t="s">
        <v>2149</v>
      </c>
      <c r="C419" s="243" t="s">
        <v>2150</v>
      </c>
      <c r="D419" s="243" t="s">
        <v>2151</v>
      </c>
      <c r="E419" s="243"/>
      <c r="F419" s="244" t="s">
        <v>43</v>
      </c>
      <c r="G419" s="275" t="s">
        <v>67</v>
      </c>
      <c r="H419" s="276" t="s">
        <v>45</v>
      </c>
      <c r="I419" s="243" t="s">
        <v>805</v>
      </c>
      <c r="J419" s="243" t="s">
        <v>18</v>
      </c>
      <c r="K419" s="247" t="s">
        <v>22</v>
      </c>
    </row>
    <row r="420" spans="1:17" ht="12.75" customHeight="1" x14ac:dyDescent="0.35">
      <c r="A420" s="241">
        <v>16461</v>
      </c>
      <c r="B420" s="258" t="s">
        <v>838</v>
      </c>
      <c r="C420" s="243" t="s">
        <v>839</v>
      </c>
      <c r="D420" s="243" t="s">
        <v>57</v>
      </c>
      <c r="E420" s="243"/>
      <c r="F420" s="244" t="s">
        <v>43</v>
      </c>
      <c r="G420" s="245" t="s">
        <v>58</v>
      </c>
      <c r="H420" s="246">
        <v>0</v>
      </c>
      <c r="I420" s="243" t="s">
        <v>805</v>
      </c>
      <c r="J420" s="243" t="s">
        <v>18</v>
      </c>
      <c r="K420" s="247" t="s">
        <v>22</v>
      </c>
    </row>
    <row r="421" spans="1:17" ht="12.75" customHeight="1" x14ac:dyDescent="0.35">
      <c r="A421" s="241">
        <v>38639</v>
      </c>
      <c r="B421" s="242" t="s">
        <v>841</v>
      </c>
      <c r="C421" s="243" t="s">
        <v>842</v>
      </c>
      <c r="D421" s="243" t="s">
        <v>117</v>
      </c>
      <c r="E421" s="243"/>
      <c r="F421" s="244" t="s">
        <v>43</v>
      </c>
      <c r="G421" s="275" t="s">
        <v>44</v>
      </c>
      <c r="H421" s="276" t="s">
        <v>66</v>
      </c>
      <c r="I421" s="243" t="s">
        <v>805</v>
      </c>
      <c r="J421" s="243" t="s">
        <v>18</v>
      </c>
      <c r="K421" s="247" t="s">
        <v>22</v>
      </c>
    </row>
    <row r="422" spans="1:17" ht="12.75" customHeight="1" x14ac:dyDescent="0.35">
      <c r="A422" s="241">
        <v>38638</v>
      </c>
      <c r="B422" s="242" t="s">
        <v>843</v>
      </c>
      <c r="C422" s="243" t="s">
        <v>844</v>
      </c>
      <c r="D422" s="243" t="s">
        <v>845</v>
      </c>
      <c r="E422" s="243"/>
      <c r="F422" s="244" t="s">
        <v>43</v>
      </c>
      <c r="G422" s="275" t="s">
        <v>44</v>
      </c>
      <c r="H422" s="276" t="s">
        <v>66</v>
      </c>
      <c r="I422" s="243" t="s">
        <v>805</v>
      </c>
      <c r="J422" s="243" t="s">
        <v>18</v>
      </c>
      <c r="K422" s="247" t="s">
        <v>22</v>
      </c>
    </row>
    <row r="423" spans="1:17" ht="12.75" customHeight="1" x14ac:dyDescent="0.35">
      <c r="A423" s="241">
        <v>38637</v>
      </c>
      <c r="B423" s="242" t="s">
        <v>846</v>
      </c>
      <c r="C423" s="243" t="s">
        <v>847</v>
      </c>
      <c r="D423" s="243" t="s">
        <v>238</v>
      </c>
      <c r="E423" s="243"/>
      <c r="F423" s="244" t="s">
        <v>43</v>
      </c>
      <c r="G423" s="275" t="s">
        <v>44</v>
      </c>
      <c r="H423" s="276" t="s">
        <v>45</v>
      </c>
      <c r="I423" s="243" t="s">
        <v>805</v>
      </c>
      <c r="J423" s="243" t="s">
        <v>18</v>
      </c>
      <c r="K423" s="247" t="s">
        <v>22</v>
      </c>
      <c r="L423" s="272"/>
      <c r="M423" s="272"/>
      <c r="N423" s="272"/>
      <c r="Q423" s="274"/>
    </row>
    <row r="424" spans="1:17" ht="12.75" customHeight="1" x14ac:dyDescent="0.35">
      <c r="A424" s="241">
        <v>38549</v>
      </c>
      <c r="B424" s="242" t="s">
        <v>848</v>
      </c>
      <c r="C424" s="249" t="s">
        <v>849</v>
      </c>
      <c r="D424" s="249" t="s">
        <v>97</v>
      </c>
      <c r="E424" s="249" t="s">
        <v>2368</v>
      </c>
      <c r="F424" s="244" t="s">
        <v>43</v>
      </c>
      <c r="G424" s="275" t="s">
        <v>52</v>
      </c>
      <c r="H424" s="276" t="s">
        <v>66</v>
      </c>
      <c r="I424" s="249" t="s">
        <v>2489</v>
      </c>
      <c r="J424" s="249" t="s">
        <v>18</v>
      </c>
      <c r="K424" s="247" t="s">
        <v>22</v>
      </c>
    </row>
    <row r="425" spans="1:17" ht="12.75" customHeight="1" x14ac:dyDescent="0.35">
      <c r="A425" s="241">
        <v>38746</v>
      </c>
      <c r="B425" s="242" t="s">
        <v>1940</v>
      </c>
      <c r="C425" s="243" t="s">
        <v>1941</v>
      </c>
      <c r="D425" s="243" t="s">
        <v>896</v>
      </c>
      <c r="E425" s="243"/>
      <c r="F425" s="244" t="s">
        <v>43</v>
      </c>
      <c r="G425" s="275" t="s">
        <v>94</v>
      </c>
      <c r="H425" s="276" t="s">
        <v>51</v>
      </c>
      <c r="I425" s="249" t="s">
        <v>2489</v>
      </c>
      <c r="J425" s="243" t="s">
        <v>18</v>
      </c>
      <c r="K425" s="247" t="s">
        <v>22</v>
      </c>
    </row>
    <row r="426" spans="1:17" ht="12.75" customHeight="1" x14ac:dyDescent="0.35">
      <c r="A426" s="241">
        <v>38593</v>
      </c>
      <c r="B426" s="242" t="s">
        <v>382</v>
      </c>
      <c r="C426" s="249" t="s">
        <v>380</v>
      </c>
      <c r="D426" s="249" t="s">
        <v>383</v>
      </c>
      <c r="E426" s="249" t="s">
        <v>2368</v>
      </c>
      <c r="F426" s="244" t="s">
        <v>43</v>
      </c>
      <c r="G426" s="275" t="s">
        <v>67</v>
      </c>
      <c r="H426" s="276" t="s">
        <v>45</v>
      </c>
      <c r="I426" s="249" t="s">
        <v>2489</v>
      </c>
      <c r="J426" s="249" t="s">
        <v>18</v>
      </c>
      <c r="K426" s="247" t="s">
        <v>22</v>
      </c>
    </row>
    <row r="427" spans="1:17" ht="12.75" customHeight="1" x14ac:dyDescent="0.35">
      <c r="A427" s="241">
        <v>38717</v>
      </c>
      <c r="B427" s="242" t="s">
        <v>1942</v>
      </c>
      <c r="C427" s="243" t="s">
        <v>645</v>
      </c>
      <c r="D427" s="243" t="s">
        <v>64</v>
      </c>
      <c r="E427" s="243"/>
      <c r="F427" s="244" t="s">
        <v>43</v>
      </c>
      <c r="G427" s="275" t="s">
        <v>44</v>
      </c>
      <c r="H427" s="276"/>
      <c r="I427" s="249" t="s">
        <v>2489</v>
      </c>
      <c r="J427" s="243" t="s">
        <v>18</v>
      </c>
      <c r="K427" s="247" t="s">
        <v>22</v>
      </c>
      <c r="L427" s="272"/>
      <c r="M427" s="272"/>
      <c r="N427" s="272"/>
      <c r="Q427" s="274"/>
    </row>
    <row r="428" spans="1:17" ht="12.75" customHeight="1" x14ac:dyDescent="0.35">
      <c r="A428" s="241">
        <v>38800</v>
      </c>
      <c r="B428" s="242" t="s">
        <v>2155</v>
      </c>
      <c r="C428" s="243" t="s">
        <v>2156</v>
      </c>
      <c r="D428" s="243" t="s">
        <v>713</v>
      </c>
      <c r="E428" s="243"/>
      <c r="F428" s="244" t="s">
        <v>43</v>
      </c>
      <c r="G428" s="275" t="s">
        <v>94</v>
      </c>
      <c r="H428" s="276" t="s">
        <v>45</v>
      </c>
      <c r="I428" s="249" t="s">
        <v>2489</v>
      </c>
      <c r="J428" s="243" t="s">
        <v>18</v>
      </c>
      <c r="K428" s="247" t="s">
        <v>22</v>
      </c>
    </row>
    <row r="429" spans="1:17" ht="12.75" customHeight="1" x14ac:dyDescent="0.35">
      <c r="A429" s="241">
        <v>38732</v>
      </c>
      <c r="B429" s="242" t="s">
        <v>1943</v>
      </c>
      <c r="C429" s="243" t="s">
        <v>1944</v>
      </c>
      <c r="D429" s="243" t="s">
        <v>53</v>
      </c>
      <c r="E429" s="243"/>
      <c r="F429" s="244" t="s">
        <v>43</v>
      </c>
      <c r="G429" s="275" t="s">
        <v>44</v>
      </c>
      <c r="H429" s="276" t="s">
        <v>180</v>
      </c>
      <c r="I429" s="249" t="s">
        <v>2489</v>
      </c>
      <c r="J429" s="243" t="s">
        <v>18</v>
      </c>
      <c r="K429" s="247" t="s">
        <v>22</v>
      </c>
    </row>
    <row r="430" spans="1:17" ht="12.75" customHeight="1" x14ac:dyDescent="0.35">
      <c r="A430" s="241">
        <v>38745</v>
      </c>
      <c r="B430" s="242" t="s">
        <v>1945</v>
      </c>
      <c r="C430" s="243" t="s">
        <v>1946</v>
      </c>
      <c r="D430" s="243" t="s">
        <v>179</v>
      </c>
      <c r="E430" s="243"/>
      <c r="F430" s="244" t="s">
        <v>43</v>
      </c>
      <c r="G430" s="275" t="s">
        <v>44</v>
      </c>
      <c r="H430" s="276" t="s">
        <v>180</v>
      </c>
      <c r="I430" s="249" t="s">
        <v>2489</v>
      </c>
      <c r="J430" s="243" t="s">
        <v>18</v>
      </c>
      <c r="K430" s="247" t="s">
        <v>22</v>
      </c>
    </row>
    <row r="431" spans="1:17" ht="12.75" customHeight="1" x14ac:dyDescent="0.35">
      <c r="A431" s="241">
        <v>38913</v>
      </c>
      <c r="B431" s="242" t="s">
        <v>2490</v>
      </c>
      <c r="C431" s="243" t="s">
        <v>2491</v>
      </c>
      <c r="D431" s="243" t="s">
        <v>722</v>
      </c>
      <c r="E431" s="243"/>
      <c r="F431" s="244" t="s">
        <v>49</v>
      </c>
      <c r="G431" s="245" t="s">
        <v>342</v>
      </c>
      <c r="H431" s="246">
        <v>0</v>
      </c>
      <c r="I431" s="249" t="s">
        <v>2489</v>
      </c>
      <c r="J431" s="243" t="s">
        <v>18</v>
      </c>
      <c r="K431" s="247" t="s">
        <v>22</v>
      </c>
      <c r="L431" s="272"/>
      <c r="M431" s="272"/>
      <c r="N431" s="272"/>
      <c r="Q431" s="274"/>
    </row>
    <row r="432" spans="1:17" ht="12.75" customHeight="1" x14ac:dyDescent="0.35">
      <c r="A432" s="241">
        <v>38747</v>
      </c>
      <c r="B432" s="242" t="s">
        <v>1947</v>
      </c>
      <c r="C432" s="243" t="s">
        <v>1948</v>
      </c>
      <c r="D432" s="243" t="s">
        <v>191</v>
      </c>
      <c r="E432" s="243"/>
      <c r="F432" s="244" t="s">
        <v>43</v>
      </c>
      <c r="G432" s="275" t="s">
        <v>94</v>
      </c>
      <c r="H432" s="276" t="s">
        <v>45</v>
      </c>
      <c r="I432" s="249" t="s">
        <v>2489</v>
      </c>
      <c r="J432" s="243" t="s">
        <v>18</v>
      </c>
      <c r="K432" s="247" t="s">
        <v>22</v>
      </c>
    </row>
    <row r="433" spans="1:17" ht="12.75" customHeight="1" x14ac:dyDescent="0.35">
      <c r="A433" s="241">
        <v>15911</v>
      </c>
      <c r="B433" s="242" t="s">
        <v>105</v>
      </c>
      <c r="C433" s="243" t="s">
        <v>106</v>
      </c>
      <c r="D433" s="243" t="s">
        <v>107</v>
      </c>
      <c r="E433" s="243"/>
      <c r="F433" s="244" t="s">
        <v>43</v>
      </c>
      <c r="G433" s="275" t="s">
        <v>52</v>
      </c>
      <c r="H433" s="276" t="s">
        <v>66</v>
      </c>
      <c r="I433" s="249" t="s">
        <v>2489</v>
      </c>
      <c r="J433" s="243" t="s">
        <v>18</v>
      </c>
      <c r="K433" s="247" t="s">
        <v>22</v>
      </c>
    </row>
    <row r="434" spans="1:17" ht="12.75" customHeight="1" x14ac:dyDescent="0.35">
      <c r="A434" s="241" t="s">
        <v>2492</v>
      </c>
      <c r="B434" s="242" t="s">
        <v>894</v>
      </c>
      <c r="C434" s="243" t="s">
        <v>895</v>
      </c>
      <c r="D434" s="243" t="s">
        <v>64</v>
      </c>
      <c r="E434" s="243"/>
      <c r="F434" s="244" t="s">
        <v>43</v>
      </c>
      <c r="G434" s="275" t="s">
        <v>67</v>
      </c>
      <c r="H434" s="276" t="s">
        <v>66</v>
      </c>
      <c r="I434" s="249" t="s">
        <v>2489</v>
      </c>
      <c r="J434" s="243" t="s">
        <v>18</v>
      </c>
      <c r="K434" s="247" t="s">
        <v>22</v>
      </c>
    </row>
    <row r="435" spans="1:17" ht="12.75" customHeight="1" x14ac:dyDescent="0.35">
      <c r="A435" s="241">
        <v>25082</v>
      </c>
      <c r="B435" s="242" t="s">
        <v>1182</v>
      </c>
      <c r="C435" s="243" t="s">
        <v>347</v>
      </c>
      <c r="D435" s="243" t="s">
        <v>59</v>
      </c>
      <c r="E435" s="243"/>
      <c r="F435" s="244" t="s">
        <v>43</v>
      </c>
      <c r="G435" s="275" t="s">
        <v>44</v>
      </c>
      <c r="H435" s="276" t="s">
        <v>239</v>
      </c>
      <c r="I435" s="243" t="s">
        <v>850</v>
      </c>
      <c r="J435" s="243" t="s">
        <v>18</v>
      </c>
      <c r="K435" s="247" t="s">
        <v>22</v>
      </c>
    </row>
    <row r="436" spans="1:17" ht="12.75" customHeight="1" x14ac:dyDescent="0.35">
      <c r="A436" s="241">
        <v>38798</v>
      </c>
      <c r="B436" s="242" t="s">
        <v>2152</v>
      </c>
      <c r="C436" s="243" t="s">
        <v>2153</v>
      </c>
      <c r="D436" s="243" t="s">
        <v>2154</v>
      </c>
      <c r="E436" s="243"/>
      <c r="F436" s="244" t="s">
        <v>49</v>
      </c>
      <c r="G436" s="275" t="s">
        <v>139</v>
      </c>
      <c r="H436" s="276" t="s">
        <v>104</v>
      </c>
      <c r="I436" s="243" t="s">
        <v>850</v>
      </c>
      <c r="J436" s="243" t="s">
        <v>18</v>
      </c>
      <c r="K436" s="247" t="s">
        <v>22</v>
      </c>
      <c r="L436" s="272"/>
      <c r="M436" s="272"/>
      <c r="N436" s="272"/>
      <c r="Q436" s="274"/>
    </row>
    <row r="437" spans="1:17" ht="12.75" customHeight="1" x14ac:dyDescent="0.35">
      <c r="A437" s="241">
        <v>38243</v>
      </c>
      <c r="B437" s="242" t="s">
        <v>854</v>
      </c>
      <c r="C437" s="243" t="s">
        <v>86</v>
      </c>
      <c r="D437" s="243" t="s">
        <v>855</v>
      </c>
      <c r="E437" s="243"/>
      <c r="F437" s="244" t="s">
        <v>43</v>
      </c>
      <c r="G437" s="275" t="s">
        <v>52</v>
      </c>
      <c r="H437" s="276"/>
      <c r="I437" s="243" t="s">
        <v>850</v>
      </c>
      <c r="J437" s="243" t="s">
        <v>18</v>
      </c>
      <c r="K437" s="247" t="s">
        <v>22</v>
      </c>
      <c r="L437" s="272"/>
      <c r="M437" s="272"/>
      <c r="N437" s="272"/>
      <c r="Q437" s="274"/>
    </row>
    <row r="438" spans="1:17" ht="12.75" customHeight="1" x14ac:dyDescent="0.35">
      <c r="A438" s="241">
        <v>38044</v>
      </c>
      <c r="B438" s="242" t="s">
        <v>856</v>
      </c>
      <c r="C438" s="243" t="s">
        <v>857</v>
      </c>
      <c r="D438" s="243" t="s">
        <v>143</v>
      </c>
      <c r="E438" s="243"/>
      <c r="F438" s="244" t="s">
        <v>43</v>
      </c>
      <c r="G438" s="275" t="s">
        <v>67</v>
      </c>
      <c r="H438" s="276" t="s">
        <v>66</v>
      </c>
      <c r="I438" s="249" t="s">
        <v>850</v>
      </c>
      <c r="J438" s="243" t="s">
        <v>18</v>
      </c>
      <c r="K438" s="247" t="s">
        <v>22</v>
      </c>
    </row>
    <row r="439" spans="1:17" ht="12.75" customHeight="1" x14ac:dyDescent="0.35">
      <c r="A439" s="241">
        <v>38401</v>
      </c>
      <c r="B439" s="242" t="s">
        <v>858</v>
      </c>
      <c r="C439" s="243" t="s">
        <v>131</v>
      </c>
      <c r="D439" s="243" t="s">
        <v>859</v>
      </c>
      <c r="E439" s="243"/>
      <c r="F439" s="244" t="s">
        <v>49</v>
      </c>
      <c r="G439" s="275" t="s">
        <v>50</v>
      </c>
      <c r="H439" s="276" t="s">
        <v>45</v>
      </c>
      <c r="I439" s="243" t="s">
        <v>850</v>
      </c>
      <c r="J439" s="243" t="s">
        <v>18</v>
      </c>
      <c r="K439" s="247" t="s">
        <v>22</v>
      </c>
    </row>
    <row r="440" spans="1:17" ht="12.75" customHeight="1" x14ac:dyDescent="0.35">
      <c r="A440" s="241">
        <v>16900</v>
      </c>
      <c r="B440" s="242" t="s">
        <v>860</v>
      </c>
      <c r="C440" s="249" t="s">
        <v>861</v>
      </c>
      <c r="D440" s="249" t="s">
        <v>862</v>
      </c>
      <c r="E440" s="249" t="s">
        <v>2368</v>
      </c>
      <c r="F440" s="244" t="s">
        <v>49</v>
      </c>
      <c r="G440" s="275" t="s">
        <v>139</v>
      </c>
      <c r="H440" s="276" t="s">
        <v>66</v>
      </c>
      <c r="I440" s="249" t="s">
        <v>850</v>
      </c>
      <c r="J440" s="249" t="s">
        <v>18</v>
      </c>
      <c r="K440" s="247" t="s">
        <v>22</v>
      </c>
    </row>
    <row r="441" spans="1:17" ht="12.75" customHeight="1" x14ac:dyDescent="0.35">
      <c r="A441" s="241">
        <v>38583</v>
      </c>
      <c r="B441" s="258" t="s">
        <v>863</v>
      </c>
      <c r="C441" s="243" t="s">
        <v>864</v>
      </c>
      <c r="D441" s="243" t="s">
        <v>865</v>
      </c>
      <c r="E441" s="243"/>
      <c r="F441" s="244" t="s">
        <v>43</v>
      </c>
      <c r="G441" s="275" t="s">
        <v>52</v>
      </c>
      <c r="H441" s="276" t="s">
        <v>104</v>
      </c>
      <c r="I441" s="243" t="s">
        <v>850</v>
      </c>
      <c r="J441" s="243" t="s">
        <v>18</v>
      </c>
      <c r="K441" s="247" t="s">
        <v>22</v>
      </c>
    </row>
    <row r="442" spans="1:17" ht="12.75" customHeight="1" x14ac:dyDescent="0.35">
      <c r="A442" s="241">
        <v>38607</v>
      </c>
      <c r="B442" s="258" t="s">
        <v>874</v>
      </c>
      <c r="C442" s="243" t="s">
        <v>1938</v>
      </c>
      <c r="D442" s="243" t="s">
        <v>413</v>
      </c>
      <c r="E442" s="243"/>
      <c r="F442" s="244" t="s">
        <v>49</v>
      </c>
      <c r="G442" s="275" t="s">
        <v>79</v>
      </c>
      <c r="H442" s="276"/>
      <c r="I442" s="243" t="s">
        <v>850</v>
      </c>
      <c r="J442" s="243" t="s">
        <v>18</v>
      </c>
      <c r="K442" s="247" t="s">
        <v>22</v>
      </c>
      <c r="L442" s="272"/>
      <c r="M442" s="272"/>
      <c r="N442" s="272"/>
      <c r="Q442" s="274"/>
    </row>
    <row r="443" spans="1:17" ht="12.75" customHeight="1" x14ac:dyDescent="0.35">
      <c r="A443" s="241">
        <v>38365</v>
      </c>
      <c r="B443" s="242" t="s">
        <v>866</v>
      </c>
      <c r="C443" s="243" t="s">
        <v>867</v>
      </c>
      <c r="D443" s="243" t="s">
        <v>634</v>
      </c>
      <c r="E443" s="243"/>
      <c r="F443" s="244" t="s">
        <v>43</v>
      </c>
      <c r="G443" s="275" t="s">
        <v>67</v>
      </c>
      <c r="H443" s="276" t="s">
        <v>66</v>
      </c>
      <c r="I443" s="249" t="s">
        <v>850</v>
      </c>
      <c r="J443" s="243" t="s">
        <v>18</v>
      </c>
      <c r="K443" s="247" t="s">
        <v>22</v>
      </c>
    </row>
    <row r="444" spans="1:17" ht="12.75" customHeight="1" x14ac:dyDescent="0.35">
      <c r="A444" s="241">
        <v>7787</v>
      </c>
      <c r="B444" s="242" t="s">
        <v>868</v>
      </c>
      <c r="C444" s="243" t="s">
        <v>869</v>
      </c>
      <c r="D444" s="243" t="s">
        <v>870</v>
      </c>
      <c r="E444" s="243"/>
      <c r="F444" s="244" t="s">
        <v>49</v>
      </c>
      <c r="G444" s="275" t="s">
        <v>139</v>
      </c>
      <c r="H444" s="276" t="s">
        <v>45</v>
      </c>
      <c r="I444" s="249" t="s">
        <v>850</v>
      </c>
      <c r="J444" s="243" t="s">
        <v>18</v>
      </c>
      <c r="K444" s="247" t="s">
        <v>22</v>
      </c>
    </row>
    <row r="445" spans="1:17" ht="12.75" customHeight="1" x14ac:dyDescent="0.35">
      <c r="A445" s="241">
        <v>7770</v>
      </c>
      <c r="B445" s="242" t="s">
        <v>871</v>
      </c>
      <c r="C445" s="243" t="s">
        <v>869</v>
      </c>
      <c r="D445" s="243" t="s">
        <v>143</v>
      </c>
      <c r="E445" s="243"/>
      <c r="F445" s="244" t="s">
        <v>43</v>
      </c>
      <c r="G445" s="275" t="s">
        <v>67</v>
      </c>
      <c r="H445" s="276" t="s">
        <v>66</v>
      </c>
      <c r="I445" s="249" t="s">
        <v>850</v>
      </c>
      <c r="J445" s="243" t="s">
        <v>18</v>
      </c>
      <c r="K445" s="247" t="s">
        <v>22</v>
      </c>
    </row>
    <row r="446" spans="1:17" ht="12.75" customHeight="1" x14ac:dyDescent="0.35">
      <c r="A446" s="241">
        <v>38604</v>
      </c>
      <c r="B446" s="258" t="s">
        <v>872</v>
      </c>
      <c r="C446" s="243" t="s">
        <v>873</v>
      </c>
      <c r="D446" s="243" t="s">
        <v>87</v>
      </c>
      <c r="E446" s="243"/>
      <c r="F446" s="244" t="s">
        <v>43</v>
      </c>
      <c r="G446" s="275" t="s">
        <v>44</v>
      </c>
      <c r="H446" s="276"/>
      <c r="I446" s="243" t="s">
        <v>850</v>
      </c>
      <c r="J446" s="243" t="s">
        <v>18</v>
      </c>
      <c r="K446" s="247" t="s">
        <v>22</v>
      </c>
      <c r="L446" s="272"/>
      <c r="M446" s="272"/>
      <c r="N446" s="272"/>
      <c r="Q446" s="274"/>
    </row>
    <row r="447" spans="1:17" ht="12.75" customHeight="1" x14ac:dyDescent="0.35">
      <c r="A447" s="241">
        <v>38210</v>
      </c>
      <c r="B447" s="242" t="s">
        <v>620</v>
      </c>
      <c r="C447" s="243" t="s">
        <v>621</v>
      </c>
      <c r="D447" s="243" t="s">
        <v>341</v>
      </c>
      <c r="E447" s="243"/>
      <c r="F447" s="244" t="s">
        <v>49</v>
      </c>
      <c r="G447" s="275" t="s">
        <v>79</v>
      </c>
      <c r="H447" s="276" t="s">
        <v>51</v>
      </c>
      <c r="I447" s="243" t="s">
        <v>850</v>
      </c>
      <c r="J447" s="243" t="s">
        <v>18</v>
      </c>
      <c r="K447" s="247" t="s">
        <v>22</v>
      </c>
    </row>
    <row r="448" spans="1:17" ht="12.75" customHeight="1" x14ac:dyDescent="0.35">
      <c r="A448" s="241">
        <v>7786</v>
      </c>
      <c r="B448" s="242" t="s">
        <v>877</v>
      </c>
      <c r="C448" s="243" t="s">
        <v>878</v>
      </c>
      <c r="D448" s="243" t="s">
        <v>879</v>
      </c>
      <c r="E448" s="243"/>
      <c r="F448" s="244" t="s">
        <v>49</v>
      </c>
      <c r="G448" s="275" t="s">
        <v>139</v>
      </c>
      <c r="H448" s="276" t="s">
        <v>66</v>
      </c>
      <c r="I448" s="249" t="s">
        <v>850</v>
      </c>
      <c r="J448" s="243" t="s">
        <v>18</v>
      </c>
      <c r="K448" s="247" t="s">
        <v>22</v>
      </c>
    </row>
    <row r="449" spans="1:17" ht="12.75" customHeight="1" x14ac:dyDescent="0.35">
      <c r="A449" s="241">
        <v>7772</v>
      </c>
      <c r="B449" s="242" t="s">
        <v>880</v>
      </c>
      <c r="C449" s="243" t="s">
        <v>878</v>
      </c>
      <c r="D449" s="243" t="s">
        <v>117</v>
      </c>
      <c r="E449" s="243"/>
      <c r="F449" s="244" t="s">
        <v>43</v>
      </c>
      <c r="G449" s="275" t="s">
        <v>67</v>
      </c>
      <c r="H449" s="276" t="s">
        <v>66</v>
      </c>
      <c r="I449" s="249" t="s">
        <v>850</v>
      </c>
      <c r="J449" s="243" t="s">
        <v>18</v>
      </c>
      <c r="K449" s="247" t="s">
        <v>22</v>
      </c>
      <c r="L449" s="272"/>
      <c r="M449" s="272"/>
      <c r="N449" s="272"/>
      <c r="Q449" s="274"/>
    </row>
    <row r="450" spans="1:17" ht="12.75" customHeight="1" x14ac:dyDescent="0.35">
      <c r="A450" s="241">
        <v>38640</v>
      </c>
      <c r="B450" s="242" t="s">
        <v>883</v>
      </c>
      <c r="C450" s="243" t="s">
        <v>884</v>
      </c>
      <c r="D450" s="243" t="s">
        <v>57</v>
      </c>
      <c r="E450" s="243"/>
      <c r="F450" s="244" t="s">
        <v>43</v>
      </c>
      <c r="G450" s="275" t="s">
        <v>52</v>
      </c>
      <c r="H450" s="276" t="s">
        <v>45</v>
      </c>
      <c r="I450" s="243" t="s">
        <v>850</v>
      </c>
      <c r="J450" s="243" t="s">
        <v>18</v>
      </c>
      <c r="K450" s="247" t="s">
        <v>22</v>
      </c>
    </row>
    <row r="451" spans="1:17" ht="12.75" customHeight="1" x14ac:dyDescent="0.35">
      <c r="A451" s="241">
        <v>38554</v>
      </c>
      <c r="B451" s="242" t="s">
        <v>885</v>
      </c>
      <c r="C451" s="249" t="s">
        <v>886</v>
      </c>
      <c r="D451" s="249" t="s">
        <v>87</v>
      </c>
      <c r="E451" s="249" t="s">
        <v>2368</v>
      </c>
      <c r="F451" s="244" t="s">
        <v>43</v>
      </c>
      <c r="G451" s="275" t="s">
        <v>67</v>
      </c>
      <c r="H451" s="276" t="s">
        <v>66</v>
      </c>
      <c r="I451" s="249" t="s">
        <v>850</v>
      </c>
      <c r="J451" s="249" t="s">
        <v>18</v>
      </c>
      <c r="K451" s="247" t="s">
        <v>22</v>
      </c>
    </row>
    <row r="452" spans="1:17" ht="12.75" customHeight="1" x14ac:dyDescent="0.35">
      <c r="A452" s="241">
        <v>25347</v>
      </c>
      <c r="B452" s="242" t="s">
        <v>422</v>
      </c>
      <c r="C452" s="249" t="s">
        <v>423</v>
      </c>
      <c r="D452" s="249" t="s">
        <v>424</v>
      </c>
      <c r="E452" s="249" t="s">
        <v>2368</v>
      </c>
      <c r="F452" s="244" t="s">
        <v>49</v>
      </c>
      <c r="G452" s="275" t="s">
        <v>50</v>
      </c>
      <c r="H452" s="276" t="s">
        <v>45</v>
      </c>
      <c r="I452" s="243" t="s">
        <v>850</v>
      </c>
      <c r="J452" s="249" t="s">
        <v>18</v>
      </c>
      <c r="K452" s="247" t="s">
        <v>22</v>
      </c>
    </row>
    <row r="453" spans="1:17" ht="12.75" customHeight="1" x14ac:dyDescent="0.35">
      <c r="A453" s="241">
        <v>7721</v>
      </c>
      <c r="B453" s="242">
        <v>67657</v>
      </c>
      <c r="C453" s="243" t="s">
        <v>887</v>
      </c>
      <c r="D453" s="243" t="s">
        <v>206</v>
      </c>
      <c r="E453" s="243"/>
      <c r="F453" s="244" t="s">
        <v>43</v>
      </c>
      <c r="G453" s="275" t="s">
        <v>52</v>
      </c>
      <c r="H453" s="276" t="s">
        <v>239</v>
      </c>
      <c r="I453" s="243" t="s">
        <v>850</v>
      </c>
      <c r="J453" s="243" t="s">
        <v>18</v>
      </c>
      <c r="K453" s="247" t="s">
        <v>22</v>
      </c>
    </row>
    <row r="454" spans="1:17" ht="12.75" customHeight="1" x14ac:dyDescent="0.35">
      <c r="A454" s="241">
        <v>7709</v>
      </c>
      <c r="B454" s="242" t="s">
        <v>888</v>
      </c>
      <c r="C454" s="243" t="s">
        <v>887</v>
      </c>
      <c r="D454" s="243" t="s">
        <v>889</v>
      </c>
      <c r="E454" s="243"/>
      <c r="F454" s="244" t="s">
        <v>49</v>
      </c>
      <c r="G454" s="275" t="s">
        <v>50</v>
      </c>
      <c r="H454" s="276" t="s">
        <v>45</v>
      </c>
      <c r="I454" s="243" t="s">
        <v>850</v>
      </c>
      <c r="J454" s="243" t="s">
        <v>18</v>
      </c>
      <c r="K454" s="247" t="s">
        <v>22</v>
      </c>
    </row>
    <row r="455" spans="1:17" ht="12.75" customHeight="1" x14ac:dyDescent="0.35">
      <c r="A455" s="241">
        <v>7801</v>
      </c>
      <c r="B455" s="242">
        <v>9099131</v>
      </c>
      <c r="C455" s="243" t="s">
        <v>887</v>
      </c>
      <c r="D455" s="243" t="s">
        <v>341</v>
      </c>
      <c r="E455" s="243"/>
      <c r="F455" s="244" t="s">
        <v>49</v>
      </c>
      <c r="G455" s="275" t="s">
        <v>79</v>
      </c>
      <c r="H455" s="276" t="s">
        <v>239</v>
      </c>
      <c r="I455" s="243" t="s">
        <v>850</v>
      </c>
      <c r="J455" s="243" t="s">
        <v>18</v>
      </c>
      <c r="K455" s="247" t="s">
        <v>22</v>
      </c>
    </row>
    <row r="456" spans="1:17" ht="12.75" customHeight="1" x14ac:dyDescent="0.35">
      <c r="A456" s="241">
        <v>7723</v>
      </c>
      <c r="B456" s="242" t="s">
        <v>1939</v>
      </c>
      <c r="C456" s="243" t="s">
        <v>887</v>
      </c>
      <c r="D456" s="243" t="s">
        <v>87</v>
      </c>
      <c r="E456" s="243"/>
      <c r="F456" s="244" t="s">
        <v>43</v>
      </c>
      <c r="G456" s="275" t="s">
        <v>44</v>
      </c>
      <c r="H456" s="276" t="s">
        <v>180</v>
      </c>
      <c r="I456" s="243" t="s">
        <v>850</v>
      </c>
      <c r="J456" s="243" t="s">
        <v>18</v>
      </c>
      <c r="K456" s="247" t="s">
        <v>22</v>
      </c>
    </row>
    <row r="457" spans="1:17" ht="12.75" customHeight="1" x14ac:dyDescent="0.35">
      <c r="A457" s="241">
        <v>38854</v>
      </c>
      <c r="B457" s="242" t="s">
        <v>2274</v>
      </c>
      <c r="C457" s="243" t="s">
        <v>2275</v>
      </c>
      <c r="D457" s="243" t="s">
        <v>2276</v>
      </c>
      <c r="E457" s="243"/>
      <c r="F457" s="244" t="s">
        <v>43</v>
      </c>
      <c r="G457" s="275" t="s">
        <v>44</v>
      </c>
      <c r="H457" s="276" t="s">
        <v>239</v>
      </c>
      <c r="I457" s="243" t="s">
        <v>850</v>
      </c>
      <c r="J457" s="243" t="s">
        <v>18</v>
      </c>
      <c r="K457" s="247" t="s">
        <v>22</v>
      </c>
    </row>
    <row r="458" spans="1:17" ht="12.75" customHeight="1" x14ac:dyDescent="0.35">
      <c r="A458" s="241">
        <v>38351</v>
      </c>
      <c r="B458" s="242" t="s">
        <v>890</v>
      </c>
      <c r="C458" s="243" t="s">
        <v>891</v>
      </c>
      <c r="D458" s="243" t="s">
        <v>195</v>
      </c>
      <c r="E458" s="243"/>
      <c r="F458" s="244" t="s">
        <v>43</v>
      </c>
      <c r="G458" s="275" t="s">
        <v>44</v>
      </c>
      <c r="H458" s="276" t="s">
        <v>45</v>
      </c>
      <c r="I458" s="243" t="s">
        <v>850</v>
      </c>
      <c r="J458" s="243" t="s">
        <v>18</v>
      </c>
      <c r="K458" s="247" t="s">
        <v>22</v>
      </c>
    </row>
    <row r="459" spans="1:17" ht="12.75" customHeight="1" x14ac:dyDescent="0.35">
      <c r="A459" s="241">
        <v>25692</v>
      </c>
      <c r="B459" s="242" t="s">
        <v>802</v>
      </c>
      <c r="C459" s="243" t="s">
        <v>803</v>
      </c>
      <c r="D459" s="243" t="s">
        <v>804</v>
      </c>
      <c r="E459" s="243"/>
      <c r="F459" s="244" t="s">
        <v>43</v>
      </c>
      <c r="G459" s="275" t="s">
        <v>67</v>
      </c>
      <c r="H459" s="276" t="s">
        <v>45</v>
      </c>
      <c r="I459" s="243" t="s">
        <v>897</v>
      </c>
      <c r="J459" s="243" t="s">
        <v>18</v>
      </c>
      <c r="K459" s="247" t="s">
        <v>22</v>
      </c>
    </row>
    <row r="460" spans="1:17" ht="12.75" customHeight="1" x14ac:dyDescent="0.35">
      <c r="A460" s="241">
        <v>38774</v>
      </c>
      <c r="B460" s="242" t="s">
        <v>2049</v>
      </c>
      <c r="C460" s="243" t="s">
        <v>2050</v>
      </c>
      <c r="D460" s="243" t="s">
        <v>53</v>
      </c>
      <c r="E460" s="243"/>
      <c r="F460" s="244" t="s">
        <v>43</v>
      </c>
      <c r="G460" s="275" t="s">
        <v>44</v>
      </c>
      <c r="H460" s="276" t="s">
        <v>180</v>
      </c>
      <c r="I460" s="243" t="s">
        <v>897</v>
      </c>
      <c r="J460" s="243" t="s">
        <v>18</v>
      </c>
      <c r="K460" s="247" t="s">
        <v>22</v>
      </c>
      <c r="L460" s="272"/>
      <c r="M460" s="272"/>
      <c r="N460" s="272"/>
      <c r="Q460" s="274"/>
    </row>
    <row r="461" spans="1:17" ht="12.75" customHeight="1" x14ac:dyDescent="0.35">
      <c r="A461" s="241">
        <v>25423</v>
      </c>
      <c r="B461" s="242" t="s">
        <v>852</v>
      </c>
      <c r="C461" s="243" t="s">
        <v>853</v>
      </c>
      <c r="D461" s="243" t="s">
        <v>64</v>
      </c>
      <c r="E461" s="243"/>
      <c r="F461" s="244" t="s">
        <v>43</v>
      </c>
      <c r="G461" s="275" t="s">
        <v>44</v>
      </c>
      <c r="H461" s="276" t="s">
        <v>180</v>
      </c>
      <c r="I461" s="243" t="s">
        <v>897</v>
      </c>
      <c r="J461" s="243" t="s">
        <v>18</v>
      </c>
      <c r="K461" s="247" t="s">
        <v>22</v>
      </c>
    </row>
    <row r="462" spans="1:17" ht="12.75" customHeight="1" x14ac:dyDescent="0.35">
      <c r="A462" s="241">
        <v>38884</v>
      </c>
      <c r="B462" s="242" t="s">
        <v>2335</v>
      </c>
      <c r="C462" s="243" t="s">
        <v>2336</v>
      </c>
      <c r="D462" s="243" t="s">
        <v>2337</v>
      </c>
      <c r="E462" s="243"/>
      <c r="F462" s="244" t="s">
        <v>43</v>
      </c>
      <c r="G462" s="275" t="s">
        <v>44</v>
      </c>
      <c r="H462" s="276" t="s">
        <v>66</v>
      </c>
      <c r="I462" s="243" t="s">
        <v>897</v>
      </c>
      <c r="J462" s="243" t="s">
        <v>18</v>
      </c>
      <c r="K462" s="247" t="s">
        <v>22</v>
      </c>
    </row>
    <row r="463" spans="1:17" ht="12.75" customHeight="1" x14ac:dyDescent="0.35">
      <c r="A463" s="241">
        <v>25923</v>
      </c>
      <c r="B463" s="242">
        <v>9111365</v>
      </c>
      <c r="C463" s="249" t="s">
        <v>898</v>
      </c>
      <c r="D463" s="249" t="s">
        <v>125</v>
      </c>
      <c r="E463" s="249" t="s">
        <v>2368</v>
      </c>
      <c r="F463" s="244" t="s">
        <v>43</v>
      </c>
      <c r="G463" s="275" t="s">
        <v>44</v>
      </c>
      <c r="H463" s="276" t="s">
        <v>180</v>
      </c>
      <c r="I463" s="249" t="s">
        <v>897</v>
      </c>
      <c r="J463" s="249" t="s">
        <v>18</v>
      </c>
      <c r="K463" s="247" t="s">
        <v>22</v>
      </c>
    </row>
    <row r="464" spans="1:17" ht="12.75" customHeight="1" x14ac:dyDescent="0.35">
      <c r="A464" s="241">
        <v>38914</v>
      </c>
      <c r="B464" s="242" t="s">
        <v>2493</v>
      </c>
      <c r="C464" s="243" t="s">
        <v>2094</v>
      </c>
      <c r="D464" s="243" t="s">
        <v>99</v>
      </c>
      <c r="E464" s="243"/>
      <c r="F464" s="244" t="s">
        <v>43</v>
      </c>
      <c r="G464" s="245" t="s">
        <v>44</v>
      </c>
      <c r="H464" s="246">
        <v>0</v>
      </c>
      <c r="I464" s="243" t="s">
        <v>897</v>
      </c>
      <c r="J464" s="243" t="s">
        <v>18</v>
      </c>
      <c r="K464" s="247" t="s">
        <v>22</v>
      </c>
    </row>
    <row r="465" spans="1:17" ht="12.75" customHeight="1" x14ac:dyDescent="0.35">
      <c r="A465" s="241">
        <v>25919</v>
      </c>
      <c r="B465" s="242">
        <v>9111363</v>
      </c>
      <c r="C465" s="249" t="s">
        <v>899</v>
      </c>
      <c r="D465" s="249" t="s">
        <v>900</v>
      </c>
      <c r="E465" s="249" t="s">
        <v>2368</v>
      </c>
      <c r="F465" s="244" t="s">
        <v>43</v>
      </c>
      <c r="G465" s="275" t="s">
        <v>44</v>
      </c>
      <c r="H465" s="276" t="s">
        <v>45</v>
      </c>
      <c r="I465" s="249" t="s">
        <v>897</v>
      </c>
      <c r="J465" s="249" t="s">
        <v>18</v>
      </c>
      <c r="K465" s="247" t="s">
        <v>22</v>
      </c>
    </row>
    <row r="466" spans="1:17" ht="12.75" customHeight="1" x14ac:dyDescent="0.35">
      <c r="A466" s="241">
        <v>38188</v>
      </c>
      <c r="B466" s="242" t="s">
        <v>901</v>
      </c>
      <c r="C466" s="243" t="s">
        <v>902</v>
      </c>
      <c r="D466" s="243" t="s">
        <v>903</v>
      </c>
      <c r="E466" s="243"/>
      <c r="F466" s="244" t="s">
        <v>43</v>
      </c>
      <c r="G466" s="275" t="s">
        <v>67</v>
      </c>
      <c r="H466" s="276" t="s">
        <v>45</v>
      </c>
      <c r="I466" s="243" t="s">
        <v>897</v>
      </c>
      <c r="J466" s="243" t="s">
        <v>18</v>
      </c>
      <c r="K466" s="247" t="s">
        <v>22</v>
      </c>
    </row>
    <row r="467" spans="1:17" ht="12.75" customHeight="1" x14ac:dyDescent="0.35">
      <c r="A467" s="241">
        <v>25433</v>
      </c>
      <c r="B467" s="242" t="s">
        <v>875</v>
      </c>
      <c r="C467" s="249" t="s">
        <v>876</v>
      </c>
      <c r="D467" s="249" t="s">
        <v>65</v>
      </c>
      <c r="E467" s="249" t="s">
        <v>2368</v>
      </c>
      <c r="F467" s="244" t="s">
        <v>43</v>
      </c>
      <c r="G467" s="275" t="s">
        <v>67</v>
      </c>
      <c r="H467" s="276" t="s">
        <v>45</v>
      </c>
      <c r="I467" s="249" t="s">
        <v>897</v>
      </c>
      <c r="J467" s="249" t="s">
        <v>18</v>
      </c>
      <c r="K467" s="247" t="s">
        <v>22</v>
      </c>
    </row>
    <row r="468" spans="1:17" ht="12.75" customHeight="1" x14ac:dyDescent="0.35">
      <c r="A468" s="241">
        <v>16899</v>
      </c>
      <c r="B468" s="242" t="s">
        <v>881</v>
      </c>
      <c r="C468" s="249" t="s">
        <v>882</v>
      </c>
      <c r="D468" s="249" t="s">
        <v>834</v>
      </c>
      <c r="E468" s="249" t="s">
        <v>2368</v>
      </c>
      <c r="F468" s="244" t="s">
        <v>43</v>
      </c>
      <c r="G468" s="275" t="s">
        <v>67</v>
      </c>
      <c r="H468" s="276"/>
      <c r="I468" s="249" t="s">
        <v>897</v>
      </c>
      <c r="J468" s="249" t="s">
        <v>18</v>
      </c>
      <c r="K468" s="247" t="s">
        <v>22</v>
      </c>
    </row>
    <row r="469" spans="1:17" ht="12.75" customHeight="1" x14ac:dyDescent="0.35">
      <c r="A469" s="241">
        <v>19862</v>
      </c>
      <c r="B469" s="242" t="s">
        <v>904</v>
      </c>
      <c r="C469" s="243" t="s">
        <v>905</v>
      </c>
      <c r="D469" s="243" t="s">
        <v>906</v>
      </c>
      <c r="E469" s="243"/>
      <c r="F469" s="244" t="s">
        <v>43</v>
      </c>
      <c r="G469" s="275" t="s">
        <v>67</v>
      </c>
      <c r="H469" s="276" t="s">
        <v>66</v>
      </c>
      <c r="I469" s="243" t="s">
        <v>897</v>
      </c>
      <c r="J469" s="243" t="s">
        <v>18</v>
      </c>
      <c r="K469" s="247" t="s">
        <v>22</v>
      </c>
    </row>
    <row r="470" spans="1:17" ht="12.75" customHeight="1" x14ac:dyDescent="0.35">
      <c r="A470" s="241">
        <v>38299</v>
      </c>
      <c r="B470" s="242" t="s">
        <v>892</v>
      </c>
      <c r="C470" s="243" t="s">
        <v>893</v>
      </c>
      <c r="D470" s="243" t="s">
        <v>691</v>
      </c>
      <c r="E470" s="243"/>
      <c r="F470" s="244" t="s">
        <v>49</v>
      </c>
      <c r="G470" s="275" t="s">
        <v>79</v>
      </c>
      <c r="H470" s="276" t="s">
        <v>66</v>
      </c>
      <c r="I470" s="243" t="s">
        <v>897</v>
      </c>
      <c r="J470" s="243" t="s">
        <v>18</v>
      </c>
      <c r="K470" s="247" t="s">
        <v>22</v>
      </c>
    </row>
    <row r="471" spans="1:17" ht="12.75" customHeight="1" x14ac:dyDescent="0.35">
      <c r="A471" s="241">
        <v>38872</v>
      </c>
      <c r="B471" s="242" t="s">
        <v>2300</v>
      </c>
      <c r="C471" s="243" t="s">
        <v>2301</v>
      </c>
      <c r="D471" s="243" t="s">
        <v>2302</v>
      </c>
      <c r="E471" s="243"/>
      <c r="F471" s="244" t="s">
        <v>43</v>
      </c>
      <c r="G471" s="245" t="s">
        <v>44</v>
      </c>
      <c r="H471" s="246">
        <v>0</v>
      </c>
      <c r="I471" s="249" t="s">
        <v>255</v>
      </c>
      <c r="J471" s="243" t="s">
        <v>18</v>
      </c>
      <c r="K471" s="247" t="s">
        <v>22</v>
      </c>
    </row>
    <row r="472" spans="1:17" ht="12.75" customHeight="1" x14ac:dyDescent="0.35">
      <c r="A472" s="241">
        <v>7076</v>
      </c>
      <c r="B472" s="242">
        <v>9111186</v>
      </c>
      <c r="C472" s="243" t="s">
        <v>912</v>
      </c>
      <c r="D472" s="243" t="s">
        <v>176</v>
      </c>
      <c r="E472" s="243"/>
      <c r="F472" s="244" t="s">
        <v>43</v>
      </c>
      <c r="G472" s="275" t="s">
        <v>58</v>
      </c>
      <c r="H472" s="276" t="s">
        <v>66</v>
      </c>
      <c r="I472" s="243" t="s">
        <v>914</v>
      </c>
      <c r="J472" s="243" t="s">
        <v>20</v>
      </c>
      <c r="K472" s="247" t="s">
        <v>23</v>
      </c>
      <c r="L472" s="272"/>
      <c r="M472" s="272"/>
      <c r="N472" s="272"/>
      <c r="Q472" s="274"/>
    </row>
    <row r="473" spans="1:17" ht="12.75" customHeight="1" x14ac:dyDescent="0.35">
      <c r="A473" s="241">
        <v>7041</v>
      </c>
      <c r="B473" s="242" t="s">
        <v>915</v>
      </c>
      <c r="C473" s="243" t="s">
        <v>448</v>
      </c>
      <c r="D473" s="243" t="s">
        <v>624</v>
      </c>
      <c r="E473" s="243"/>
      <c r="F473" s="244" t="s">
        <v>43</v>
      </c>
      <c r="G473" s="275" t="s">
        <v>58</v>
      </c>
      <c r="H473" s="276" t="s">
        <v>45</v>
      </c>
      <c r="I473" s="243" t="s">
        <v>914</v>
      </c>
      <c r="J473" s="243" t="s">
        <v>20</v>
      </c>
      <c r="K473" s="247" t="s">
        <v>23</v>
      </c>
      <c r="L473" s="272"/>
      <c r="M473" s="272"/>
      <c r="N473" s="272"/>
      <c r="Q473" s="274"/>
    </row>
    <row r="474" spans="1:17" ht="12.75" customHeight="1" x14ac:dyDescent="0.35">
      <c r="A474" s="241">
        <v>25411</v>
      </c>
      <c r="B474" s="242" t="s">
        <v>922</v>
      </c>
      <c r="C474" s="243" t="s">
        <v>921</v>
      </c>
      <c r="D474" s="243" t="s">
        <v>213</v>
      </c>
      <c r="E474" s="243"/>
      <c r="F474" s="244" t="s">
        <v>43</v>
      </c>
      <c r="G474" s="275" t="s">
        <v>52</v>
      </c>
      <c r="H474" s="276" t="s">
        <v>66</v>
      </c>
      <c r="I474" s="243" t="s">
        <v>914</v>
      </c>
      <c r="J474" s="243" t="s">
        <v>20</v>
      </c>
      <c r="K474" s="247" t="s">
        <v>23</v>
      </c>
      <c r="L474" s="272"/>
      <c r="M474" s="272"/>
      <c r="N474" s="272"/>
      <c r="Q474" s="274"/>
    </row>
    <row r="475" spans="1:17" ht="12.75" customHeight="1" x14ac:dyDescent="0.35">
      <c r="A475" s="241">
        <v>25968</v>
      </c>
      <c r="B475" s="242" t="s">
        <v>923</v>
      </c>
      <c r="C475" s="249" t="s">
        <v>924</v>
      </c>
      <c r="D475" s="249" t="s">
        <v>107</v>
      </c>
      <c r="E475" s="249" t="s">
        <v>2368</v>
      </c>
      <c r="F475" s="244" t="s">
        <v>43</v>
      </c>
      <c r="G475" s="275" t="s">
        <v>52</v>
      </c>
      <c r="H475" s="276" t="s">
        <v>45</v>
      </c>
      <c r="I475" s="249" t="s">
        <v>914</v>
      </c>
      <c r="J475" s="249" t="s">
        <v>20</v>
      </c>
      <c r="K475" s="247" t="s">
        <v>23</v>
      </c>
    </row>
    <row r="476" spans="1:17" ht="12.75" customHeight="1" x14ac:dyDescent="0.35">
      <c r="A476" s="241">
        <v>7037</v>
      </c>
      <c r="B476" s="242" t="s">
        <v>925</v>
      </c>
      <c r="C476" s="243" t="s">
        <v>115</v>
      </c>
      <c r="D476" s="243" t="s">
        <v>57</v>
      </c>
      <c r="E476" s="243"/>
      <c r="F476" s="244" t="s">
        <v>43</v>
      </c>
      <c r="G476" s="275" t="s">
        <v>52</v>
      </c>
      <c r="H476" s="276"/>
      <c r="I476" s="243" t="s">
        <v>914</v>
      </c>
      <c r="J476" s="243" t="s">
        <v>20</v>
      </c>
      <c r="K476" s="247" t="s">
        <v>23</v>
      </c>
    </row>
    <row r="477" spans="1:17" ht="12.75" customHeight="1" x14ac:dyDescent="0.35">
      <c r="A477" s="241">
        <v>7030</v>
      </c>
      <c r="B477" s="242" t="s">
        <v>926</v>
      </c>
      <c r="C477" s="243" t="s">
        <v>927</v>
      </c>
      <c r="D477" s="243" t="s">
        <v>99</v>
      </c>
      <c r="E477" s="243"/>
      <c r="F477" s="244" t="s">
        <v>43</v>
      </c>
      <c r="G477" s="275" t="s">
        <v>67</v>
      </c>
      <c r="H477" s="276" t="s">
        <v>45</v>
      </c>
      <c r="I477" s="243" t="s">
        <v>914</v>
      </c>
      <c r="J477" s="243" t="s">
        <v>20</v>
      </c>
      <c r="K477" s="247" t="s">
        <v>23</v>
      </c>
    </row>
    <row r="478" spans="1:17" ht="12.75" customHeight="1" x14ac:dyDescent="0.35">
      <c r="A478" s="241">
        <v>7055</v>
      </c>
      <c r="B478" s="242" t="s">
        <v>928</v>
      </c>
      <c r="C478" s="243" t="s">
        <v>927</v>
      </c>
      <c r="D478" s="243" t="s">
        <v>929</v>
      </c>
      <c r="E478" s="243"/>
      <c r="F478" s="244" t="s">
        <v>49</v>
      </c>
      <c r="G478" s="275" t="s">
        <v>139</v>
      </c>
      <c r="H478" s="276"/>
      <c r="I478" s="243" t="s">
        <v>914</v>
      </c>
      <c r="J478" s="243" t="s">
        <v>20</v>
      </c>
      <c r="K478" s="247" t="s">
        <v>23</v>
      </c>
    </row>
    <row r="479" spans="1:17" ht="12.75" customHeight="1" x14ac:dyDescent="0.35">
      <c r="A479" s="241">
        <v>16325</v>
      </c>
      <c r="B479" s="242" t="s">
        <v>537</v>
      </c>
      <c r="C479" s="243" t="s">
        <v>538</v>
      </c>
      <c r="D479" s="243" t="s">
        <v>539</v>
      </c>
      <c r="E479" s="243"/>
      <c r="F479" s="244" t="s">
        <v>43</v>
      </c>
      <c r="G479" s="275" t="s">
        <v>67</v>
      </c>
      <c r="H479" s="276" t="s">
        <v>66</v>
      </c>
      <c r="I479" s="243" t="s">
        <v>914</v>
      </c>
      <c r="J479" s="243" t="s">
        <v>20</v>
      </c>
      <c r="K479" s="247" t="s">
        <v>23</v>
      </c>
    </row>
    <row r="480" spans="1:17" ht="12.75" customHeight="1" x14ac:dyDescent="0.35">
      <c r="A480" s="241">
        <v>7031</v>
      </c>
      <c r="B480" s="242" t="s">
        <v>935</v>
      </c>
      <c r="C480" s="243" t="s">
        <v>936</v>
      </c>
      <c r="D480" s="243" t="s">
        <v>200</v>
      </c>
      <c r="E480" s="243"/>
      <c r="F480" s="244" t="s">
        <v>43</v>
      </c>
      <c r="G480" s="275" t="s">
        <v>52</v>
      </c>
      <c r="H480" s="276" t="s">
        <v>66</v>
      </c>
      <c r="I480" s="243" t="s">
        <v>914</v>
      </c>
      <c r="J480" s="243" t="s">
        <v>20</v>
      </c>
      <c r="K480" s="247" t="s">
        <v>23</v>
      </c>
    </row>
    <row r="481" spans="1:17" ht="12.75" customHeight="1" x14ac:dyDescent="0.35">
      <c r="A481" s="241">
        <v>7003</v>
      </c>
      <c r="B481" s="242" t="s">
        <v>939</v>
      </c>
      <c r="C481" s="243" t="s">
        <v>940</v>
      </c>
      <c r="D481" s="243" t="s">
        <v>941</v>
      </c>
      <c r="E481" s="243"/>
      <c r="F481" s="244" t="s">
        <v>43</v>
      </c>
      <c r="G481" s="275" t="s">
        <v>52</v>
      </c>
      <c r="H481" s="276" t="s">
        <v>45</v>
      </c>
      <c r="I481" s="243" t="s">
        <v>914</v>
      </c>
      <c r="J481" s="243" t="s">
        <v>20</v>
      </c>
      <c r="K481" s="247" t="s">
        <v>23</v>
      </c>
    </row>
    <row r="482" spans="1:17" ht="12.75" customHeight="1" x14ac:dyDescent="0.35">
      <c r="A482" s="241">
        <v>7058</v>
      </c>
      <c r="B482" s="242" t="s">
        <v>942</v>
      </c>
      <c r="C482" s="243" t="s">
        <v>943</v>
      </c>
      <c r="D482" s="243" t="s">
        <v>616</v>
      </c>
      <c r="E482" s="243"/>
      <c r="F482" s="244" t="s">
        <v>49</v>
      </c>
      <c r="G482" s="275" t="s">
        <v>228</v>
      </c>
      <c r="H482" s="276" t="s">
        <v>51</v>
      </c>
      <c r="I482" s="243" t="s">
        <v>914</v>
      </c>
      <c r="J482" s="243" t="s">
        <v>20</v>
      </c>
      <c r="K482" s="247" t="s">
        <v>23</v>
      </c>
    </row>
    <row r="483" spans="1:17" ht="12.75" customHeight="1" x14ac:dyDescent="0.35">
      <c r="A483" s="241">
        <v>7012</v>
      </c>
      <c r="B483" s="242" t="s">
        <v>944</v>
      </c>
      <c r="C483" s="243" t="s">
        <v>945</v>
      </c>
      <c r="D483" s="243" t="s">
        <v>571</v>
      </c>
      <c r="E483" s="243"/>
      <c r="F483" s="244" t="s">
        <v>43</v>
      </c>
      <c r="G483" s="275" t="s">
        <v>58</v>
      </c>
      <c r="H483" s="276" t="s">
        <v>45</v>
      </c>
      <c r="I483" s="243" t="s">
        <v>914</v>
      </c>
      <c r="J483" s="243" t="s">
        <v>20</v>
      </c>
      <c r="K483" s="247" t="s">
        <v>23</v>
      </c>
    </row>
    <row r="484" spans="1:17" ht="12.75" customHeight="1" x14ac:dyDescent="0.35">
      <c r="A484" s="241">
        <v>7040</v>
      </c>
      <c r="B484" s="242" t="s">
        <v>948</v>
      </c>
      <c r="C484" s="243" t="s">
        <v>949</v>
      </c>
      <c r="D484" s="243" t="s">
        <v>950</v>
      </c>
      <c r="E484" s="243"/>
      <c r="F484" s="244" t="s">
        <v>43</v>
      </c>
      <c r="G484" s="275" t="s">
        <v>58</v>
      </c>
      <c r="H484" s="276"/>
      <c r="I484" s="243" t="s">
        <v>914</v>
      </c>
      <c r="J484" s="243" t="s">
        <v>20</v>
      </c>
      <c r="K484" s="247" t="s">
        <v>23</v>
      </c>
      <c r="L484" s="272"/>
      <c r="M484" s="272"/>
      <c r="N484" s="272"/>
      <c r="Q484" s="274"/>
    </row>
    <row r="485" spans="1:17" ht="12.75" customHeight="1" x14ac:dyDescent="0.35">
      <c r="A485" s="241">
        <v>16790</v>
      </c>
      <c r="B485" s="242" t="s">
        <v>955</v>
      </c>
      <c r="C485" s="243" t="s">
        <v>956</v>
      </c>
      <c r="D485" s="243" t="s">
        <v>61</v>
      </c>
      <c r="E485" s="243"/>
      <c r="F485" s="244" t="s">
        <v>43</v>
      </c>
      <c r="G485" s="275" t="s">
        <v>67</v>
      </c>
      <c r="H485" s="276" t="s">
        <v>45</v>
      </c>
      <c r="I485" s="243" t="s">
        <v>914</v>
      </c>
      <c r="J485" s="243" t="s">
        <v>20</v>
      </c>
      <c r="K485" s="247" t="s">
        <v>23</v>
      </c>
    </row>
    <row r="486" spans="1:17" ht="12.75" customHeight="1" x14ac:dyDescent="0.35">
      <c r="A486" s="241">
        <v>7245</v>
      </c>
      <c r="B486" s="242" t="s">
        <v>968</v>
      </c>
      <c r="C486" s="243" t="s">
        <v>969</v>
      </c>
      <c r="D486" s="243" t="s">
        <v>165</v>
      </c>
      <c r="E486" s="243"/>
      <c r="F486" s="244" t="s">
        <v>43</v>
      </c>
      <c r="G486" s="275" t="s">
        <v>58</v>
      </c>
      <c r="H486" s="276"/>
      <c r="I486" s="243" t="s">
        <v>970</v>
      </c>
      <c r="J486" s="243" t="s">
        <v>971</v>
      </c>
      <c r="K486" s="247" t="s">
        <v>972</v>
      </c>
      <c r="L486" s="272"/>
      <c r="M486" s="272"/>
      <c r="N486" s="272"/>
      <c r="Q486" s="274"/>
    </row>
    <row r="487" spans="1:17" ht="12.75" customHeight="1" x14ac:dyDescent="0.35">
      <c r="A487" s="241">
        <v>38822</v>
      </c>
      <c r="B487" s="242" t="s">
        <v>2157</v>
      </c>
      <c r="C487" s="243" t="s">
        <v>274</v>
      </c>
      <c r="D487" s="243" t="s">
        <v>2158</v>
      </c>
      <c r="E487" s="243"/>
      <c r="F487" s="244" t="s">
        <v>43</v>
      </c>
      <c r="G487" s="275" t="s">
        <v>89</v>
      </c>
      <c r="H487" s="276"/>
      <c r="I487" s="243" t="s">
        <v>970</v>
      </c>
      <c r="J487" s="243" t="s">
        <v>971</v>
      </c>
      <c r="K487" s="247" t="s">
        <v>972</v>
      </c>
    </row>
    <row r="488" spans="1:17" ht="12.75" customHeight="1" x14ac:dyDescent="0.35">
      <c r="A488" s="241">
        <v>38821</v>
      </c>
      <c r="B488" s="242" t="s">
        <v>2159</v>
      </c>
      <c r="C488" s="243" t="s">
        <v>274</v>
      </c>
      <c r="D488" s="243" t="s">
        <v>2160</v>
      </c>
      <c r="E488" s="243"/>
      <c r="F488" s="244" t="s">
        <v>43</v>
      </c>
      <c r="G488" s="245" t="s">
        <v>362</v>
      </c>
      <c r="H488" s="246">
        <v>0</v>
      </c>
      <c r="I488" s="243" t="s">
        <v>970</v>
      </c>
      <c r="J488" s="243" t="s">
        <v>971</v>
      </c>
      <c r="K488" s="247" t="s">
        <v>972</v>
      </c>
      <c r="L488" s="272"/>
      <c r="M488" s="272"/>
      <c r="N488" s="272"/>
      <c r="Q488" s="274"/>
    </row>
    <row r="489" spans="1:17" ht="12.75" customHeight="1" x14ac:dyDescent="0.35">
      <c r="A489" s="241">
        <v>38310</v>
      </c>
      <c r="B489" s="242" t="s">
        <v>2338</v>
      </c>
      <c r="C489" s="243" t="s">
        <v>2339</v>
      </c>
      <c r="D489" s="243" t="s">
        <v>183</v>
      </c>
      <c r="E489" s="243"/>
      <c r="F489" s="244" t="s">
        <v>43</v>
      </c>
      <c r="G489" s="245" t="s">
        <v>67</v>
      </c>
      <c r="H489" s="246">
        <v>0</v>
      </c>
      <c r="I489" s="243" t="s">
        <v>970</v>
      </c>
      <c r="J489" s="243" t="s">
        <v>971</v>
      </c>
      <c r="K489" s="247" t="s">
        <v>972</v>
      </c>
      <c r="L489" s="272"/>
      <c r="M489" s="272"/>
      <c r="N489" s="272"/>
      <c r="Q489" s="274"/>
    </row>
    <row r="490" spans="1:17" ht="12.75" customHeight="1" x14ac:dyDescent="0.35">
      <c r="A490" s="241">
        <v>38816</v>
      </c>
      <c r="B490" s="242" t="s">
        <v>2161</v>
      </c>
      <c r="C490" s="243" t="s">
        <v>2162</v>
      </c>
      <c r="D490" s="243" t="s">
        <v>689</v>
      </c>
      <c r="E490" s="243"/>
      <c r="F490" s="244" t="s">
        <v>43</v>
      </c>
      <c r="G490" s="275" t="s">
        <v>362</v>
      </c>
      <c r="H490" s="276" t="s">
        <v>104</v>
      </c>
      <c r="I490" s="243" t="s">
        <v>970</v>
      </c>
      <c r="J490" s="243" t="s">
        <v>971</v>
      </c>
      <c r="K490" s="247" t="s">
        <v>972</v>
      </c>
    </row>
    <row r="491" spans="1:17" ht="12.75" customHeight="1" x14ac:dyDescent="0.35">
      <c r="A491" s="241">
        <v>38784</v>
      </c>
      <c r="B491" s="242" t="s">
        <v>2163</v>
      </c>
      <c r="C491" s="243" t="s">
        <v>2162</v>
      </c>
      <c r="D491" s="243" t="s">
        <v>634</v>
      </c>
      <c r="E491" s="243"/>
      <c r="F491" s="244" t="s">
        <v>43</v>
      </c>
      <c r="G491" s="275" t="s">
        <v>362</v>
      </c>
      <c r="H491" s="276"/>
      <c r="I491" s="243" t="s">
        <v>970</v>
      </c>
      <c r="J491" s="243" t="s">
        <v>971</v>
      </c>
      <c r="K491" s="247" t="s">
        <v>972</v>
      </c>
      <c r="L491" s="272"/>
      <c r="M491" s="272"/>
      <c r="N491" s="272"/>
      <c r="Q491" s="274"/>
    </row>
    <row r="492" spans="1:17" ht="12.75" customHeight="1" x14ac:dyDescent="0.35">
      <c r="A492" s="241">
        <v>38783</v>
      </c>
      <c r="B492" s="242" t="s">
        <v>2164</v>
      </c>
      <c r="C492" s="243" t="s">
        <v>2162</v>
      </c>
      <c r="D492" s="243" t="s">
        <v>179</v>
      </c>
      <c r="E492" s="243"/>
      <c r="F492" s="244" t="s">
        <v>43</v>
      </c>
      <c r="G492" s="275" t="s">
        <v>89</v>
      </c>
      <c r="H492" s="276" t="s">
        <v>104</v>
      </c>
      <c r="I492" s="243" t="s">
        <v>970</v>
      </c>
      <c r="J492" s="243" t="s">
        <v>971</v>
      </c>
      <c r="K492" s="247" t="s">
        <v>972</v>
      </c>
    </row>
    <row r="493" spans="1:17" ht="12.75" customHeight="1" x14ac:dyDescent="0.35">
      <c r="A493" s="241">
        <v>38889</v>
      </c>
      <c r="B493" s="242" t="s">
        <v>2340</v>
      </c>
      <c r="C493" s="243" t="s">
        <v>974</v>
      </c>
      <c r="D493" s="243" t="s">
        <v>1282</v>
      </c>
      <c r="E493" s="243"/>
      <c r="F493" s="244" t="s">
        <v>49</v>
      </c>
      <c r="G493" s="275" t="s">
        <v>139</v>
      </c>
      <c r="H493" s="276"/>
      <c r="I493" s="243" t="s">
        <v>970</v>
      </c>
      <c r="J493" s="243" t="s">
        <v>971</v>
      </c>
      <c r="K493" s="247" t="s">
        <v>972</v>
      </c>
    </row>
    <row r="494" spans="1:17" ht="12.75" customHeight="1" x14ac:dyDescent="0.35">
      <c r="A494" s="241">
        <v>38541</v>
      </c>
      <c r="B494" s="242" t="s">
        <v>973</v>
      </c>
      <c r="C494" s="243" t="s">
        <v>974</v>
      </c>
      <c r="D494" s="243" t="s">
        <v>125</v>
      </c>
      <c r="E494" s="243"/>
      <c r="F494" s="244" t="s">
        <v>43</v>
      </c>
      <c r="G494" s="275" t="s">
        <v>362</v>
      </c>
      <c r="H494" s="276" t="s">
        <v>66</v>
      </c>
      <c r="I494" s="243" t="s">
        <v>970</v>
      </c>
      <c r="J494" s="243" t="s">
        <v>971</v>
      </c>
      <c r="K494" s="247" t="s">
        <v>972</v>
      </c>
    </row>
    <row r="495" spans="1:17" ht="12.75" customHeight="1" x14ac:dyDescent="0.35">
      <c r="A495" s="241">
        <v>25785</v>
      </c>
      <c r="B495" s="242">
        <v>9062978</v>
      </c>
      <c r="C495" s="243" t="s">
        <v>974</v>
      </c>
      <c r="D495" s="243" t="s">
        <v>179</v>
      </c>
      <c r="E495" s="243"/>
      <c r="F495" s="244" t="s">
        <v>43</v>
      </c>
      <c r="G495" s="275" t="s">
        <v>67</v>
      </c>
      <c r="H495" s="276" t="s">
        <v>45</v>
      </c>
      <c r="I495" s="243" t="s">
        <v>970</v>
      </c>
      <c r="J495" s="243" t="s">
        <v>971</v>
      </c>
      <c r="K495" s="247" t="s">
        <v>972</v>
      </c>
    </row>
    <row r="496" spans="1:17" ht="12.75" customHeight="1" x14ac:dyDescent="0.35">
      <c r="A496" s="241">
        <v>38818</v>
      </c>
      <c r="B496" s="242" t="s">
        <v>2165</v>
      </c>
      <c r="C496" s="243" t="s">
        <v>2166</v>
      </c>
      <c r="D496" s="243" t="s">
        <v>1111</v>
      </c>
      <c r="E496" s="243"/>
      <c r="F496" s="244" t="s">
        <v>49</v>
      </c>
      <c r="G496" s="275" t="s">
        <v>775</v>
      </c>
      <c r="H496" s="276"/>
      <c r="I496" s="243" t="s">
        <v>970</v>
      </c>
      <c r="J496" s="243" t="s">
        <v>971</v>
      </c>
      <c r="K496" s="247" t="s">
        <v>972</v>
      </c>
      <c r="L496" s="272"/>
      <c r="M496" s="272"/>
      <c r="N496" s="272"/>
      <c r="Q496" s="274"/>
    </row>
    <row r="497" spans="1:17" ht="12.75" customHeight="1" x14ac:dyDescent="0.35">
      <c r="A497" s="241">
        <v>38817</v>
      </c>
      <c r="B497" s="242" t="s">
        <v>2167</v>
      </c>
      <c r="C497" s="243" t="s">
        <v>2166</v>
      </c>
      <c r="D497" s="243" t="s">
        <v>2168</v>
      </c>
      <c r="E497" s="243"/>
      <c r="F497" s="244" t="s">
        <v>49</v>
      </c>
      <c r="G497" s="275" t="s">
        <v>775</v>
      </c>
      <c r="H497" s="276" t="s">
        <v>104</v>
      </c>
      <c r="I497" s="243" t="s">
        <v>970</v>
      </c>
      <c r="J497" s="243" t="s">
        <v>971</v>
      </c>
      <c r="K497" s="247" t="s">
        <v>972</v>
      </c>
    </row>
    <row r="498" spans="1:17" ht="12.75" customHeight="1" x14ac:dyDescent="0.35">
      <c r="A498" s="241">
        <v>38712</v>
      </c>
      <c r="B498" s="242" t="s">
        <v>975</v>
      </c>
      <c r="C498" s="243" t="s">
        <v>976</v>
      </c>
      <c r="D498" s="243" t="s">
        <v>335</v>
      </c>
      <c r="E498" s="243"/>
      <c r="F498" s="244" t="s">
        <v>43</v>
      </c>
      <c r="G498" s="275" t="s">
        <v>52</v>
      </c>
      <c r="H498" s="276"/>
      <c r="I498" s="243" t="s">
        <v>970</v>
      </c>
      <c r="J498" s="243" t="s">
        <v>971</v>
      </c>
      <c r="K498" s="247" t="s">
        <v>972</v>
      </c>
    </row>
    <row r="499" spans="1:17" ht="12.75" customHeight="1" x14ac:dyDescent="0.35">
      <c r="A499" s="241">
        <v>38820</v>
      </c>
      <c r="B499" s="242" t="s">
        <v>2169</v>
      </c>
      <c r="C499" s="243" t="s">
        <v>978</v>
      </c>
      <c r="D499" s="243" t="s">
        <v>533</v>
      </c>
      <c r="E499" s="243"/>
      <c r="F499" s="244" t="s">
        <v>49</v>
      </c>
      <c r="G499" s="245" t="s">
        <v>79</v>
      </c>
      <c r="H499" s="246">
        <v>0</v>
      </c>
      <c r="I499" s="243" t="s">
        <v>970</v>
      </c>
      <c r="J499" s="243" t="s">
        <v>971</v>
      </c>
      <c r="K499" s="247" t="s">
        <v>972</v>
      </c>
    </row>
    <row r="500" spans="1:17" ht="12.75" customHeight="1" x14ac:dyDescent="0.35">
      <c r="A500" s="241">
        <v>38357</v>
      </c>
      <c r="B500" s="242" t="s">
        <v>977</v>
      </c>
      <c r="C500" s="243" t="s">
        <v>978</v>
      </c>
      <c r="D500" s="243" t="s">
        <v>831</v>
      </c>
      <c r="E500" s="243"/>
      <c r="F500" s="244" t="s">
        <v>43</v>
      </c>
      <c r="G500" s="275" t="s">
        <v>44</v>
      </c>
      <c r="H500" s="276" t="s">
        <v>45</v>
      </c>
      <c r="I500" s="243" t="s">
        <v>970</v>
      </c>
      <c r="J500" s="243" t="s">
        <v>971</v>
      </c>
      <c r="K500" s="247" t="s">
        <v>972</v>
      </c>
    </row>
    <row r="501" spans="1:17" ht="12.75" customHeight="1" x14ac:dyDescent="0.35">
      <c r="A501" s="241">
        <v>16820</v>
      </c>
      <c r="B501" s="242">
        <v>9016427</v>
      </c>
      <c r="C501" s="243" t="s">
        <v>979</v>
      </c>
      <c r="D501" s="243" t="s">
        <v>646</v>
      </c>
      <c r="E501" s="243"/>
      <c r="F501" s="244" t="s">
        <v>43</v>
      </c>
      <c r="G501" s="275" t="s">
        <v>52</v>
      </c>
      <c r="H501" s="276"/>
      <c r="I501" s="243" t="s">
        <v>970</v>
      </c>
      <c r="J501" s="243" t="s">
        <v>971</v>
      </c>
      <c r="K501" s="247" t="s">
        <v>972</v>
      </c>
      <c r="L501" s="272"/>
      <c r="M501" s="272"/>
      <c r="N501" s="272"/>
      <c r="Q501" s="274"/>
    </row>
    <row r="502" spans="1:17" ht="12.75" customHeight="1" x14ac:dyDescent="0.35">
      <c r="A502" s="241">
        <v>38307</v>
      </c>
      <c r="B502" s="242" t="s">
        <v>980</v>
      </c>
      <c r="C502" s="243" t="s">
        <v>981</v>
      </c>
      <c r="D502" s="243" t="s">
        <v>542</v>
      </c>
      <c r="E502" s="243"/>
      <c r="F502" s="244" t="s">
        <v>43</v>
      </c>
      <c r="G502" s="275" t="s">
        <v>52</v>
      </c>
      <c r="H502" s="276" t="s">
        <v>45</v>
      </c>
      <c r="I502" s="243" t="s">
        <v>970</v>
      </c>
      <c r="J502" s="243" t="s">
        <v>971</v>
      </c>
      <c r="K502" s="247" t="s">
        <v>972</v>
      </c>
    </row>
    <row r="503" spans="1:17" ht="12.75" customHeight="1" x14ac:dyDescent="0.35">
      <c r="A503" s="241">
        <v>38305</v>
      </c>
      <c r="B503" s="242" t="s">
        <v>982</v>
      </c>
      <c r="C503" s="243" t="s">
        <v>983</v>
      </c>
      <c r="D503" s="243" t="s">
        <v>99</v>
      </c>
      <c r="E503" s="243"/>
      <c r="F503" s="244" t="s">
        <v>43</v>
      </c>
      <c r="G503" s="275" t="s">
        <v>94</v>
      </c>
      <c r="H503" s="276" t="s">
        <v>180</v>
      </c>
      <c r="I503" s="243" t="s">
        <v>970</v>
      </c>
      <c r="J503" s="243" t="s">
        <v>971</v>
      </c>
      <c r="K503" s="247" t="s">
        <v>972</v>
      </c>
    </row>
    <row r="504" spans="1:17" ht="12.75" customHeight="1" x14ac:dyDescent="0.35">
      <c r="A504" s="241">
        <v>38864</v>
      </c>
      <c r="B504" s="242" t="s">
        <v>2277</v>
      </c>
      <c r="C504" s="243" t="s">
        <v>983</v>
      </c>
      <c r="D504" s="243" t="s">
        <v>533</v>
      </c>
      <c r="E504" s="243"/>
      <c r="F504" s="244" t="s">
        <v>49</v>
      </c>
      <c r="G504" s="275" t="s">
        <v>342</v>
      </c>
      <c r="H504" s="276" t="s">
        <v>104</v>
      </c>
      <c r="I504" s="243" t="s">
        <v>970</v>
      </c>
      <c r="J504" s="243" t="s">
        <v>971</v>
      </c>
      <c r="K504" s="247" t="s">
        <v>972</v>
      </c>
      <c r="L504" s="272"/>
      <c r="M504" s="272"/>
      <c r="N504" s="272"/>
      <c r="Q504" s="274"/>
    </row>
    <row r="505" spans="1:17" ht="12.75" customHeight="1" x14ac:dyDescent="0.35">
      <c r="A505" s="241">
        <v>38860</v>
      </c>
      <c r="B505" s="242" t="s">
        <v>2278</v>
      </c>
      <c r="C505" s="243" t="s">
        <v>2279</v>
      </c>
      <c r="D505" s="243" t="s">
        <v>122</v>
      </c>
      <c r="E505" s="243"/>
      <c r="F505" s="244" t="s">
        <v>43</v>
      </c>
      <c r="G505" s="275" t="s">
        <v>44</v>
      </c>
      <c r="H505" s="276"/>
      <c r="I505" s="243" t="s">
        <v>970</v>
      </c>
      <c r="J505" s="243" t="s">
        <v>971</v>
      </c>
      <c r="K505" s="247" t="s">
        <v>972</v>
      </c>
    </row>
    <row r="506" spans="1:17" ht="12.75" customHeight="1" x14ac:dyDescent="0.35">
      <c r="A506" s="241">
        <v>7253</v>
      </c>
      <c r="B506" s="242" t="s">
        <v>984</v>
      </c>
      <c r="C506" s="243" t="s">
        <v>985</v>
      </c>
      <c r="D506" s="243" t="s">
        <v>986</v>
      </c>
      <c r="E506" s="243"/>
      <c r="F506" s="244" t="s">
        <v>43</v>
      </c>
      <c r="G506" s="275" t="s">
        <v>67</v>
      </c>
      <c r="H506" s="276"/>
      <c r="I506" s="243" t="s">
        <v>970</v>
      </c>
      <c r="J506" s="243" t="s">
        <v>971</v>
      </c>
      <c r="K506" s="247" t="s">
        <v>972</v>
      </c>
    </row>
    <row r="507" spans="1:17" ht="12.75" customHeight="1" x14ac:dyDescent="0.35">
      <c r="A507" s="241">
        <v>38337</v>
      </c>
      <c r="B507" s="242" t="s">
        <v>987</v>
      </c>
      <c r="C507" s="243" t="s">
        <v>985</v>
      </c>
      <c r="D507" s="243" t="s">
        <v>988</v>
      </c>
      <c r="E507" s="243"/>
      <c r="F507" s="244" t="s">
        <v>43</v>
      </c>
      <c r="G507" s="275" t="s">
        <v>94</v>
      </c>
      <c r="H507" s="276" t="s">
        <v>66</v>
      </c>
      <c r="I507" s="243" t="s">
        <v>970</v>
      </c>
      <c r="J507" s="243" t="s">
        <v>971</v>
      </c>
      <c r="K507" s="247" t="s">
        <v>972</v>
      </c>
      <c r="L507" s="272"/>
      <c r="M507" s="272"/>
      <c r="N507" s="272"/>
      <c r="Q507" s="274"/>
    </row>
    <row r="508" spans="1:17" ht="12.75" customHeight="1" x14ac:dyDescent="0.35">
      <c r="A508" s="241">
        <v>38865</v>
      </c>
      <c r="B508" s="242" t="s">
        <v>2280</v>
      </c>
      <c r="C508" s="243" t="s">
        <v>2281</v>
      </c>
      <c r="D508" s="243" t="s">
        <v>381</v>
      </c>
      <c r="E508" s="243"/>
      <c r="F508" s="244" t="s">
        <v>43</v>
      </c>
      <c r="G508" s="275" t="s">
        <v>89</v>
      </c>
      <c r="H508" s="276" t="s">
        <v>104</v>
      </c>
      <c r="I508" s="243" t="s">
        <v>970</v>
      </c>
      <c r="J508" s="243" t="s">
        <v>971</v>
      </c>
      <c r="K508" s="247" t="s">
        <v>972</v>
      </c>
      <c r="L508" s="272"/>
      <c r="M508" s="272"/>
      <c r="N508" s="272"/>
      <c r="Q508" s="274"/>
    </row>
    <row r="509" spans="1:17" ht="12.75" customHeight="1" x14ac:dyDescent="0.35">
      <c r="A509" s="241">
        <v>38308</v>
      </c>
      <c r="B509" s="242" t="s">
        <v>989</v>
      </c>
      <c r="C509" s="243" t="s">
        <v>990</v>
      </c>
      <c r="D509" s="243" t="s">
        <v>991</v>
      </c>
      <c r="E509" s="243"/>
      <c r="F509" s="244" t="s">
        <v>43</v>
      </c>
      <c r="G509" s="275" t="s">
        <v>52</v>
      </c>
      <c r="H509" s="276" t="s">
        <v>180</v>
      </c>
      <c r="I509" s="243" t="s">
        <v>970</v>
      </c>
      <c r="J509" s="243" t="s">
        <v>971</v>
      </c>
      <c r="K509" s="247" t="s">
        <v>972</v>
      </c>
    </row>
    <row r="510" spans="1:17" ht="12.75" customHeight="1" x14ac:dyDescent="0.35">
      <c r="A510" s="241">
        <v>38905</v>
      </c>
      <c r="B510" s="242" t="s">
        <v>2494</v>
      </c>
      <c r="C510" s="243" t="s">
        <v>2495</v>
      </c>
      <c r="D510" s="243" t="s">
        <v>2496</v>
      </c>
      <c r="E510" s="243"/>
      <c r="F510" s="244" t="s">
        <v>49</v>
      </c>
      <c r="G510" s="275" t="s">
        <v>775</v>
      </c>
      <c r="H510" s="276"/>
      <c r="I510" s="243" t="s">
        <v>970</v>
      </c>
      <c r="J510" s="243" t="s">
        <v>971</v>
      </c>
      <c r="K510" s="247" t="s">
        <v>972</v>
      </c>
    </row>
    <row r="511" spans="1:17" ht="12.75" customHeight="1" x14ac:dyDescent="0.35">
      <c r="A511" s="241">
        <v>38103</v>
      </c>
      <c r="B511" s="242" t="s">
        <v>992</v>
      </c>
      <c r="C511" s="243" t="s">
        <v>993</v>
      </c>
      <c r="D511" s="243" t="s">
        <v>333</v>
      </c>
      <c r="E511" s="243"/>
      <c r="F511" s="244" t="s">
        <v>43</v>
      </c>
      <c r="G511" s="275" t="s">
        <v>44</v>
      </c>
      <c r="H511" s="276"/>
      <c r="I511" s="243" t="s">
        <v>970</v>
      </c>
      <c r="J511" s="243" t="s">
        <v>971</v>
      </c>
      <c r="K511" s="247" t="s">
        <v>972</v>
      </c>
    </row>
    <row r="512" spans="1:17" ht="12.75" customHeight="1" x14ac:dyDescent="0.35">
      <c r="A512" s="241">
        <v>38819</v>
      </c>
      <c r="B512" s="242" t="s">
        <v>2170</v>
      </c>
      <c r="C512" s="243" t="s">
        <v>2171</v>
      </c>
      <c r="D512" s="243" t="s">
        <v>740</v>
      </c>
      <c r="E512" s="243"/>
      <c r="F512" s="244" t="s">
        <v>43</v>
      </c>
      <c r="G512" s="275" t="s">
        <v>2061</v>
      </c>
      <c r="H512" s="276" t="s">
        <v>104</v>
      </c>
      <c r="I512" s="243" t="s">
        <v>970</v>
      </c>
      <c r="J512" s="243" t="s">
        <v>971</v>
      </c>
      <c r="K512" s="247" t="s">
        <v>972</v>
      </c>
    </row>
    <row r="513" spans="1:17" ht="12.75" customHeight="1" x14ac:dyDescent="0.35">
      <c r="A513" s="241">
        <v>38563</v>
      </c>
      <c r="B513" s="242" t="s">
        <v>995</v>
      </c>
      <c r="C513" s="243" t="s">
        <v>996</v>
      </c>
      <c r="D513" s="243" t="s">
        <v>169</v>
      </c>
      <c r="E513" s="243"/>
      <c r="F513" s="244" t="s">
        <v>43</v>
      </c>
      <c r="G513" s="275" t="s">
        <v>94</v>
      </c>
      <c r="H513" s="276" t="s">
        <v>66</v>
      </c>
      <c r="I513" s="243" t="s">
        <v>970</v>
      </c>
      <c r="J513" s="243" t="s">
        <v>971</v>
      </c>
      <c r="K513" s="247" t="s">
        <v>972</v>
      </c>
      <c r="L513" s="272"/>
      <c r="M513" s="272"/>
      <c r="N513" s="272"/>
      <c r="Q513" s="274"/>
    </row>
    <row r="514" spans="1:17" ht="12.75" customHeight="1" x14ac:dyDescent="0.35">
      <c r="A514" s="241">
        <v>38339</v>
      </c>
      <c r="B514" s="242" t="s">
        <v>997</v>
      </c>
      <c r="C514" s="243" t="s">
        <v>998</v>
      </c>
      <c r="D514" s="243" t="s">
        <v>999</v>
      </c>
      <c r="E514" s="243"/>
      <c r="F514" s="244" t="s">
        <v>43</v>
      </c>
      <c r="G514" s="275" t="s">
        <v>94</v>
      </c>
      <c r="H514" s="276"/>
      <c r="I514" s="243" t="s">
        <v>970</v>
      </c>
      <c r="J514" s="243" t="s">
        <v>971</v>
      </c>
      <c r="K514" s="247" t="s">
        <v>972</v>
      </c>
    </row>
    <row r="515" spans="1:17" ht="12.75" customHeight="1" x14ac:dyDescent="0.35">
      <c r="A515" s="241">
        <v>38714</v>
      </c>
      <c r="B515" s="242" t="s">
        <v>1949</v>
      </c>
      <c r="C515" s="243" t="s">
        <v>1950</v>
      </c>
      <c r="D515" s="243" t="s">
        <v>994</v>
      </c>
      <c r="E515" s="243"/>
      <c r="F515" s="244" t="s">
        <v>43</v>
      </c>
      <c r="G515" s="275" t="s">
        <v>362</v>
      </c>
      <c r="H515" s="276" t="s">
        <v>104</v>
      </c>
      <c r="I515" s="243" t="s">
        <v>970</v>
      </c>
      <c r="J515" s="243" t="s">
        <v>971</v>
      </c>
      <c r="K515" s="247" t="s">
        <v>972</v>
      </c>
    </row>
    <row r="516" spans="1:17" ht="12.75" customHeight="1" x14ac:dyDescent="0.35">
      <c r="A516" s="241">
        <v>16746</v>
      </c>
      <c r="B516" s="242" t="s">
        <v>1000</v>
      </c>
      <c r="C516" s="243" t="s">
        <v>912</v>
      </c>
      <c r="D516" s="243" t="s">
        <v>475</v>
      </c>
      <c r="E516" s="243"/>
      <c r="F516" s="244" t="s">
        <v>49</v>
      </c>
      <c r="G516" s="275" t="s">
        <v>50</v>
      </c>
      <c r="H516" s="276" t="s">
        <v>66</v>
      </c>
      <c r="I516" s="243" t="s">
        <v>1001</v>
      </c>
      <c r="J516" s="243" t="s">
        <v>15</v>
      </c>
      <c r="K516" s="247" t="s">
        <v>26</v>
      </c>
      <c r="L516" s="272"/>
      <c r="M516" s="272"/>
      <c r="N516" s="272"/>
      <c r="Q516" s="274"/>
    </row>
    <row r="517" spans="1:17" ht="12.75" customHeight="1" x14ac:dyDescent="0.35">
      <c r="A517" s="241">
        <v>16443</v>
      </c>
      <c r="B517" s="242" t="s">
        <v>1002</v>
      </c>
      <c r="C517" s="243" t="s">
        <v>125</v>
      </c>
      <c r="D517" s="243" t="s">
        <v>238</v>
      </c>
      <c r="E517" s="243"/>
      <c r="F517" s="244" t="s">
        <v>43</v>
      </c>
      <c r="G517" s="275" t="s">
        <v>44</v>
      </c>
      <c r="H517" s="276" t="s">
        <v>180</v>
      </c>
      <c r="I517" s="243" t="s">
        <v>1001</v>
      </c>
      <c r="J517" s="243" t="s">
        <v>15</v>
      </c>
      <c r="K517" s="247" t="s">
        <v>26</v>
      </c>
    </row>
    <row r="518" spans="1:17" ht="12.75" customHeight="1" x14ac:dyDescent="0.35">
      <c r="A518" s="241">
        <v>16432</v>
      </c>
      <c r="B518" s="242" t="s">
        <v>1003</v>
      </c>
      <c r="C518" s="243" t="s">
        <v>1004</v>
      </c>
      <c r="D518" s="243" t="s">
        <v>624</v>
      </c>
      <c r="E518" s="243"/>
      <c r="F518" s="244" t="s">
        <v>43</v>
      </c>
      <c r="G518" s="275" t="s">
        <v>58</v>
      </c>
      <c r="H518" s="276" t="s">
        <v>66</v>
      </c>
      <c r="I518" s="243" t="s">
        <v>1001</v>
      </c>
      <c r="J518" s="243" t="s">
        <v>15</v>
      </c>
      <c r="K518" s="247" t="s">
        <v>26</v>
      </c>
      <c r="L518" s="272"/>
      <c r="M518" s="272"/>
      <c r="N518" s="272"/>
      <c r="Q518" s="274"/>
    </row>
    <row r="519" spans="1:17" ht="12.75" customHeight="1" x14ac:dyDescent="0.35">
      <c r="A519" s="241">
        <v>16437</v>
      </c>
      <c r="B519" s="242" t="s">
        <v>1005</v>
      </c>
      <c r="C519" s="243" t="s">
        <v>1006</v>
      </c>
      <c r="D519" s="243" t="s">
        <v>912</v>
      </c>
      <c r="E519" s="243"/>
      <c r="F519" s="244" t="s">
        <v>43</v>
      </c>
      <c r="G519" s="275" t="s">
        <v>58</v>
      </c>
      <c r="H519" s="276" t="s">
        <v>51</v>
      </c>
      <c r="I519" s="243" t="s">
        <v>1001</v>
      </c>
      <c r="J519" s="243" t="s">
        <v>15</v>
      </c>
      <c r="K519" s="247" t="s">
        <v>26</v>
      </c>
      <c r="L519" s="272"/>
      <c r="M519" s="272"/>
      <c r="N519" s="272"/>
      <c r="Q519" s="274"/>
    </row>
    <row r="520" spans="1:17" ht="12.75" customHeight="1" x14ac:dyDescent="0.35">
      <c r="A520" s="241">
        <v>16493</v>
      </c>
      <c r="B520" s="242" t="s">
        <v>1007</v>
      </c>
      <c r="C520" s="243" t="s">
        <v>1008</v>
      </c>
      <c r="D520" s="243" t="s">
        <v>1009</v>
      </c>
      <c r="E520" s="243"/>
      <c r="F520" s="244" t="s">
        <v>43</v>
      </c>
      <c r="G520" s="275" t="s">
        <v>52</v>
      </c>
      <c r="H520" s="276" t="s">
        <v>45</v>
      </c>
      <c r="I520" s="243" t="s">
        <v>1001</v>
      </c>
      <c r="J520" s="243" t="s">
        <v>15</v>
      </c>
      <c r="K520" s="247" t="s">
        <v>26</v>
      </c>
    </row>
    <row r="521" spans="1:17" ht="12.75" customHeight="1" x14ac:dyDescent="0.35">
      <c r="A521" s="241">
        <v>38791</v>
      </c>
      <c r="B521" s="242" t="s">
        <v>2172</v>
      </c>
      <c r="C521" s="243" t="s">
        <v>2173</v>
      </c>
      <c r="D521" s="243" t="s">
        <v>107</v>
      </c>
      <c r="E521" s="243"/>
      <c r="F521" s="244" t="s">
        <v>43</v>
      </c>
      <c r="G521" s="275" t="s">
        <v>67</v>
      </c>
      <c r="H521" s="276" t="s">
        <v>104</v>
      </c>
      <c r="I521" s="243" t="s">
        <v>1001</v>
      </c>
      <c r="J521" s="243" t="s">
        <v>15</v>
      </c>
      <c r="K521" s="247" t="s">
        <v>26</v>
      </c>
    </row>
    <row r="522" spans="1:17" ht="12.75" customHeight="1" x14ac:dyDescent="0.35">
      <c r="A522" s="241">
        <v>38804</v>
      </c>
      <c r="B522" s="242" t="s">
        <v>2174</v>
      </c>
      <c r="C522" s="243" t="s">
        <v>2175</v>
      </c>
      <c r="D522" s="243" t="s">
        <v>1722</v>
      </c>
      <c r="E522" s="243"/>
      <c r="F522" s="244" t="s">
        <v>43</v>
      </c>
      <c r="G522" s="275" t="s">
        <v>52</v>
      </c>
      <c r="H522" s="276" t="s">
        <v>104</v>
      </c>
      <c r="I522" s="243" t="s">
        <v>1001</v>
      </c>
      <c r="J522" s="243" t="s">
        <v>15</v>
      </c>
      <c r="K522" s="247" t="s">
        <v>26</v>
      </c>
    </row>
    <row r="523" spans="1:17" ht="12.75" customHeight="1" x14ac:dyDescent="0.35">
      <c r="A523" s="241">
        <v>38917</v>
      </c>
      <c r="B523" s="242" t="s">
        <v>2497</v>
      </c>
      <c r="C523" s="243" t="s">
        <v>1011</v>
      </c>
      <c r="D523" s="243" t="s">
        <v>1653</v>
      </c>
      <c r="E523" s="243"/>
      <c r="F523" s="244" t="s">
        <v>43</v>
      </c>
      <c r="G523" s="275" t="s">
        <v>94</v>
      </c>
      <c r="H523" s="276">
        <v>0</v>
      </c>
      <c r="I523" s="243" t="s">
        <v>1001</v>
      </c>
      <c r="J523" s="243" t="s">
        <v>15</v>
      </c>
      <c r="K523" s="247" t="s">
        <v>26</v>
      </c>
    </row>
    <row r="524" spans="1:17" ht="12.75" customHeight="1" x14ac:dyDescent="0.35">
      <c r="A524" s="241">
        <v>16501</v>
      </c>
      <c r="B524" s="242" t="s">
        <v>1010</v>
      </c>
      <c r="C524" s="243" t="s">
        <v>1011</v>
      </c>
      <c r="D524" s="243" t="s">
        <v>169</v>
      </c>
      <c r="E524" s="243"/>
      <c r="F524" s="244" t="s">
        <v>43</v>
      </c>
      <c r="G524" s="275" t="s">
        <v>67</v>
      </c>
      <c r="H524" s="276" t="s">
        <v>180</v>
      </c>
      <c r="I524" s="243" t="s">
        <v>1001</v>
      </c>
      <c r="J524" s="243" t="s">
        <v>15</v>
      </c>
      <c r="K524" s="247" t="s">
        <v>26</v>
      </c>
    </row>
    <row r="525" spans="1:17" ht="12.75" customHeight="1" x14ac:dyDescent="0.35">
      <c r="A525" s="241">
        <v>16438</v>
      </c>
      <c r="B525" s="242" t="s">
        <v>1012</v>
      </c>
      <c r="C525" s="243" t="s">
        <v>1013</v>
      </c>
      <c r="D525" s="243" t="s">
        <v>333</v>
      </c>
      <c r="E525" s="243"/>
      <c r="F525" s="244" t="s">
        <v>43</v>
      </c>
      <c r="G525" s="275" t="s">
        <v>44</v>
      </c>
      <c r="H525" s="276" t="s">
        <v>66</v>
      </c>
      <c r="I525" s="243" t="s">
        <v>1001</v>
      </c>
      <c r="J525" s="243" t="s">
        <v>15</v>
      </c>
      <c r="K525" s="247" t="s">
        <v>26</v>
      </c>
    </row>
    <row r="526" spans="1:17" ht="12.75" customHeight="1" x14ac:dyDescent="0.35">
      <c r="A526" s="241">
        <v>16431</v>
      </c>
      <c r="B526" s="242" t="s">
        <v>1014</v>
      </c>
      <c r="C526" s="243" t="s">
        <v>1013</v>
      </c>
      <c r="D526" s="243" t="s">
        <v>169</v>
      </c>
      <c r="E526" s="243"/>
      <c r="F526" s="244" t="s">
        <v>43</v>
      </c>
      <c r="G526" s="275" t="s">
        <v>44</v>
      </c>
      <c r="H526" s="276" t="s">
        <v>45</v>
      </c>
      <c r="I526" s="243" t="s">
        <v>1001</v>
      </c>
      <c r="J526" s="243" t="s">
        <v>15</v>
      </c>
      <c r="K526" s="247" t="s">
        <v>26</v>
      </c>
    </row>
    <row r="527" spans="1:17" ht="12.75" customHeight="1" x14ac:dyDescent="0.35">
      <c r="A527" s="241">
        <v>16439</v>
      </c>
      <c r="B527" s="242" t="s">
        <v>1015</v>
      </c>
      <c r="C527" s="243" t="s">
        <v>1013</v>
      </c>
      <c r="D527" s="243" t="s">
        <v>1016</v>
      </c>
      <c r="E527" s="243"/>
      <c r="F527" s="244" t="s">
        <v>43</v>
      </c>
      <c r="G527" s="275" t="s">
        <v>52</v>
      </c>
      <c r="H527" s="276" t="s">
        <v>45</v>
      </c>
      <c r="I527" s="243" t="s">
        <v>1001</v>
      </c>
      <c r="J527" s="243" t="s">
        <v>15</v>
      </c>
      <c r="K527" s="247" t="s">
        <v>26</v>
      </c>
    </row>
    <row r="528" spans="1:17" ht="12.75" customHeight="1" x14ac:dyDescent="0.35">
      <c r="A528" s="241">
        <v>16430</v>
      </c>
      <c r="B528" s="242" t="s">
        <v>1017</v>
      </c>
      <c r="C528" s="243" t="s">
        <v>1018</v>
      </c>
      <c r="D528" s="243" t="s">
        <v>552</v>
      </c>
      <c r="E528" s="243"/>
      <c r="F528" s="244" t="s">
        <v>43</v>
      </c>
      <c r="G528" s="275" t="s">
        <v>52</v>
      </c>
      <c r="H528" s="276" t="s">
        <v>66</v>
      </c>
      <c r="I528" s="243" t="s">
        <v>1001</v>
      </c>
      <c r="J528" s="243" t="s">
        <v>15</v>
      </c>
      <c r="K528" s="247" t="s">
        <v>26</v>
      </c>
    </row>
    <row r="529" spans="1:17" ht="12.75" customHeight="1" x14ac:dyDescent="0.35">
      <c r="A529" s="241">
        <v>7393</v>
      </c>
      <c r="B529" s="242" t="s">
        <v>1019</v>
      </c>
      <c r="C529" s="243" t="s">
        <v>1020</v>
      </c>
      <c r="D529" s="243" t="s">
        <v>80</v>
      </c>
      <c r="E529" s="243"/>
      <c r="F529" s="244" t="s">
        <v>43</v>
      </c>
      <c r="G529" s="275" t="s">
        <v>67</v>
      </c>
      <c r="H529" s="276" t="s">
        <v>66</v>
      </c>
      <c r="I529" s="243" t="s">
        <v>1021</v>
      </c>
      <c r="J529" s="243" t="s">
        <v>16</v>
      </c>
      <c r="K529" s="247" t="s">
        <v>1022</v>
      </c>
      <c r="L529" s="272"/>
      <c r="M529" s="272"/>
      <c r="N529" s="272"/>
      <c r="Q529" s="274"/>
    </row>
    <row r="530" spans="1:17" ht="12.75" customHeight="1" x14ac:dyDescent="0.35">
      <c r="A530" s="241">
        <v>7387</v>
      </c>
      <c r="B530" s="242" t="s">
        <v>1951</v>
      </c>
      <c r="C530" s="243" t="s">
        <v>1023</v>
      </c>
      <c r="D530" s="243" t="s">
        <v>1024</v>
      </c>
      <c r="E530" s="243"/>
      <c r="F530" s="244" t="s">
        <v>43</v>
      </c>
      <c r="G530" s="275" t="s">
        <v>52</v>
      </c>
      <c r="H530" s="276" t="s">
        <v>45</v>
      </c>
      <c r="I530" s="243" t="s">
        <v>1021</v>
      </c>
      <c r="J530" s="243" t="s">
        <v>16</v>
      </c>
      <c r="K530" s="247" t="s">
        <v>1022</v>
      </c>
      <c r="L530" s="272"/>
      <c r="M530" s="272"/>
      <c r="N530" s="272"/>
      <c r="Q530" s="274"/>
    </row>
    <row r="531" spans="1:17" ht="12.75" customHeight="1" x14ac:dyDescent="0.35">
      <c r="A531" s="241">
        <v>25638</v>
      </c>
      <c r="B531" s="242" t="s">
        <v>1025</v>
      </c>
      <c r="C531" s="243" t="s">
        <v>70</v>
      </c>
      <c r="D531" s="243" t="s">
        <v>132</v>
      </c>
      <c r="E531" s="243"/>
      <c r="F531" s="244" t="s">
        <v>43</v>
      </c>
      <c r="G531" s="275" t="s">
        <v>44</v>
      </c>
      <c r="H531" s="276" t="s">
        <v>180</v>
      </c>
      <c r="I531" s="243" t="s">
        <v>1021</v>
      </c>
      <c r="J531" s="243" t="s">
        <v>16</v>
      </c>
      <c r="K531" s="247" t="s">
        <v>1022</v>
      </c>
      <c r="L531" s="272"/>
      <c r="M531" s="272"/>
      <c r="N531" s="272"/>
      <c r="Q531" s="274"/>
    </row>
    <row r="532" spans="1:17" ht="12.75" customHeight="1" x14ac:dyDescent="0.35">
      <c r="A532" s="241">
        <v>7390</v>
      </c>
      <c r="B532" s="242">
        <v>65102</v>
      </c>
      <c r="C532" s="243" t="s">
        <v>2176</v>
      </c>
      <c r="D532" s="243" t="s">
        <v>483</v>
      </c>
      <c r="E532" s="243"/>
      <c r="F532" s="244" t="s">
        <v>43</v>
      </c>
      <c r="G532" s="243" t="s">
        <v>52</v>
      </c>
      <c r="H532" s="259">
        <v>0</v>
      </c>
      <c r="I532" s="243" t="s">
        <v>1021</v>
      </c>
      <c r="J532" s="243" t="s">
        <v>16</v>
      </c>
      <c r="K532" s="247" t="s">
        <v>1022</v>
      </c>
      <c r="L532" s="272"/>
      <c r="M532" s="272"/>
      <c r="N532" s="272"/>
      <c r="Q532" s="274"/>
    </row>
    <row r="533" spans="1:17" ht="12.75" customHeight="1" x14ac:dyDescent="0.35">
      <c r="A533" s="241">
        <v>25727</v>
      </c>
      <c r="B533" s="242" t="s">
        <v>1952</v>
      </c>
      <c r="C533" s="243" t="s">
        <v>577</v>
      </c>
      <c r="D533" s="243" t="s">
        <v>1026</v>
      </c>
      <c r="E533" s="243"/>
      <c r="F533" s="244" t="s">
        <v>43</v>
      </c>
      <c r="G533" s="275" t="s">
        <v>67</v>
      </c>
      <c r="H533" s="276"/>
      <c r="I533" s="243" t="s">
        <v>1021</v>
      </c>
      <c r="J533" s="243" t="s">
        <v>16</v>
      </c>
      <c r="K533" s="247" t="s">
        <v>1022</v>
      </c>
    </row>
    <row r="534" spans="1:17" ht="12.75" customHeight="1" x14ac:dyDescent="0.35">
      <c r="A534" s="241">
        <v>16809</v>
      </c>
      <c r="B534" s="242" t="s">
        <v>2177</v>
      </c>
      <c r="C534" s="243" t="s">
        <v>2178</v>
      </c>
      <c r="D534" s="243" t="s">
        <v>195</v>
      </c>
      <c r="E534" s="243"/>
      <c r="F534" s="244" t="s">
        <v>43</v>
      </c>
      <c r="G534" s="275" t="s">
        <v>44</v>
      </c>
      <c r="H534" s="276" t="s">
        <v>66</v>
      </c>
      <c r="I534" s="243" t="s">
        <v>1021</v>
      </c>
      <c r="J534" s="243" t="s">
        <v>16</v>
      </c>
      <c r="K534" s="247" t="s">
        <v>1022</v>
      </c>
    </row>
    <row r="535" spans="1:17" ht="12.75" customHeight="1" x14ac:dyDescent="0.35">
      <c r="A535" s="241">
        <v>7397</v>
      </c>
      <c r="B535" s="242" t="s">
        <v>1953</v>
      </c>
      <c r="C535" s="243" t="s">
        <v>1027</v>
      </c>
      <c r="D535" s="243" t="s">
        <v>206</v>
      </c>
      <c r="E535" s="243"/>
      <c r="F535" s="244" t="s">
        <v>43</v>
      </c>
      <c r="G535" s="275" t="s">
        <v>52</v>
      </c>
      <c r="H535" s="276"/>
      <c r="I535" s="243" t="s">
        <v>1021</v>
      </c>
      <c r="J535" s="243" t="s">
        <v>16</v>
      </c>
      <c r="K535" s="247" t="s">
        <v>1022</v>
      </c>
    </row>
    <row r="536" spans="1:17" ht="12.75" customHeight="1" x14ac:dyDescent="0.35">
      <c r="A536" s="241">
        <v>7388</v>
      </c>
      <c r="B536" s="242" t="s">
        <v>1954</v>
      </c>
      <c r="C536" s="249" t="s">
        <v>1028</v>
      </c>
      <c r="D536" s="249" t="s">
        <v>1029</v>
      </c>
      <c r="E536" s="249" t="s">
        <v>2368</v>
      </c>
      <c r="F536" s="244" t="s">
        <v>43</v>
      </c>
      <c r="G536" s="245" t="s">
        <v>58</v>
      </c>
      <c r="H536" s="246">
        <v>0</v>
      </c>
      <c r="I536" s="249" t="s">
        <v>1021</v>
      </c>
      <c r="J536" s="249" t="s">
        <v>16</v>
      </c>
      <c r="K536" s="247" t="s">
        <v>1022</v>
      </c>
    </row>
    <row r="537" spans="1:17" ht="12.75" customHeight="1" x14ac:dyDescent="0.35">
      <c r="A537" s="241">
        <v>7395</v>
      </c>
      <c r="B537" s="242" t="s">
        <v>1955</v>
      </c>
      <c r="C537" s="243" t="s">
        <v>1030</v>
      </c>
      <c r="D537" s="243" t="s">
        <v>284</v>
      </c>
      <c r="E537" s="243"/>
      <c r="F537" s="244" t="s">
        <v>43</v>
      </c>
      <c r="G537" s="275" t="s">
        <v>44</v>
      </c>
      <c r="H537" s="276" t="s">
        <v>66</v>
      </c>
      <c r="I537" s="243" t="s">
        <v>1021</v>
      </c>
      <c r="J537" s="243" t="s">
        <v>16</v>
      </c>
      <c r="K537" s="247" t="s">
        <v>1022</v>
      </c>
    </row>
    <row r="538" spans="1:17" ht="12.75" customHeight="1" x14ac:dyDescent="0.35">
      <c r="A538" s="241">
        <v>38521</v>
      </c>
      <c r="B538" s="242" t="s">
        <v>1031</v>
      </c>
      <c r="C538" s="243" t="s">
        <v>1032</v>
      </c>
      <c r="D538" s="243" t="s">
        <v>143</v>
      </c>
      <c r="E538" s="243"/>
      <c r="F538" s="244" t="s">
        <v>43</v>
      </c>
      <c r="G538" s="275" t="s">
        <v>67</v>
      </c>
      <c r="H538" s="276"/>
      <c r="I538" s="243" t="s">
        <v>1021</v>
      </c>
      <c r="J538" s="243" t="s">
        <v>16</v>
      </c>
      <c r="K538" s="247" t="s">
        <v>1022</v>
      </c>
    </row>
    <row r="539" spans="1:17" ht="12.75" customHeight="1" x14ac:dyDescent="0.35">
      <c r="A539" s="241">
        <v>7394</v>
      </c>
      <c r="B539" s="242">
        <v>610890</v>
      </c>
      <c r="C539" s="243" t="s">
        <v>1033</v>
      </c>
      <c r="D539" s="243" t="s">
        <v>624</v>
      </c>
      <c r="E539" s="243"/>
      <c r="F539" s="244" t="s">
        <v>43</v>
      </c>
      <c r="G539" s="275" t="s">
        <v>52</v>
      </c>
      <c r="H539" s="276" t="s">
        <v>45</v>
      </c>
      <c r="I539" s="243" t="s">
        <v>1021</v>
      </c>
      <c r="J539" s="243" t="s">
        <v>16</v>
      </c>
      <c r="K539" s="247" t="s">
        <v>1022</v>
      </c>
    </row>
    <row r="540" spans="1:17" ht="12.75" customHeight="1" x14ac:dyDescent="0.35">
      <c r="A540" s="241">
        <v>38807</v>
      </c>
      <c r="B540" s="242" t="s">
        <v>2179</v>
      </c>
      <c r="C540" s="243" t="s">
        <v>2180</v>
      </c>
      <c r="D540" s="243" t="s">
        <v>132</v>
      </c>
      <c r="E540" s="243"/>
      <c r="F540" s="244" t="s">
        <v>43</v>
      </c>
      <c r="G540" s="275" t="s">
        <v>44</v>
      </c>
      <c r="H540" s="276"/>
      <c r="I540" s="243" t="s">
        <v>1021</v>
      </c>
      <c r="J540" s="243" t="s">
        <v>16</v>
      </c>
      <c r="K540" s="247" t="s">
        <v>1022</v>
      </c>
    </row>
    <row r="541" spans="1:17" ht="12.75" customHeight="1" x14ac:dyDescent="0.35">
      <c r="A541" s="241">
        <v>16894</v>
      </c>
      <c r="B541" s="242" t="s">
        <v>1034</v>
      </c>
      <c r="C541" s="243" t="s">
        <v>1035</v>
      </c>
      <c r="D541" s="243" t="s">
        <v>837</v>
      </c>
      <c r="E541" s="243"/>
      <c r="F541" s="244" t="s">
        <v>43</v>
      </c>
      <c r="G541" s="275" t="s">
        <v>44</v>
      </c>
      <c r="H541" s="276" t="s">
        <v>45</v>
      </c>
      <c r="I541" s="243" t="s">
        <v>1021</v>
      </c>
      <c r="J541" s="243" t="s">
        <v>16</v>
      </c>
      <c r="K541" s="247" t="s">
        <v>1022</v>
      </c>
    </row>
    <row r="542" spans="1:17" ht="12.75" customHeight="1" x14ac:dyDescent="0.35">
      <c r="A542" s="241">
        <v>7396</v>
      </c>
      <c r="B542" s="242" t="s">
        <v>1036</v>
      </c>
      <c r="C542" s="243" t="s">
        <v>1037</v>
      </c>
      <c r="D542" s="243" t="s">
        <v>99</v>
      </c>
      <c r="E542" s="243"/>
      <c r="F542" s="244" t="s">
        <v>43</v>
      </c>
      <c r="G542" s="275" t="s">
        <v>44</v>
      </c>
      <c r="H542" s="276" t="s">
        <v>45</v>
      </c>
      <c r="I542" s="243" t="s">
        <v>1021</v>
      </c>
      <c r="J542" s="243" t="s">
        <v>16</v>
      </c>
      <c r="K542" s="247" t="s">
        <v>1022</v>
      </c>
    </row>
    <row r="543" spans="1:17" ht="12.75" customHeight="1" x14ac:dyDescent="0.35">
      <c r="A543" s="241">
        <v>16972</v>
      </c>
      <c r="B543" s="242" t="s">
        <v>1956</v>
      </c>
      <c r="C543" s="243" t="s">
        <v>1038</v>
      </c>
      <c r="D543" s="243" t="s">
        <v>82</v>
      </c>
      <c r="E543" s="243"/>
      <c r="F543" s="244" t="s">
        <v>43</v>
      </c>
      <c r="G543" s="245" t="s">
        <v>44</v>
      </c>
      <c r="H543" s="246">
        <v>0</v>
      </c>
      <c r="I543" s="243" t="s">
        <v>1021</v>
      </c>
      <c r="J543" s="243" t="s">
        <v>16</v>
      </c>
      <c r="K543" s="247" t="s">
        <v>1022</v>
      </c>
    </row>
    <row r="544" spans="1:17" ht="12.75" customHeight="1" x14ac:dyDescent="0.35">
      <c r="A544" s="241">
        <v>25130</v>
      </c>
      <c r="B544" s="242" t="s">
        <v>1039</v>
      </c>
      <c r="C544" s="243" t="s">
        <v>1040</v>
      </c>
      <c r="D544" s="243" t="s">
        <v>646</v>
      </c>
      <c r="E544" s="243"/>
      <c r="F544" s="244" t="s">
        <v>43</v>
      </c>
      <c r="G544" s="275" t="s">
        <v>52</v>
      </c>
      <c r="H544" s="276" t="s">
        <v>66</v>
      </c>
      <c r="I544" s="243" t="s">
        <v>1041</v>
      </c>
      <c r="J544" s="243" t="s">
        <v>1042</v>
      </c>
      <c r="K544" s="247" t="s">
        <v>1043</v>
      </c>
    </row>
    <row r="545" spans="1:17" ht="12.75" customHeight="1" x14ac:dyDescent="0.35">
      <c r="A545" s="241">
        <v>7730</v>
      </c>
      <c r="B545" s="242" t="s">
        <v>1045</v>
      </c>
      <c r="C545" s="243" t="s">
        <v>1044</v>
      </c>
      <c r="D545" s="243" t="s">
        <v>61</v>
      </c>
      <c r="E545" s="243"/>
      <c r="F545" s="244" t="s">
        <v>43</v>
      </c>
      <c r="G545" s="275" t="s">
        <v>44</v>
      </c>
      <c r="H545" s="276" t="s">
        <v>180</v>
      </c>
      <c r="I545" s="243" t="s">
        <v>1041</v>
      </c>
      <c r="J545" s="243" t="s">
        <v>1042</v>
      </c>
      <c r="K545" s="247" t="s">
        <v>1043</v>
      </c>
    </row>
    <row r="546" spans="1:17" ht="12.75" customHeight="1" x14ac:dyDescent="0.35">
      <c r="A546" s="241">
        <v>25723</v>
      </c>
      <c r="B546" s="242" t="s">
        <v>1129</v>
      </c>
      <c r="C546" s="243" t="s">
        <v>1130</v>
      </c>
      <c r="D546" s="243" t="s">
        <v>143</v>
      </c>
      <c r="E546" s="243"/>
      <c r="F546" s="244" t="s">
        <v>43</v>
      </c>
      <c r="G546" s="275" t="s">
        <v>44</v>
      </c>
      <c r="H546" s="276" t="s">
        <v>180</v>
      </c>
      <c r="I546" s="243" t="s">
        <v>1041</v>
      </c>
      <c r="J546" s="243" t="s">
        <v>1042</v>
      </c>
      <c r="K546" s="247" t="s">
        <v>1043</v>
      </c>
    </row>
    <row r="547" spans="1:17" ht="12.75" customHeight="1" x14ac:dyDescent="0.35">
      <c r="A547" s="241">
        <v>38570</v>
      </c>
      <c r="B547" s="242" t="s">
        <v>1131</v>
      </c>
      <c r="C547" s="243" t="s">
        <v>1130</v>
      </c>
      <c r="D547" s="243" t="s">
        <v>572</v>
      </c>
      <c r="E547" s="243"/>
      <c r="F547" s="244" t="s">
        <v>43</v>
      </c>
      <c r="G547" s="275" t="s">
        <v>52</v>
      </c>
      <c r="H547" s="276" t="s">
        <v>51</v>
      </c>
      <c r="I547" s="243" t="s">
        <v>1041</v>
      </c>
      <c r="J547" s="243" t="s">
        <v>1042</v>
      </c>
      <c r="K547" s="247" t="s">
        <v>1043</v>
      </c>
    </row>
    <row r="548" spans="1:17" ht="12.75" customHeight="1" x14ac:dyDescent="0.35">
      <c r="A548" s="241">
        <v>25895</v>
      </c>
      <c r="B548" s="242" t="s">
        <v>2181</v>
      </c>
      <c r="C548" s="243" t="s">
        <v>2182</v>
      </c>
      <c r="D548" s="243" t="s">
        <v>61</v>
      </c>
      <c r="E548" s="243"/>
      <c r="F548" s="244" t="s">
        <v>43</v>
      </c>
      <c r="G548" s="275" t="s">
        <v>44</v>
      </c>
      <c r="H548" s="276" t="s">
        <v>45</v>
      </c>
      <c r="I548" s="243" t="s">
        <v>1041</v>
      </c>
      <c r="J548" s="243" t="s">
        <v>1042</v>
      </c>
      <c r="K548" s="247" t="s">
        <v>1043</v>
      </c>
    </row>
    <row r="549" spans="1:17" ht="12.75" customHeight="1" x14ac:dyDescent="0.35">
      <c r="A549" s="241">
        <v>7809</v>
      </c>
      <c r="B549" s="242" t="s">
        <v>1046</v>
      </c>
      <c r="C549" s="243" t="s">
        <v>1047</v>
      </c>
      <c r="D549" s="243" t="s">
        <v>87</v>
      </c>
      <c r="E549" s="243"/>
      <c r="F549" s="244" t="s">
        <v>43</v>
      </c>
      <c r="G549" s="275" t="s">
        <v>67</v>
      </c>
      <c r="H549" s="276"/>
      <c r="I549" s="243" t="s">
        <v>1041</v>
      </c>
      <c r="J549" s="243" t="s">
        <v>1042</v>
      </c>
      <c r="K549" s="247" t="s">
        <v>1043</v>
      </c>
    </row>
    <row r="550" spans="1:17" ht="12.75" customHeight="1" x14ac:dyDescent="0.35">
      <c r="A550" s="241">
        <v>38046</v>
      </c>
      <c r="B550" s="242" t="s">
        <v>1048</v>
      </c>
      <c r="C550" s="243" t="s">
        <v>1049</v>
      </c>
      <c r="D550" s="243" t="s">
        <v>122</v>
      </c>
      <c r="E550" s="243"/>
      <c r="F550" s="244" t="s">
        <v>43</v>
      </c>
      <c r="G550" s="275" t="s">
        <v>44</v>
      </c>
      <c r="H550" s="276" t="s">
        <v>180</v>
      </c>
      <c r="I550" s="243" t="s">
        <v>1041</v>
      </c>
      <c r="J550" s="243" t="s">
        <v>1042</v>
      </c>
      <c r="K550" s="247" t="s">
        <v>1043</v>
      </c>
    </row>
    <row r="551" spans="1:17" ht="12.75" customHeight="1" x14ac:dyDescent="0.35">
      <c r="A551" s="241">
        <v>7816</v>
      </c>
      <c r="B551" s="242" t="s">
        <v>1050</v>
      </c>
      <c r="C551" s="243" t="s">
        <v>1051</v>
      </c>
      <c r="D551" s="243" t="s">
        <v>59</v>
      </c>
      <c r="E551" s="243"/>
      <c r="F551" s="244" t="s">
        <v>43</v>
      </c>
      <c r="G551" s="275" t="s">
        <v>67</v>
      </c>
      <c r="H551" s="276" t="s">
        <v>45</v>
      </c>
      <c r="I551" s="243" t="s">
        <v>1041</v>
      </c>
      <c r="J551" s="243" t="s">
        <v>1042</v>
      </c>
      <c r="K551" s="247" t="s">
        <v>1043</v>
      </c>
    </row>
    <row r="552" spans="1:17" ht="12.75" customHeight="1" x14ac:dyDescent="0.35">
      <c r="A552" s="241">
        <v>7814</v>
      </c>
      <c r="B552" s="242" t="s">
        <v>1052</v>
      </c>
      <c r="C552" s="243" t="s">
        <v>1053</v>
      </c>
      <c r="D552" s="243" t="s">
        <v>646</v>
      </c>
      <c r="E552" s="243"/>
      <c r="F552" s="244" t="s">
        <v>43</v>
      </c>
      <c r="G552" s="275" t="s">
        <v>52</v>
      </c>
      <c r="H552" s="276"/>
      <c r="I552" s="243" t="s">
        <v>1041</v>
      </c>
      <c r="J552" s="243" t="s">
        <v>1042</v>
      </c>
      <c r="K552" s="247" t="s">
        <v>1043</v>
      </c>
    </row>
    <row r="553" spans="1:17" ht="12.75" customHeight="1" x14ac:dyDescent="0.35">
      <c r="A553" s="241">
        <v>38870</v>
      </c>
      <c r="B553" s="242" t="s">
        <v>2303</v>
      </c>
      <c r="C553" s="243" t="s">
        <v>122</v>
      </c>
      <c r="D553" s="243" t="s">
        <v>496</v>
      </c>
      <c r="E553" s="243"/>
      <c r="F553" s="244" t="s">
        <v>43</v>
      </c>
      <c r="G553" s="275" t="s">
        <v>44</v>
      </c>
      <c r="H553" s="276" t="s">
        <v>45</v>
      </c>
      <c r="I553" s="243" t="s">
        <v>1041</v>
      </c>
      <c r="J553" s="243" t="s">
        <v>1042</v>
      </c>
      <c r="K553" s="247" t="s">
        <v>1043</v>
      </c>
    </row>
    <row r="554" spans="1:17" ht="12.75" customHeight="1" x14ac:dyDescent="0.35">
      <c r="A554" s="241">
        <v>7810</v>
      </c>
      <c r="B554" s="242" t="s">
        <v>1054</v>
      </c>
      <c r="C554" s="243" t="s">
        <v>1055</v>
      </c>
      <c r="D554" s="243" t="s">
        <v>132</v>
      </c>
      <c r="E554" s="243"/>
      <c r="F554" s="244" t="s">
        <v>43</v>
      </c>
      <c r="G554" s="275" t="s">
        <v>44</v>
      </c>
      <c r="H554" s="276" t="s">
        <v>239</v>
      </c>
      <c r="I554" s="243" t="s">
        <v>1041</v>
      </c>
      <c r="J554" s="243" t="s">
        <v>1042</v>
      </c>
      <c r="K554" s="247" t="s">
        <v>1043</v>
      </c>
      <c r="L554" s="272"/>
      <c r="M554" s="272"/>
      <c r="N554" s="272"/>
      <c r="Q554" s="274"/>
    </row>
    <row r="555" spans="1:17" ht="12.75" customHeight="1" x14ac:dyDescent="0.35">
      <c r="A555" s="241">
        <v>7820</v>
      </c>
      <c r="B555" s="242" t="s">
        <v>1056</v>
      </c>
      <c r="C555" s="243" t="s">
        <v>1057</v>
      </c>
      <c r="D555" s="243" t="s">
        <v>851</v>
      </c>
      <c r="E555" s="243"/>
      <c r="F555" s="244" t="s">
        <v>49</v>
      </c>
      <c r="G555" s="252" t="s">
        <v>50</v>
      </c>
      <c r="H555" s="253">
        <v>0</v>
      </c>
      <c r="I555" s="243" t="s">
        <v>1041</v>
      </c>
      <c r="J555" s="243" t="s">
        <v>1042</v>
      </c>
      <c r="K555" s="247" t="s">
        <v>1043</v>
      </c>
      <c r="L555" s="272"/>
      <c r="M555" s="272"/>
      <c r="N555" s="272"/>
      <c r="Q555" s="274"/>
    </row>
    <row r="556" spans="1:17" ht="12.75" customHeight="1" x14ac:dyDescent="0.35">
      <c r="A556" s="241">
        <v>7854</v>
      </c>
      <c r="B556" s="242" t="s">
        <v>1058</v>
      </c>
      <c r="C556" s="243" t="s">
        <v>1059</v>
      </c>
      <c r="D556" s="243" t="s">
        <v>213</v>
      </c>
      <c r="E556" s="243"/>
      <c r="F556" s="244" t="s">
        <v>43</v>
      </c>
      <c r="G556" s="275" t="s">
        <v>67</v>
      </c>
      <c r="H556" s="276"/>
      <c r="I556" s="243" t="s">
        <v>1041</v>
      </c>
      <c r="J556" s="243" t="s">
        <v>1042</v>
      </c>
      <c r="K556" s="247" t="s">
        <v>1043</v>
      </c>
      <c r="L556" s="272"/>
      <c r="M556" s="272"/>
      <c r="N556" s="272"/>
      <c r="Q556" s="274"/>
    </row>
    <row r="557" spans="1:17" ht="12.75" customHeight="1" x14ac:dyDescent="0.35">
      <c r="A557" s="241">
        <v>38038</v>
      </c>
      <c r="B557" s="242" t="s">
        <v>1060</v>
      </c>
      <c r="C557" s="243" t="s">
        <v>1061</v>
      </c>
      <c r="D557" s="243" t="s">
        <v>117</v>
      </c>
      <c r="E557" s="243"/>
      <c r="F557" s="244" t="s">
        <v>43</v>
      </c>
      <c r="G557" s="275" t="s">
        <v>52</v>
      </c>
      <c r="H557" s="276" t="s">
        <v>239</v>
      </c>
      <c r="I557" s="243" t="s">
        <v>1041</v>
      </c>
      <c r="J557" s="243" t="s">
        <v>1042</v>
      </c>
      <c r="K557" s="247" t="s">
        <v>1043</v>
      </c>
      <c r="L557" s="272"/>
      <c r="M557" s="272"/>
      <c r="N557" s="272"/>
      <c r="Q557" s="274"/>
    </row>
    <row r="558" spans="1:17" ht="12.75" customHeight="1" x14ac:dyDescent="0.35">
      <c r="A558" s="241">
        <v>38869</v>
      </c>
      <c r="B558" s="242" t="s">
        <v>2304</v>
      </c>
      <c r="C558" s="243" t="s">
        <v>896</v>
      </c>
      <c r="D558" s="243" t="s">
        <v>1282</v>
      </c>
      <c r="E558" s="243"/>
      <c r="F558" s="244" t="s">
        <v>49</v>
      </c>
      <c r="G558" s="275" t="s">
        <v>139</v>
      </c>
      <c r="H558" s="276"/>
      <c r="I558" s="243" t="s">
        <v>1041</v>
      </c>
      <c r="J558" s="243" t="s">
        <v>1042</v>
      </c>
      <c r="K558" s="247" t="s">
        <v>1043</v>
      </c>
      <c r="L558" s="272"/>
      <c r="M558" s="272"/>
      <c r="N558" s="272"/>
      <c r="Q558" s="274"/>
    </row>
    <row r="559" spans="1:17" ht="12.75" customHeight="1" x14ac:dyDescent="0.35">
      <c r="A559" s="241">
        <v>38571</v>
      </c>
      <c r="B559" s="242" t="s">
        <v>1062</v>
      </c>
      <c r="C559" s="243" t="s">
        <v>896</v>
      </c>
      <c r="D559" s="243" t="s">
        <v>1063</v>
      </c>
      <c r="E559" s="243"/>
      <c r="F559" s="244" t="s">
        <v>43</v>
      </c>
      <c r="G559" s="275" t="s">
        <v>44</v>
      </c>
      <c r="H559" s="276" t="s">
        <v>66</v>
      </c>
      <c r="I559" s="243" t="s">
        <v>1041</v>
      </c>
      <c r="J559" s="243" t="s">
        <v>1042</v>
      </c>
      <c r="K559" s="247" t="s">
        <v>1043</v>
      </c>
      <c r="L559" s="272"/>
      <c r="M559" s="272"/>
      <c r="N559" s="272"/>
      <c r="Q559" s="274"/>
    </row>
    <row r="560" spans="1:17" ht="12.75" customHeight="1" x14ac:dyDescent="0.35">
      <c r="A560" s="241">
        <v>7884</v>
      </c>
      <c r="B560" s="242" t="s">
        <v>1146</v>
      </c>
      <c r="C560" s="243" t="s">
        <v>1</v>
      </c>
      <c r="D560" s="243" t="s">
        <v>107</v>
      </c>
      <c r="E560" s="243"/>
      <c r="F560" s="244" t="s">
        <v>43</v>
      </c>
      <c r="G560" s="275" t="s">
        <v>67</v>
      </c>
      <c r="H560" s="276" t="s">
        <v>180</v>
      </c>
      <c r="I560" s="249" t="s">
        <v>1041</v>
      </c>
      <c r="J560" s="243" t="s">
        <v>1042</v>
      </c>
      <c r="K560" s="247" t="s">
        <v>1043</v>
      </c>
      <c r="L560" s="272"/>
      <c r="M560" s="272"/>
      <c r="N560" s="272"/>
      <c r="Q560" s="274"/>
    </row>
    <row r="561" spans="1:17" ht="12.75" customHeight="1" x14ac:dyDescent="0.35">
      <c r="A561" s="241">
        <v>7849</v>
      </c>
      <c r="B561" s="242" t="s">
        <v>1064</v>
      </c>
      <c r="C561" s="243" t="s">
        <v>1065</v>
      </c>
      <c r="D561" s="243" t="s">
        <v>1066</v>
      </c>
      <c r="E561" s="243"/>
      <c r="F561" s="244" t="s">
        <v>43</v>
      </c>
      <c r="G561" s="275" t="s">
        <v>67</v>
      </c>
      <c r="H561" s="276" t="s">
        <v>45</v>
      </c>
      <c r="I561" s="243" t="s">
        <v>1041</v>
      </c>
      <c r="J561" s="243" t="s">
        <v>1042</v>
      </c>
      <c r="K561" s="247" t="s">
        <v>1043</v>
      </c>
      <c r="L561" s="272"/>
      <c r="M561" s="272"/>
      <c r="N561" s="272"/>
      <c r="Q561" s="274"/>
    </row>
    <row r="562" spans="1:17" s="269" customFormat="1" ht="12.75" customHeight="1" x14ac:dyDescent="0.45">
      <c r="A562" s="241">
        <v>7880</v>
      </c>
      <c r="B562" s="242" t="s">
        <v>1957</v>
      </c>
      <c r="C562" s="243" t="s">
        <v>175</v>
      </c>
      <c r="D562" s="243" t="s">
        <v>87</v>
      </c>
      <c r="E562" s="243"/>
      <c r="F562" s="244" t="s">
        <v>43</v>
      </c>
      <c r="G562" s="275" t="s">
        <v>67</v>
      </c>
      <c r="H562" s="276" t="s">
        <v>180</v>
      </c>
      <c r="I562" s="243" t="s">
        <v>1041</v>
      </c>
      <c r="J562" s="243" t="s">
        <v>1042</v>
      </c>
      <c r="K562" s="247" t="s">
        <v>1043</v>
      </c>
      <c r="L562" s="278"/>
      <c r="M562" s="278"/>
      <c r="N562" s="278"/>
      <c r="Q562" s="279"/>
    </row>
    <row r="563" spans="1:17" ht="12.75" customHeight="1" x14ac:dyDescent="0.35">
      <c r="A563" s="241">
        <v>7813</v>
      </c>
      <c r="B563" s="242" t="s">
        <v>1067</v>
      </c>
      <c r="C563" s="243" t="s">
        <v>1068</v>
      </c>
      <c r="D563" s="243" t="s">
        <v>73</v>
      </c>
      <c r="E563" s="243"/>
      <c r="F563" s="244" t="s">
        <v>43</v>
      </c>
      <c r="G563" s="275" t="s">
        <v>52</v>
      </c>
      <c r="H563" s="276" t="s">
        <v>180</v>
      </c>
      <c r="I563" s="243" t="s">
        <v>1041</v>
      </c>
      <c r="J563" s="243" t="s">
        <v>1042</v>
      </c>
      <c r="K563" s="247" t="s">
        <v>1043</v>
      </c>
      <c r="L563" s="272"/>
      <c r="M563" s="272"/>
      <c r="N563" s="272"/>
      <c r="Q563" s="274"/>
    </row>
    <row r="564" spans="1:17" ht="12.75" customHeight="1" x14ac:dyDescent="0.35">
      <c r="A564" s="241">
        <v>38260</v>
      </c>
      <c r="B564" s="242" t="s">
        <v>1069</v>
      </c>
      <c r="C564" s="243" t="s">
        <v>895</v>
      </c>
      <c r="D564" s="243" t="s">
        <v>994</v>
      </c>
      <c r="E564" s="243"/>
      <c r="F564" s="244" t="s">
        <v>43</v>
      </c>
      <c r="G564" s="275" t="s">
        <v>44</v>
      </c>
      <c r="H564" s="276" t="s">
        <v>45</v>
      </c>
      <c r="I564" s="243" t="s">
        <v>1041</v>
      </c>
      <c r="J564" s="243" t="s">
        <v>1042</v>
      </c>
      <c r="K564" s="247" t="s">
        <v>1043</v>
      </c>
      <c r="L564" s="272"/>
      <c r="M564" s="272"/>
      <c r="N564" s="272"/>
      <c r="Q564" s="274"/>
    </row>
    <row r="565" spans="1:17" ht="12.75" customHeight="1" x14ac:dyDescent="0.35">
      <c r="A565" s="241">
        <v>25315</v>
      </c>
      <c r="B565" s="242" t="s">
        <v>1958</v>
      </c>
      <c r="C565" s="243" t="s">
        <v>1959</v>
      </c>
      <c r="D565" s="243" t="s">
        <v>1209</v>
      </c>
      <c r="E565" s="243"/>
      <c r="F565" s="244" t="s">
        <v>43</v>
      </c>
      <c r="G565" s="243" t="s">
        <v>58</v>
      </c>
      <c r="H565" s="244">
        <v>0</v>
      </c>
      <c r="I565" s="243" t="s">
        <v>1072</v>
      </c>
      <c r="J565" s="243" t="s">
        <v>1042</v>
      </c>
      <c r="K565" s="247" t="s">
        <v>1043</v>
      </c>
      <c r="L565" s="272"/>
      <c r="M565" s="272"/>
      <c r="N565" s="272"/>
      <c r="Q565" s="274"/>
    </row>
    <row r="566" spans="1:17" ht="12.75" customHeight="1" x14ac:dyDescent="0.35">
      <c r="A566" s="241">
        <v>16007</v>
      </c>
      <c r="B566" s="242" t="s">
        <v>1070</v>
      </c>
      <c r="C566" s="243" t="s">
        <v>1071</v>
      </c>
      <c r="D566" s="243" t="s">
        <v>87</v>
      </c>
      <c r="E566" s="243"/>
      <c r="F566" s="244" t="s">
        <v>43</v>
      </c>
      <c r="G566" s="275" t="s">
        <v>44</v>
      </c>
      <c r="H566" s="276" t="s">
        <v>180</v>
      </c>
      <c r="I566" s="243" t="s">
        <v>1072</v>
      </c>
      <c r="J566" s="243" t="s">
        <v>1042</v>
      </c>
      <c r="K566" s="247" t="s">
        <v>1043</v>
      </c>
      <c r="L566" s="272"/>
      <c r="M566" s="272"/>
      <c r="N566" s="272"/>
      <c r="Q566" s="274"/>
    </row>
    <row r="567" spans="1:17" ht="12.75" customHeight="1" x14ac:dyDescent="0.35">
      <c r="A567" s="241">
        <v>7901</v>
      </c>
      <c r="B567" s="242" t="s">
        <v>1073</v>
      </c>
      <c r="C567" s="243" t="s">
        <v>1074</v>
      </c>
      <c r="D567" s="243" t="s">
        <v>1075</v>
      </c>
      <c r="E567" s="243"/>
      <c r="F567" s="244" t="s">
        <v>43</v>
      </c>
      <c r="G567" s="275" t="s">
        <v>52</v>
      </c>
      <c r="H567" s="276" t="s">
        <v>45</v>
      </c>
      <c r="I567" s="243" t="s">
        <v>1072</v>
      </c>
      <c r="J567" s="243" t="s">
        <v>1042</v>
      </c>
      <c r="K567" s="247" t="s">
        <v>1043</v>
      </c>
      <c r="L567" s="272"/>
      <c r="M567" s="272"/>
      <c r="N567" s="272"/>
      <c r="Q567" s="274"/>
    </row>
    <row r="568" spans="1:17" ht="12.75" customHeight="1" x14ac:dyDescent="0.35">
      <c r="A568" s="241">
        <v>7830</v>
      </c>
      <c r="B568" s="242" t="s">
        <v>1076</v>
      </c>
      <c r="C568" s="243" t="s">
        <v>1077</v>
      </c>
      <c r="D568" s="243" t="s">
        <v>1078</v>
      </c>
      <c r="E568" s="243"/>
      <c r="F568" s="244" t="s">
        <v>43</v>
      </c>
      <c r="G568" s="275" t="s">
        <v>67</v>
      </c>
      <c r="H568" s="276" t="s">
        <v>180</v>
      </c>
      <c r="I568" s="243" t="s">
        <v>1072</v>
      </c>
      <c r="J568" s="243" t="s">
        <v>1042</v>
      </c>
      <c r="K568" s="247" t="s">
        <v>1043</v>
      </c>
      <c r="L568" s="272"/>
      <c r="M568" s="272"/>
      <c r="N568" s="272"/>
      <c r="Q568" s="274"/>
    </row>
    <row r="569" spans="1:17" ht="12.75" customHeight="1" x14ac:dyDescent="0.35">
      <c r="A569" s="241">
        <v>25764</v>
      </c>
      <c r="B569" s="242" t="s">
        <v>1079</v>
      </c>
      <c r="C569" s="243" t="s">
        <v>1024</v>
      </c>
      <c r="D569" s="243" t="s">
        <v>183</v>
      </c>
      <c r="E569" s="243"/>
      <c r="F569" s="244" t="s">
        <v>43</v>
      </c>
      <c r="G569" s="275" t="s">
        <v>52</v>
      </c>
      <c r="H569" s="276" t="s">
        <v>66</v>
      </c>
      <c r="I569" s="243" t="s">
        <v>1072</v>
      </c>
      <c r="J569" s="243" t="s">
        <v>1042</v>
      </c>
      <c r="K569" s="247" t="s">
        <v>1043</v>
      </c>
    </row>
    <row r="570" spans="1:17" ht="12.75" customHeight="1" x14ac:dyDescent="0.35">
      <c r="A570" s="241">
        <v>38763</v>
      </c>
      <c r="B570" s="242" t="s">
        <v>1960</v>
      </c>
      <c r="C570" s="243" t="s">
        <v>1961</v>
      </c>
      <c r="D570" s="243" t="s">
        <v>73</v>
      </c>
      <c r="E570" s="243"/>
      <c r="F570" s="244" t="s">
        <v>43</v>
      </c>
      <c r="G570" s="275" t="s">
        <v>44</v>
      </c>
      <c r="H570" s="276" t="s">
        <v>51</v>
      </c>
      <c r="I570" s="243" t="s">
        <v>1072</v>
      </c>
      <c r="J570" s="243" t="s">
        <v>1042</v>
      </c>
      <c r="K570" s="247" t="s">
        <v>1043</v>
      </c>
    </row>
    <row r="571" spans="1:17" ht="12.75" customHeight="1" x14ac:dyDescent="0.35">
      <c r="A571" s="241">
        <v>25271</v>
      </c>
      <c r="B571" s="242" t="s">
        <v>1080</v>
      </c>
      <c r="C571" s="243" t="s">
        <v>1081</v>
      </c>
      <c r="D571" s="243" t="s">
        <v>405</v>
      </c>
      <c r="E571" s="243"/>
      <c r="F571" s="244" t="s">
        <v>43</v>
      </c>
      <c r="G571" s="275" t="s">
        <v>67</v>
      </c>
      <c r="H571" s="276" t="s">
        <v>239</v>
      </c>
      <c r="I571" s="243" t="s">
        <v>1072</v>
      </c>
      <c r="J571" s="243" t="s">
        <v>1042</v>
      </c>
      <c r="K571" s="247" t="s">
        <v>1043</v>
      </c>
      <c r="L571" s="272"/>
      <c r="M571" s="272"/>
      <c r="N571" s="272"/>
      <c r="Q571" s="274"/>
    </row>
    <row r="572" spans="1:17" ht="12.75" customHeight="1" x14ac:dyDescent="0.35">
      <c r="A572" s="241">
        <v>25865</v>
      </c>
      <c r="B572" s="242" t="s">
        <v>1082</v>
      </c>
      <c r="C572" s="243" t="s">
        <v>1083</v>
      </c>
      <c r="D572" s="243" t="s">
        <v>1084</v>
      </c>
      <c r="E572" s="243"/>
      <c r="F572" s="244" t="s">
        <v>43</v>
      </c>
      <c r="G572" s="275" t="s">
        <v>44</v>
      </c>
      <c r="H572" s="276" t="s">
        <v>180</v>
      </c>
      <c r="I572" s="243" t="s">
        <v>1072</v>
      </c>
      <c r="J572" s="243" t="s">
        <v>1042</v>
      </c>
      <c r="K572" s="247" t="s">
        <v>1043</v>
      </c>
    </row>
    <row r="573" spans="1:17" ht="12.75" customHeight="1" x14ac:dyDescent="0.35">
      <c r="A573" s="241">
        <v>16967</v>
      </c>
      <c r="B573" s="242" t="s">
        <v>1085</v>
      </c>
      <c r="C573" s="249" t="s">
        <v>1086</v>
      </c>
      <c r="D573" s="249" t="s">
        <v>590</v>
      </c>
      <c r="E573" s="249" t="s">
        <v>2368</v>
      </c>
      <c r="F573" s="244" t="s">
        <v>43</v>
      </c>
      <c r="G573" s="275" t="s">
        <v>67</v>
      </c>
      <c r="H573" s="276"/>
      <c r="I573" s="249" t="s">
        <v>1072</v>
      </c>
      <c r="J573" s="249" t="s">
        <v>1042</v>
      </c>
      <c r="K573" s="247" t="s">
        <v>1043</v>
      </c>
      <c r="L573" s="272"/>
      <c r="M573" s="272"/>
      <c r="N573" s="272"/>
      <c r="Q573" s="274"/>
    </row>
    <row r="574" spans="1:17" ht="12.75" customHeight="1" x14ac:dyDescent="0.35">
      <c r="A574" s="241">
        <v>38883</v>
      </c>
      <c r="B574" s="242" t="s">
        <v>2341</v>
      </c>
      <c r="C574" s="243" t="s">
        <v>2342</v>
      </c>
      <c r="D574" s="243" t="s">
        <v>2343</v>
      </c>
      <c r="E574" s="243"/>
      <c r="F574" s="244" t="s">
        <v>43</v>
      </c>
      <c r="G574" s="275" t="s">
        <v>44</v>
      </c>
      <c r="H574" s="276" t="s">
        <v>51</v>
      </c>
      <c r="I574" s="243" t="s">
        <v>1072</v>
      </c>
      <c r="J574" s="243" t="s">
        <v>1042</v>
      </c>
      <c r="K574" s="247" t="s">
        <v>1043</v>
      </c>
    </row>
    <row r="575" spans="1:17" ht="12.75" customHeight="1" x14ac:dyDescent="0.35">
      <c r="A575" s="241">
        <v>38025</v>
      </c>
      <c r="B575" s="242" t="s">
        <v>1139</v>
      </c>
      <c r="C575" s="243" t="s">
        <v>1140</v>
      </c>
      <c r="D575" s="243" t="s">
        <v>82</v>
      </c>
      <c r="E575" s="243"/>
      <c r="F575" s="244" t="s">
        <v>43</v>
      </c>
      <c r="G575" s="275" t="s">
        <v>94</v>
      </c>
      <c r="H575" s="276" t="s">
        <v>239</v>
      </c>
      <c r="I575" s="243" t="s">
        <v>1072</v>
      </c>
      <c r="J575" s="243" t="s">
        <v>1042</v>
      </c>
      <c r="K575" s="247" t="s">
        <v>1043</v>
      </c>
    </row>
    <row r="576" spans="1:17" ht="12.75" customHeight="1" x14ac:dyDescent="0.35">
      <c r="A576" s="241">
        <v>38418</v>
      </c>
      <c r="B576" s="242" t="s">
        <v>1087</v>
      </c>
      <c r="C576" s="243" t="s">
        <v>1088</v>
      </c>
      <c r="D576" s="243" t="s">
        <v>1089</v>
      </c>
      <c r="E576" s="243"/>
      <c r="F576" s="244" t="s">
        <v>43</v>
      </c>
      <c r="G576" s="245" t="s">
        <v>52</v>
      </c>
      <c r="H576" s="246">
        <v>0</v>
      </c>
      <c r="I576" s="243" t="s">
        <v>1072</v>
      </c>
      <c r="J576" s="243" t="s">
        <v>1042</v>
      </c>
      <c r="K576" s="247" t="s">
        <v>1043</v>
      </c>
    </row>
    <row r="577" spans="1:17" ht="12.75" customHeight="1" x14ac:dyDescent="0.35">
      <c r="A577" s="241">
        <v>25592</v>
      </c>
      <c r="B577" s="242" t="s">
        <v>1962</v>
      </c>
      <c r="C577" s="243" t="s">
        <v>1589</v>
      </c>
      <c r="D577" s="243" t="s">
        <v>97</v>
      </c>
      <c r="E577" s="243"/>
      <c r="F577" s="244" t="s">
        <v>43</v>
      </c>
      <c r="G577" s="254" t="s">
        <v>67</v>
      </c>
      <c r="H577" s="255">
        <v>0</v>
      </c>
      <c r="I577" s="243" t="s">
        <v>1072</v>
      </c>
      <c r="J577" s="243" t="s">
        <v>1042</v>
      </c>
      <c r="K577" s="247" t="s">
        <v>1043</v>
      </c>
    </row>
    <row r="578" spans="1:17" ht="12.75" customHeight="1" x14ac:dyDescent="0.35">
      <c r="A578" s="241">
        <v>25949</v>
      </c>
      <c r="B578" s="242" t="s">
        <v>1090</v>
      </c>
      <c r="C578" s="243" t="s">
        <v>670</v>
      </c>
      <c r="D578" s="243" t="s">
        <v>132</v>
      </c>
      <c r="E578" s="243"/>
      <c r="F578" s="244" t="s">
        <v>43</v>
      </c>
      <c r="G578" s="275" t="s">
        <v>44</v>
      </c>
      <c r="H578" s="276" t="s">
        <v>180</v>
      </c>
      <c r="I578" s="243" t="s">
        <v>1072</v>
      </c>
      <c r="J578" s="243" t="s">
        <v>1042</v>
      </c>
      <c r="K578" s="247" t="s">
        <v>1043</v>
      </c>
    </row>
    <row r="579" spans="1:17" ht="12.75" customHeight="1" x14ac:dyDescent="0.35">
      <c r="A579" s="241">
        <v>25604</v>
      </c>
      <c r="B579" s="242" t="s">
        <v>2344</v>
      </c>
      <c r="C579" s="243" t="s">
        <v>2345</v>
      </c>
      <c r="D579" s="243" t="s">
        <v>689</v>
      </c>
      <c r="E579" s="243"/>
      <c r="F579" s="244" t="s">
        <v>43</v>
      </c>
      <c r="G579" s="275" t="s">
        <v>44</v>
      </c>
      <c r="H579" s="276" t="s">
        <v>180</v>
      </c>
      <c r="I579" s="243" t="s">
        <v>1072</v>
      </c>
      <c r="J579" s="243" t="s">
        <v>1042</v>
      </c>
      <c r="K579" s="247" t="s">
        <v>1043</v>
      </c>
    </row>
    <row r="580" spans="1:17" ht="12.75" customHeight="1" x14ac:dyDescent="0.35">
      <c r="A580" s="241">
        <v>25725</v>
      </c>
      <c r="B580" s="242" t="s">
        <v>1091</v>
      </c>
      <c r="C580" s="243" t="s">
        <v>1092</v>
      </c>
      <c r="D580" s="243" t="s">
        <v>1093</v>
      </c>
      <c r="E580" s="243"/>
      <c r="F580" s="244" t="s">
        <v>43</v>
      </c>
      <c r="G580" s="245" t="s">
        <v>44</v>
      </c>
      <c r="H580" s="246">
        <v>0</v>
      </c>
      <c r="I580" s="243" t="s">
        <v>1072</v>
      </c>
      <c r="J580" s="243" t="s">
        <v>1042</v>
      </c>
      <c r="K580" s="247" t="s">
        <v>1043</v>
      </c>
    </row>
    <row r="581" spans="1:17" ht="12.75" customHeight="1" x14ac:dyDescent="0.35">
      <c r="A581" s="241">
        <v>25804</v>
      </c>
      <c r="B581" s="242" t="s">
        <v>1094</v>
      </c>
      <c r="C581" s="243" t="s">
        <v>1095</v>
      </c>
      <c r="D581" s="243" t="s">
        <v>986</v>
      </c>
      <c r="E581" s="243"/>
      <c r="F581" s="244" t="s">
        <v>43</v>
      </c>
      <c r="G581" s="275" t="s">
        <v>52</v>
      </c>
      <c r="H581" s="276"/>
      <c r="I581" s="243" t="s">
        <v>1072</v>
      </c>
      <c r="J581" s="243" t="s">
        <v>1042</v>
      </c>
      <c r="K581" s="247" t="s">
        <v>1043</v>
      </c>
    </row>
    <row r="582" spans="1:17" ht="12.75" customHeight="1" x14ac:dyDescent="0.35">
      <c r="A582" s="241">
        <v>38803</v>
      </c>
      <c r="B582" s="242" t="s">
        <v>2183</v>
      </c>
      <c r="C582" s="243" t="s">
        <v>2184</v>
      </c>
      <c r="D582" s="243" t="s">
        <v>2185</v>
      </c>
      <c r="E582" s="243"/>
      <c r="F582" s="244" t="s">
        <v>43</v>
      </c>
      <c r="G582" s="275" t="s">
        <v>44</v>
      </c>
      <c r="H582" s="276" t="s">
        <v>45</v>
      </c>
      <c r="I582" s="243" t="s">
        <v>1072</v>
      </c>
      <c r="J582" s="243" t="s">
        <v>1042</v>
      </c>
      <c r="K582" s="247" t="s">
        <v>1043</v>
      </c>
    </row>
    <row r="583" spans="1:17" ht="12.75" customHeight="1" x14ac:dyDescent="0.35">
      <c r="A583" s="241">
        <v>38258</v>
      </c>
      <c r="B583" s="242" t="s">
        <v>1096</v>
      </c>
      <c r="C583" s="243" t="s">
        <v>355</v>
      </c>
      <c r="D583" s="243" t="s">
        <v>691</v>
      </c>
      <c r="E583" s="243"/>
      <c r="F583" s="244" t="s">
        <v>49</v>
      </c>
      <c r="G583" s="275" t="s">
        <v>139</v>
      </c>
      <c r="H583" s="276" t="s">
        <v>45</v>
      </c>
      <c r="I583" s="243" t="s">
        <v>1097</v>
      </c>
      <c r="J583" s="243" t="s">
        <v>1042</v>
      </c>
      <c r="K583" s="247" t="s">
        <v>1043</v>
      </c>
    </row>
    <row r="584" spans="1:17" ht="12.75" customHeight="1" x14ac:dyDescent="0.35">
      <c r="A584" s="241">
        <v>25798</v>
      </c>
      <c r="B584" s="242" t="s">
        <v>930</v>
      </c>
      <c r="C584" s="243" t="s">
        <v>931</v>
      </c>
      <c r="D584" s="243" t="s">
        <v>932</v>
      </c>
      <c r="E584" s="243"/>
      <c r="F584" s="244" t="s">
        <v>49</v>
      </c>
      <c r="G584" s="275" t="s">
        <v>139</v>
      </c>
      <c r="H584" s="276" t="s">
        <v>66</v>
      </c>
      <c r="I584" s="243" t="s">
        <v>1097</v>
      </c>
      <c r="J584" s="243" t="s">
        <v>1042</v>
      </c>
      <c r="K584" s="247" t="s">
        <v>1043</v>
      </c>
    </row>
    <row r="585" spans="1:17" ht="12.75" customHeight="1" x14ac:dyDescent="0.35">
      <c r="A585" s="241">
        <v>25751</v>
      </c>
      <c r="B585" s="242" t="s">
        <v>1098</v>
      </c>
      <c r="C585" s="249" t="s">
        <v>250</v>
      </c>
      <c r="D585" s="249" t="s">
        <v>1099</v>
      </c>
      <c r="E585" s="249" t="s">
        <v>2368</v>
      </c>
      <c r="F585" s="244" t="s">
        <v>49</v>
      </c>
      <c r="G585" s="275" t="s">
        <v>79</v>
      </c>
      <c r="H585" s="276" t="s">
        <v>180</v>
      </c>
      <c r="I585" s="249" t="s">
        <v>1097</v>
      </c>
      <c r="J585" s="249" t="s">
        <v>1042</v>
      </c>
      <c r="K585" s="247" t="s">
        <v>1043</v>
      </c>
    </row>
    <row r="586" spans="1:17" ht="12.75" customHeight="1" x14ac:dyDescent="0.35">
      <c r="A586" s="241">
        <v>7903</v>
      </c>
      <c r="B586" s="242" t="s">
        <v>1100</v>
      </c>
      <c r="C586" s="249" t="s">
        <v>1</v>
      </c>
      <c r="D586" s="249" t="s">
        <v>1101</v>
      </c>
      <c r="E586" s="249" t="s">
        <v>2368</v>
      </c>
      <c r="F586" s="244" t="s">
        <v>49</v>
      </c>
      <c r="G586" s="275" t="s">
        <v>139</v>
      </c>
      <c r="H586" s="276" t="s">
        <v>45</v>
      </c>
      <c r="I586" s="249" t="s">
        <v>1097</v>
      </c>
      <c r="J586" s="249" t="s">
        <v>1042</v>
      </c>
      <c r="K586" s="247" t="s">
        <v>1043</v>
      </c>
    </row>
    <row r="587" spans="1:17" ht="12.75" customHeight="1" x14ac:dyDescent="0.35">
      <c r="A587" s="241">
        <v>16170</v>
      </c>
      <c r="B587" s="242" t="s">
        <v>1102</v>
      </c>
      <c r="C587" s="243" t="s">
        <v>1103</v>
      </c>
      <c r="D587" s="243" t="s">
        <v>1104</v>
      </c>
      <c r="E587" s="243"/>
      <c r="F587" s="244" t="s">
        <v>49</v>
      </c>
      <c r="G587" s="275" t="s">
        <v>79</v>
      </c>
      <c r="H587" s="276" t="s">
        <v>180</v>
      </c>
      <c r="I587" s="243" t="s">
        <v>1097</v>
      </c>
      <c r="J587" s="243" t="s">
        <v>1042</v>
      </c>
      <c r="K587" s="247" t="s">
        <v>1043</v>
      </c>
      <c r="L587" s="272"/>
      <c r="M587" s="272"/>
      <c r="N587" s="272"/>
      <c r="Q587" s="274"/>
    </row>
    <row r="588" spans="1:17" ht="12.75" customHeight="1" x14ac:dyDescent="0.35">
      <c r="A588" s="241">
        <v>7889</v>
      </c>
      <c r="B588" s="242" t="s">
        <v>1105</v>
      </c>
      <c r="C588" s="249" t="s">
        <v>1106</v>
      </c>
      <c r="D588" s="249" t="s">
        <v>616</v>
      </c>
      <c r="E588" s="249" t="s">
        <v>2368</v>
      </c>
      <c r="F588" s="244" t="s">
        <v>49</v>
      </c>
      <c r="G588" s="275" t="s">
        <v>50</v>
      </c>
      <c r="H588" s="276" t="s">
        <v>66</v>
      </c>
      <c r="I588" s="249" t="s">
        <v>1097</v>
      </c>
      <c r="J588" s="249" t="s">
        <v>1042</v>
      </c>
      <c r="K588" s="247" t="s">
        <v>1043</v>
      </c>
    </row>
    <row r="589" spans="1:17" ht="12.75" customHeight="1" x14ac:dyDescent="0.35">
      <c r="A589" s="241">
        <v>25549</v>
      </c>
      <c r="B589" s="242" t="s">
        <v>1134</v>
      </c>
      <c r="C589" s="243" t="s">
        <v>908</v>
      </c>
      <c r="D589" s="243" t="s">
        <v>646</v>
      </c>
      <c r="E589" s="243"/>
      <c r="F589" s="244" t="s">
        <v>43</v>
      </c>
      <c r="G589" s="275" t="s">
        <v>52</v>
      </c>
      <c r="H589" s="276" t="s">
        <v>66</v>
      </c>
      <c r="I589" s="243" t="s">
        <v>255</v>
      </c>
      <c r="J589" s="243" t="s">
        <v>1042</v>
      </c>
      <c r="K589" s="247" t="s">
        <v>1043</v>
      </c>
    </row>
    <row r="590" spans="1:17" ht="12.75" customHeight="1" x14ac:dyDescent="0.35">
      <c r="A590" s="241">
        <v>38049</v>
      </c>
      <c r="B590" s="242" t="s">
        <v>1109</v>
      </c>
      <c r="C590" s="243" t="s">
        <v>1110</v>
      </c>
      <c r="D590" s="243" t="s">
        <v>1111</v>
      </c>
      <c r="E590" s="243"/>
      <c r="F590" s="244" t="s">
        <v>49</v>
      </c>
      <c r="G590" s="275" t="s">
        <v>342</v>
      </c>
      <c r="H590" s="276" t="s">
        <v>239</v>
      </c>
      <c r="I590" s="243" t="s">
        <v>1112</v>
      </c>
      <c r="J590" s="243" t="s">
        <v>1042</v>
      </c>
      <c r="K590" s="247" t="s">
        <v>1043</v>
      </c>
    </row>
    <row r="591" spans="1:17" ht="12.75" customHeight="1" x14ac:dyDescent="0.35">
      <c r="A591" s="241">
        <v>25381</v>
      </c>
      <c r="B591" s="242" t="s">
        <v>1113</v>
      </c>
      <c r="C591" s="243" t="s">
        <v>1110</v>
      </c>
      <c r="D591" s="243" t="s">
        <v>1114</v>
      </c>
      <c r="E591" s="243"/>
      <c r="F591" s="244" t="s">
        <v>49</v>
      </c>
      <c r="G591" s="275" t="s">
        <v>139</v>
      </c>
      <c r="H591" s="276" t="s">
        <v>180</v>
      </c>
      <c r="I591" s="243" t="s">
        <v>1112</v>
      </c>
      <c r="J591" s="243" t="s">
        <v>1042</v>
      </c>
      <c r="K591" s="247" t="s">
        <v>1043</v>
      </c>
    </row>
    <row r="592" spans="1:17" ht="12.75" customHeight="1" x14ac:dyDescent="0.35">
      <c r="A592" s="241">
        <v>34400</v>
      </c>
      <c r="B592" s="242" t="s">
        <v>1115</v>
      </c>
      <c r="C592" s="243" t="s">
        <v>2186</v>
      </c>
      <c r="D592" s="243" t="s">
        <v>1116</v>
      </c>
      <c r="E592" s="243" t="s">
        <v>748</v>
      </c>
      <c r="F592" s="244" t="s">
        <v>49</v>
      </c>
      <c r="G592" s="275" t="s">
        <v>79</v>
      </c>
      <c r="H592" s="276" t="s">
        <v>51</v>
      </c>
      <c r="I592" s="243" t="s">
        <v>1112</v>
      </c>
      <c r="J592" s="243" t="s">
        <v>1042</v>
      </c>
      <c r="K592" s="247" t="s">
        <v>1043</v>
      </c>
    </row>
    <row r="593" spans="1:17" ht="12.75" customHeight="1" x14ac:dyDescent="0.35">
      <c r="A593" s="241">
        <v>7445</v>
      </c>
      <c r="B593" s="242" t="s">
        <v>1118</v>
      </c>
      <c r="C593" s="243" t="s">
        <v>1119</v>
      </c>
      <c r="D593" s="243" t="s">
        <v>1099</v>
      </c>
      <c r="E593" s="243"/>
      <c r="F593" s="244" t="s">
        <v>49</v>
      </c>
      <c r="G593" s="275" t="s">
        <v>79</v>
      </c>
      <c r="H593" s="276" t="s">
        <v>239</v>
      </c>
      <c r="I593" s="243" t="s">
        <v>1112</v>
      </c>
      <c r="J593" s="243" t="s">
        <v>1042</v>
      </c>
      <c r="K593" s="247" t="s">
        <v>1043</v>
      </c>
    </row>
    <row r="594" spans="1:17" ht="12.75" customHeight="1" x14ac:dyDescent="0.35">
      <c r="A594" s="241">
        <v>8843</v>
      </c>
      <c r="B594" s="242" t="s">
        <v>2498</v>
      </c>
      <c r="C594" s="243" t="s">
        <v>2499</v>
      </c>
      <c r="D594" s="243" t="s">
        <v>2500</v>
      </c>
      <c r="E594" s="243"/>
      <c r="F594" s="244" t="s">
        <v>49</v>
      </c>
      <c r="G594" s="245" t="s">
        <v>79</v>
      </c>
      <c r="H594" s="246" t="s">
        <v>239</v>
      </c>
      <c r="I594" s="243" t="s">
        <v>1112</v>
      </c>
      <c r="J594" s="243" t="s">
        <v>1042</v>
      </c>
      <c r="K594" s="247" t="s">
        <v>1043</v>
      </c>
      <c r="L594" s="272"/>
      <c r="M594" s="272"/>
      <c r="N594" s="272"/>
      <c r="Q594" s="274"/>
    </row>
    <row r="595" spans="1:17" ht="12.75" customHeight="1" x14ac:dyDescent="0.35">
      <c r="A595" s="241">
        <v>13855</v>
      </c>
      <c r="B595" s="242" t="s">
        <v>1120</v>
      </c>
      <c r="C595" s="243" t="s">
        <v>1121</v>
      </c>
      <c r="D595" s="243" t="s">
        <v>1122</v>
      </c>
      <c r="E595" s="243"/>
      <c r="F595" s="244" t="s">
        <v>49</v>
      </c>
      <c r="G595" s="245" t="s">
        <v>79</v>
      </c>
      <c r="H595" s="246">
        <v>0</v>
      </c>
      <c r="I595" s="243" t="s">
        <v>1112</v>
      </c>
      <c r="J595" s="243" t="s">
        <v>1042</v>
      </c>
      <c r="K595" s="247" t="s">
        <v>1043</v>
      </c>
    </row>
    <row r="596" spans="1:17" ht="12.75" customHeight="1" x14ac:dyDescent="0.35">
      <c r="A596" s="241">
        <v>7827</v>
      </c>
      <c r="B596" s="242" t="s">
        <v>1123</v>
      </c>
      <c r="C596" s="243" t="s">
        <v>1124</v>
      </c>
      <c r="D596" s="243" t="s">
        <v>478</v>
      </c>
      <c r="E596" s="243"/>
      <c r="F596" s="244" t="s">
        <v>49</v>
      </c>
      <c r="G596" s="275" t="s">
        <v>79</v>
      </c>
      <c r="H596" s="276" t="s">
        <v>66</v>
      </c>
      <c r="I596" s="243" t="s">
        <v>1112</v>
      </c>
      <c r="J596" s="243" t="s">
        <v>1042</v>
      </c>
      <c r="K596" s="247" t="s">
        <v>1043</v>
      </c>
    </row>
    <row r="597" spans="1:17" ht="12.75" customHeight="1" x14ac:dyDescent="0.35">
      <c r="A597" s="241">
        <v>27004</v>
      </c>
      <c r="B597" s="242" t="s">
        <v>2501</v>
      </c>
      <c r="C597" s="243" t="s">
        <v>1664</v>
      </c>
      <c r="D597" s="243" t="s">
        <v>722</v>
      </c>
      <c r="E597" s="243"/>
      <c r="F597" s="244" t="s">
        <v>49</v>
      </c>
      <c r="G597" s="250" t="s">
        <v>79</v>
      </c>
      <c r="H597" s="251" t="s">
        <v>180</v>
      </c>
      <c r="I597" s="243" t="s">
        <v>1112</v>
      </c>
      <c r="J597" s="243" t="s">
        <v>1042</v>
      </c>
      <c r="K597" s="247" t="s">
        <v>1043</v>
      </c>
    </row>
    <row r="598" spans="1:17" ht="12.75" customHeight="1" x14ac:dyDescent="0.35">
      <c r="A598" s="241">
        <v>7886</v>
      </c>
      <c r="B598" s="242" t="s">
        <v>1127</v>
      </c>
      <c r="C598" s="243" t="s">
        <v>1128</v>
      </c>
      <c r="D598" s="243" t="s">
        <v>195</v>
      </c>
      <c r="E598" s="243"/>
      <c r="F598" s="244" t="s">
        <v>43</v>
      </c>
      <c r="G598" s="275" t="s">
        <v>44</v>
      </c>
      <c r="H598" s="276" t="s">
        <v>180</v>
      </c>
      <c r="I598" s="243" t="s">
        <v>1126</v>
      </c>
      <c r="J598" s="243" t="s">
        <v>1042</v>
      </c>
      <c r="K598" s="247" t="s">
        <v>1043</v>
      </c>
    </row>
    <row r="599" spans="1:17" ht="12.75" customHeight="1" x14ac:dyDescent="0.35">
      <c r="A599" s="241">
        <v>35141</v>
      </c>
      <c r="B599" s="242" t="s">
        <v>1963</v>
      </c>
      <c r="C599" s="243" t="s">
        <v>1964</v>
      </c>
      <c r="D599" s="243" t="s">
        <v>1965</v>
      </c>
      <c r="E599" s="243"/>
      <c r="F599" s="244" t="s">
        <v>43</v>
      </c>
      <c r="G599" s="275" t="s">
        <v>94</v>
      </c>
      <c r="H599" s="276" t="s">
        <v>239</v>
      </c>
      <c r="I599" s="243" t="s">
        <v>1126</v>
      </c>
      <c r="J599" s="243" t="s">
        <v>1042</v>
      </c>
      <c r="K599" s="247" t="s">
        <v>1043</v>
      </c>
    </row>
    <row r="600" spans="1:17" ht="12.75" customHeight="1" x14ac:dyDescent="0.35">
      <c r="A600" s="241">
        <v>38740</v>
      </c>
      <c r="B600" s="242" t="s">
        <v>1893</v>
      </c>
      <c r="C600" s="249" t="s">
        <v>1891</v>
      </c>
      <c r="D600" s="249" t="s">
        <v>1894</v>
      </c>
      <c r="E600" s="249" t="s">
        <v>2368</v>
      </c>
      <c r="F600" s="244" t="s">
        <v>43</v>
      </c>
      <c r="G600" s="275" t="s">
        <v>94</v>
      </c>
      <c r="H600" s="276" t="s">
        <v>180</v>
      </c>
      <c r="I600" s="249" t="s">
        <v>1126</v>
      </c>
      <c r="J600" s="249" t="s">
        <v>1042</v>
      </c>
      <c r="K600" s="247" t="s">
        <v>1043</v>
      </c>
    </row>
    <row r="601" spans="1:17" ht="12.75" customHeight="1" x14ac:dyDescent="0.35">
      <c r="A601" s="241">
        <v>16796</v>
      </c>
      <c r="B601" s="242" t="s">
        <v>1132</v>
      </c>
      <c r="C601" s="243" t="s">
        <v>1133</v>
      </c>
      <c r="D601" s="243" t="s">
        <v>195</v>
      </c>
      <c r="E601" s="243"/>
      <c r="F601" s="244" t="s">
        <v>43</v>
      </c>
      <c r="G601" s="275" t="s">
        <v>44</v>
      </c>
      <c r="H601" s="276" t="s">
        <v>180</v>
      </c>
      <c r="I601" s="243" t="s">
        <v>1126</v>
      </c>
      <c r="J601" s="243" t="s">
        <v>1042</v>
      </c>
      <c r="K601" s="247" t="s">
        <v>1043</v>
      </c>
    </row>
    <row r="602" spans="1:17" ht="12.75" customHeight="1" x14ac:dyDescent="0.35">
      <c r="A602" s="241">
        <v>7868</v>
      </c>
      <c r="B602" s="242" t="s">
        <v>2502</v>
      </c>
      <c r="C602" s="243" t="s">
        <v>2503</v>
      </c>
      <c r="D602" s="243" t="s">
        <v>64</v>
      </c>
      <c r="E602" s="243"/>
      <c r="F602" s="244" t="s">
        <v>43</v>
      </c>
      <c r="G602" s="250" t="s">
        <v>67</v>
      </c>
      <c r="H602" s="251">
        <v>0</v>
      </c>
      <c r="I602" s="243" t="s">
        <v>1126</v>
      </c>
      <c r="J602" s="243" t="s">
        <v>1042</v>
      </c>
      <c r="K602" s="247" t="s">
        <v>1043</v>
      </c>
    </row>
    <row r="603" spans="1:17" ht="12.75" customHeight="1" x14ac:dyDescent="0.35">
      <c r="A603" s="241">
        <v>16386</v>
      </c>
      <c r="B603" s="242" t="s">
        <v>2190</v>
      </c>
      <c r="C603" s="243" t="s">
        <v>1487</v>
      </c>
      <c r="D603" s="243" t="s">
        <v>99</v>
      </c>
      <c r="E603" s="243"/>
      <c r="F603" s="244" t="s">
        <v>43</v>
      </c>
      <c r="G603" s="275" t="s">
        <v>44</v>
      </c>
      <c r="H603" s="276" t="s">
        <v>239</v>
      </c>
      <c r="I603" s="243" t="s">
        <v>1126</v>
      </c>
      <c r="J603" s="243" t="s">
        <v>1042</v>
      </c>
      <c r="K603" s="247" t="s">
        <v>1043</v>
      </c>
    </row>
    <row r="604" spans="1:17" ht="12.75" customHeight="1" x14ac:dyDescent="0.35">
      <c r="A604" s="241">
        <v>18802</v>
      </c>
      <c r="B604" s="242" t="s">
        <v>2191</v>
      </c>
      <c r="C604" s="243" t="s">
        <v>2192</v>
      </c>
      <c r="D604" s="243" t="s">
        <v>1159</v>
      </c>
      <c r="E604" s="243"/>
      <c r="F604" s="244" t="s">
        <v>43</v>
      </c>
      <c r="G604" s="275" t="s">
        <v>67</v>
      </c>
      <c r="H604" s="276" t="s">
        <v>239</v>
      </c>
      <c r="I604" s="243" t="s">
        <v>1126</v>
      </c>
      <c r="J604" s="243" t="s">
        <v>1042</v>
      </c>
      <c r="K604" s="247" t="s">
        <v>1043</v>
      </c>
    </row>
    <row r="605" spans="1:17" ht="12.75" customHeight="1" x14ac:dyDescent="0.35">
      <c r="A605" s="241">
        <v>38226</v>
      </c>
      <c r="B605" s="242" t="s">
        <v>1136</v>
      </c>
      <c r="C605" s="243" t="s">
        <v>768</v>
      </c>
      <c r="D605" s="243" t="s">
        <v>994</v>
      </c>
      <c r="E605" s="243"/>
      <c r="F605" s="244" t="s">
        <v>43</v>
      </c>
      <c r="G605" s="275" t="s">
        <v>44</v>
      </c>
      <c r="H605" s="276" t="s">
        <v>180</v>
      </c>
      <c r="I605" s="243" t="s">
        <v>1126</v>
      </c>
      <c r="J605" s="243" t="s">
        <v>1042</v>
      </c>
      <c r="K605" s="247" t="s">
        <v>1043</v>
      </c>
    </row>
    <row r="606" spans="1:17" ht="12.75" customHeight="1" x14ac:dyDescent="0.35">
      <c r="A606" s="241">
        <v>18530</v>
      </c>
      <c r="B606" s="242" t="s">
        <v>1137</v>
      </c>
      <c r="C606" s="243" t="s">
        <v>1138</v>
      </c>
      <c r="D606" s="243" t="s">
        <v>529</v>
      </c>
      <c r="E606" s="243"/>
      <c r="F606" s="244" t="s">
        <v>43</v>
      </c>
      <c r="G606" s="275" t="s">
        <v>52</v>
      </c>
      <c r="H606" s="276"/>
      <c r="I606" s="243" t="s">
        <v>1126</v>
      </c>
      <c r="J606" s="243" t="s">
        <v>1042</v>
      </c>
      <c r="K606" s="247" t="s">
        <v>1043</v>
      </c>
    </row>
    <row r="607" spans="1:17" ht="12.75" customHeight="1" x14ac:dyDescent="0.35">
      <c r="A607" s="241">
        <v>7869</v>
      </c>
      <c r="B607" s="242" t="s">
        <v>1141</v>
      </c>
      <c r="C607" s="243" t="s">
        <v>627</v>
      </c>
      <c r="D607" s="243" t="s">
        <v>73</v>
      </c>
      <c r="E607" s="243"/>
      <c r="F607" s="244" t="s">
        <v>43</v>
      </c>
      <c r="G607" s="275" t="s">
        <v>58</v>
      </c>
      <c r="H607" s="276" t="s">
        <v>180</v>
      </c>
      <c r="I607" s="243" t="s">
        <v>1126</v>
      </c>
      <c r="J607" s="243" t="s">
        <v>1042</v>
      </c>
      <c r="K607" s="247" t="s">
        <v>1043</v>
      </c>
    </row>
    <row r="608" spans="1:17" ht="12.75" customHeight="1" x14ac:dyDescent="0.35">
      <c r="A608" s="241">
        <v>38230</v>
      </c>
      <c r="B608" s="242" t="s">
        <v>1438</v>
      </c>
      <c r="C608" s="243" t="s">
        <v>1439</v>
      </c>
      <c r="D608" s="243" t="s">
        <v>1412</v>
      </c>
      <c r="E608" s="243"/>
      <c r="F608" s="244" t="s">
        <v>43</v>
      </c>
      <c r="G608" s="275" t="s">
        <v>94</v>
      </c>
      <c r="H608" s="276" t="s">
        <v>239</v>
      </c>
      <c r="I608" s="243" t="s">
        <v>1126</v>
      </c>
      <c r="J608" s="243" t="s">
        <v>1042</v>
      </c>
      <c r="K608" s="247" t="s">
        <v>1043</v>
      </c>
    </row>
    <row r="609" spans="1:17" ht="12.75" customHeight="1" x14ac:dyDescent="0.35">
      <c r="A609" s="241">
        <v>7900</v>
      </c>
      <c r="B609" s="242" t="s">
        <v>1145</v>
      </c>
      <c r="C609" s="243" t="s">
        <v>1144</v>
      </c>
      <c r="D609" s="243" t="s">
        <v>572</v>
      </c>
      <c r="E609" s="243"/>
      <c r="F609" s="244" t="s">
        <v>43</v>
      </c>
      <c r="G609" s="275" t="s">
        <v>52</v>
      </c>
      <c r="H609" s="276"/>
      <c r="I609" s="243" t="s">
        <v>1126</v>
      </c>
      <c r="J609" s="243" t="s">
        <v>1042</v>
      </c>
      <c r="K609" s="247" t="s">
        <v>1043</v>
      </c>
    </row>
    <row r="610" spans="1:17" ht="12.75" customHeight="1" x14ac:dyDescent="0.35">
      <c r="A610" s="241">
        <v>7836</v>
      </c>
      <c r="B610" s="242" t="s">
        <v>1149</v>
      </c>
      <c r="C610" s="243" t="s">
        <v>801</v>
      </c>
      <c r="D610" s="243" t="s">
        <v>1024</v>
      </c>
      <c r="E610" s="243"/>
      <c r="F610" s="244" t="s">
        <v>43</v>
      </c>
      <c r="G610" s="275" t="s">
        <v>58</v>
      </c>
      <c r="H610" s="276" t="s">
        <v>239</v>
      </c>
      <c r="I610" s="243" t="s">
        <v>1126</v>
      </c>
      <c r="J610" s="243" t="s">
        <v>1042</v>
      </c>
      <c r="K610" s="247" t="s">
        <v>1043</v>
      </c>
    </row>
    <row r="611" spans="1:17" ht="12.75" customHeight="1" x14ac:dyDescent="0.35">
      <c r="A611" s="241">
        <v>7647</v>
      </c>
      <c r="B611" s="242" t="s">
        <v>1150</v>
      </c>
      <c r="C611" s="249" t="s">
        <v>1103</v>
      </c>
      <c r="D611" s="249" t="s">
        <v>107</v>
      </c>
      <c r="E611" s="249" t="s">
        <v>2368</v>
      </c>
      <c r="F611" s="244" t="s">
        <v>43</v>
      </c>
      <c r="G611" s="275" t="s">
        <v>67</v>
      </c>
      <c r="H611" s="276" t="s">
        <v>239</v>
      </c>
      <c r="I611" s="243" t="s">
        <v>1126</v>
      </c>
      <c r="J611" s="249" t="s">
        <v>1042</v>
      </c>
      <c r="K611" s="247" t="s">
        <v>1043</v>
      </c>
    </row>
    <row r="612" spans="1:17" ht="12.75" customHeight="1" x14ac:dyDescent="0.35">
      <c r="A612" s="241">
        <v>7683</v>
      </c>
      <c r="B612" s="242" t="s">
        <v>343</v>
      </c>
      <c r="C612" s="243" t="s">
        <v>344</v>
      </c>
      <c r="D612" s="243" t="s">
        <v>260</v>
      </c>
      <c r="E612" s="243"/>
      <c r="F612" s="244" t="s">
        <v>49</v>
      </c>
      <c r="G612" s="275" t="s">
        <v>139</v>
      </c>
      <c r="H612" s="276"/>
      <c r="I612" s="243" t="s">
        <v>1529</v>
      </c>
      <c r="J612" s="243" t="s">
        <v>1966</v>
      </c>
      <c r="K612" s="247" t="s">
        <v>1967</v>
      </c>
    </row>
    <row r="613" spans="1:17" ht="12.75" customHeight="1" x14ac:dyDescent="0.35">
      <c r="A613" s="241">
        <v>25273</v>
      </c>
      <c r="B613" s="242" t="s">
        <v>1528</v>
      </c>
      <c r="C613" s="243" t="s">
        <v>1397</v>
      </c>
      <c r="D613" s="243" t="s">
        <v>1282</v>
      </c>
      <c r="E613" s="243"/>
      <c r="F613" s="244" t="s">
        <v>49</v>
      </c>
      <c r="G613" s="275" t="s">
        <v>50</v>
      </c>
      <c r="H613" s="276"/>
      <c r="I613" s="243" t="s">
        <v>1529</v>
      </c>
      <c r="J613" s="243" t="s">
        <v>1966</v>
      </c>
      <c r="K613" s="247" t="s">
        <v>1967</v>
      </c>
    </row>
    <row r="614" spans="1:17" ht="12.75" customHeight="1" x14ac:dyDescent="0.35">
      <c r="A614" s="241">
        <v>16426</v>
      </c>
      <c r="B614" s="242" t="s">
        <v>1530</v>
      </c>
      <c r="C614" s="249" t="s">
        <v>1531</v>
      </c>
      <c r="D614" s="249" t="s">
        <v>167</v>
      </c>
      <c r="E614" s="249" t="s">
        <v>2368</v>
      </c>
      <c r="F614" s="244" t="s">
        <v>49</v>
      </c>
      <c r="G614" s="275" t="s">
        <v>79</v>
      </c>
      <c r="H614" s="276" t="s">
        <v>180</v>
      </c>
      <c r="I614" s="249" t="s">
        <v>1529</v>
      </c>
      <c r="J614" s="249" t="s">
        <v>1966</v>
      </c>
      <c r="K614" s="247" t="s">
        <v>1967</v>
      </c>
      <c r="L614" s="272"/>
      <c r="M614" s="272"/>
      <c r="N614" s="272"/>
      <c r="Q614" s="274"/>
    </row>
    <row r="615" spans="1:17" ht="12.75" customHeight="1" x14ac:dyDescent="0.35">
      <c r="A615" s="241">
        <v>38011</v>
      </c>
      <c r="B615" s="242" t="s">
        <v>1532</v>
      </c>
      <c r="C615" s="249" t="s">
        <v>1531</v>
      </c>
      <c r="D615" s="249" t="s">
        <v>1533</v>
      </c>
      <c r="E615" s="249" t="s">
        <v>2368</v>
      </c>
      <c r="F615" s="244" t="s">
        <v>49</v>
      </c>
      <c r="G615" s="275" t="s">
        <v>342</v>
      </c>
      <c r="H615" s="276" t="s">
        <v>51</v>
      </c>
      <c r="I615" s="249" t="s">
        <v>1529</v>
      </c>
      <c r="J615" s="249" t="s">
        <v>1966</v>
      </c>
      <c r="K615" s="247" t="s">
        <v>1967</v>
      </c>
    </row>
    <row r="616" spans="1:17" ht="12.75" customHeight="1" x14ac:dyDescent="0.35">
      <c r="A616" s="241">
        <v>16423</v>
      </c>
      <c r="B616" s="242" t="s">
        <v>1534</v>
      </c>
      <c r="C616" s="243" t="s">
        <v>1531</v>
      </c>
      <c r="D616" s="243" t="s">
        <v>120</v>
      </c>
      <c r="E616" s="243"/>
      <c r="F616" s="244" t="s">
        <v>43</v>
      </c>
      <c r="G616" s="275" t="s">
        <v>52</v>
      </c>
      <c r="H616" s="276" t="s">
        <v>66</v>
      </c>
      <c r="I616" s="243" t="s">
        <v>1529</v>
      </c>
      <c r="J616" s="243" t="s">
        <v>1966</v>
      </c>
      <c r="K616" s="247" t="s">
        <v>1967</v>
      </c>
    </row>
    <row r="617" spans="1:17" ht="12.75" customHeight="1" x14ac:dyDescent="0.35">
      <c r="A617" s="241">
        <v>16424</v>
      </c>
      <c r="B617" s="242" t="s">
        <v>1535</v>
      </c>
      <c r="C617" s="243" t="s">
        <v>1536</v>
      </c>
      <c r="D617" s="243" t="s">
        <v>57</v>
      </c>
      <c r="E617" s="243"/>
      <c r="F617" s="244" t="s">
        <v>43</v>
      </c>
      <c r="G617" s="275" t="s">
        <v>67</v>
      </c>
      <c r="H617" s="276" t="s">
        <v>66</v>
      </c>
      <c r="I617" s="243" t="s">
        <v>1529</v>
      </c>
      <c r="J617" s="243" t="s">
        <v>1966</v>
      </c>
      <c r="K617" s="247" t="s">
        <v>1967</v>
      </c>
    </row>
    <row r="618" spans="1:17" ht="12.75" customHeight="1" x14ac:dyDescent="0.35">
      <c r="A618" s="241">
        <v>34468</v>
      </c>
      <c r="B618" s="242" t="s">
        <v>1538</v>
      </c>
      <c r="C618" s="243" t="s">
        <v>1539</v>
      </c>
      <c r="D618" s="243" t="s">
        <v>273</v>
      </c>
      <c r="E618" s="243"/>
      <c r="F618" s="244" t="s">
        <v>49</v>
      </c>
      <c r="G618" s="275" t="s">
        <v>79</v>
      </c>
      <c r="H618" s="276"/>
      <c r="I618" s="243" t="s">
        <v>1529</v>
      </c>
      <c r="J618" s="243" t="s">
        <v>1966</v>
      </c>
      <c r="K618" s="247" t="s">
        <v>1967</v>
      </c>
    </row>
    <row r="619" spans="1:17" ht="12.75" customHeight="1" x14ac:dyDescent="0.35">
      <c r="A619" s="241">
        <v>10603</v>
      </c>
      <c r="B619" s="242" t="s">
        <v>1224</v>
      </c>
      <c r="C619" s="243" t="s">
        <v>1225</v>
      </c>
      <c r="D619" s="243" t="s">
        <v>1226</v>
      </c>
      <c r="E619" s="243"/>
      <c r="F619" s="244" t="s">
        <v>43</v>
      </c>
      <c r="G619" s="275" t="s">
        <v>44</v>
      </c>
      <c r="H619" s="276" t="s">
        <v>180</v>
      </c>
      <c r="I619" s="243" t="s">
        <v>1529</v>
      </c>
      <c r="J619" s="243" t="s">
        <v>1966</v>
      </c>
      <c r="K619" s="247" t="s">
        <v>1967</v>
      </c>
    </row>
    <row r="620" spans="1:17" ht="12.75" customHeight="1" x14ac:dyDescent="0.35">
      <c r="A620" s="241">
        <v>25277</v>
      </c>
      <c r="B620" s="242" t="s">
        <v>1542</v>
      </c>
      <c r="C620" s="243" t="s">
        <v>1543</v>
      </c>
      <c r="D620" s="243" t="s">
        <v>1544</v>
      </c>
      <c r="E620" s="243"/>
      <c r="F620" s="244" t="s">
        <v>49</v>
      </c>
      <c r="G620" s="275" t="s">
        <v>139</v>
      </c>
      <c r="H620" s="276" t="s">
        <v>51</v>
      </c>
      <c r="I620" s="243" t="s">
        <v>1529</v>
      </c>
      <c r="J620" s="243" t="s">
        <v>1966</v>
      </c>
      <c r="K620" s="247" t="s">
        <v>1967</v>
      </c>
    </row>
    <row r="621" spans="1:17" ht="12.75" customHeight="1" x14ac:dyDescent="0.35">
      <c r="A621" s="241">
        <v>25115</v>
      </c>
      <c r="B621" s="242" t="s">
        <v>1545</v>
      </c>
      <c r="C621" s="243" t="s">
        <v>1543</v>
      </c>
      <c r="D621" s="243" t="s">
        <v>529</v>
      </c>
      <c r="E621" s="243"/>
      <c r="F621" s="244" t="s">
        <v>43</v>
      </c>
      <c r="G621" s="275" t="s">
        <v>67</v>
      </c>
      <c r="H621" s="276" t="s">
        <v>66</v>
      </c>
      <c r="I621" s="243" t="s">
        <v>1529</v>
      </c>
      <c r="J621" s="243" t="s">
        <v>1966</v>
      </c>
      <c r="K621" s="247" t="s">
        <v>1967</v>
      </c>
    </row>
    <row r="622" spans="1:17" ht="12.75" customHeight="1" x14ac:dyDescent="0.35">
      <c r="A622" s="241">
        <v>38354</v>
      </c>
      <c r="B622" s="242" t="s">
        <v>1546</v>
      </c>
      <c r="C622" s="249" t="s">
        <v>1547</v>
      </c>
      <c r="D622" s="249" t="s">
        <v>57</v>
      </c>
      <c r="E622" s="249" t="s">
        <v>2368</v>
      </c>
      <c r="F622" s="244" t="s">
        <v>43</v>
      </c>
      <c r="G622" s="275" t="s">
        <v>44</v>
      </c>
      <c r="H622" s="276" t="s">
        <v>45</v>
      </c>
      <c r="I622" s="249" t="s">
        <v>1529</v>
      </c>
      <c r="J622" s="249" t="s">
        <v>1966</v>
      </c>
      <c r="K622" s="247" t="s">
        <v>1967</v>
      </c>
    </row>
    <row r="623" spans="1:17" ht="12.75" customHeight="1" x14ac:dyDescent="0.35">
      <c r="A623" s="241">
        <v>29670</v>
      </c>
      <c r="B623" s="242" t="s">
        <v>1548</v>
      </c>
      <c r="C623" s="243" t="s">
        <v>1549</v>
      </c>
      <c r="D623" s="243" t="s">
        <v>1111</v>
      </c>
      <c r="E623" s="243"/>
      <c r="F623" s="244" t="s">
        <v>49</v>
      </c>
      <c r="G623" s="275" t="s">
        <v>79</v>
      </c>
      <c r="H623" s="276" t="s">
        <v>45</v>
      </c>
      <c r="I623" s="243" t="s">
        <v>1529</v>
      </c>
      <c r="J623" s="243" t="s">
        <v>1966</v>
      </c>
      <c r="K623" s="247" t="s">
        <v>1967</v>
      </c>
    </row>
    <row r="624" spans="1:17" ht="12.75" customHeight="1" x14ac:dyDescent="0.35">
      <c r="A624" s="241">
        <v>38348</v>
      </c>
      <c r="B624" s="242" t="s">
        <v>1550</v>
      </c>
      <c r="C624" s="249" t="s">
        <v>1551</v>
      </c>
      <c r="D624" s="249" t="s">
        <v>1552</v>
      </c>
      <c r="E624" s="249" t="s">
        <v>2368</v>
      </c>
      <c r="F624" s="244" t="s">
        <v>43</v>
      </c>
      <c r="G624" s="275" t="s">
        <v>94</v>
      </c>
      <c r="H624" s="276" t="s">
        <v>180</v>
      </c>
      <c r="I624" s="249" t="s">
        <v>1529</v>
      </c>
      <c r="J624" s="249" t="s">
        <v>1966</v>
      </c>
      <c r="K624" s="247" t="s">
        <v>1967</v>
      </c>
    </row>
    <row r="625" spans="1:17" ht="12.75" customHeight="1" x14ac:dyDescent="0.35">
      <c r="A625" s="241">
        <v>16828</v>
      </c>
      <c r="B625" s="242" t="s">
        <v>1553</v>
      </c>
      <c r="C625" s="243" t="s">
        <v>1551</v>
      </c>
      <c r="D625" s="243" t="s">
        <v>1554</v>
      </c>
      <c r="E625" s="243"/>
      <c r="F625" s="244" t="s">
        <v>49</v>
      </c>
      <c r="G625" s="275" t="s">
        <v>50</v>
      </c>
      <c r="H625" s="276" t="s">
        <v>51</v>
      </c>
      <c r="I625" s="243" t="s">
        <v>1529</v>
      </c>
      <c r="J625" s="243" t="s">
        <v>1966</v>
      </c>
      <c r="K625" s="247" t="s">
        <v>1967</v>
      </c>
    </row>
    <row r="626" spans="1:17" ht="12.75" customHeight="1" x14ac:dyDescent="0.35">
      <c r="A626" s="241">
        <v>16409</v>
      </c>
      <c r="B626" s="242" t="s">
        <v>1555</v>
      </c>
      <c r="C626" s="243" t="s">
        <v>1556</v>
      </c>
      <c r="D626" s="243" t="s">
        <v>179</v>
      </c>
      <c r="E626" s="243"/>
      <c r="F626" s="244" t="s">
        <v>43</v>
      </c>
      <c r="G626" s="275" t="s">
        <v>44</v>
      </c>
      <c r="H626" s="276" t="s">
        <v>45</v>
      </c>
      <c r="I626" s="243" t="s">
        <v>1529</v>
      </c>
      <c r="J626" s="243" t="s">
        <v>1966</v>
      </c>
      <c r="K626" s="247" t="s">
        <v>1967</v>
      </c>
    </row>
    <row r="627" spans="1:17" ht="12.75" customHeight="1" x14ac:dyDescent="0.35">
      <c r="A627" s="241">
        <v>7405</v>
      </c>
      <c r="B627" s="242" t="s">
        <v>1557</v>
      </c>
      <c r="C627" s="243" t="s">
        <v>1970</v>
      </c>
      <c r="D627" s="243" t="s">
        <v>184</v>
      </c>
      <c r="E627" s="243"/>
      <c r="F627" s="244" t="s">
        <v>43</v>
      </c>
      <c r="G627" s="275" t="s">
        <v>67</v>
      </c>
      <c r="H627" s="276" t="s">
        <v>180</v>
      </c>
      <c r="I627" s="243" t="s">
        <v>1529</v>
      </c>
      <c r="J627" s="243" t="s">
        <v>1966</v>
      </c>
      <c r="K627" s="247" t="s">
        <v>1967</v>
      </c>
    </row>
    <row r="628" spans="1:17" ht="12.75" customHeight="1" x14ac:dyDescent="0.35">
      <c r="A628" s="241">
        <v>16418</v>
      </c>
      <c r="B628" s="242" t="s">
        <v>1558</v>
      </c>
      <c r="C628" s="243" t="s">
        <v>1559</v>
      </c>
      <c r="D628" s="243" t="s">
        <v>206</v>
      </c>
      <c r="E628" s="243"/>
      <c r="F628" s="244" t="s">
        <v>43</v>
      </c>
      <c r="G628" s="275" t="s">
        <v>58</v>
      </c>
      <c r="H628" s="276"/>
      <c r="I628" s="243" t="s">
        <v>1529</v>
      </c>
      <c r="J628" s="243" t="s">
        <v>1966</v>
      </c>
      <c r="K628" s="247" t="s">
        <v>1967</v>
      </c>
    </row>
    <row r="629" spans="1:17" ht="12.75" customHeight="1" x14ac:dyDescent="0.35">
      <c r="A629" s="241">
        <v>25931</v>
      </c>
      <c r="B629" s="242" t="s">
        <v>1971</v>
      </c>
      <c r="C629" s="249" t="s">
        <v>1560</v>
      </c>
      <c r="D629" s="249" t="s">
        <v>213</v>
      </c>
      <c r="E629" s="249" t="s">
        <v>2368</v>
      </c>
      <c r="F629" s="244" t="s">
        <v>43</v>
      </c>
      <c r="G629" s="275" t="s">
        <v>52</v>
      </c>
      <c r="H629" s="276" t="s">
        <v>66</v>
      </c>
      <c r="I629" s="249" t="s">
        <v>1529</v>
      </c>
      <c r="J629" s="249" t="s">
        <v>1966</v>
      </c>
      <c r="K629" s="247" t="s">
        <v>1967</v>
      </c>
    </row>
    <row r="630" spans="1:17" ht="12.75" customHeight="1" x14ac:dyDescent="0.35">
      <c r="A630" s="241">
        <v>38658</v>
      </c>
      <c r="B630" s="242" t="s">
        <v>1561</v>
      </c>
      <c r="C630" s="243" t="s">
        <v>1562</v>
      </c>
      <c r="D630" s="243" t="s">
        <v>93</v>
      </c>
      <c r="E630" s="243"/>
      <c r="F630" s="244" t="s">
        <v>43</v>
      </c>
      <c r="G630" s="275" t="s">
        <v>44</v>
      </c>
      <c r="H630" s="276"/>
      <c r="I630" s="243" t="s">
        <v>1529</v>
      </c>
      <c r="J630" s="243" t="s">
        <v>1966</v>
      </c>
      <c r="K630" s="247" t="s">
        <v>1967</v>
      </c>
    </row>
    <row r="631" spans="1:17" ht="12.75" customHeight="1" x14ac:dyDescent="0.35">
      <c r="A631" s="241">
        <v>7471</v>
      </c>
      <c r="B631" s="242" t="s">
        <v>1563</v>
      </c>
      <c r="C631" s="243" t="s">
        <v>1564</v>
      </c>
      <c r="D631" s="243" t="s">
        <v>138</v>
      </c>
      <c r="E631" s="243"/>
      <c r="F631" s="244" t="s">
        <v>49</v>
      </c>
      <c r="G631" s="275" t="s">
        <v>139</v>
      </c>
      <c r="H631" s="276" t="s">
        <v>45</v>
      </c>
      <c r="I631" s="243" t="s">
        <v>1529</v>
      </c>
      <c r="J631" s="243" t="s">
        <v>1966</v>
      </c>
      <c r="K631" s="247" t="s">
        <v>1967</v>
      </c>
      <c r="L631" s="272"/>
      <c r="M631" s="272"/>
      <c r="N631" s="272"/>
      <c r="Q631" s="274"/>
    </row>
    <row r="632" spans="1:17" ht="12.75" customHeight="1" x14ac:dyDescent="0.35">
      <c r="A632" s="241">
        <v>38395</v>
      </c>
      <c r="B632" s="242" t="s">
        <v>1244</v>
      </c>
      <c r="C632" s="243" t="s">
        <v>1245</v>
      </c>
      <c r="D632" s="243" t="s">
        <v>253</v>
      </c>
      <c r="E632" s="243"/>
      <c r="F632" s="244" t="s">
        <v>43</v>
      </c>
      <c r="G632" s="275" t="s">
        <v>52</v>
      </c>
      <c r="H632" s="276" t="s">
        <v>45</v>
      </c>
      <c r="I632" s="243" t="s">
        <v>1529</v>
      </c>
      <c r="J632" s="243" t="s">
        <v>1966</v>
      </c>
      <c r="K632" s="247" t="s">
        <v>1967</v>
      </c>
    </row>
    <row r="633" spans="1:17" ht="12.75" customHeight="1" x14ac:dyDescent="0.35">
      <c r="A633" s="241">
        <v>7670</v>
      </c>
      <c r="B633" s="242" t="s">
        <v>1565</v>
      </c>
      <c r="C633" s="243" t="s">
        <v>1566</v>
      </c>
      <c r="D633" s="243" t="s">
        <v>1567</v>
      </c>
      <c r="E633" s="243"/>
      <c r="F633" s="244" t="s">
        <v>43</v>
      </c>
      <c r="G633" s="275" t="s">
        <v>52</v>
      </c>
      <c r="H633" s="276" t="s">
        <v>45</v>
      </c>
      <c r="I633" s="243" t="s">
        <v>1529</v>
      </c>
      <c r="J633" s="243" t="s">
        <v>1966</v>
      </c>
      <c r="K633" s="247" t="s">
        <v>1967</v>
      </c>
    </row>
    <row r="634" spans="1:17" ht="12.75" customHeight="1" x14ac:dyDescent="0.35">
      <c r="A634" s="241">
        <v>7679</v>
      </c>
      <c r="B634" s="242" t="s">
        <v>1568</v>
      </c>
      <c r="C634" s="243" t="s">
        <v>1566</v>
      </c>
      <c r="D634" s="243" t="s">
        <v>1569</v>
      </c>
      <c r="E634" s="243"/>
      <c r="F634" s="244" t="s">
        <v>49</v>
      </c>
      <c r="G634" s="275" t="s">
        <v>50</v>
      </c>
      <c r="H634" s="276" t="s">
        <v>51</v>
      </c>
      <c r="I634" s="243" t="s">
        <v>1529</v>
      </c>
      <c r="J634" s="243" t="s">
        <v>1966</v>
      </c>
      <c r="K634" s="247" t="s">
        <v>1967</v>
      </c>
    </row>
    <row r="635" spans="1:17" ht="12.75" customHeight="1" x14ac:dyDescent="0.35">
      <c r="A635" s="241">
        <v>7583</v>
      </c>
      <c r="B635" s="242" t="s">
        <v>1570</v>
      </c>
      <c r="C635" s="243" t="s">
        <v>1571</v>
      </c>
      <c r="D635" s="243" t="s">
        <v>73</v>
      </c>
      <c r="E635" s="243"/>
      <c r="F635" s="244" t="s">
        <v>43</v>
      </c>
      <c r="G635" s="275" t="s">
        <v>52</v>
      </c>
      <c r="H635" s="276" t="s">
        <v>180</v>
      </c>
      <c r="I635" s="243" t="s">
        <v>1529</v>
      </c>
      <c r="J635" s="243" t="s">
        <v>1966</v>
      </c>
      <c r="K635" s="247" t="s">
        <v>1967</v>
      </c>
    </row>
    <row r="636" spans="1:17" ht="12.75" customHeight="1" x14ac:dyDescent="0.35">
      <c r="A636" s="241">
        <v>7545</v>
      </c>
      <c r="B636" s="242" t="s">
        <v>1572</v>
      </c>
      <c r="C636" s="243" t="s">
        <v>1571</v>
      </c>
      <c r="D636" s="243" t="s">
        <v>1573</v>
      </c>
      <c r="E636" s="243"/>
      <c r="F636" s="244" t="s">
        <v>49</v>
      </c>
      <c r="G636" s="275" t="s">
        <v>50</v>
      </c>
      <c r="H636" s="276" t="s">
        <v>45</v>
      </c>
      <c r="I636" s="243" t="s">
        <v>1529</v>
      </c>
      <c r="J636" s="243" t="s">
        <v>1966</v>
      </c>
      <c r="K636" s="247" t="s">
        <v>1967</v>
      </c>
      <c r="L636" s="272"/>
      <c r="M636" s="272"/>
      <c r="N636" s="272"/>
      <c r="Q636" s="274"/>
    </row>
    <row r="637" spans="1:17" ht="12.75" customHeight="1" x14ac:dyDescent="0.35">
      <c r="A637" s="241">
        <v>7907</v>
      </c>
      <c r="B637" s="242" t="s">
        <v>1151</v>
      </c>
      <c r="C637" s="243" t="s">
        <v>1152</v>
      </c>
      <c r="D637" s="243" t="s">
        <v>1153</v>
      </c>
      <c r="E637" s="243"/>
      <c r="F637" s="244" t="s">
        <v>43</v>
      </c>
      <c r="G637" s="275" t="s">
        <v>52</v>
      </c>
      <c r="H637" s="276" t="s">
        <v>45</v>
      </c>
      <c r="I637" s="243" t="s">
        <v>1154</v>
      </c>
      <c r="J637" s="243" t="s">
        <v>1155</v>
      </c>
      <c r="K637" s="247" t="s">
        <v>1156</v>
      </c>
    </row>
    <row r="638" spans="1:17" ht="12.75" customHeight="1" x14ac:dyDescent="0.35">
      <c r="A638" s="241">
        <v>7914</v>
      </c>
      <c r="B638" s="242" t="s">
        <v>1157</v>
      </c>
      <c r="C638" s="243" t="s">
        <v>1158</v>
      </c>
      <c r="D638" s="243" t="s">
        <v>1159</v>
      </c>
      <c r="E638" s="243"/>
      <c r="F638" s="244" t="s">
        <v>43</v>
      </c>
      <c r="G638" s="275" t="s">
        <v>52</v>
      </c>
      <c r="H638" s="276" t="s">
        <v>180</v>
      </c>
      <c r="I638" s="243" t="s">
        <v>1154</v>
      </c>
      <c r="J638" s="243" t="s">
        <v>1155</v>
      </c>
      <c r="K638" s="247" t="s">
        <v>1156</v>
      </c>
    </row>
    <row r="639" spans="1:17" ht="12.75" customHeight="1" x14ac:dyDescent="0.35">
      <c r="A639" s="241">
        <v>38498</v>
      </c>
      <c r="B639" s="242" t="s">
        <v>1160</v>
      </c>
      <c r="C639" s="249" t="s">
        <v>1161</v>
      </c>
      <c r="D639" s="249" t="s">
        <v>1135</v>
      </c>
      <c r="E639" s="249" t="s">
        <v>2368</v>
      </c>
      <c r="F639" s="244" t="s">
        <v>43</v>
      </c>
      <c r="G639" s="275" t="s">
        <v>67</v>
      </c>
      <c r="H639" s="276"/>
      <c r="I639" s="249" t="s">
        <v>1154</v>
      </c>
      <c r="J639" s="243" t="s">
        <v>1155</v>
      </c>
      <c r="K639" s="247" t="s">
        <v>1156</v>
      </c>
    </row>
    <row r="640" spans="1:17" ht="12.75" customHeight="1" x14ac:dyDescent="0.35">
      <c r="A640" s="241">
        <v>38669</v>
      </c>
      <c r="B640" s="242" t="s">
        <v>1162</v>
      </c>
      <c r="C640" s="243" t="s">
        <v>1163</v>
      </c>
      <c r="D640" s="243" t="s">
        <v>1164</v>
      </c>
      <c r="E640" s="243"/>
      <c r="F640" s="244" t="s">
        <v>43</v>
      </c>
      <c r="G640" s="275" t="s">
        <v>67</v>
      </c>
      <c r="H640" s="276" t="s">
        <v>51</v>
      </c>
      <c r="I640" s="243" t="s">
        <v>1154</v>
      </c>
      <c r="J640" s="243" t="s">
        <v>1155</v>
      </c>
      <c r="K640" s="247" t="s">
        <v>1156</v>
      </c>
    </row>
    <row r="641" spans="1:17" s="269" customFormat="1" ht="12.75" customHeight="1" x14ac:dyDescent="0.45">
      <c r="A641" s="241">
        <v>38873</v>
      </c>
      <c r="B641" s="242" t="s">
        <v>2305</v>
      </c>
      <c r="C641" s="243" t="s">
        <v>2306</v>
      </c>
      <c r="D641" s="243" t="s">
        <v>120</v>
      </c>
      <c r="E641" s="243"/>
      <c r="F641" s="244" t="s">
        <v>43</v>
      </c>
      <c r="G641" s="275" t="s">
        <v>67</v>
      </c>
      <c r="H641" s="276" t="s">
        <v>51</v>
      </c>
      <c r="I641" s="243" t="s">
        <v>1154</v>
      </c>
      <c r="J641" s="243" t="s">
        <v>1155</v>
      </c>
      <c r="K641" s="247" t="s">
        <v>1156</v>
      </c>
    </row>
    <row r="642" spans="1:17" ht="12.75" customHeight="1" x14ac:dyDescent="0.35">
      <c r="A642" s="241">
        <v>38500</v>
      </c>
      <c r="B642" s="242" t="s">
        <v>1165</v>
      </c>
      <c r="C642" s="249" t="s">
        <v>1166</v>
      </c>
      <c r="D642" s="249" t="s">
        <v>954</v>
      </c>
      <c r="E642" s="249" t="s">
        <v>2368</v>
      </c>
      <c r="F642" s="244" t="s">
        <v>43</v>
      </c>
      <c r="G642" s="275" t="s">
        <v>52</v>
      </c>
      <c r="H642" s="276"/>
      <c r="I642" s="249" t="s">
        <v>1154</v>
      </c>
      <c r="J642" s="243" t="s">
        <v>1155</v>
      </c>
      <c r="K642" s="247" t="s">
        <v>1156</v>
      </c>
    </row>
    <row r="643" spans="1:17" ht="12.75" customHeight="1" x14ac:dyDescent="0.35">
      <c r="A643" s="241">
        <v>38502</v>
      </c>
      <c r="B643" s="242" t="s">
        <v>1167</v>
      </c>
      <c r="C643" s="249" t="s">
        <v>1168</v>
      </c>
      <c r="D643" s="249" t="s">
        <v>184</v>
      </c>
      <c r="E643" s="249" t="s">
        <v>2368</v>
      </c>
      <c r="F643" s="244" t="s">
        <v>43</v>
      </c>
      <c r="G643" s="275" t="s">
        <v>52</v>
      </c>
      <c r="H643" s="276"/>
      <c r="I643" s="249" t="s">
        <v>1154</v>
      </c>
      <c r="J643" s="243" t="s">
        <v>1155</v>
      </c>
      <c r="K643" s="247" t="s">
        <v>1156</v>
      </c>
    </row>
    <row r="644" spans="1:17" ht="12.75" customHeight="1" x14ac:dyDescent="0.35">
      <c r="A644" s="241">
        <v>7917</v>
      </c>
      <c r="B644" s="242" t="s">
        <v>1169</v>
      </c>
      <c r="C644" s="243" t="s">
        <v>1170</v>
      </c>
      <c r="D644" s="243" t="s">
        <v>1171</v>
      </c>
      <c r="E644" s="243"/>
      <c r="F644" s="244" t="s">
        <v>43</v>
      </c>
      <c r="G644" s="275" t="s">
        <v>52</v>
      </c>
      <c r="H644" s="276" t="s">
        <v>51</v>
      </c>
      <c r="I644" s="243" t="s">
        <v>1154</v>
      </c>
      <c r="J644" s="243" t="s">
        <v>1155</v>
      </c>
      <c r="K644" s="247" t="s">
        <v>1156</v>
      </c>
    </row>
    <row r="645" spans="1:17" ht="12.75" customHeight="1" x14ac:dyDescent="0.35">
      <c r="A645" s="241">
        <v>7906</v>
      </c>
      <c r="B645" s="242" t="s">
        <v>1172</v>
      </c>
      <c r="C645" s="243" t="s">
        <v>1173</v>
      </c>
      <c r="D645" s="243" t="s">
        <v>1174</v>
      </c>
      <c r="E645" s="243"/>
      <c r="F645" s="244" t="s">
        <v>43</v>
      </c>
      <c r="G645" s="275" t="s">
        <v>52</v>
      </c>
      <c r="H645" s="276" t="s">
        <v>51</v>
      </c>
      <c r="I645" s="243" t="s">
        <v>1154</v>
      </c>
      <c r="J645" s="243" t="s">
        <v>1155</v>
      </c>
      <c r="K645" s="247" t="s">
        <v>1156</v>
      </c>
    </row>
    <row r="646" spans="1:17" s="269" customFormat="1" ht="12.75" customHeight="1" x14ac:dyDescent="0.45">
      <c r="A646" s="241">
        <v>7909</v>
      </c>
      <c r="B646" s="242" t="s">
        <v>1175</v>
      </c>
      <c r="C646" s="243" t="s">
        <v>1173</v>
      </c>
      <c r="D646" s="243" t="s">
        <v>120</v>
      </c>
      <c r="E646" s="243"/>
      <c r="F646" s="244" t="s">
        <v>43</v>
      </c>
      <c r="G646" s="275" t="s">
        <v>52</v>
      </c>
      <c r="H646" s="276" t="s">
        <v>45</v>
      </c>
      <c r="I646" s="243" t="s">
        <v>1154</v>
      </c>
      <c r="J646" s="243" t="s">
        <v>1155</v>
      </c>
      <c r="K646" s="247" t="s">
        <v>1156</v>
      </c>
    </row>
    <row r="647" spans="1:17" ht="12.75" customHeight="1" x14ac:dyDescent="0.35">
      <c r="A647" s="241">
        <v>38916</v>
      </c>
      <c r="B647" s="242" t="s">
        <v>2504</v>
      </c>
      <c r="C647" s="243" t="s">
        <v>602</v>
      </c>
      <c r="D647" s="243" t="s">
        <v>2505</v>
      </c>
      <c r="E647" s="243"/>
      <c r="F647" s="244" t="s">
        <v>43</v>
      </c>
      <c r="G647" s="275" t="s">
        <v>67</v>
      </c>
      <c r="H647" s="276">
        <v>0</v>
      </c>
      <c r="I647" s="243" t="s">
        <v>1154</v>
      </c>
      <c r="J647" s="243" t="s">
        <v>1155</v>
      </c>
      <c r="K647" s="247" t="s">
        <v>1156</v>
      </c>
    </row>
    <row r="648" spans="1:17" ht="12.75" customHeight="1" x14ac:dyDescent="0.35">
      <c r="A648" s="241">
        <v>38749</v>
      </c>
      <c r="B648" s="242" t="s">
        <v>1972</v>
      </c>
      <c r="C648" s="243" t="s">
        <v>1973</v>
      </c>
      <c r="D648" s="243" t="s">
        <v>1473</v>
      </c>
      <c r="E648" s="243"/>
      <c r="F648" s="244" t="s">
        <v>43</v>
      </c>
      <c r="G648" s="275" t="s">
        <v>94</v>
      </c>
      <c r="H648" s="276"/>
      <c r="I648" s="243" t="s">
        <v>1154</v>
      </c>
      <c r="J648" s="243" t="s">
        <v>1155</v>
      </c>
      <c r="K648" s="247" t="s">
        <v>1156</v>
      </c>
      <c r="L648" s="272"/>
      <c r="M648" s="272"/>
      <c r="N648" s="272"/>
      <c r="Q648" s="274"/>
    </row>
    <row r="649" spans="1:17" ht="12.75" customHeight="1" x14ac:dyDescent="0.35">
      <c r="A649" s="241">
        <v>38590</v>
      </c>
      <c r="B649" s="242" t="s">
        <v>1176</v>
      </c>
      <c r="C649" s="243" t="s">
        <v>1177</v>
      </c>
      <c r="D649" s="243" t="s">
        <v>99</v>
      </c>
      <c r="E649" s="243"/>
      <c r="F649" s="244" t="s">
        <v>43</v>
      </c>
      <c r="G649" s="275" t="s">
        <v>44</v>
      </c>
      <c r="H649" s="276" t="s">
        <v>45</v>
      </c>
      <c r="I649" s="243" t="s">
        <v>1154</v>
      </c>
      <c r="J649" s="243" t="s">
        <v>1155</v>
      </c>
      <c r="K649" s="247" t="s">
        <v>1156</v>
      </c>
      <c r="L649" s="272"/>
      <c r="M649" s="272"/>
      <c r="N649" s="272"/>
      <c r="Q649" s="274"/>
    </row>
    <row r="650" spans="1:17" ht="12.75" customHeight="1" x14ac:dyDescent="0.35">
      <c r="A650" s="241">
        <v>25502</v>
      </c>
      <c r="B650" s="242" t="s">
        <v>1181</v>
      </c>
      <c r="C650" s="243" t="s">
        <v>81</v>
      </c>
      <c r="D650" s="243" t="s">
        <v>117</v>
      </c>
      <c r="E650" s="243"/>
      <c r="F650" s="244" t="s">
        <v>43</v>
      </c>
      <c r="G650" s="275" t="s">
        <v>52</v>
      </c>
      <c r="H650" s="276" t="s">
        <v>66</v>
      </c>
      <c r="I650" s="243" t="s">
        <v>1178</v>
      </c>
      <c r="J650" s="243" t="s">
        <v>1179</v>
      </c>
      <c r="K650" s="247" t="s">
        <v>1180</v>
      </c>
    </row>
    <row r="651" spans="1:17" ht="12.75" customHeight="1" x14ac:dyDescent="0.35">
      <c r="A651" s="241">
        <v>25684</v>
      </c>
      <c r="B651" s="242" t="s">
        <v>2346</v>
      </c>
      <c r="C651" s="243" t="s">
        <v>1185</v>
      </c>
      <c r="D651" s="243" t="s">
        <v>831</v>
      </c>
      <c r="E651" s="243"/>
      <c r="F651" s="244" t="s">
        <v>43</v>
      </c>
      <c r="G651" s="275" t="s">
        <v>44</v>
      </c>
      <c r="H651" s="276" t="s">
        <v>66</v>
      </c>
      <c r="I651" s="243" t="s">
        <v>1178</v>
      </c>
      <c r="J651" s="243" t="s">
        <v>1179</v>
      </c>
      <c r="K651" s="247" t="s">
        <v>1180</v>
      </c>
    </row>
    <row r="652" spans="1:17" ht="12.75" customHeight="1" x14ac:dyDescent="0.35">
      <c r="A652" s="241">
        <v>38741</v>
      </c>
      <c r="B652" s="242" t="s">
        <v>1974</v>
      </c>
      <c r="C652" s="243" t="s">
        <v>978</v>
      </c>
      <c r="D652" s="243" t="s">
        <v>120</v>
      </c>
      <c r="E652" s="243"/>
      <c r="F652" s="244" t="s">
        <v>43</v>
      </c>
      <c r="G652" s="275" t="s">
        <v>52</v>
      </c>
      <c r="H652" s="276" t="s">
        <v>51</v>
      </c>
      <c r="I652" s="243" t="s">
        <v>1178</v>
      </c>
      <c r="J652" s="243" t="s">
        <v>1179</v>
      </c>
      <c r="K652" s="247" t="s">
        <v>1180</v>
      </c>
    </row>
    <row r="653" spans="1:17" ht="12.75" customHeight="1" x14ac:dyDescent="0.35">
      <c r="A653" s="241">
        <v>38214</v>
      </c>
      <c r="B653" s="242" t="s">
        <v>1482</v>
      </c>
      <c r="C653" s="249" t="s">
        <v>92</v>
      </c>
      <c r="D653" s="249" t="s">
        <v>64</v>
      </c>
      <c r="E653" s="249" t="s">
        <v>2368</v>
      </c>
      <c r="F653" s="244" t="s">
        <v>43</v>
      </c>
      <c r="G653" s="275" t="s">
        <v>94</v>
      </c>
      <c r="H653" s="276" t="s">
        <v>45</v>
      </c>
      <c r="I653" s="249" t="s">
        <v>1178</v>
      </c>
      <c r="J653" s="249" t="s">
        <v>1179</v>
      </c>
      <c r="K653" s="247" t="s">
        <v>1180</v>
      </c>
    </row>
    <row r="654" spans="1:17" ht="12.75" customHeight="1" x14ac:dyDescent="0.35">
      <c r="A654" s="241">
        <v>25055</v>
      </c>
      <c r="B654" s="242" t="s">
        <v>1186</v>
      </c>
      <c r="C654" s="249" t="s">
        <v>1187</v>
      </c>
      <c r="D654" s="249" t="s">
        <v>253</v>
      </c>
      <c r="E654" s="249" t="s">
        <v>2368</v>
      </c>
      <c r="F654" s="244" t="s">
        <v>43</v>
      </c>
      <c r="G654" s="275" t="s">
        <v>58</v>
      </c>
      <c r="H654" s="276" t="s">
        <v>45</v>
      </c>
      <c r="I654" s="249" t="s">
        <v>1178</v>
      </c>
      <c r="J654" s="249" t="s">
        <v>1179</v>
      </c>
      <c r="K654" s="247" t="s">
        <v>1180</v>
      </c>
    </row>
    <row r="655" spans="1:17" ht="12.75" customHeight="1" x14ac:dyDescent="0.35">
      <c r="A655" s="241">
        <v>38450</v>
      </c>
      <c r="B655" s="242" t="s">
        <v>1188</v>
      </c>
      <c r="C655" s="249" t="s">
        <v>1187</v>
      </c>
      <c r="D655" s="249" t="s">
        <v>143</v>
      </c>
      <c r="E655" s="249" t="s">
        <v>2368</v>
      </c>
      <c r="F655" s="244" t="s">
        <v>43</v>
      </c>
      <c r="G655" s="275" t="s">
        <v>44</v>
      </c>
      <c r="H655" s="276" t="s">
        <v>45</v>
      </c>
      <c r="I655" s="249" t="s">
        <v>1178</v>
      </c>
      <c r="J655" s="249" t="s">
        <v>1179</v>
      </c>
      <c r="K655" s="247" t="s">
        <v>1180</v>
      </c>
    </row>
    <row r="656" spans="1:17" ht="12.75" customHeight="1" x14ac:dyDescent="0.35">
      <c r="A656" s="241">
        <v>38112</v>
      </c>
      <c r="B656" s="242" t="s">
        <v>1189</v>
      </c>
      <c r="C656" s="243" t="s">
        <v>579</v>
      </c>
      <c r="D656" s="243" t="s">
        <v>957</v>
      </c>
      <c r="E656" s="243"/>
      <c r="F656" s="244" t="s">
        <v>43</v>
      </c>
      <c r="G656" s="275" t="s">
        <v>44</v>
      </c>
      <c r="H656" s="276" t="s">
        <v>66</v>
      </c>
      <c r="I656" s="243" t="s">
        <v>1178</v>
      </c>
      <c r="J656" s="243" t="s">
        <v>1179</v>
      </c>
      <c r="K656" s="247" t="s">
        <v>1180</v>
      </c>
      <c r="L656" s="272"/>
      <c r="M656" s="272"/>
      <c r="N656" s="272"/>
      <c r="Q656" s="274"/>
    </row>
    <row r="657" spans="1:11" ht="12.75" customHeight="1" x14ac:dyDescent="0.35">
      <c r="A657" s="241">
        <v>25901</v>
      </c>
      <c r="B657" s="242">
        <v>9111314</v>
      </c>
      <c r="C657" s="243" t="s">
        <v>1190</v>
      </c>
      <c r="D657" s="243" t="s">
        <v>70</v>
      </c>
      <c r="E657" s="243"/>
      <c r="F657" s="244" t="s">
        <v>43</v>
      </c>
      <c r="G657" s="275" t="s">
        <v>44</v>
      </c>
      <c r="H657" s="276" t="s">
        <v>45</v>
      </c>
      <c r="I657" s="243" t="s">
        <v>1178</v>
      </c>
      <c r="J657" s="243" t="s">
        <v>1179</v>
      </c>
      <c r="K657" s="247" t="s">
        <v>1180</v>
      </c>
    </row>
    <row r="658" spans="1:11" s="269" customFormat="1" ht="12.75" customHeight="1" x14ac:dyDescent="0.45">
      <c r="A658" s="241">
        <v>38576</v>
      </c>
      <c r="B658" s="242" t="s">
        <v>1401</v>
      </c>
      <c r="C658" s="249" t="s">
        <v>813</v>
      </c>
      <c r="D658" s="249" t="s">
        <v>132</v>
      </c>
      <c r="E658" s="249" t="s">
        <v>2368</v>
      </c>
      <c r="F658" s="244" t="s">
        <v>43</v>
      </c>
      <c r="G658" s="275" t="s">
        <v>44</v>
      </c>
      <c r="H658" s="276" t="s">
        <v>180</v>
      </c>
      <c r="I658" s="249" t="s">
        <v>1178</v>
      </c>
      <c r="J658" s="249" t="s">
        <v>1179</v>
      </c>
      <c r="K658" s="247" t="s">
        <v>1180</v>
      </c>
    </row>
    <row r="659" spans="1:11" ht="12.75" customHeight="1" x14ac:dyDescent="0.35">
      <c r="A659" s="241">
        <v>16393</v>
      </c>
      <c r="B659" s="242">
        <v>9109463</v>
      </c>
      <c r="C659" s="243" t="s">
        <v>1194</v>
      </c>
      <c r="D659" s="243" t="s">
        <v>991</v>
      </c>
      <c r="E659" s="243"/>
      <c r="F659" s="244" t="s">
        <v>43</v>
      </c>
      <c r="G659" s="275" t="s">
        <v>58</v>
      </c>
      <c r="H659" s="276"/>
      <c r="I659" s="249" t="s">
        <v>1178</v>
      </c>
      <c r="J659" s="243" t="s">
        <v>1179</v>
      </c>
      <c r="K659" s="247" t="s">
        <v>1180</v>
      </c>
    </row>
    <row r="660" spans="1:11" ht="12.75" customHeight="1" x14ac:dyDescent="0.35">
      <c r="A660" s="241">
        <v>25302</v>
      </c>
      <c r="B660" s="242" t="s">
        <v>1195</v>
      </c>
      <c r="C660" s="249" t="s">
        <v>1196</v>
      </c>
      <c r="D660" s="249" t="s">
        <v>213</v>
      </c>
      <c r="E660" s="249" t="s">
        <v>2368</v>
      </c>
      <c r="F660" s="244" t="s">
        <v>43</v>
      </c>
      <c r="G660" s="275" t="s">
        <v>67</v>
      </c>
      <c r="H660" s="276" t="s">
        <v>45</v>
      </c>
      <c r="I660" s="249" t="s">
        <v>1178</v>
      </c>
      <c r="J660" s="249" t="s">
        <v>1179</v>
      </c>
      <c r="K660" s="247" t="s">
        <v>1180</v>
      </c>
    </row>
    <row r="661" spans="1:11" ht="12.75" customHeight="1" x14ac:dyDescent="0.35">
      <c r="A661" s="241">
        <v>25074</v>
      </c>
      <c r="B661" s="242" t="s">
        <v>2193</v>
      </c>
      <c r="C661" s="243" t="s">
        <v>2194</v>
      </c>
      <c r="D661" s="243" t="s">
        <v>2195</v>
      </c>
      <c r="E661" s="243"/>
      <c r="F661" s="244" t="s">
        <v>43</v>
      </c>
      <c r="G661" s="275" t="s">
        <v>44</v>
      </c>
      <c r="H661" s="276"/>
      <c r="I661" s="243" t="s">
        <v>1178</v>
      </c>
      <c r="J661" s="243" t="s">
        <v>1179</v>
      </c>
      <c r="K661" s="247" t="s">
        <v>1180</v>
      </c>
    </row>
    <row r="662" spans="1:11" ht="12.75" customHeight="1" x14ac:dyDescent="0.35">
      <c r="A662" s="241">
        <v>16402</v>
      </c>
      <c r="B662" s="242" t="s">
        <v>1197</v>
      </c>
      <c r="C662" s="243" t="s">
        <v>1198</v>
      </c>
      <c r="D662" s="243" t="s">
        <v>991</v>
      </c>
      <c r="E662" s="243"/>
      <c r="F662" s="244" t="s">
        <v>43</v>
      </c>
      <c r="G662" s="275" t="s">
        <v>52</v>
      </c>
      <c r="H662" s="276" t="s">
        <v>45</v>
      </c>
      <c r="I662" s="243" t="s">
        <v>1178</v>
      </c>
      <c r="J662" s="243" t="s">
        <v>1179</v>
      </c>
      <c r="K662" s="247" t="s">
        <v>1180</v>
      </c>
    </row>
    <row r="663" spans="1:11" ht="12.75" customHeight="1" x14ac:dyDescent="0.35">
      <c r="A663" s="241">
        <v>16763</v>
      </c>
      <c r="B663" s="242" t="s">
        <v>1199</v>
      </c>
      <c r="C663" s="243" t="s">
        <v>60</v>
      </c>
      <c r="D663" s="243" t="s">
        <v>705</v>
      </c>
      <c r="E663" s="243"/>
      <c r="F663" s="244" t="s">
        <v>43</v>
      </c>
      <c r="G663" s="275" t="s">
        <v>44</v>
      </c>
      <c r="H663" s="276" t="s">
        <v>66</v>
      </c>
      <c r="I663" s="243" t="s">
        <v>1178</v>
      </c>
      <c r="J663" s="243" t="s">
        <v>1179</v>
      </c>
      <c r="K663" s="247" t="s">
        <v>1180</v>
      </c>
    </row>
    <row r="664" spans="1:11" ht="12.75" customHeight="1" x14ac:dyDescent="0.35">
      <c r="A664" s="241">
        <v>16391</v>
      </c>
      <c r="B664" s="242" t="s">
        <v>2196</v>
      </c>
      <c r="C664" s="249" t="s">
        <v>2197</v>
      </c>
      <c r="D664" s="249" t="s">
        <v>213</v>
      </c>
      <c r="E664" s="249" t="s">
        <v>2368</v>
      </c>
      <c r="F664" s="244" t="s">
        <v>43</v>
      </c>
      <c r="G664" s="252" t="s">
        <v>58</v>
      </c>
      <c r="H664" s="253">
        <v>0</v>
      </c>
      <c r="I664" s="249" t="s">
        <v>1178</v>
      </c>
      <c r="J664" s="249" t="s">
        <v>1179</v>
      </c>
      <c r="K664" s="247" t="s">
        <v>1180</v>
      </c>
    </row>
    <row r="665" spans="1:11" ht="12.75" customHeight="1" x14ac:dyDescent="0.35">
      <c r="A665" s="241">
        <v>25802</v>
      </c>
      <c r="B665" s="242">
        <v>9105696</v>
      </c>
      <c r="C665" s="249" t="s">
        <v>1200</v>
      </c>
      <c r="D665" s="249" t="s">
        <v>302</v>
      </c>
      <c r="E665" s="249" t="s">
        <v>2368</v>
      </c>
      <c r="F665" s="244" t="s">
        <v>43</v>
      </c>
      <c r="G665" s="275" t="s">
        <v>58</v>
      </c>
      <c r="H665" s="276" t="s">
        <v>51</v>
      </c>
      <c r="I665" s="249" t="s">
        <v>1178</v>
      </c>
      <c r="J665" s="249" t="s">
        <v>1179</v>
      </c>
      <c r="K665" s="247" t="s">
        <v>1180</v>
      </c>
    </row>
    <row r="666" spans="1:11" ht="12.75" customHeight="1" x14ac:dyDescent="0.35">
      <c r="A666" s="241">
        <v>16390</v>
      </c>
      <c r="B666" s="242" t="s">
        <v>1201</v>
      </c>
      <c r="C666" s="249" t="s">
        <v>1202</v>
      </c>
      <c r="D666" s="249" t="s">
        <v>584</v>
      </c>
      <c r="E666" s="249" t="s">
        <v>2368</v>
      </c>
      <c r="F666" s="244" t="s">
        <v>43</v>
      </c>
      <c r="G666" s="275" t="s">
        <v>52</v>
      </c>
      <c r="H666" s="276" t="s">
        <v>45</v>
      </c>
      <c r="I666" s="249" t="s">
        <v>1178</v>
      </c>
      <c r="J666" s="249" t="s">
        <v>1179</v>
      </c>
      <c r="K666" s="247" t="s">
        <v>1180</v>
      </c>
    </row>
    <row r="667" spans="1:11" ht="12.75" customHeight="1" x14ac:dyDescent="0.35">
      <c r="A667" s="241">
        <v>16389</v>
      </c>
      <c r="B667" s="242">
        <v>9109464</v>
      </c>
      <c r="C667" s="243" t="s">
        <v>1203</v>
      </c>
      <c r="D667" s="243" t="s">
        <v>286</v>
      </c>
      <c r="E667" s="243"/>
      <c r="F667" s="244" t="s">
        <v>43</v>
      </c>
      <c r="G667" s="275" t="s">
        <v>58</v>
      </c>
      <c r="H667" s="276" t="s">
        <v>104</v>
      </c>
      <c r="I667" s="249" t="s">
        <v>1178</v>
      </c>
      <c r="J667" s="243" t="s">
        <v>1179</v>
      </c>
      <c r="K667" s="247" t="s">
        <v>1180</v>
      </c>
    </row>
    <row r="668" spans="1:11" ht="12.75" customHeight="1" x14ac:dyDescent="0.35">
      <c r="A668" s="241">
        <v>21197</v>
      </c>
      <c r="B668" s="242" t="s">
        <v>1204</v>
      </c>
      <c r="C668" s="249" t="s">
        <v>1205</v>
      </c>
      <c r="D668" s="249" t="s">
        <v>59</v>
      </c>
      <c r="E668" s="249" t="s">
        <v>2368</v>
      </c>
      <c r="F668" s="244" t="s">
        <v>43</v>
      </c>
      <c r="G668" s="275" t="s">
        <v>44</v>
      </c>
      <c r="H668" s="276" t="s">
        <v>180</v>
      </c>
      <c r="I668" s="249" t="s">
        <v>1178</v>
      </c>
      <c r="J668" s="249" t="s">
        <v>1179</v>
      </c>
      <c r="K668" s="247" t="s">
        <v>1180</v>
      </c>
    </row>
    <row r="669" spans="1:11" ht="12.75" customHeight="1" x14ac:dyDescent="0.35">
      <c r="A669" s="241">
        <v>7493</v>
      </c>
      <c r="B669" s="242" t="s">
        <v>1206</v>
      </c>
      <c r="C669" s="243" t="s">
        <v>1207</v>
      </c>
      <c r="D669" s="243" t="s">
        <v>73</v>
      </c>
      <c r="E669" s="243"/>
      <c r="F669" s="244" t="s">
        <v>43</v>
      </c>
      <c r="G669" s="275" t="s">
        <v>58</v>
      </c>
      <c r="H669" s="276" t="s">
        <v>45</v>
      </c>
      <c r="I669" s="243" t="s">
        <v>1178</v>
      </c>
      <c r="J669" s="243" t="s">
        <v>1179</v>
      </c>
      <c r="K669" s="247" t="s">
        <v>1180</v>
      </c>
    </row>
    <row r="670" spans="1:11" ht="12.75" customHeight="1" x14ac:dyDescent="0.35">
      <c r="A670" s="241">
        <v>25554</v>
      </c>
      <c r="B670" s="242" t="s">
        <v>1211</v>
      </c>
      <c r="C670" s="243" t="s">
        <v>1212</v>
      </c>
      <c r="D670" s="243" t="s">
        <v>749</v>
      </c>
      <c r="E670" s="243"/>
      <c r="F670" s="244" t="s">
        <v>43</v>
      </c>
      <c r="G670" s="275" t="s">
        <v>52</v>
      </c>
      <c r="H670" s="276" t="s">
        <v>66</v>
      </c>
      <c r="I670" s="243" t="s">
        <v>1210</v>
      </c>
      <c r="J670" s="243" t="s">
        <v>1179</v>
      </c>
      <c r="K670" s="247" t="s">
        <v>1180</v>
      </c>
    </row>
    <row r="671" spans="1:11" ht="12.75" customHeight="1" x14ac:dyDescent="0.35">
      <c r="A671" s="241">
        <v>38706</v>
      </c>
      <c r="B671" s="242" t="s">
        <v>1903</v>
      </c>
      <c r="C671" s="256" t="s">
        <v>274</v>
      </c>
      <c r="D671" s="249" t="s">
        <v>1904</v>
      </c>
      <c r="E671" s="249" t="s">
        <v>2368</v>
      </c>
      <c r="F671" s="244" t="s">
        <v>43</v>
      </c>
      <c r="G671" s="275" t="s">
        <v>89</v>
      </c>
      <c r="H671" s="276" t="s">
        <v>104</v>
      </c>
      <c r="I671" s="249" t="s">
        <v>1210</v>
      </c>
      <c r="J671" s="249" t="s">
        <v>1179</v>
      </c>
      <c r="K671" s="247" t="s">
        <v>1180</v>
      </c>
    </row>
    <row r="672" spans="1:11" ht="12.75" customHeight="1" x14ac:dyDescent="0.35">
      <c r="A672" s="241">
        <v>16398</v>
      </c>
      <c r="B672" s="242" t="s">
        <v>1213</v>
      </c>
      <c r="C672" s="243" t="s">
        <v>1214</v>
      </c>
      <c r="D672" s="243" t="s">
        <v>1215</v>
      </c>
      <c r="E672" s="243"/>
      <c r="F672" s="244" t="s">
        <v>43</v>
      </c>
      <c r="G672" s="275" t="s">
        <v>67</v>
      </c>
      <c r="H672" s="276" t="s">
        <v>180</v>
      </c>
      <c r="I672" s="249" t="s">
        <v>1210</v>
      </c>
      <c r="J672" s="243" t="s">
        <v>1179</v>
      </c>
      <c r="K672" s="247" t="s">
        <v>1180</v>
      </c>
    </row>
    <row r="673" spans="1:11" ht="12.75" customHeight="1" x14ac:dyDescent="0.35">
      <c r="A673" s="241">
        <v>7418</v>
      </c>
      <c r="B673" s="242" t="s">
        <v>1216</v>
      </c>
      <c r="C673" s="243" t="s">
        <v>1217</v>
      </c>
      <c r="D673" s="243" t="s">
        <v>769</v>
      </c>
      <c r="E673" s="243"/>
      <c r="F673" s="244" t="s">
        <v>43</v>
      </c>
      <c r="G673" s="275" t="s">
        <v>67</v>
      </c>
      <c r="H673" s="276" t="s">
        <v>180</v>
      </c>
      <c r="I673" s="243" t="s">
        <v>1210</v>
      </c>
      <c r="J673" s="243" t="s">
        <v>1179</v>
      </c>
      <c r="K673" s="247" t="s">
        <v>1180</v>
      </c>
    </row>
    <row r="674" spans="1:11" ht="12.75" customHeight="1" x14ac:dyDescent="0.35">
      <c r="A674" s="241">
        <v>38673</v>
      </c>
      <c r="B674" s="242" t="s">
        <v>1667</v>
      </c>
      <c r="C674" s="243" t="s">
        <v>1217</v>
      </c>
      <c r="D674" s="243" t="s">
        <v>1668</v>
      </c>
      <c r="E674" s="243"/>
      <c r="F674" s="244" t="s">
        <v>43</v>
      </c>
      <c r="G674" s="275" t="s">
        <v>94</v>
      </c>
      <c r="H674" s="276" t="s">
        <v>45</v>
      </c>
      <c r="I674" s="243" t="s">
        <v>1210</v>
      </c>
      <c r="J674" s="243" t="s">
        <v>1179</v>
      </c>
      <c r="K674" s="247" t="s">
        <v>1180</v>
      </c>
    </row>
    <row r="675" spans="1:11" ht="12.75" customHeight="1" x14ac:dyDescent="0.35">
      <c r="A675" s="241">
        <v>7596</v>
      </c>
      <c r="B675" s="242" t="s">
        <v>1218</v>
      </c>
      <c r="C675" s="243" t="s">
        <v>1219</v>
      </c>
      <c r="D675" s="243" t="s">
        <v>125</v>
      </c>
      <c r="E675" s="243"/>
      <c r="F675" s="244" t="s">
        <v>43</v>
      </c>
      <c r="G675" s="245" t="s">
        <v>67</v>
      </c>
      <c r="H675" s="246">
        <v>0</v>
      </c>
      <c r="I675" s="243" t="s">
        <v>1210</v>
      </c>
      <c r="J675" s="243" t="s">
        <v>1179</v>
      </c>
      <c r="K675" s="247" t="s">
        <v>1180</v>
      </c>
    </row>
    <row r="676" spans="1:11" ht="12.75" customHeight="1" x14ac:dyDescent="0.35">
      <c r="A676" s="241">
        <v>38918</v>
      </c>
      <c r="B676" s="242" t="s">
        <v>2506</v>
      </c>
      <c r="C676" s="243" t="s">
        <v>2507</v>
      </c>
      <c r="D676" s="243" t="s">
        <v>831</v>
      </c>
      <c r="E676" s="243"/>
      <c r="F676" s="244" t="s">
        <v>43</v>
      </c>
      <c r="G676" s="245" t="s">
        <v>44</v>
      </c>
      <c r="H676" s="246">
        <v>0</v>
      </c>
      <c r="I676" s="243" t="s">
        <v>1210</v>
      </c>
      <c r="J676" s="243" t="s">
        <v>1179</v>
      </c>
      <c r="K676" s="247" t="s">
        <v>1180</v>
      </c>
    </row>
    <row r="677" spans="1:11" ht="12.75" customHeight="1" x14ac:dyDescent="0.35">
      <c r="A677" s="241">
        <v>38910</v>
      </c>
      <c r="B677" s="242" t="s">
        <v>2508</v>
      </c>
      <c r="C677" s="243" t="s">
        <v>2507</v>
      </c>
      <c r="D677" s="243" t="s">
        <v>2509</v>
      </c>
      <c r="E677" s="243"/>
      <c r="F677" s="244" t="s">
        <v>49</v>
      </c>
      <c r="G677" s="245" t="s">
        <v>775</v>
      </c>
      <c r="H677" s="246">
        <v>0</v>
      </c>
      <c r="I677" s="243" t="s">
        <v>1210</v>
      </c>
      <c r="J677" s="243" t="s">
        <v>1179</v>
      </c>
      <c r="K677" s="247" t="s">
        <v>1180</v>
      </c>
    </row>
    <row r="678" spans="1:11" ht="12.75" customHeight="1" x14ac:dyDescent="0.35">
      <c r="A678" s="241">
        <v>7881</v>
      </c>
      <c r="B678" s="242" t="s">
        <v>1220</v>
      </c>
      <c r="C678" s="243" t="s">
        <v>1221</v>
      </c>
      <c r="D678" s="243" t="s">
        <v>689</v>
      </c>
      <c r="E678" s="243"/>
      <c r="F678" s="244" t="s">
        <v>43</v>
      </c>
      <c r="G678" s="275" t="s">
        <v>44</v>
      </c>
      <c r="H678" s="276" t="s">
        <v>180</v>
      </c>
      <c r="I678" s="243" t="s">
        <v>1210</v>
      </c>
      <c r="J678" s="243" t="s">
        <v>1179</v>
      </c>
      <c r="K678" s="247" t="s">
        <v>1180</v>
      </c>
    </row>
    <row r="679" spans="1:11" ht="12.75" customHeight="1" x14ac:dyDescent="0.35">
      <c r="A679" s="241">
        <v>7883</v>
      </c>
      <c r="B679" s="242" t="s">
        <v>1222</v>
      </c>
      <c r="C679" s="243" t="s">
        <v>1223</v>
      </c>
      <c r="D679" s="243" t="s">
        <v>1174</v>
      </c>
      <c r="E679" s="243"/>
      <c r="F679" s="244" t="s">
        <v>43</v>
      </c>
      <c r="G679" s="275" t="s">
        <v>67</v>
      </c>
      <c r="H679" s="276" t="s">
        <v>239</v>
      </c>
      <c r="I679" s="243" t="s">
        <v>1210</v>
      </c>
      <c r="J679" s="243" t="s">
        <v>1179</v>
      </c>
      <c r="K679" s="247" t="s">
        <v>1180</v>
      </c>
    </row>
    <row r="680" spans="1:11" ht="12.75" customHeight="1" x14ac:dyDescent="0.35">
      <c r="A680" s="241">
        <v>25540</v>
      </c>
      <c r="B680" s="242" t="s">
        <v>1976</v>
      </c>
      <c r="C680" s="249" t="s">
        <v>1223</v>
      </c>
      <c r="D680" s="249" t="s">
        <v>490</v>
      </c>
      <c r="E680" s="249" t="s">
        <v>2368</v>
      </c>
      <c r="F680" s="244" t="s">
        <v>43</v>
      </c>
      <c r="G680" s="275" t="s">
        <v>44</v>
      </c>
      <c r="H680" s="276" t="s">
        <v>239</v>
      </c>
      <c r="I680" s="249" t="s">
        <v>1210</v>
      </c>
      <c r="J680" s="249" t="s">
        <v>1179</v>
      </c>
      <c r="K680" s="247" t="s">
        <v>1180</v>
      </c>
    </row>
    <row r="681" spans="1:11" ht="12.75" customHeight="1" x14ac:dyDescent="0.35">
      <c r="A681" s="241">
        <v>38890</v>
      </c>
      <c r="B681" s="242" t="s">
        <v>2347</v>
      </c>
      <c r="C681" s="243" t="s">
        <v>2348</v>
      </c>
      <c r="D681" s="243" t="s">
        <v>138</v>
      </c>
      <c r="E681" s="243"/>
      <c r="F681" s="244" t="s">
        <v>49</v>
      </c>
      <c r="G681" s="275" t="s">
        <v>775</v>
      </c>
      <c r="H681" s="276" t="s">
        <v>104</v>
      </c>
      <c r="I681" s="243" t="s">
        <v>1210</v>
      </c>
      <c r="J681" s="243" t="s">
        <v>1179</v>
      </c>
      <c r="K681" s="247" t="s">
        <v>1180</v>
      </c>
    </row>
    <row r="682" spans="1:11" ht="12.75" customHeight="1" x14ac:dyDescent="0.35">
      <c r="A682" s="241">
        <v>25675</v>
      </c>
      <c r="B682" s="242" t="s">
        <v>2357</v>
      </c>
      <c r="C682" s="243" t="s">
        <v>1377</v>
      </c>
      <c r="D682" s="243" t="s">
        <v>78</v>
      </c>
      <c r="E682" s="243"/>
      <c r="F682" s="244" t="s">
        <v>49</v>
      </c>
      <c r="G682" s="275" t="s">
        <v>139</v>
      </c>
      <c r="H682" s="276" t="s">
        <v>45</v>
      </c>
      <c r="I682" s="243" t="s">
        <v>1210</v>
      </c>
      <c r="J682" s="243" t="s">
        <v>1179</v>
      </c>
      <c r="K682" s="247" t="s">
        <v>1180</v>
      </c>
    </row>
    <row r="683" spans="1:11" ht="12.75" customHeight="1" x14ac:dyDescent="0.35">
      <c r="A683" s="241">
        <v>7557</v>
      </c>
      <c r="B683" s="242" t="s">
        <v>1227</v>
      </c>
      <c r="C683" s="243" t="s">
        <v>1228</v>
      </c>
      <c r="D683" s="243" t="s">
        <v>383</v>
      </c>
      <c r="E683" s="243"/>
      <c r="F683" s="244" t="s">
        <v>43</v>
      </c>
      <c r="G683" s="275" t="s">
        <v>67</v>
      </c>
      <c r="H683" s="276" t="s">
        <v>66</v>
      </c>
      <c r="I683" s="243" t="s">
        <v>1210</v>
      </c>
      <c r="J683" s="243" t="s">
        <v>1179</v>
      </c>
      <c r="K683" s="247" t="s">
        <v>1180</v>
      </c>
    </row>
    <row r="684" spans="1:11" ht="12.75" customHeight="1" x14ac:dyDescent="0.35">
      <c r="A684" s="241">
        <v>7879</v>
      </c>
      <c r="B684" s="242" t="s">
        <v>1229</v>
      </c>
      <c r="C684" s="243" t="s">
        <v>1230</v>
      </c>
      <c r="D684" s="243" t="s">
        <v>125</v>
      </c>
      <c r="E684" s="243"/>
      <c r="F684" s="244" t="s">
        <v>43</v>
      </c>
      <c r="G684" s="275" t="s">
        <v>44</v>
      </c>
      <c r="H684" s="276" t="s">
        <v>239</v>
      </c>
      <c r="I684" s="243" t="s">
        <v>1210</v>
      </c>
      <c r="J684" s="243" t="s">
        <v>1179</v>
      </c>
      <c r="K684" s="247" t="s">
        <v>1180</v>
      </c>
    </row>
    <row r="685" spans="1:11" ht="12.75" customHeight="1" x14ac:dyDescent="0.35">
      <c r="A685" s="241">
        <v>38868</v>
      </c>
      <c r="B685" s="242" t="s">
        <v>2307</v>
      </c>
      <c r="C685" s="243" t="s">
        <v>1196</v>
      </c>
      <c r="D685" s="243" t="s">
        <v>2189</v>
      </c>
      <c r="E685" s="243"/>
      <c r="F685" s="244" t="s">
        <v>49</v>
      </c>
      <c r="G685" s="275" t="s">
        <v>342</v>
      </c>
      <c r="H685" s="276" t="s">
        <v>104</v>
      </c>
      <c r="I685" s="243" t="s">
        <v>1210</v>
      </c>
      <c r="J685" s="243" t="s">
        <v>1179</v>
      </c>
      <c r="K685" s="247" t="s">
        <v>1180</v>
      </c>
    </row>
    <row r="686" spans="1:11" ht="12.75" customHeight="1" x14ac:dyDescent="0.35">
      <c r="A686" s="241">
        <v>13493</v>
      </c>
      <c r="B686" s="242" t="s">
        <v>1231</v>
      </c>
      <c r="C686" s="249" t="s">
        <v>1232</v>
      </c>
      <c r="D686" s="249" t="s">
        <v>99</v>
      </c>
      <c r="E686" s="249" t="s">
        <v>2368</v>
      </c>
      <c r="F686" s="244" t="s">
        <v>43</v>
      </c>
      <c r="G686" s="275" t="s">
        <v>44</v>
      </c>
      <c r="H686" s="276" t="s">
        <v>239</v>
      </c>
      <c r="I686" s="249" t="s">
        <v>1210</v>
      </c>
      <c r="J686" s="249" t="s">
        <v>1179</v>
      </c>
      <c r="K686" s="247" t="s">
        <v>1180</v>
      </c>
    </row>
    <row r="687" spans="1:11" ht="12.75" customHeight="1" x14ac:dyDescent="0.35">
      <c r="A687" s="241">
        <v>38349</v>
      </c>
      <c r="B687" s="242" t="s">
        <v>1631</v>
      </c>
      <c r="C687" s="243" t="s">
        <v>1632</v>
      </c>
      <c r="D687" s="243" t="s">
        <v>1633</v>
      </c>
      <c r="E687" s="243"/>
      <c r="F687" s="244" t="s">
        <v>43</v>
      </c>
      <c r="G687" s="275" t="s">
        <v>362</v>
      </c>
      <c r="H687" s="276" t="s">
        <v>66</v>
      </c>
      <c r="I687" s="243" t="s">
        <v>1210</v>
      </c>
      <c r="J687" s="243" t="s">
        <v>1179</v>
      </c>
      <c r="K687" s="247" t="s">
        <v>1180</v>
      </c>
    </row>
    <row r="688" spans="1:11" ht="12.75" customHeight="1" x14ac:dyDescent="0.35">
      <c r="A688" s="241">
        <v>27134</v>
      </c>
      <c r="B688" s="242" t="s">
        <v>2396</v>
      </c>
      <c r="C688" s="243" t="s">
        <v>1975</v>
      </c>
      <c r="D688" s="243" t="s">
        <v>82</v>
      </c>
      <c r="E688" s="243"/>
      <c r="F688" s="244" t="s">
        <v>43</v>
      </c>
      <c r="G688" s="275" t="s">
        <v>44</v>
      </c>
      <c r="H688" s="276" t="s">
        <v>180</v>
      </c>
      <c r="I688" s="243" t="s">
        <v>1210</v>
      </c>
      <c r="J688" s="243" t="s">
        <v>1179</v>
      </c>
      <c r="K688" s="247" t="s">
        <v>1180</v>
      </c>
    </row>
    <row r="689" spans="1:11" ht="12.75" customHeight="1" x14ac:dyDescent="0.35">
      <c r="A689" s="241">
        <v>38648</v>
      </c>
      <c r="B689" s="242" t="s">
        <v>933</v>
      </c>
      <c r="C689" s="243" t="s">
        <v>713</v>
      </c>
      <c r="D689" s="243" t="s">
        <v>934</v>
      </c>
      <c r="E689" s="243"/>
      <c r="F689" s="244" t="s">
        <v>43</v>
      </c>
      <c r="G689" s="275" t="s">
        <v>44</v>
      </c>
      <c r="H689" s="276" t="s">
        <v>180</v>
      </c>
      <c r="I689" s="243" t="s">
        <v>1210</v>
      </c>
      <c r="J689" s="243" t="s">
        <v>1179</v>
      </c>
      <c r="K689" s="247" t="s">
        <v>1180</v>
      </c>
    </row>
    <row r="690" spans="1:11" ht="12.75" customHeight="1" x14ac:dyDescent="0.35">
      <c r="A690" s="241">
        <v>25839</v>
      </c>
      <c r="B690" s="242" t="s">
        <v>2397</v>
      </c>
      <c r="C690" s="249" t="s">
        <v>1233</v>
      </c>
      <c r="D690" s="249" t="s">
        <v>65</v>
      </c>
      <c r="E690" s="249" t="s">
        <v>2368</v>
      </c>
      <c r="F690" s="244" t="s">
        <v>43</v>
      </c>
      <c r="G690" s="275" t="s">
        <v>52</v>
      </c>
      <c r="H690" s="276" t="s">
        <v>45</v>
      </c>
      <c r="I690" s="249" t="s">
        <v>1210</v>
      </c>
      <c r="J690" s="249" t="s">
        <v>1179</v>
      </c>
      <c r="K690" s="247" t="s">
        <v>1180</v>
      </c>
    </row>
    <row r="691" spans="1:11" ht="12.75" customHeight="1" x14ac:dyDescent="0.35">
      <c r="A691" s="241">
        <v>25778</v>
      </c>
      <c r="B691" s="242" t="s">
        <v>2510</v>
      </c>
      <c r="C691" s="243" t="s">
        <v>1698</v>
      </c>
      <c r="D691" s="243" t="s">
        <v>107</v>
      </c>
      <c r="E691" s="243"/>
      <c r="F691" s="244" t="s">
        <v>43</v>
      </c>
      <c r="G691" s="275" t="s">
        <v>67</v>
      </c>
      <c r="H691" s="276" t="s">
        <v>66</v>
      </c>
      <c r="I691" s="243" t="s">
        <v>1210</v>
      </c>
      <c r="J691" s="243" t="s">
        <v>1179</v>
      </c>
      <c r="K691" s="247" t="s">
        <v>1180</v>
      </c>
    </row>
    <row r="692" spans="1:11" ht="12.75" customHeight="1" x14ac:dyDescent="0.35">
      <c r="A692" s="241">
        <v>7489</v>
      </c>
      <c r="B692" s="242" t="s">
        <v>1407</v>
      </c>
      <c r="C692" s="249" t="s">
        <v>399</v>
      </c>
      <c r="D692" s="249" t="s">
        <v>99</v>
      </c>
      <c r="E692" s="249" t="s">
        <v>2368</v>
      </c>
      <c r="F692" s="244" t="s">
        <v>43</v>
      </c>
      <c r="G692" s="275" t="s">
        <v>67</v>
      </c>
      <c r="H692" s="276" t="s">
        <v>180</v>
      </c>
      <c r="I692" s="249" t="s">
        <v>1210</v>
      </c>
      <c r="J692" s="249" t="s">
        <v>1179</v>
      </c>
      <c r="K692" s="247" t="s">
        <v>1180</v>
      </c>
    </row>
    <row r="693" spans="1:11" ht="12.75" customHeight="1" x14ac:dyDescent="0.35">
      <c r="A693" s="241">
        <v>38769</v>
      </c>
      <c r="B693" s="242" t="s">
        <v>2016</v>
      </c>
      <c r="C693" s="243" t="s">
        <v>2017</v>
      </c>
      <c r="D693" s="243" t="s">
        <v>263</v>
      </c>
      <c r="E693" s="243"/>
      <c r="F693" s="244" t="s">
        <v>43</v>
      </c>
      <c r="G693" s="275" t="s">
        <v>94</v>
      </c>
      <c r="H693" s="276" t="s">
        <v>45</v>
      </c>
      <c r="I693" s="243" t="s">
        <v>1210</v>
      </c>
      <c r="J693" s="243" t="s">
        <v>1179</v>
      </c>
      <c r="K693" s="247" t="s">
        <v>1180</v>
      </c>
    </row>
    <row r="694" spans="1:11" ht="12.75" customHeight="1" x14ac:dyDescent="0.35">
      <c r="A694" s="241">
        <v>38785</v>
      </c>
      <c r="B694" s="242" t="s">
        <v>2198</v>
      </c>
      <c r="C694" s="243" t="s">
        <v>1234</v>
      </c>
      <c r="D694" s="243" t="s">
        <v>2199</v>
      </c>
      <c r="E694" s="243"/>
      <c r="F694" s="244" t="s">
        <v>49</v>
      </c>
      <c r="G694" s="275" t="s">
        <v>775</v>
      </c>
      <c r="H694" s="276" t="s">
        <v>104</v>
      </c>
      <c r="I694" s="243" t="s">
        <v>1210</v>
      </c>
      <c r="J694" s="243" t="s">
        <v>1179</v>
      </c>
      <c r="K694" s="247" t="s">
        <v>1180</v>
      </c>
    </row>
    <row r="695" spans="1:11" ht="12.75" customHeight="1" x14ac:dyDescent="0.35">
      <c r="A695" s="241">
        <v>7442</v>
      </c>
      <c r="B695" s="242" t="s">
        <v>1977</v>
      </c>
      <c r="C695" s="243" t="s">
        <v>1234</v>
      </c>
      <c r="D695" s="243" t="s">
        <v>1978</v>
      </c>
      <c r="E695" s="243"/>
      <c r="F695" s="244" t="s">
        <v>49</v>
      </c>
      <c r="G695" s="275" t="s">
        <v>79</v>
      </c>
      <c r="H695" s="276" t="s">
        <v>45</v>
      </c>
      <c r="I695" s="243" t="s">
        <v>1210</v>
      </c>
      <c r="J695" s="243" t="s">
        <v>1179</v>
      </c>
      <c r="K695" s="247" t="s">
        <v>1180</v>
      </c>
    </row>
    <row r="696" spans="1:11" ht="12.75" customHeight="1" x14ac:dyDescent="0.35">
      <c r="A696" s="241">
        <v>7653</v>
      </c>
      <c r="B696" s="242">
        <v>9099125</v>
      </c>
      <c r="C696" s="243" t="s">
        <v>1234</v>
      </c>
      <c r="D696" s="243" t="s">
        <v>493</v>
      </c>
      <c r="E696" s="243"/>
      <c r="F696" s="244" t="s">
        <v>43</v>
      </c>
      <c r="G696" s="275" t="s">
        <v>44</v>
      </c>
      <c r="H696" s="276" t="s">
        <v>239</v>
      </c>
      <c r="I696" s="243" t="s">
        <v>1210</v>
      </c>
      <c r="J696" s="243" t="s">
        <v>1179</v>
      </c>
      <c r="K696" s="247" t="s">
        <v>1180</v>
      </c>
    </row>
    <row r="697" spans="1:11" ht="12.75" customHeight="1" x14ac:dyDescent="0.35">
      <c r="A697" s="241">
        <v>38659</v>
      </c>
      <c r="B697" s="242" t="s">
        <v>1674</v>
      </c>
      <c r="C697" s="243" t="s">
        <v>1675</v>
      </c>
      <c r="D697" s="243" t="s">
        <v>542</v>
      </c>
      <c r="E697" s="243"/>
      <c r="F697" s="244" t="s">
        <v>43</v>
      </c>
      <c r="G697" s="275" t="s">
        <v>362</v>
      </c>
      <c r="H697" s="276" t="s">
        <v>180</v>
      </c>
      <c r="I697" s="243" t="s">
        <v>1210</v>
      </c>
      <c r="J697" s="243" t="s">
        <v>1179</v>
      </c>
      <c r="K697" s="247" t="s">
        <v>1180</v>
      </c>
    </row>
    <row r="698" spans="1:11" ht="12.75" customHeight="1" x14ac:dyDescent="0.35">
      <c r="A698" s="241">
        <v>38660</v>
      </c>
      <c r="B698" s="242" t="s">
        <v>1676</v>
      </c>
      <c r="C698" s="243" t="s">
        <v>1675</v>
      </c>
      <c r="D698" s="243" t="s">
        <v>1677</v>
      </c>
      <c r="E698" s="243"/>
      <c r="F698" s="244" t="s">
        <v>43</v>
      </c>
      <c r="G698" s="275" t="s">
        <v>362</v>
      </c>
      <c r="H698" s="276" t="s">
        <v>180</v>
      </c>
      <c r="I698" s="243" t="s">
        <v>1210</v>
      </c>
      <c r="J698" s="243" t="s">
        <v>1179</v>
      </c>
      <c r="K698" s="247" t="s">
        <v>1180</v>
      </c>
    </row>
    <row r="699" spans="1:11" ht="12.75" customHeight="1" x14ac:dyDescent="0.35">
      <c r="A699" s="241">
        <v>38830</v>
      </c>
      <c r="B699" s="242" t="s">
        <v>2200</v>
      </c>
      <c r="C699" s="243" t="s">
        <v>2201</v>
      </c>
      <c r="D699" s="243" t="s">
        <v>1063</v>
      </c>
      <c r="E699" s="243"/>
      <c r="F699" s="244" t="s">
        <v>43</v>
      </c>
      <c r="G699" s="275" t="s">
        <v>44</v>
      </c>
      <c r="H699" s="276" t="s">
        <v>45</v>
      </c>
      <c r="I699" s="243" t="s">
        <v>1210</v>
      </c>
      <c r="J699" s="243" t="s">
        <v>1179</v>
      </c>
      <c r="K699" s="247" t="s">
        <v>1180</v>
      </c>
    </row>
    <row r="700" spans="1:11" ht="12.75" customHeight="1" x14ac:dyDescent="0.35">
      <c r="A700" s="241">
        <v>24496</v>
      </c>
      <c r="B700" s="242" t="s">
        <v>2202</v>
      </c>
      <c r="C700" s="243" t="s">
        <v>2203</v>
      </c>
      <c r="D700" s="243" t="s">
        <v>634</v>
      </c>
      <c r="E700" s="243"/>
      <c r="F700" s="244" t="s">
        <v>43</v>
      </c>
      <c r="G700" s="275" t="s">
        <v>44</v>
      </c>
      <c r="H700" s="276" t="s">
        <v>180</v>
      </c>
      <c r="I700" s="243" t="s">
        <v>1210</v>
      </c>
      <c r="J700" s="243" t="s">
        <v>1179</v>
      </c>
      <c r="K700" s="247" t="s">
        <v>1180</v>
      </c>
    </row>
    <row r="701" spans="1:11" ht="12.75" customHeight="1" x14ac:dyDescent="0.35">
      <c r="A701" s="241">
        <v>7428</v>
      </c>
      <c r="B701" s="242" t="s">
        <v>1699</v>
      </c>
      <c r="C701" s="243" t="s">
        <v>1700</v>
      </c>
      <c r="D701" s="243" t="s">
        <v>107</v>
      </c>
      <c r="E701" s="243"/>
      <c r="F701" s="244" t="s">
        <v>43</v>
      </c>
      <c r="G701" s="245" t="s">
        <v>44</v>
      </c>
      <c r="H701" s="246">
        <v>0</v>
      </c>
      <c r="I701" s="249" t="s">
        <v>1210</v>
      </c>
      <c r="J701" s="249" t="s">
        <v>1179</v>
      </c>
      <c r="K701" s="247" t="s">
        <v>1180</v>
      </c>
    </row>
    <row r="702" spans="1:11" ht="12.75" customHeight="1" x14ac:dyDescent="0.35">
      <c r="A702" s="241">
        <v>7602</v>
      </c>
      <c r="B702" s="242" t="s">
        <v>2398</v>
      </c>
      <c r="C702" s="243" t="s">
        <v>1238</v>
      </c>
      <c r="D702" s="243" t="s">
        <v>405</v>
      </c>
      <c r="E702" s="243"/>
      <c r="F702" s="244" t="s">
        <v>43</v>
      </c>
      <c r="G702" s="275" t="s">
        <v>44</v>
      </c>
      <c r="H702" s="276"/>
      <c r="I702" s="243" t="s">
        <v>1210</v>
      </c>
      <c r="J702" s="243" t="s">
        <v>1179</v>
      </c>
      <c r="K702" s="247" t="s">
        <v>1180</v>
      </c>
    </row>
    <row r="703" spans="1:11" ht="12.75" customHeight="1" x14ac:dyDescent="0.35">
      <c r="A703" s="241">
        <v>38801</v>
      </c>
      <c r="B703" s="242" t="s">
        <v>2229</v>
      </c>
      <c r="C703" s="249" t="s">
        <v>2230</v>
      </c>
      <c r="D703" s="249" t="s">
        <v>1114</v>
      </c>
      <c r="E703" s="249" t="s">
        <v>2368</v>
      </c>
      <c r="F703" s="244" t="s">
        <v>49</v>
      </c>
      <c r="G703" s="275" t="s">
        <v>139</v>
      </c>
      <c r="H703" s="276" t="s">
        <v>45</v>
      </c>
      <c r="I703" s="249" t="s">
        <v>1210</v>
      </c>
      <c r="J703" s="249" t="s">
        <v>1179</v>
      </c>
      <c r="K703" s="247" t="s">
        <v>1180</v>
      </c>
    </row>
    <row r="704" spans="1:11" ht="12.75" customHeight="1" x14ac:dyDescent="0.35">
      <c r="A704" s="241">
        <v>41008</v>
      </c>
      <c r="B704" s="242" t="s">
        <v>2511</v>
      </c>
      <c r="C704" s="243" t="s">
        <v>2512</v>
      </c>
      <c r="D704" s="243" t="s">
        <v>284</v>
      </c>
      <c r="E704" s="243"/>
      <c r="F704" s="244" t="s">
        <v>43</v>
      </c>
      <c r="G704" s="245" t="s">
        <v>44</v>
      </c>
      <c r="H704" s="246" t="s">
        <v>66</v>
      </c>
      <c r="I704" s="243" t="s">
        <v>1210</v>
      </c>
      <c r="J704" s="243" t="s">
        <v>1179</v>
      </c>
      <c r="K704" s="247" t="s">
        <v>1180</v>
      </c>
    </row>
    <row r="705" spans="1:17" ht="12.75" customHeight="1" x14ac:dyDescent="0.35">
      <c r="A705" s="241">
        <v>7264</v>
      </c>
      <c r="B705" s="242" t="s">
        <v>1239</v>
      </c>
      <c r="C705" s="243" t="s">
        <v>1240</v>
      </c>
      <c r="D705" s="243" t="s">
        <v>769</v>
      </c>
      <c r="E705" s="243"/>
      <c r="F705" s="244" t="s">
        <v>43</v>
      </c>
      <c r="G705" s="275" t="s">
        <v>44</v>
      </c>
      <c r="H705" s="276" t="s">
        <v>180</v>
      </c>
      <c r="I705" s="243" t="s">
        <v>1210</v>
      </c>
      <c r="J705" s="243" t="s">
        <v>1179</v>
      </c>
      <c r="K705" s="247" t="s">
        <v>1180</v>
      </c>
    </row>
    <row r="706" spans="1:17" ht="12.75" customHeight="1" x14ac:dyDescent="0.35">
      <c r="A706" s="241">
        <v>38312</v>
      </c>
      <c r="B706" s="242" t="s">
        <v>1241</v>
      </c>
      <c r="C706" s="243" t="s">
        <v>1242</v>
      </c>
      <c r="D706" s="243" t="s">
        <v>1243</v>
      </c>
      <c r="E706" s="243"/>
      <c r="F706" s="244" t="s">
        <v>43</v>
      </c>
      <c r="G706" s="245" t="s">
        <v>44</v>
      </c>
      <c r="H706" s="246">
        <v>0</v>
      </c>
      <c r="I706" s="243" t="s">
        <v>1210</v>
      </c>
      <c r="J706" s="243" t="s">
        <v>1179</v>
      </c>
      <c r="K706" s="247" t="s">
        <v>1180</v>
      </c>
    </row>
    <row r="707" spans="1:17" ht="12.75" customHeight="1" x14ac:dyDescent="0.35">
      <c r="A707" s="241">
        <v>38634</v>
      </c>
      <c r="B707" s="242" t="s">
        <v>1408</v>
      </c>
      <c r="C707" s="249" t="s">
        <v>1409</v>
      </c>
      <c r="D707" s="249" t="s">
        <v>1410</v>
      </c>
      <c r="E707" s="249" t="s">
        <v>2368</v>
      </c>
      <c r="F707" s="244" t="s">
        <v>49</v>
      </c>
      <c r="G707" s="275" t="s">
        <v>79</v>
      </c>
      <c r="H707" s="276" t="s">
        <v>45</v>
      </c>
      <c r="I707" s="249" t="s">
        <v>1210</v>
      </c>
      <c r="J707" s="249" t="s">
        <v>1179</v>
      </c>
      <c r="K707" s="247" t="s">
        <v>1180</v>
      </c>
    </row>
    <row r="708" spans="1:17" ht="12.75" customHeight="1" x14ac:dyDescent="0.35">
      <c r="A708" s="241">
        <v>38846</v>
      </c>
      <c r="B708" s="242" t="s">
        <v>2204</v>
      </c>
      <c r="C708" s="243" t="s">
        <v>2205</v>
      </c>
      <c r="D708" s="243" t="s">
        <v>1454</v>
      </c>
      <c r="E708" s="243"/>
      <c r="F708" s="244" t="s">
        <v>43</v>
      </c>
      <c r="G708" s="275" t="s">
        <v>89</v>
      </c>
      <c r="H708" s="276" t="s">
        <v>51</v>
      </c>
      <c r="I708" s="243" t="s">
        <v>1210</v>
      </c>
      <c r="J708" s="243" t="s">
        <v>1179</v>
      </c>
      <c r="K708" s="247" t="s">
        <v>1180</v>
      </c>
      <c r="L708" s="272"/>
      <c r="M708" s="272"/>
      <c r="N708" s="272"/>
      <c r="Q708" s="274"/>
    </row>
    <row r="709" spans="1:17" ht="12.75" customHeight="1" x14ac:dyDescent="0.35">
      <c r="A709" s="241">
        <v>16351</v>
      </c>
      <c r="B709" s="242" t="s">
        <v>1246</v>
      </c>
      <c r="C709" s="243" t="s">
        <v>1247</v>
      </c>
      <c r="D709" s="243" t="s">
        <v>1248</v>
      </c>
      <c r="E709" s="243"/>
      <c r="F709" s="244" t="s">
        <v>43</v>
      </c>
      <c r="G709" s="275" t="s">
        <v>44</v>
      </c>
      <c r="H709" s="276" t="s">
        <v>239</v>
      </c>
      <c r="I709" s="243" t="s">
        <v>1210</v>
      </c>
      <c r="J709" s="243" t="s">
        <v>1179</v>
      </c>
      <c r="K709" s="247" t="s">
        <v>1180</v>
      </c>
    </row>
    <row r="710" spans="1:17" ht="12.75" customHeight="1" x14ac:dyDescent="0.35">
      <c r="A710" s="241">
        <v>38904</v>
      </c>
      <c r="B710" s="242" t="s">
        <v>2513</v>
      </c>
      <c r="C710" s="243" t="s">
        <v>503</v>
      </c>
      <c r="D710" s="243" t="s">
        <v>2514</v>
      </c>
      <c r="E710" s="243"/>
      <c r="F710" s="244" t="s">
        <v>43</v>
      </c>
      <c r="G710" s="245" t="s">
        <v>2061</v>
      </c>
      <c r="H710" s="246">
        <v>0</v>
      </c>
      <c r="I710" s="243" t="s">
        <v>1210</v>
      </c>
      <c r="J710" s="243" t="s">
        <v>1179</v>
      </c>
      <c r="K710" s="247" t="s">
        <v>1180</v>
      </c>
      <c r="L710" s="272"/>
      <c r="M710" s="272"/>
      <c r="N710" s="272"/>
      <c r="Q710" s="274"/>
    </row>
    <row r="711" spans="1:17" ht="12.75" customHeight="1" x14ac:dyDescent="0.35">
      <c r="A711" s="241">
        <v>38613</v>
      </c>
      <c r="B711" s="242" t="s">
        <v>953</v>
      </c>
      <c r="C711" s="243" t="s">
        <v>734</v>
      </c>
      <c r="D711" s="243" t="s">
        <v>954</v>
      </c>
      <c r="E711" s="243"/>
      <c r="F711" s="244" t="s">
        <v>43</v>
      </c>
      <c r="G711" s="275" t="s">
        <v>44</v>
      </c>
      <c r="H711" s="276" t="s">
        <v>66</v>
      </c>
      <c r="I711" s="243" t="s">
        <v>1210</v>
      </c>
      <c r="J711" s="243" t="s">
        <v>1179</v>
      </c>
      <c r="K711" s="247" t="s">
        <v>1180</v>
      </c>
      <c r="L711" s="272"/>
      <c r="M711" s="272"/>
      <c r="N711" s="272"/>
      <c r="Q711" s="274"/>
    </row>
    <row r="712" spans="1:17" ht="12.75" customHeight="1" x14ac:dyDescent="0.35">
      <c r="A712" s="241">
        <v>25325</v>
      </c>
      <c r="B712" s="242" t="s">
        <v>1251</v>
      </c>
      <c r="C712" s="243" t="s">
        <v>1252</v>
      </c>
      <c r="D712" s="243" t="s">
        <v>107</v>
      </c>
      <c r="E712" s="243"/>
      <c r="F712" s="244" t="s">
        <v>43</v>
      </c>
      <c r="G712" s="275" t="s">
        <v>44</v>
      </c>
      <c r="H712" s="276" t="s">
        <v>66</v>
      </c>
      <c r="I712" s="243" t="s">
        <v>1210</v>
      </c>
      <c r="J712" s="243" t="s">
        <v>1179</v>
      </c>
      <c r="K712" s="247" t="s">
        <v>1180</v>
      </c>
    </row>
    <row r="713" spans="1:17" ht="12.75" customHeight="1" x14ac:dyDescent="0.35">
      <c r="A713" s="241">
        <v>25849</v>
      </c>
      <c r="B713" s="242" t="s">
        <v>1253</v>
      </c>
      <c r="C713" s="243" t="s">
        <v>1254</v>
      </c>
      <c r="D713" s="243" t="s">
        <v>125</v>
      </c>
      <c r="E713" s="243"/>
      <c r="F713" s="244" t="s">
        <v>43</v>
      </c>
      <c r="G713" s="275" t="s">
        <v>94</v>
      </c>
      <c r="H713" s="276" t="s">
        <v>180</v>
      </c>
      <c r="I713" s="243" t="s">
        <v>1210</v>
      </c>
      <c r="J713" s="243" t="s">
        <v>1179</v>
      </c>
      <c r="K713" s="247" t="s">
        <v>1180</v>
      </c>
    </row>
    <row r="714" spans="1:17" ht="12.75" customHeight="1" x14ac:dyDescent="0.35">
      <c r="A714" s="241">
        <v>7028</v>
      </c>
      <c r="B714" s="242" t="s">
        <v>1256</v>
      </c>
      <c r="C714" s="243" t="s">
        <v>1254</v>
      </c>
      <c r="D714" s="243" t="s">
        <v>143</v>
      </c>
      <c r="E714" s="243"/>
      <c r="F714" s="244" t="s">
        <v>43</v>
      </c>
      <c r="G714" s="275" t="s">
        <v>67</v>
      </c>
      <c r="H714" s="276" t="s">
        <v>45</v>
      </c>
      <c r="I714" s="243" t="s">
        <v>1210</v>
      </c>
      <c r="J714" s="243" t="s">
        <v>1179</v>
      </c>
      <c r="K714" s="247" t="s">
        <v>1180</v>
      </c>
    </row>
    <row r="715" spans="1:17" ht="12.75" customHeight="1" x14ac:dyDescent="0.35">
      <c r="A715" s="241">
        <v>25695</v>
      </c>
      <c r="B715" s="242" t="s">
        <v>1257</v>
      </c>
      <c r="C715" s="249" t="s">
        <v>1254</v>
      </c>
      <c r="D715" s="249" t="s">
        <v>132</v>
      </c>
      <c r="E715" s="249" t="s">
        <v>2368</v>
      </c>
      <c r="F715" s="244" t="s">
        <v>43</v>
      </c>
      <c r="G715" s="275" t="s">
        <v>44</v>
      </c>
      <c r="H715" s="276" t="s">
        <v>45</v>
      </c>
      <c r="I715" s="243" t="s">
        <v>1210</v>
      </c>
      <c r="J715" s="249" t="s">
        <v>1179</v>
      </c>
      <c r="K715" s="247" t="s">
        <v>1180</v>
      </c>
    </row>
    <row r="716" spans="1:17" ht="12.75" customHeight="1" x14ac:dyDescent="0.35">
      <c r="A716" s="241">
        <v>7009</v>
      </c>
      <c r="B716" s="242" t="s">
        <v>1258</v>
      </c>
      <c r="C716" s="243" t="s">
        <v>1259</v>
      </c>
      <c r="D716" s="243" t="s">
        <v>61</v>
      </c>
      <c r="E716" s="243"/>
      <c r="F716" s="244" t="s">
        <v>43</v>
      </c>
      <c r="G716" s="275" t="s">
        <v>44</v>
      </c>
      <c r="H716" s="276" t="s">
        <v>66</v>
      </c>
      <c r="I716" s="243" t="s">
        <v>1210</v>
      </c>
      <c r="J716" s="243" t="s">
        <v>1179</v>
      </c>
      <c r="K716" s="247" t="s">
        <v>1180</v>
      </c>
    </row>
    <row r="717" spans="1:17" ht="12.75" customHeight="1" x14ac:dyDescent="0.35">
      <c r="A717" s="241">
        <v>38787</v>
      </c>
      <c r="B717" s="242" t="s">
        <v>2515</v>
      </c>
      <c r="C717" s="243" t="s">
        <v>2516</v>
      </c>
      <c r="D717" s="243" t="s">
        <v>195</v>
      </c>
      <c r="E717" s="243"/>
      <c r="F717" s="244" t="s">
        <v>43</v>
      </c>
      <c r="G717" s="245" t="s">
        <v>44</v>
      </c>
      <c r="H717" s="246">
        <v>0</v>
      </c>
      <c r="I717" s="243" t="s">
        <v>1210</v>
      </c>
      <c r="J717" s="243" t="s">
        <v>1179</v>
      </c>
      <c r="K717" s="247" t="s">
        <v>1180</v>
      </c>
    </row>
    <row r="718" spans="1:17" ht="12.75" customHeight="1" x14ac:dyDescent="0.35">
      <c r="A718" s="241">
        <v>7087</v>
      </c>
      <c r="B718" s="242" t="s">
        <v>2517</v>
      </c>
      <c r="C718" s="243" t="s">
        <v>912</v>
      </c>
      <c r="D718" s="243" t="s">
        <v>1260</v>
      </c>
      <c r="E718" s="243"/>
      <c r="F718" s="244" t="s">
        <v>49</v>
      </c>
      <c r="G718" s="275" t="s">
        <v>50</v>
      </c>
      <c r="H718" s="276" t="s">
        <v>180</v>
      </c>
      <c r="I718" s="243" t="s">
        <v>1261</v>
      </c>
      <c r="J718" s="243" t="s">
        <v>1179</v>
      </c>
      <c r="K718" s="247" t="s">
        <v>1180</v>
      </c>
    </row>
    <row r="719" spans="1:17" ht="12.75" customHeight="1" x14ac:dyDescent="0.35">
      <c r="A719" s="241">
        <v>7431</v>
      </c>
      <c r="B719" s="242" t="s">
        <v>1262</v>
      </c>
      <c r="C719" s="243" t="s">
        <v>1214</v>
      </c>
      <c r="D719" s="243" t="s">
        <v>938</v>
      </c>
      <c r="E719" s="243"/>
      <c r="F719" s="244" t="s">
        <v>49</v>
      </c>
      <c r="G719" s="275" t="s">
        <v>139</v>
      </c>
      <c r="H719" s="276" t="s">
        <v>66</v>
      </c>
      <c r="I719" s="243" t="s">
        <v>1261</v>
      </c>
      <c r="J719" s="243" t="s">
        <v>1179</v>
      </c>
      <c r="K719" s="247" t="s">
        <v>1180</v>
      </c>
    </row>
    <row r="720" spans="1:17" ht="12.75" customHeight="1" x14ac:dyDescent="0.35">
      <c r="A720" s="241">
        <v>16414</v>
      </c>
      <c r="B720" s="242" t="s">
        <v>2282</v>
      </c>
      <c r="C720" s="249" t="s">
        <v>1263</v>
      </c>
      <c r="D720" s="249" t="s">
        <v>1264</v>
      </c>
      <c r="E720" s="249" t="s">
        <v>2368</v>
      </c>
      <c r="F720" s="244" t="s">
        <v>49</v>
      </c>
      <c r="G720" s="275" t="s">
        <v>139</v>
      </c>
      <c r="H720" s="276" t="s">
        <v>66</v>
      </c>
      <c r="I720" s="249" t="s">
        <v>1261</v>
      </c>
      <c r="J720" s="249" t="s">
        <v>1179</v>
      </c>
      <c r="K720" s="247" t="s">
        <v>1180</v>
      </c>
    </row>
    <row r="721" spans="1:17" ht="12.75" customHeight="1" x14ac:dyDescent="0.35">
      <c r="A721" s="241">
        <v>16713</v>
      </c>
      <c r="B721" s="242" t="s">
        <v>1265</v>
      </c>
      <c r="C721" s="249" t="s">
        <v>1266</v>
      </c>
      <c r="D721" s="249" t="s">
        <v>148</v>
      </c>
      <c r="E721" s="249" t="s">
        <v>2368</v>
      </c>
      <c r="F721" s="244" t="s">
        <v>49</v>
      </c>
      <c r="G721" s="275" t="s">
        <v>50</v>
      </c>
      <c r="H721" s="276" t="s">
        <v>45</v>
      </c>
      <c r="I721" s="249" t="s">
        <v>1261</v>
      </c>
      <c r="J721" s="249" t="s">
        <v>1179</v>
      </c>
      <c r="K721" s="247" t="s">
        <v>1180</v>
      </c>
    </row>
    <row r="722" spans="1:17" ht="12.75" customHeight="1" x14ac:dyDescent="0.35">
      <c r="A722" s="241">
        <v>7541</v>
      </c>
      <c r="B722" s="242" t="s">
        <v>1267</v>
      </c>
      <c r="C722" s="249" t="s">
        <v>1268</v>
      </c>
      <c r="D722" s="249" t="s">
        <v>1269</v>
      </c>
      <c r="E722" s="249" t="s">
        <v>2368</v>
      </c>
      <c r="F722" s="244" t="s">
        <v>49</v>
      </c>
      <c r="G722" s="275" t="s">
        <v>228</v>
      </c>
      <c r="H722" s="276"/>
      <c r="I722" s="249" t="s">
        <v>1261</v>
      </c>
      <c r="J722" s="249" t="s">
        <v>1179</v>
      </c>
      <c r="K722" s="247" t="s">
        <v>1180</v>
      </c>
      <c r="L722" s="272"/>
      <c r="M722" s="272"/>
      <c r="N722" s="272"/>
      <c r="Q722" s="274"/>
    </row>
    <row r="723" spans="1:17" ht="12.75" customHeight="1" x14ac:dyDescent="0.35">
      <c r="A723" s="241">
        <v>7167</v>
      </c>
      <c r="B723" s="242" t="s">
        <v>1270</v>
      </c>
      <c r="C723" s="243" t="s">
        <v>1271</v>
      </c>
      <c r="D723" s="243" t="s">
        <v>1272</v>
      </c>
      <c r="E723" s="243"/>
      <c r="F723" s="244" t="s">
        <v>49</v>
      </c>
      <c r="G723" s="275" t="s">
        <v>139</v>
      </c>
      <c r="H723" s="276" t="s">
        <v>180</v>
      </c>
      <c r="I723" s="243" t="s">
        <v>1261</v>
      </c>
      <c r="J723" s="243" t="s">
        <v>1179</v>
      </c>
      <c r="K723" s="247" t="s">
        <v>1180</v>
      </c>
    </row>
    <row r="724" spans="1:17" ht="12.75" customHeight="1" x14ac:dyDescent="0.35">
      <c r="A724" s="241">
        <v>7546</v>
      </c>
      <c r="B724" s="242" t="s">
        <v>2518</v>
      </c>
      <c r="C724" s="243" t="s">
        <v>1275</v>
      </c>
      <c r="D724" s="243" t="s">
        <v>1276</v>
      </c>
      <c r="E724" s="243"/>
      <c r="F724" s="244" t="s">
        <v>49</v>
      </c>
      <c r="G724" s="275" t="s">
        <v>228</v>
      </c>
      <c r="H724" s="276" t="s">
        <v>66</v>
      </c>
      <c r="I724" s="243" t="s">
        <v>1261</v>
      </c>
      <c r="J724" s="243" t="s">
        <v>1179</v>
      </c>
      <c r="K724" s="247" t="s">
        <v>1180</v>
      </c>
    </row>
    <row r="725" spans="1:17" ht="12.75" customHeight="1" x14ac:dyDescent="0.35">
      <c r="A725" s="241">
        <v>16953</v>
      </c>
      <c r="B725" s="242" t="s">
        <v>1277</v>
      </c>
      <c r="C725" s="249" t="s">
        <v>1278</v>
      </c>
      <c r="D725" s="249" t="s">
        <v>1255</v>
      </c>
      <c r="E725" s="249" t="s">
        <v>2368</v>
      </c>
      <c r="F725" s="244" t="s">
        <v>49</v>
      </c>
      <c r="G725" s="275" t="s">
        <v>79</v>
      </c>
      <c r="H725" s="276" t="s">
        <v>45</v>
      </c>
      <c r="I725" s="249" t="s">
        <v>1261</v>
      </c>
      <c r="J725" s="249" t="s">
        <v>1179</v>
      </c>
      <c r="K725" s="247" t="s">
        <v>1180</v>
      </c>
    </row>
    <row r="726" spans="1:17" ht="12.75" customHeight="1" x14ac:dyDescent="0.35">
      <c r="A726" s="241">
        <v>21185</v>
      </c>
      <c r="B726" s="242" t="s">
        <v>2519</v>
      </c>
      <c r="C726" s="243" t="s">
        <v>2512</v>
      </c>
      <c r="D726" s="243" t="s">
        <v>230</v>
      </c>
      <c r="E726" s="243"/>
      <c r="F726" s="244" t="s">
        <v>49</v>
      </c>
      <c r="G726" s="252" t="s">
        <v>50</v>
      </c>
      <c r="H726" s="246" t="s">
        <v>45</v>
      </c>
      <c r="I726" s="243" t="s">
        <v>1261</v>
      </c>
      <c r="J726" s="243" t="s">
        <v>1179</v>
      </c>
      <c r="K726" s="247" t="s">
        <v>1180</v>
      </c>
    </row>
    <row r="727" spans="1:17" ht="12.75" customHeight="1" x14ac:dyDescent="0.35">
      <c r="A727" s="241">
        <v>7551</v>
      </c>
      <c r="B727" s="242" t="s">
        <v>2520</v>
      </c>
      <c r="C727" s="243" t="s">
        <v>1283</v>
      </c>
      <c r="D727" s="243" t="s">
        <v>320</v>
      </c>
      <c r="E727" s="243"/>
      <c r="F727" s="244" t="s">
        <v>49</v>
      </c>
      <c r="G727" s="275" t="s">
        <v>50</v>
      </c>
      <c r="H727" s="276" t="s">
        <v>66</v>
      </c>
      <c r="I727" s="243" t="s">
        <v>1261</v>
      </c>
      <c r="J727" s="243" t="s">
        <v>1179</v>
      </c>
      <c r="K727" s="247" t="s">
        <v>1180</v>
      </c>
    </row>
    <row r="728" spans="1:17" ht="12.75" customHeight="1" x14ac:dyDescent="0.35">
      <c r="A728" s="241">
        <v>16096</v>
      </c>
      <c r="B728" s="242">
        <v>9109358</v>
      </c>
      <c r="C728" s="243" t="s">
        <v>1286</v>
      </c>
      <c r="D728" s="243" t="s">
        <v>584</v>
      </c>
      <c r="E728" s="243"/>
      <c r="F728" s="244" t="s">
        <v>43</v>
      </c>
      <c r="G728" s="275" t="s">
        <v>58</v>
      </c>
      <c r="H728" s="276" t="s">
        <v>45</v>
      </c>
      <c r="I728" s="243" t="s">
        <v>1287</v>
      </c>
      <c r="J728" s="243" t="s">
        <v>17</v>
      </c>
      <c r="K728" s="247" t="s">
        <v>13</v>
      </c>
    </row>
    <row r="729" spans="1:17" ht="12.75" customHeight="1" x14ac:dyDescent="0.35">
      <c r="A729" s="241">
        <v>16099</v>
      </c>
      <c r="B729" s="242" t="s">
        <v>1288</v>
      </c>
      <c r="C729" s="243" t="s">
        <v>1289</v>
      </c>
      <c r="D729" s="243" t="s">
        <v>80</v>
      </c>
      <c r="E729" s="243"/>
      <c r="F729" s="244" t="s">
        <v>43</v>
      </c>
      <c r="G729" s="275" t="s">
        <v>44</v>
      </c>
      <c r="H729" s="276" t="s">
        <v>180</v>
      </c>
      <c r="I729" s="243" t="s">
        <v>1287</v>
      </c>
      <c r="J729" s="243" t="s">
        <v>17</v>
      </c>
      <c r="K729" s="247" t="s">
        <v>13</v>
      </c>
    </row>
    <row r="730" spans="1:17" ht="12.75" customHeight="1" x14ac:dyDescent="0.35">
      <c r="A730" s="241">
        <v>16094</v>
      </c>
      <c r="B730" s="242">
        <v>9109449</v>
      </c>
      <c r="C730" s="243" t="s">
        <v>1290</v>
      </c>
      <c r="D730" s="243" t="s">
        <v>143</v>
      </c>
      <c r="E730" s="243"/>
      <c r="F730" s="244" t="s">
        <v>43</v>
      </c>
      <c r="G730" s="275" t="s">
        <v>58</v>
      </c>
      <c r="H730" s="276" t="s">
        <v>66</v>
      </c>
      <c r="I730" s="243" t="s">
        <v>1287</v>
      </c>
      <c r="J730" s="243" t="s">
        <v>17</v>
      </c>
      <c r="K730" s="247" t="s">
        <v>13</v>
      </c>
    </row>
    <row r="731" spans="1:17" ht="12.75" customHeight="1" x14ac:dyDescent="0.35">
      <c r="A731" s="241">
        <v>16095</v>
      </c>
      <c r="B731" s="242">
        <v>9109450</v>
      </c>
      <c r="C731" s="243" t="s">
        <v>1290</v>
      </c>
      <c r="D731" s="243" t="s">
        <v>120</v>
      </c>
      <c r="E731" s="243"/>
      <c r="F731" s="244" t="s">
        <v>43</v>
      </c>
      <c r="G731" s="275" t="s">
        <v>58</v>
      </c>
      <c r="H731" s="276" t="s">
        <v>45</v>
      </c>
      <c r="I731" s="243" t="s">
        <v>1287</v>
      </c>
      <c r="J731" s="243" t="s">
        <v>17</v>
      </c>
      <c r="K731" s="247" t="s">
        <v>13</v>
      </c>
    </row>
    <row r="732" spans="1:17" ht="12.75" customHeight="1" x14ac:dyDescent="0.35">
      <c r="A732" s="241">
        <v>16084</v>
      </c>
      <c r="B732" s="242" t="s">
        <v>1291</v>
      </c>
      <c r="C732" s="243" t="s">
        <v>1292</v>
      </c>
      <c r="D732" s="243" t="s">
        <v>767</v>
      </c>
      <c r="E732" s="243"/>
      <c r="F732" s="244" t="s">
        <v>43</v>
      </c>
      <c r="G732" s="275" t="s">
        <v>44</v>
      </c>
      <c r="H732" s="276"/>
      <c r="I732" s="243" t="s">
        <v>1287</v>
      </c>
      <c r="J732" s="243" t="s">
        <v>17</v>
      </c>
      <c r="K732" s="247" t="s">
        <v>13</v>
      </c>
    </row>
    <row r="733" spans="1:17" ht="12.75" customHeight="1" x14ac:dyDescent="0.35">
      <c r="A733" s="241">
        <v>16105</v>
      </c>
      <c r="B733" s="242" t="s">
        <v>2283</v>
      </c>
      <c r="C733" s="243" t="s">
        <v>1018</v>
      </c>
      <c r="D733" s="243" t="s">
        <v>286</v>
      </c>
      <c r="E733" s="243"/>
      <c r="F733" s="244" t="s">
        <v>43</v>
      </c>
      <c r="G733" s="275" t="s">
        <v>52</v>
      </c>
      <c r="H733" s="276" t="s">
        <v>66</v>
      </c>
      <c r="I733" s="243" t="s">
        <v>1287</v>
      </c>
      <c r="J733" s="243" t="s">
        <v>17</v>
      </c>
      <c r="K733" s="247" t="s">
        <v>13</v>
      </c>
    </row>
    <row r="734" spans="1:17" ht="12.75" customHeight="1" x14ac:dyDescent="0.35">
      <c r="A734" s="241">
        <v>25788</v>
      </c>
      <c r="B734" s="242">
        <v>9099245</v>
      </c>
      <c r="C734" s="249" t="s">
        <v>745</v>
      </c>
      <c r="D734" s="249" t="s">
        <v>64</v>
      </c>
      <c r="E734" s="249" t="s">
        <v>2368</v>
      </c>
      <c r="F734" s="244" t="s">
        <v>43</v>
      </c>
      <c r="G734" s="275" t="s">
        <v>44</v>
      </c>
      <c r="H734" s="276"/>
      <c r="I734" s="243" t="s">
        <v>1296</v>
      </c>
      <c r="J734" s="243" t="s">
        <v>1297</v>
      </c>
      <c r="K734" s="247" t="s">
        <v>1298</v>
      </c>
    </row>
    <row r="735" spans="1:17" ht="12.75" customHeight="1" x14ac:dyDescent="0.35">
      <c r="A735" s="241">
        <v>38066</v>
      </c>
      <c r="B735" s="242" t="s">
        <v>1293</v>
      </c>
      <c r="C735" s="243" t="s">
        <v>1294</v>
      </c>
      <c r="D735" s="243" t="s">
        <v>1295</v>
      </c>
      <c r="E735" s="243"/>
      <c r="F735" s="244" t="s">
        <v>43</v>
      </c>
      <c r="G735" s="245" t="s">
        <v>44</v>
      </c>
      <c r="H735" s="246">
        <v>0</v>
      </c>
      <c r="I735" s="243" t="s">
        <v>1296</v>
      </c>
      <c r="J735" s="243" t="s">
        <v>1297</v>
      </c>
      <c r="K735" s="247" t="s">
        <v>1298</v>
      </c>
    </row>
    <row r="736" spans="1:17" ht="12.75" customHeight="1" x14ac:dyDescent="0.35">
      <c r="A736" s="241">
        <v>16749</v>
      </c>
      <c r="B736" s="242" t="s">
        <v>1299</v>
      </c>
      <c r="C736" s="243" t="s">
        <v>1300</v>
      </c>
      <c r="D736" s="243" t="s">
        <v>238</v>
      </c>
      <c r="E736" s="243"/>
      <c r="F736" s="244" t="s">
        <v>43</v>
      </c>
      <c r="G736" s="275" t="s">
        <v>44</v>
      </c>
      <c r="H736" s="276" t="s">
        <v>66</v>
      </c>
      <c r="I736" s="243" t="s">
        <v>1296</v>
      </c>
      <c r="J736" s="243" t="s">
        <v>1297</v>
      </c>
      <c r="K736" s="247" t="s">
        <v>1298</v>
      </c>
      <c r="L736" s="272"/>
      <c r="M736" s="272"/>
      <c r="N736" s="272"/>
      <c r="Q736" s="274"/>
    </row>
    <row r="737" spans="1:17" ht="12.75" customHeight="1" x14ac:dyDescent="0.35">
      <c r="A737" s="241">
        <v>38193</v>
      </c>
      <c r="B737" s="242" t="s">
        <v>1301</v>
      </c>
      <c r="C737" s="243" t="s">
        <v>1302</v>
      </c>
      <c r="D737" s="243" t="s">
        <v>1303</v>
      </c>
      <c r="E737" s="243"/>
      <c r="F737" s="244" t="s">
        <v>43</v>
      </c>
      <c r="G737" s="275" t="s">
        <v>44</v>
      </c>
      <c r="H737" s="276"/>
      <c r="I737" s="243" t="s">
        <v>1296</v>
      </c>
      <c r="J737" s="243" t="s">
        <v>1297</v>
      </c>
      <c r="K737" s="247" t="s">
        <v>1298</v>
      </c>
      <c r="L737" s="272"/>
      <c r="M737" s="272"/>
      <c r="N737" s="272"/>
      <c r="Q737" s="274"/>
    </row>
    <row r="738" spans="1:17" ht="12.75" customHeight="1" x14ac:dyDescent="0.35">
      <c r="A738" s="241">
        <v>25649</v>
      </c>
      <c r="B738" s="242" t="s">
        <v>1980</v>
      </c>
      <c r="C738" s="243" t="s">
        <v>913</v>
      </c>
      <c r="D738" s="243" t="s">
        <v>375</v>
      </c>
      <c r="E738" s="243"/>
      <c r="F738" s="244" t="s">
        <v>43</v>
      </c>
      <c r="G738" s="275" t="s">
        <v>44</v>
      </c>
      <c r="H738" s="276" t="s">
        <v>180</v>
      </c>
      <c r="I738" s="243" t="s">
        <v>1296</v>
      </c>
      <c r="J738" s="243" t="s">
        <v>1297</v>
      </c>
      <c r="K738" s="247" t="s">
        <v>1298</v>
      </c>
    </row>
    <row r="739" spans="1:17" ht="12.75" customHeight="1" x14ac:dyDescent="0.35">
      <c r="A739" s="241">
        <v>38065</v>
      </c>
      <c r="B739" s="242" t="s">
        <v>1304</v>
      </c>
      <c r="C739" s="243" t="s">
        <v>1305</v>
      </c>
      <c r="D739" s="243" t="s">
        <v>57</v>
      </c>
      <c r="E739" s="243"/>
      <c r="F739" s="244" t="s">
        <v>43</v>
      </c>
      <c r="G739" s="275" t="s">
        <v>67</v>
      </c>
      <c r="H739" s="276" t="s">
        <v>45</v>
      </c>
      <c r="I739" s="243" t="s">
        <v>1296</v>
      </c>
      <c r="J739" s="243" t="s">
        <v>1297</v>
      </c>
      <c r="K739" s="247" t="s">
        <v>1298</v>
      </c>
    </row>
    <row r="740" spans="1:17" ht="12.75" customHeight="1" x14ac:dyDescent="0.35">
      <c r="A740" s="241">
        <v>7314</v>
      </c>
      <c r="B740" s="242">
        <v>747611</v>
      </c>
      <c r="C740" s="243" t="s">
        <v>1306</v>
      </c>
      <c r="D740" s="243" t="s">
        <v>238</v>
      </c>
      <c r="E740" s="243"/>
      <c r="F740" s="244" t="s">
        <v>43</v>
      </c>
      <c r="G740" s="275" t="s">
        <v>44</v>
      </c>
      <c r="H740" s="276" t="s">
        <v>239</v>
      </c>
      <c r="I740" s="243" t="s">
        <v>1296</v>
      </c>
      <c r="J740" s="243" t="s">
        <v>1297</v>
      </c>
      <c r="K740" s="247" t="s">
        <v>1298</v>
      </c>
    </row>
    <row r="741" spans="1:17" ht="12.75" customHeight="1" x14ac:dyDescent="0.35">
      <c r="A741" s="241">
        <v>7309</v>
      </c>
      <c r="B741" s="242" t="s">
        <v>1307</v>
      </c>
      <c r="C741" s="243" t="s">
        <v>1308</v>
      </c>
      <c r="D741" s="243" t="s">
        <v>947</v>
      </c>
      <c r="E741" s="243"/>
      <c r="F741" s="244" t="s">
        <v>43</v>
      </c>
      <c r="G741" s="275" t="s">
        <v>67</v>
      </c>
      <c r="H741" s="276" t="s">
        <v>66</v>
      </c>
      <c r="I741" s="243" t="s">
        <v>1296</v>
      </c>
      <c r="J741" s="243" t="s">
        <v>1297</v>
      </c>
      <c r="K741" s="247" t="s">
        <v>1298</v>
      </c>
    </row>
    <row r="742" spans="1:17" ht="12.75" customHeight="1" x14ac:dyDescent="0.35">
      <c r="A742" s="241">
        <v>38510</v>
      </c>
      <c r="B742" s="242" t="s">
        <v>1309</v>
      </c>
      <c r="C742" s="243" t="s">
        <v>1308</v>
      </c>
      <c r="D742" s="243" t="s">
        <v>1310</v>
      </c>
      <c r="E742" s="243"/>
      <c r="F742" s="244" t="s">
        <v>43</v>
      </c>
      <c r="G742" s="275" t="s">
        <v>94</v>
      </c>
      <c r="H742" s="276" t="s">
        <v>45</v>
      </c>
      <c r="I742" s="243" t="s">
        <v>1296</v>
      </c>
      <c r="J742" s="243" t="s">
        <v>1297</v>
      </c>
      <c r="K742" s="247" t="s">
        <v>1298</v>
      </c>
    </row>
    <row r="743" spans="1:17" ht="12.75" customHeight="1" x14ac:dyDescent="0.35">
      <c r="A743" s="241">
        <v>7322</v>
      </c>
      <c r="B743" s="242" t="s">
        <v>1311</v>
      </c>
      <c r="C743" s="243" t="s">
        <v>1308</v>
      </c>
      <c r="D743" s="243" t="s">
        <v>1312</v>
      </c>
      <c r="E743" s="243"/>
      <c r="F743" s="244" t="s">
        <v>49</v>
      </c>
      <c r="G743" s="275" t="s">
        <v>139</v>
      </c>
      <c r="H743" s="276" t="s">
        <v>45</v>
      </c>
      <c r="I743" s="243" t="s">
        <v>1296</v>
      </c>
      <c r="J743" s="243" t="s">
        <v>1297</v>
      </c>
      <c r="K743" s="247" t="s">
        <v>1298</v>
      </c>
    </row>
    <row r="744" spans="1:17" ht="12.75" customHeight="1" x14ac:dyDescent="0.35">
      <c r="A744" s="241">
        <v>38316</v>
      </c>
      <c r="B744" s="242" t="s">
        <v>1313</v>
      </c>
      <c r="C744" s="243" t="s">
        <v>1314</v>
      </c>
      <c r="D744" s="243" t="s">
        <v>879</v>
      </c>
      <c r="E744" s="243"/>
      <c r="F744" s="244" t="s">
        <v>49</v>
      </c>
      <c r="G744" s="250" t="s">
        <v>79</v>
      </c>
      <c r="H744" s="251">
        <v>0</v>
      </c>
      <c r="I744" s="243" t="s">
        <v>1296</v>
      </c>
      <c r="J744" s="243" t="s">
        <v>1297</v>
      </c>
      <c r="K744" s="247" t="s">
        <v>1298</v>
      </c>
    </row>
    <row r="745" spans="1:17" ht="12.75" customHeight="1" x14ac:dyDescent="0.35">
      <c r="A745" s="241">
        <v>25166</v>
      </c>
      <c r="B745" s="242" t="s">
        <v>1235</v>
      </c>
      <c r="C745" s="249" t="s">
        <v>1236</v>
      </c>
      <c r="D745" s="249" t="s">
        <v>1143</v>
      </c>
      <c r="E745" s="249" t="s">
        <v>2368</v>
      </c>
      <c r="F745" s="244" t="s">
        <v>43</v>
      </c>
      <c r="G745" s="275" t="s">
        <v>44</v>
      </c>
      <c r="H745" s="276" t="s">
        <v>180</v>
      </c>
      <c r="I745" s="249" t="s">
        <v>1296</v>
      </c>
      <c r="J745" s="249" t="s">
        <v>1297</v>
      </c>
      <c r="K745" s="247" t="s">
        <v>1298</v>
      </c>
    </row>
    <row r="746" spans="1:17" ht="12.75" customHeight="1" x14ac:dyDescent="0.35">
      <c r="A746" s="241">
        <v>7321</v>
      </c>
      <c r="B746" s="242" t="s">
        <v>1315</v>
      </c>
      <c r="C746" s="243" t="s">
        <v>1316</v>
      </c>
      <c r="D746" s="243" t="s">
        <v>213</v>
      </c>
      <c r="E746" s="243"/>
      <c r="F746" s="244" t="s">
        <v>43</v>
      </c>
      <c r="G746" s="275" t="s">
        <v>67</v>
      </c>
      <c r="H746" s="276" t="s">
        <v>45</v>
      </c>
      <c r="I746" s="243" t="s">
        <v>1296</v>
      </c>
      <c r="J746" s="243" t="s">
        <v>1297</v>
      </c>
      <c r="K746" s="247" t="s">
        <v>1298</v>
      </c>
    </row>
    <row r="747" spans="1:17" ht="12.75" customHeight="1" x14ac:dyDescent="0.35">
      <c r="A747" s="241">
        <v>25453</v>
      </c>
      <c r="B747" s="242" t="s">
        <v>2051</v>
      </c>
      <c r="C747" s="243" t="s">
        <v>1317</v>
      </c>
      <c r="D747" s="243" t="s">
        <v>213</v>
      </c>
      <c r="E747" s="243"/>
      <c r="F747" s="244" t="s">
        <v>43</v>
      </c>
      <c r="G747" s="275" t="s">
        <v>52</v>
      </c>
      <c r="H747" s="276"/>
      <c r="I747" s="243" t="s">
        <v>1296</v>
      </c>
      <c r="J747" s="243" t="s">
        <v>1297</v>
      </c>
      <c r="K747" s="247" t="s">
        <v>1298</v>
      </c>
    </row>
    <row r="748" spans="1:17" ht="12.75" customHeight="1" x14ac:dyDescent="0.35">
      <c r="A748" s="241">
        <v>25454</v>
      </c>
      <c r="B748" s="242">
        <v>9063267</v>
      </c>
      <c r="C748" s="243" t="s">
        <v>1318</v>
      </c>
      <c r="D748" s="243" t="s">
        <v>590</v>
      </c>
      <c r="E748" s="243"/>
      <c r="F748" s="244" t="s">
        <v>43</v>
      </c>
      <c r="G748" s="252" t="s">
        <v>44</v>
      </c>
      <c r="H748" s="253">
        <v>0</v>
      </c>
      <c r="I748" s="243" t="s">
        <v>1296</v>
      </c>
      <c r="J748" s="243" t="s">
        <v>1297</v>
      </c>
      <c r="K748" s="247" t="s">
        <v>1298</v>
      </c>
    </row>
    <row r="749" spans="1:17" ht="12.75" customHeight="1" x14ac:dyDescent="0.35">
      <c r="A749" s="241">
        <v>25915</v>
      </c>
      <c r="B749" s="242">
        <v>9111678</v>
      </c>
      <c r="C749" s="243" t="s">
        <v>1319</v>
      </c>
      <c r="D749" s="243" t="s">
        <v>184</v>
      </c>
      <c r="E749" s="243"/>
      <c r="F749" s="244" t="s">
        <v>43</v>
      </c>
      <c r="G749" s="275" t="s">
        <v>52</v>
      </c>
      <c r="H749" s="276"/>
      <c r="I749" s="243" t="s">
        <v>1296</v>
      </c>
      <c r="J749" s="243" t="s">
        <v>1297</v>
      </c>
      <c r="K749" s="247" t="s">
        <v>1298</v>
      </c>
    </row>
    <row r="750" spans="1:17" ht="12.75" customHeight="1" x14ac:dyDescent="0.35">
      <c r="A750" s="241">
        <v>7317</v>
      </c>
      <c r="B750" s="242" t="s">
        <v>1320</v>
      </c>
      <c r="C750" s="243" t="s">
        <v>1321</v>
      </c>
      <c r="D750" s="243" t="s">
        <v>179</v>
      </c>
      <c r="E750" s="243"/>
      <c r="F750" s="244" t="s">
        <v>43</v>
      </c>
      <c r="G750" s="275" t="s">
        <v>44</v>
      </c>
      <c r="H750" s="276" t="s">
        <v>180</v>
      </c>
      <c r="I750" s="243" t="s">
        <v>1296</v>
      </c>
      <c r="J750" s="243" t="s">
        <v>1297</v>
      </c>
      <c r="K750" s="247" t="s">
        <v>1298</v>
      </c>
    </row>
    <row r="751" spans="1:17" ht="12.75" customHeight="1" x14ac:dyDescent="0.35">
      <c r="A751" s="241">
        <v>38705</v>
      </c>
      <c r="B751" s="242" t="s">
        <v>1322</v>
      </c>
      <c r="C751" s="243" t="s">
        <v>1323</v>
      </c>
      <c r="D751" s="243" t="s">
        <v>645</v>
      </c>
      <c r="E751" s="243"/>
      <c r="F751" s="244" t="s">
        <v>43</v>
      </c>
      <c r="G751" s="245" t="s">
        <v>44</v>
      </c>
      <c r="H751" s="246">
        <v>0</v>
      </c>
      <c r="I751" s="243" t="s">
        <v>1296</v>
      </c>
      <c r="J751" s="243" t="s">
        <v>1297</v>
      </c>
      <c r="K751" s="247" t="s">
        <v>1298</v>
      </c>
    </row>
    <row r="752" spans="1:17" ht="12.75" customHeight="1" x14ac:dyDescent="0.35">
      <c r="A752" s="241">
        <v>38704</v>
      </c>
      <c r="B752" s="242" t="s">
        <v>1324</v>
      </c>
      <c r="C752" s="243" t="s">
        <v>1325</v>
      </c>
      <c r="D752" s="243" t="s">
        <v>501</v>
      </c>
      <c r="E752" s="243"/>
      <c r="F752" s="244" t="s">
        <v>43</v>
      </c>
      <c r="G752" s="245" t="s">
        <v>44</v>
      </c>
      <c r="H752" s="246">
        <v>0</v>
      </c>
      <c r="I752" s="243" t="s">
        <v>1296</v>
      </c>
      <c r="J752" s="243" t="s">
        <v>1297</v>
      </c>
      <c r="K752" s="247" t="s">
        <v>1298</v>
      </c>
    </row>
    <row r="753" spans="1:17" ht="12.75" customHeight="1" x14ac:dyDescent="0.35">
      <c r="A753" s="241">
        <v>38058</v>
      </c>
      <c r="B753" s="242" t="s">
        <v>1326</v>
      </c>
      <c r="C753" s="243" t="s">
        <v>1327</v>
      </c>
      <c r="D753" s="243" t="s">
        <v>1135</v>
      </c>
      <c r="E753" s="243"/>
      <c r="F753" s="244" t="s">
        <v>43</v>
      </c>
      <c r="G753" s="245" t="s">
        <v>58</v>
      </c>
      <c r="H753" s="246">
        <v>0</v>
      </c>
      <c r="I753" s="243" t="s">
        <v>1296</v>
      </c>
      <c r="J753" s="243" t="s">
        <v>1297</v>
      </c>
      <c r="K753" s="247" t="s">
        <v>1298</v>
      </c>
    </row>
    <row r="754" spans="1:17" ht="12.75" customHeight="1" x14ac:dyDescent="0.35">
      <c r="A754" s="241">
        <v>25452</v>
      </c>
      <c r="B754" s="242" t="s">
        <v>2052</v>
      </c>
      <c r="C754" s="243" t="s">
        <v>1328</v>
      </c>
      <c r="D754" s="243" t="s">
        <v>333</v>
      </c>
      <c r="E754" s="243"/>
      <c r="F754" s="244" t="s">
        <v>43</v>
      </c>
      <c r="G754" s="275" t="s">
        <v>67</v>
      </c>
      <c r="H754" s="276"/>
      <c r="I754" s="243" t="s">
        <v>1296</v>
      </c>
      <c r="J754" s="243" t="s">
        <v>1297</v>
      </c>
      <c r="K754" s="247" t="s">
        <v>1298</v>
      </c>
    </row>
    <row r="755" spans="1:17" ht="12.75" customHeight="1" x14ac:dyDescent="0.35">
      <c r="A755" s="241">
        <v>38537</v>
      </c>
      <c r="B755" s="242" t="s">
        <v>1329</v>
      </c>
      <c r="C755" s="243" t="s">
        <v>1330</v>
      </c>
      <c r="D755" s="243" t="s">
        <v>834</v>
      </c>
      <c r="E755" s="243"/>
      <c r="F755" s="244" t="s">
        <v>43</v>
      </c>
      <c r="G755" s="245" t="s">
        <v>67</v>
      </c>
      <c r="H755" s="246">
        <v>0</v>
      </c>
      <c r="I755" s="243" t="s">
        <v>1296</v>
      </c>
      <c r="J755" s="243" t="s">
        <v>1297</v>
      </c>
      <c r="K755" s="247" t="s">
        <v>1298</v>
      </c>
    </row>
    <row r="756" spans="1:17" ht="12.75" customHeight="1" x14ac:dyDescent="0.35">
      <c r="A756" s="241">
        <v>38555</v>
      </c>
      <c r="B756" s="242" t="s">
        <v>1334</v>
      </c>
      <c r="C756" s="245" t="s">
        <v>2206</v>
      </c>
      <c r="D756" s="245" t="s">
        <v>1101</v>
      </c>
      <c r="E756" s="245"/>
      <c r="F756" s="246" t="s">
        <v>49</v>
      </c>
      <c r="G756" s="275" t="s">
        <v>79</v>
      </c>
      <c r="H756" s="276" t="s">
        <v>45</v>
      </c>
      <c r="I756" s="249" t="s">
        <v>1331</v>
      </c>
      <c r="J756" s="249" t="s">
        <v>1332</v>
      </c>
      <c r="K756" s="247" t="s">
        <v>1333</v>
      </c>
      <c r="L756" s="272"/>
      <c r="M756" s="272"/>
      <c r="N756" s="272"/>
      <c r="Q756" s="274"/>
    </row>
    <row r="757" spans="1:17" ht="12.75" customHeight="1" x14ac:dyDescent="0.35">
      <c r="A757" s="241">
        <v>38388</v>
      </c>
      <c r="B757" s="242" t="s">
        <v>1540</v>
      </c>
      <c r="C757" s="243" t="s">
        <v>1541</v>
      </c>
      <c r="D757" s="243" t="s">
        <v>97</v>
      </c>
      <c r="E757" s="243"/>
      <c r="F757" s="244" t="s">
        <v>43</v>
      </c>
      <c r="G757" s="275" t="s">
        <v>52</v>
      </c>
      <c r="H757" s="276" t="s">
        <v>51</v>
      </c>
      <c r="I757" s="245" t="s">
        <v>1331</v>
      </c>
      <c r="J757" s="245" t="s">
        <v>1332</v>
      </c>
      <c r="K757" s="247" t="s">
        <v>1333</v>
      </c>
    </row>
    <row r="758" spans="1:17" ht="12.75" customHeight="1" x14ac:dyDescent="0.35">
      <c r="A758" s="241">
        <v>16582</v>
      </c>
      <c r="B758" s="242" t="s">
        <v>1981</v>
      </c>
      <c r="C758" s="249" t="s">
        <v>1982</v>
      </c>
      <c r="D758" s="249" t="s">
        <v>1983</v>
      </c>
      <c r="E758" s="249" t="s">
        <v>2368</v>
      </c>
      <c r="F758" s="244" t="s">
        <v>43</v>
      </c>
      <c r="G758" s="275" t="s">
        <v>44</v>
      </c>
      <c r="H758" s="276" t="s">
        <v>45</v>
      </c>
      <c r="I758" s="249" t="s">
        <v>1331</v>
      </c>
      <c r="J758" s="249" t="s">
        <v>1332</v>
      </c>
      <c r="K758" s="247" t="s">
        <v>1333</v>
      </c>
    </row>
    <row r="759" spans="1:17" ht="12.75" customHeight="1" x14ac:dyDescent="0.35">
      <c r="A759" s="241">
        <v>16876</v>
      </c>
      <c r="B759" s="242" t="s">
        <v>1338</v>
      </c>
      <c r="C759" s="245" t="s">
        <v>1339</v>
      </c>
      <c r="D759" s="245" t="s">
        <v>479</v>
      </c>
      <c r="E759" s="245"/>
      <c r="F759" s="246" t="s">
        <v>43</v>
      </c>
      <c r="G759" s="275" t="s">
        <v>44</v>
      </c>
      <c r="H759" s="276" t="s">
        <v>45</v>
      </c>
      <c r="I759" s="249" t="s">
        <v>1331</v>
      </c>
      <c r="J759" s="249" t="s">
        <v>1332</v>
      </c>
      <c r="K759" s="247" t="s">
        <v>1333</v>
      </c>
    </row>
    <row r="760" spans="1:17" ht="12.75" customHeight="1" x14ac:dyDescent="0.35">
      <c r="A760" s="241">
        <v>38289</v>
      </c>
      <c r="B760" s="242" t="s">
        <v>1340</v>
      </c>
      <c r="C760" s="245" t="s">
        <v>1339</v>
      </c>
      <c r="D760" s="245" t="s">
        <v>413</v>
      </c>
      <c r="E760" s="245"/>
      <c r="F760" s="246" t="s">
        <v>49</v>
      </c>
      <c r="G760" s="275" t="s">
        <v>79</v>
      </c>
      <c r="H760" s="276" t="s">
        <v>66</v>
      </c>
      <c r="I760" s="249" t="s">
        <v>1331</v>
      </c>
      <c r="J760" s="249" t="s">
        <v>1332</v>
      </c>
      <c r="K760" s="247" t="s">
        <v>1333</v>
      </c>
    </row>
    <row r="761" spans="1:17" ht="12.75" customHeight="1" x14ac:dyDescent="0.35">
      <c r="A761" s="241">
        <v>38605</v>
      </c>
      <c r="B761" s="242" t="s">
        <v>1341</v>
      </c>
      <c r="C761" s="245" t="s">
        <v>1342</v>
      </c>
      <c r="D761" s="245" t="s">
        <v>307</v>
      </c>
      <c r="E761" s="245"/>
      <c r="F761" s="246" t="s">
        <v>43</v>
      </c>
      <c r="G761" s="275" t="s">
        <v>44</v>
      </c>
      <c r="H761" s="276" t="s">
        <v>51</v>
      </c>
      <c r="I761" s="249" t="s">
        <v>1331</v>
      </c>
      <c r="J761" s="249" t="s">
        <v>1332</v>
      </c>
      <c r="K761" s="247" t="s">
        <v>1333</v>
      </c>
    </row>
    <row r="762" spans="1:17" ht="12.75" customHeight="1" x14ac:dyDescent="0.35">
      <c r="A762" s="241">
        <v>16583</v>
      </c>
      <c r="B762" s="242" t="s">
        <v>1344</v>
      </c>
      <c r="C762" s="245" t="s">
        <v>1343</v>
      </c>
      <c r="D762" s="245" t="s">
        <v>169</v>
      </c>
      <c r="E762" s="245"/>
      <c r="F762" s="246" t="s">
        <v>43</v>
      </c>
      <c r="G762" s="275" t="s">
        <v>44</v>
      </c>
      <c r="H762" s="276" t="s">
        <v>45</v>
      </c>
      <c r="I762" s="243" t="s">
        <v>1331</v>
      </c>
      <c r="J762" s="243" t="s">
        <v>1332</v>
      </c>
      <c r="K762" s="247" t="s">
        <v>1333</v>
      </c>
      <c r="L762" s="272"/>
      <c r="M762" s="272"/>
      <c r="N762" s="272"/>
      <c r="Q762" s="274"/>
    </row>
    <row r="763" spans="1:17" ht="12.75" customHeight="1" x14ac:dyDescent="0.35">
      <c r="A763" s="241">
        <v>38618</v>
      </c>
      <c r="B763" s="242" t="s">
        <v>2284</v>
      </c>
      <c r="C763" s="249" t="s">
        <v>1343</v>
      </c>
      <c r="D763" s="249" t="s">
        <v>2285</v>
      </c>
      <c r="E763" s="249" t="s">
        <v>2368</v>
      </c>
      <c r="F763" s="244" t="s">
        <v>49</v>
      </c>
      <c r="G763" s="275" t="s">
        <v>775</v>
      </c>
      <c r="H763" s="276" t="s">
        <v>104</v>
      </c>
      <c r="I763" s="249" t="s">
        <v>1331</v>
      </c>
      <c r="J763" s="249" t="s">
        <v>1332</v>
      </c>
      <c r="K763" s="247" t="s">
        <v>1333</v>
      </c>
      <c r="L763" s="272"/>
      <c r="M763" s="272"/>
      <c r="N763" s="272"/>
      <c r="Q763" s="274"/>
    </row>
    <row r="764" spans="1:17" ht="12.75" customHeight="1" x14ac:dyDescent="0.35">
      <c r="A764" s="241">
        <v>16137</v>
      </c>
      <c r="B764" s="242" t="s">
        <v>1345</v>
      </c>
      <c r="C764" s="243" t="s">
        <v>768</v>
      </c>
      <c r="D764" s="243" t="s">
        <v>364</v>
      </c>
      <c r="E764" s="243"/>
      <c r="F764" s="244" t="s">
        <v>43</v>
      </c>
      <c r="G764" s="275" t="s">
        <v>52</v>
      </c>
      <c r="H764" s="276"/>
      <c r="I764" s="243" t="s">
        <v>1331</v>
      </c>
      <c r="J764" s="243" t="s">
        <v>1332</v>
      </c>
      <c r="K764" s="247" t="s">
        <v>1333</v>
      </c>
    </row>
    <row r="765" spans="1:17" ht="12.75" customHeight="1" x14ac:dyDescent="0.35">
      <c r="A765" s="241">
        <v>38663</v>
      </c>
      <c r="B765" s="242" t="s">
        <v>1346</v>
      </c>
      <c r="C765" s="249" t="s">
        <v>1347</v>
      </c>
      <c r="D765" s="249" t="s">
        <v>1348</v>
      </c>
      <c r="E765" s="249" t="s">
        <v>2368</v>
      </c>
      <c r="F765" s="244" t="s">
        <v>49</v>
      </c>
      <c r="G765" s="275" t="s">
        <v>1125</v>
      </c>
      <c r="H765" s="276" t="s">
        <v>51</v>
      </c>
      <c r="I765" s="249" t="s">
        <v>1331</v>
      </c>
      <c r="J765" s="249" t="s">
        <v>1332</v>
      </c>
      <c r="K765" s="247" t="s">
        <v>1333</v>
      </c>
    </row>
    <row r="766" spans="1:17" ht="12.75" customHeight="1" x14ac:dyDescent="0.35">
      <c r="A766" s="241">
        <v>38887</v>
      </c>
      <c r="B766" s="242" t="s">
        <v>2349</v>
      </c>
      <c r="C766" s="249" t="s">
        <v>2350</v>
      </c>
      <c r="D766" s="249" t="s">
        <v>179</v>
      </c>
      <c r="E766" s="249" t="s">
        <v>2368</v>
      </c>
      <c r="F766" s="244" t="s">
        <v>43</v>
      </c>
      <c r="G766" s="275" t="s">
        <v>67</v>
      </c>
      <c r="H766" s="276" t="s">
        <v>51</v>
      </c>
      <c r="I766" s="249" t="s">
        <v>1331</v>
      </c>
      <c r="J766" s="249" t="s">
        <v>1332</v>
      </c>
      <c r="K766" s="247" t="s">
        <v>1333</v>
      </c>
    </row>
    <row r="767" spans="1:17" ht="12.75" customHeight="1" x14ac:dyDescent="0.35">
      <c r="A767" s="241">
        <v>7484</v>
      </c>
      <c r="B767" s="242" t="s">
        <v>1351</v>
      </c>
      <c r="C767" s="243" t="s">
        <v>650</v>
      </c>
      <c r="D767" s="243" t="s">
        <v>179</v>
      </c>
      <c r="E767" s="243"/>
      <c r="F767" s="244" t="s">
        <v>43</v>
      </c>
      <c r="G767" s="275" t="s">
        <v>52</v>
      </c>
      <c r="H767" s="276" t="s">
        <v>51</v>
      </c>
      <c r="I767" s="243" t="s">
        <v>1331</v>
      </c>
      <c r="J767" s="243" t="s">
        <v>1332</v>
      </c>
      <c r="K767" s="247" t="s">
        <v>1333</v>
      </c>
    </row>
    <row r="768" spans="1:17" ht="12.75" customHeight="1" x14ac:dyDescent="0.35">
      <c r="A768" s="241">
        <v>38903</v>
      </c>
      <c r="B768" s="242" t="s">
        <v>2521</v>
      </c>
      <c r="C768" s="249" t="s">
        <v>2522</v>
      </c>
      <c r="D768" s="249" t="s">
        <v>536</v>
      </c>
      <c r="E768" s="249" t="s">
        <v>2368</v>
      </c>
      <c r="F768" s="244" t="s">
        <v>49</v>
      </c>
      <c r="G768" s="250" t="s">
        <v>342</v>
      </c>
      <c r="H768" s="251">
        <v>0</v>
      </c>
      <c r="I768" s="249" t="s">
        <v>1331</v>
      </c>
      <c r="J768" s="249" t="s">
        <v>1332</v>
      </c>
      <c r="K768" s="247" t="s">
        <v>1333</v>
      </c>
    </row>
    <row r="769" spans="1:17" ht="12.75" customHeight="1" x14ac:dyDescent="0.35">
      <c r="A769" s="241">
        <v>25833</v>
      </c>
      <c r="B769" s="242" t="s">
        <v>2523</v>
      </c>
      <c r="C769" s="243" t="s">
        <v>2522</v>
      </c>
      <c r="D769" s="243" t="s">
        <v>531</v>
      </c>
      <c r="E769" s="243"/>
      <c r="F769" s="244" t="s">
        <v>43</v>
      </c>
      <c r="G769" s="275" t="s">
        <v>67</v>
      </c>
      <c r="H769" s="276" t="s">
        <v>45</v>
      </c>
      <c r="I769" s="243" t="s">
        <v>1331</v>
      </c>
      <c r="J769" s="243" t="s">
        <v>1332</v>
      </c>
      <c r="K769" s="247" t="s">
        <v>1333</v>
      </c>
    </row>
    <row r="770" spans="1:17" ht="12.75" customHeight="1" x14ac:dyDescent="0.35">
      <c r="A770" s="241">
        <v>25466</v>
      </c>
      <c r="B770" s="242" t="s">
        <v>2524</v>
      </c>
      <c r="C770" s="249" t="s">
        <v>2522</v>
      </c>
      <c r="D770" s="249" t="s">
        <v>911</v>
      </c>
      <c r="E770" s="249" t="s">
        <v>2368</v>
      </c>
      <c r="F770" s="244" t="s">
        <v>49</v>
      </c>
      <c r="G770" s="250" t="s">
        <v>139</v>
      </c>
      <c r="H770" s="251">
        <v>0</v>
      </c>
      <c r="I770" s="243" t="s">
        <v>1331</v>
      </c>
      <c r="J770" s="243" t="s">
        <v>1332</v>
      </c>
      <c r="K770" s="247" t="s">
        <v>1333</v>
      </c>
      <c r="L770" s="272"/>
      <c r="M770" s="272"/>
      <c r="N770" s="272"/>
      <c r="Q770" s="274"/>
    </row>
    <row r="771" spans="1:17" ht="12.75" customHeight="1" x14ac:dyDescent="0.35">
      <c r="A771" s="241">
        <v>16141</v>
      </c>
      <c r="B771" s="242" t="s">
        <v>1352</v>
      </c>
      <c r="C771" s="243" t="s">
        <v>1353</v>
      </c>
      <c r="D771" s="243" t="s">
        <v>1354</v>
      </c>
      <c r="E771" s="243"/>
      <c r="F771" s="244" t="s">
        <v>49</v>
      </c>
      <c r="G771" s="275" t="s">
        <v>79</v>
      </c>
      <c r="H771" s="276" t="s">
        <v>66</v>
      </c>
      <c r="I771" s="243" t="s">
        <v>1331</v>
      </c>
      <c r="J771" s="243" t="s">
        <v>1332</v>
      </c>
      <c r="K771" s="247" t="s">
        <v>1333</v>
      </c>
    </row>
    <row r="772" spans="1:17" ht="12.75" customHeight="1" x14ac:dyDescent="0.35">
      <c r="A772" s="241">
        <v>38641</v>
      </c>
      <c r="B772" s="242" t="s">
        <v>1355</v>
      </c>
      <c r="C772" s="249" t="s">
        <v>1356</v>
      </c>
      <c r="D772" s="249" t="s">
        <v>253</v>
      </c>
      <c r="E772" s="249" t="s">
        <v>2368</v>
      </c>
      <c r="F772" s="244" t="s">
        <v>43</v>
      </c>
      <c r="G772" s="275" t="s">
        <v>67</v>
      </c>
      <c r="H772" s="276" t="s">
        <v>45</v>
      </c>
      <c r="I772" s="249" t="s">
        <v>1331</v>
      </c>
      <c r="J772" s="249" t="s">
        <v>1332</v>
      </c>
      <c r="K772" s="247" t="s">
        <v>1333</v>
      </c>
    </row>
    <row r="773" spans="1:17" ht="12.75" customHeight="1" x14ac:dyDescent="0.35">
      <c r="A773" s="241">
        <v>16992</v>
      </c>
      <c r="B773" s="242">
        <v>9029310</v>
      </c>
      <c r="C773" s="245" t="s">
        <v>1356</v>
      </c>
      <c r="D773" s="245" t="s">
        <v>1274</v>
      </c>
      <c r="E773" s="245"/>
      <c r="F773" s="246" t="s">
        <v>49</v>
      </c>
      <c r="G773" s="275" t="s">
        <v>139</v>
      </c>
      <c r="H773" s="276" t="s">
        <v>51</v>
      </c>
      <c r="I773" s="249" t="s">
        <v>1331</v>
      </c>
      <c r="J773" s="249" t="s">
        <v>1332</v>
      </c>
      <c r="K773" s="247" t="s">
        <v>1333</v>
      </c>
    </row>
    <row r="774" spans="1:17" ht="12.75" customHeight="1" x14ac:dyDescent="0.35">
      <c r="A774" s="241">
        <v>38662</v>
      </c>
      <c r="B774" s="242" t="s">
        <v>1357</v>
      </c>
      <c r="C774" s="245" t="s">
        <v>1358</v>
      </c>
      <c r="D774" s="245" t="s">
        <v>1359</v>
      </c>
      <c r="E774" s="245"/>
      <c r="F774" s="246" t="s">
        <v>49</v>
      </c>
      <c r="G774" s="275" t="s">
        <v>50</v>
      </c>
      <c r="H774" s="276"/>
      <c r="I774" s="249" t="s">
        <v>1331</v>
      </c>
      <c r="J774" s="249" t="s">
        <v>1332</v>
      </c>
      <c r="K774" s="247" t="s">
        <v>1333</v>
      </c>
    </row>
    <row r="775" spans="1:17" ht="12.75" customHeight="1" x14ac:dyDescent="0.35">
      <c r="A775" s="241">
        <v>7641</v>
      </c>
      <c r="B775" s="242" t="s">
        <v>1360</v>
      </c>
      <c r="C775" s="243" t="s">
        <v>1361</v>
      </c>
      <c r="D775" s="243" t="s">
        <v>143</v>
      </c>
      <c r="E775" s="243"/>
      <c r="F775" s="244" t="s">
        <v>43</v>
      </c>
      <c r="G775" s="275" t="s">
        <v>67</v>
      </c>
      <c r="H775" s="276" t="s">
        <v>66</v>
      </c>
      <c r="I775" s="243" t="s">
        <v>1362</v>
      </c>
      <c r="J775" s="243" t="s">
        <v>1363</v>
      </c>
      <c r="K775" s="247" t="s">
        <v>27</v>
      </c>
    </row>
    <row r="776" spans="1:17" ht="12.75" customHeight="1" x14ac:dyDescent="0.35">
      <c r="A776" s="241">
        <v>10526</v>
      </c>
      <c r="B776" s="242" t="s">
        <v>1364</v>
      </c>
      <c r="C776" s="249" t="s">
        <v>153</v>
      </c>
      <c r="D776" s="249" t="s">
        <v>87</v>
      </c>
      <c r="E776" s="249" t="s">
        <v>2368</v>
      </c>
      <c r="F776" s="244" t="s">
        <v>43</v>
      </c>
      <c r="G776" s="275" t="s">
        <v>44</v>
      </c>
      <c r="H776" s="276" t="s">
        <v>51</v>
      </c>
      <c r="I776" s="249" t="s">
        <v>1362</v>
      </c>
      <c r="J776" s="249" t="s">
        <v>1363</v>
      </c>
      <c r="K776" s="247" t="s">
        <v>27</v>
      </c>
    </row>
    <row r="777" spans="1:17" ht="12.75" customHeight="1" x14ac:dyDescent="0.35">
      <c r="A777" s="241">
        <v>25886</v>
      </c>
      <c r="B777" s="242" t="s">
        <v>1365</v>
      </c>
      <c r="C777" s="249" t="s">
        <v>1366</v>
      </c>
      <c r="D777" s="249" t="s">
        <v>1276</v>
      </c>
      <c r="E777" s="249" t="s">
        <v>2368</v>
      </c>
      <c r="F777" s="244" t="s">
        <v>49</v>
      </c>
      <c r="G777" s="275" t="s">
        <v>139</v>
      </c>
      <c r="H777" s="276" t="s">
        <v>51</v>
      </c>
      <c r="I777" s="249" t="s">
        <v>1362</v>
      </c>
      <c r="J777" s="249" t="s">
        <v>1363</v>
      </c>
      <c r="K777" s="247" t="s">
        <v>27</v>
      </c>
    </row>
    <row r="778" spans="1:17" ht="12.75" customHeight="1" x14ac:dyDescent="0.35">
      <c r="A778" s="241">
        <v>38837</v>
      </c>
      <c r="B778" s="242" t="s">
        <v>2207</v>
      </c>
      <c r="C778" s="249" t="s">
        <v>2208</v>
      </c>
      <c r="D778" s="249" t="s">
        <v>2209</v>
      </c>
      <c r="E778" s="249" t="s">
        <v>2368</v>
      </c>
      <c r="F778" s="244" t="s">
        <v>49</v>
      </c>
      <c r="G778" s="275" t="s">
        <v>50</v>
      </c>
      <c r="H778" s="276" t="s">
        <v>104</v>
      </c>
      <c r="I778" s="249" t="s">
        <v>1362</v>
      </c>
      <c r="J778" s="249" t="s">
        <v>1363</v>
      </c>
      <c r="K778" s="247" t="s">
        <v>27</v>
      </c>
    </row>
    <row r="779" spans="1:17" ht="12.75" customHeight="1" x14ac:dyDescent="0.35">
      <c r="A779" s="241">
        <v>25786</v>
      </c>
      <c r="B779" s="242" t="s">
        <v>2210</v>
      </c>
      <c r="C779" s="243" t="s">
        <v>2211</v>
      </c>
      <c r="D779" s="243" t="s">
        <v>383</v>
      </c>
      <c r="E779" s="243"/>
      <c r="F779" s="244" t="s">
        <v>43</v>
      </c>
      <c r="G779" s="275" t="s">
        <v>44</v>
      </c>
      <c r="H779" s="276" t="s">
        <v>45</v>
      </c>
      <c r="I779" s="243" t="s">
        <v>1362</v>
      </c>
      <c r="J779" s="243" t="s">
        <v>1363</v>
      </c>
      <c r="K779" s="247" t="s">
        <v>27</v>
      </c>
    </row>
    <row r="780" spans="1:17" ht="12.75" customHeight="1" x14ac:dyDescent="0.35">
      <c r="A780" s="241">
        <v>10797</v>
      </c>
      <c r="B780" s="242" t="s">
        <v>1968</v>
      </c>
      <c r="C780" s="243" t="s">
        <v>1969</v>
      </c>
      <c r="D780" s="243" t="s">
        <v>479</v>
      </c>
      <c r="E780" s="243"/>
      <c r="F780" s="244" t="s">
        <v>43</v>
      </c>
      <c r="G780" s="275" t="s">
        <v>67</v>
      </c>
      <c r="H780" s="276" t="s">
        <v>45</v>
      </c>
      <c r="I780" s="243" t="s">
        <v>1362</v>
      </c>
      <c r="J780" s="243" t="s">
        <v>1363</v>
      </c>
      <c r="K780" s="247" t="s">
        <v>27</v>
      </c>
    </row>
    <row r="781" spans="1:17" ht="12.75" customHeight="1" x14ac:dyDescent="0.35">
      <c r="A781" s="241">
        <v>38393</v>
      </c>
      <c r="B781" s="242" t="s">
        <v>1367</v>
      </c>
      <c r="C781" s="249" t="s">
        <v>1368</v>
      </c>
      <c r="D781" s="249" t="s">
        <v>167</v>
      </c>
      <c r="E781" s="249" t="s">
        <v>2368</v>
      </c>
      <c r="F781" s="244" t="s">
        <v>49</v>
      </c>
      <c r="G781" s="275" t="s">
        <v>50</v>
      </c>
      <c r="H781" s="276" t="s">
        <v>45</v>
      </c>
      <c r="I781" s="249" t="s">
        <v>1362</v>
      </c>
      <c r="J781" s="249" t="s">
        <v>1363</v>
      </c>
      <c r="K781" s="247" t="s">
        <v>27</v>
      </c>
    </row>
    <row r="782" spans="1:17" ht="12.75" customHeight="1" x14ac:dyDescent="0.35">
      <c r="A782" s="241">
        <v>16760</v>
      </c>
      <c r="B782" s="242" t="s">
        <v>113</v>
      </c>
      <c r="C782" s="243" t="s">
        <v>114</v>
      </c>
      <c r="D782" s="243" t="s">
        <v>87</v>
      </c>
      <c r="E782" s="243"/>
      <c r="F782" s="244" t="s">
        <v>43</v>
      </c>
      <c r="G782" s="275" t="s">
        <v>67</v>
      </c>
      <c r="H782" s="276" t="s">
        <v>180</v>
      </c>
      <c r="I782" s="243" t="s">
        <v>1362</v>
      </c>
      <c r="J782" s="243" t="s">
        <v>1363</v>
      </c>
      <c r="K782" s="247" t="s">
        <v>27</v>
      </c>
    </row>
    <row r="783" spans="1:17" ht="12.75" customHeight="1" x14ac:dyDescent="0.35">
      <c r="A783" s="241">
        <v>25884</v>
      </c>
      <c r="B783" s="242">
        <v>9111431</v>
      </c>
      <c r="C783" s="249" t="s">
        <v>1369</v>
      </c>
      <c r="D783" s="249" t="s">
        <v>206</v>
      </c>
      <c r="E783" s="249" t="s">
        <v>2368</v>
      </c>
      <c r="F783" s="244" t="s">
        <v>43</v>
      </c>
      <c r="G783" s="275" t="s">
        <v>52</v>
      </c>
      <c r="H783" s="276" t="s">
        <v>45</v>
      </c>
      <c r="I783" s="249" t="s">
        <v>1362</v>
      </c>
      <c r="J783" s="249" t="s">
        <v>1363</v>
      </c>
      <c r="K783" s="247" t="s">
        <v>27</v>
      </c>
    </row>
    <row r="784" spans="1:17" ht="12.75" customHeight="1" x14ac:dyDescent="0.35">
      <c r="A784" s="241">
        <v>25885</v>
      </c>
      <c r="B784" s="242">
        <v>9111424</v>
      </c>
      <c r="C784" s="249" t="s">
        <v>1369</v>
      </c>
      <c r="D784" s="249" t="s">
        <v>1280</v>
      </c>
      <c r="E784" s="249" t="s">
        <v>2368</v>
      </c>
      <c r="F784" s="244" t="s">
        <v>49</v>
      </c>
      <c r="G784" s="275" t="s">
        <v>50</v>
      </c>
      <c r="H784" s="276" t="s">
        <v>51</v>
      </c>
      <c r="I784" s="249" t="s">
        <v>1362</v>
      </c>
      <c r="J784" s="249" t="s">
        <v>1363</v>
      </c>
      <c r="K784" s="247" t="s">
        <v>27</v>
      </c>
    </row>
    <row r="785" spans="1:17" ht="12.75" customHeight="1" x14ac:dyDescent="0.35">
      <c r="A785" s="241">
        <v>10185</v>
      </c>
      <c r="B785" s="242" t="s">
        <v>1370</v>
      </c>
      <c r="C785" s="249" t="s">
        <v>1371</v>
      </c>
      <c r="D785" s="249" t="s">
        <v>263</v>
      </c>
      <c r="E785" s="249" t="s">
        <v>2368</v>
      </c>
      <c r="F785" s="244" t="s">
        <v>43</v>
      </c>
      <c r="G785" s="275" t="s">
        <v>52</v>
      </c>
      <c r="H785" s="276" t="s">
        <v>45</v>
      </c>
      <c r="I785" s="249" t="s">
        <v>1362</v>
      </c>
      <c r="J785" s="249" t="s">
        <v>1363</v>
      </c>
      <c r="K785" s="247" t="s">
        <v>27</v>
      </c>
      <c r="L785" s="272"/>
      <c r="M785" s="272"/>
      <c r="N785" s="272"/>
      <c r="Q785" s="274"/>
    </row>
    <row r="786" spans="1:17" ht="12.75" customHeight="1" x14ac:dyDescent="0.35">
      <c r="A786" s="241">
        <v>25992</v>
      </c>
      <c r="B786" s="242" t="s">
        <v>1372</v>
      </c>
      <c r="C786" s="249" t="s">
        <v>1373</v>
      </c>
      <c r="D786" s="249" t="s">
        <v>1374</v>
      </c>
      <c r="E786" s="249" t="s">
        <v>2368</v>
      </c>
      <c r="F786" s="244" t="s">
        <v>49</v>
      </c>
      <c r="G786" s="275" t="s">
        <v>50</v>
      </c>
      <c r="H786" s="276" t="s">
        <v>45</v>
      </c>
      <c r="I786" s="249" t="s">
        <v>1362</v>
      </c>
      <c r="J786" s="249" t="s">
        <v>1363</v>
      </c>
      <c r="K786" s="247" t="s">
        <v>27</v>
      </c>
    </row>
    <row r="787" spans="1:17" ht="12.75" customHeight="1" x14ac:dyDescent="0.35">
      <c r="A787" s="241">
        <v>25993</v>
      </c>
      <c r="B787" s="242" t="s">
        <v>1375</v>
      </c>
      <c r="C787" s="249" t="s">
        <v>1373</v>
      </c>
      <c r="D787" s="249" t="s">
        <v>117</v>
      </c>
      <c r="E787" s="249" t="s">
        <v>2368</v>
      </c>
      <c r="F787" s="244" t="s">
        <v>43</v>
      </c>
      <c r="G787" s="275" t="s">
        <v>52</v>
      </c>
      <c r="H787" s="276" t="s">
        <v>66</v>
      </c>
      <c r="I787" s="249" t="s">
        <v>1362</v>
      </c>
      <c r="J787" s="249" t="s">
        <v>1363</v>
      </c>
      <c r="K787" s="247" t="s">
        <v>27</v>
      </c>
    </row>
    <row r="788" spans="1:17" ht="12.75" customHeight="1" x14ac:dyDescent="0.35">
      <c r="A788" s="241">
        <v>38608</v>
      </c>
      <c r="B788" s="242" t="s">
        <v>1376</v>
      </c>
      <c r="C788" s="249" t="s">
        <v>1377</v>
      </c>
      <c r="D788" s="249" t="s">
        <v>1378</v>
      </c>
      <c r="E788" s="249" t="s">
        <v>2368</v>
      </c>
      <c r="F788" s="244" t="s">
        <v>49</v>
      </c>
      <c r="G788" s="275" t="s">
        <v>79</v>
      </c>
      <c r="H788" s="276" t="s">
        <v>51</v>
      </c>
      <c r="I788" s="249" t="s">
        <v>1362</v>
      </c>
      <c r="J788" s="249" t="s">
        <v>1363</v>
      </c>
      <c r="K788" s="247" t="s">
        <v>27</v>
      </c>
    </row>
    <row r="789" spans="1:17" ht="12.75" customHeight="1" x14ac:dyDescent="0.35">
      <c r="A789" s="241">
        <v>38588</v>
      </c>
      <c r="B789" s="242" t="s">
        <v>2212</v>
      </c>
      <c r="C789" s="249" t="s">
        <v>2213</v>
      </c>
      <c r="D789" s="249" t="s">
        <v>831</v>
      </c>
      <c r="E789" s="249" t="s">
        <v>2368</v>
      </c>
      <c r="F789" s="244" t="s">
        <v>43</v>
      </c>
      <c r="G789" s="275" t="s">
        <v>44</v>
      </c>
      <c r="H789" s="276" t="s">
        <v>51</v>
      </c>
      <c r="I789" s="249" t="s">
        <v>1362</v>
      </c>
      <c r="J789" s="249" t="s">
        <v>1363</v>
      </c>
      <c r="K789" s="247" t="s">
        <v>27</v>
      </c>
    </row>
    <row r="790" spans="1:17" ht="12.75" customHeight="1" x14ac:dyDescent="0.35">
      <c r="A790" s="241">
        <v>25524</v>
      </c>
      <c r="B790" s="242" t="s">
        <v>1452</v>
      </c>
      <c r="C790" s="249" t="s">
        <v>1453</v>
      </c>
      <c r="D790" s="249" t="s">
        <v>1454</v>
      </c>
      <c r="E790" s="249" t="s">
        <v>2368</v>
      </c>
      <c r="F790" s="244" t="s">
        <v>43</v>
      </c>
      <c r="G790" s="275" t="s">
        <v>44</v>
      </c>
      <c r="H790" s="276" t="s">
        <v>66</v>
      </c>
      <c r="I790" s="249" t="s">
        <v>1362</v>
      </c>
      <c r="J790" s="249" t="s">
        <v>1363</v>
      </c>
      <c r="K790" s="247" t="s">
        <v>27</v>
      </c>
    </row>
    <row r="791" spans="1:17" ht="12.75" customHeight="1" x14ac:dyDescent="0.35">
      <c r="A791" s="241">
        <v>16184</v>
      </c>
      <c r="B791" s="242" t="s">
        <v>118</v>
      </c>
      <c r="C791" s="243" t="s">
        <v>119</v>
      </c>
      <c r="D791" s="243" t="s">
        <v>120</v>
      </c>
      <c r="E791" s="243"/>
      <c r="F791" s="244" t="s">
        <v>43</v>
      </c>
      <c r="G791" s="275" t="s">
        <v>58</v>
      </c>
      <c r="H791" s="276" t="s">
        <v>66</v>
      </c>
      <c r="I791" s="243" t="s">
        <v>1362</v>
      </c>
      <c r="J791" s="243" t="s">
        <v>1363</v>
      </c>
      <c r="K791" s="247" t="s">
        <v>27</v>
      </c>
    </row>
    <row r="792" spans="1:17" ht="12.75" customHeight="1" x14ac:dyDescent="0.35">
      <c r="A792" s="241">
        <v>25887</v>
      </c>
      <c r="B792" s="242">
        <v>9111426</v>
      </c>
      <c r="C792" s="249" t="s">
        <v>502</v>
      </c>
      <c r="D792" s="249" t="s">
        <v>659</v>
      </c>
      <c r="E792" s="249" t="s">
        <v>2368</v>
      </c>
      <c r="F792" s="244" t="s">
        <v>49</v>
      </c>
      <c r="G792" s="275" t="s">
        <v>139</v>
      </c>
      <c r="H792" s="276"/>
      <c r="I792" s="249" t="s">
        <v>1362</v>
      </c>
      <c r="J792" s="249" t="s">
        <v>1363</v>
      </c>
      <c r="K792" s="247" t="s">
        <v>27</v>
      </c>
    </row>
    <row r="793" spans="1:17" ht="12.75" customHeight="1" x14ac:dyDescent="0.35">
      <c r="A793" s="241">
        <v>7607</v>
      </c>
      <c r="B793" s="242" t="s">
        <v>781</v>
      </c>
      <c r="C793" s="243" t="s">
        <v>502</v>
      </c>
      <c r="D793" s="243" t="s">
        <v>61</v>
      </c>
      <c r="E793" s="243"/>
      <c r="F793" s="244" t="s">
        <v>43</v>
      </c>
      <c r="G793" s="275" t="s">
        <v>52</v>
      </c>
      <c r="H793" s="276" t="s">
        <v>45</v>
      </c>
      <c r="I793" s="243" t="s">
        <v>1362</v>
      </c>
      <c r="J793" s="243" t="s">
        <v>1363</v>
      </c>
      <c r="K793" s="247" t="s">
        <v>27</v>
      </c>
    </row>
    <row r="794" spans="1:17" ht="12.75" customHeight="1" x14ac:dyDescent="0.35">
      <c r="A794" s="241">
        <v>25888</v>
      </c>
      <c r="B794" s="242">
        <v>9111425</v>
      </c>
      <c r="C794" s="249" t="s">
        <v>502</v>
      </c>
      <c r="D794" s="249" t="s">
        <v>646</v>
      </c>
      <c r="E794" s="249" t="s">
        <v>2368</v>
      </c>
      <c r="F794" s="244" t="s">
        <v>43</v>
      </c>
      <c r="G794" s="275" t="s">
        <v>67</v>
      </c>
      <c r="H794" s="276" t="s">
        <v>45</v>
      </c>
      <c r="I794" s="249" t="s">
        <v>1362</v>
      </c>
      <c r="J794" s="249" t="s">
        <v>1363</v>
      </c>
      <c r="K794" s="247" t="s">
        <v>27</v>
      </c>
      <c r="L794" s="272"/>
      <c r="M794" s="272"/>
      <c r="N794" s="272"/>
      <c r="Q794" s="274"/>
    </row>
    <row r="795" spans="1:17" ht="12.75" customHeight="1" x14ac:dyDescent="0.35">
      <c r="A795" s="241">
        <v>38548</v>
      </c>
      <c r="B795" s="242" t="s">
        <v>1379</v>
      </c>
      <c r="C795" s="249" t="s">
        <v>502</v>
      </c>
      <c r="D795" s="249" t="s">
        <v>1279</v>
      </c>
      <c r="E795" s="249" t="s">
        <v>2368</v>
      </c>
      <c r="F795" s="244" t="s">
        <v>49</v>
      </c>
      <c r="G795" s="275" t="s">
        <v>79</v>
      </c>
      <c r="H795" s="276" t="s">
        <v>45</v>
      </c>
      <c r="I795" s="249" t="s">
        <v>1362</v>
      </c>
      <c r="J795" s="249" t="s">
        <v>1363</v>
      </c>
      <c r="K795" s="247" t="s">
        <v>27</v>
      </c>
    </row>
    <row r="796" spans="1:17" ht="12.75" customHeight="1" x14ac:dyDescent="0.35">
      <c r="A796" s="241">
        <v>38417</v>
      </c>
      <c r="B796" s="242" t="s">
        <v>1381</v>
      </c>
      <c r="C796" s="249" t="s">
        <v>1382</v>
      </c>
      <c r="D796" s="249" t="s">
        <v>1383</v>
      </c>
      <c r="E796" s="249" t="s">
        <v>2368</v>
      </c>
      <c r="F796" s="244" t="s">
        <v>43</v>
      </c>
      <c r="G796" s="275" t="s">
        <v>52</v>
      </c>
      <c r="H796" s="276" t="s">
        <v>51</v>
      </c>
      <c r="I796" s="249" t="s">
        <v>1362</v>
      </c>
      <c r="J796" s="249" t="s">
        <v>1363</v>
      </c>
      <c r="K796" s="247" t="s">
        <v>27</v>
      </c>
    </row>
    <row r="797" spans="1:17" ht="12.75" customHeight="1" x14ac:dyDescent="0.35">
      <c r="A797" s="241">
        <v>25891</v>
      </c>
      <c r="B797" s="242">
        <v>9111432</v>
      </c>
      <c r="C797" s="249" t="s">
        <v>1384</v>
      </c>
      <c r="D797" s="249" t="s">
        <v>479</v>
      </c>
      <c r="E797" s="249" t="s">
        <v>2368</v>
      </c>
      <c r="F797" s="244" t="s">
        <v>43</v>
      </c>
      <c r="G797" s="275" t="s">
        <v>44</v>
      </c>
      <c r="H797" s="276" t="s">
        <v>45</v>
      </c>
      <c r="I797" s="249" t="s">
        <v>1362</v>
      </c>
      <c r="J797" s="249" t="s">
        <v>1363</v>
      </c>
      <c r="K797" s="247" t="s">
        <v>27</v>
      </c>
    </row>
    <row r="798" spans="1:17" ht="12.75" customHeight="1" x14ac:dyDescent="0.35">
      <c r="A798" s="241">
        <v>38516</v>
      </c>
      <c r="B798" s="242" t="s">
        <v>1385</v>
      </c>
      <c r="C798" s="249" t="s">
        <v>1386</v>
      </c>
      <c r="D798" s="249" t="s">
        <v>317</v>
      </c>
      <c r="E798" s="249" t="s">
        <v>2368</v>
      </c>
      <c r="F798" s="244" t="s">
        <v>43</v>
      </c>
      <c r="G798" s="275" t="s">
        <v>52</v>
      </c>
      <c r="H798" s="276" t="s">
        <v>45</v>
      </c>
      <c r="I798" s="249" t="s">
        <v>1362</v>
      </c>
      <c r="J798" s="249" t="s">
        <v>1363</v>
      </c>
      <c r="K798" s="247" t="s">
        <v>27</v>
      </c>
    </row>
    <row r="799" spans="1:17" ht="12.75" customHeight="1" x14ac:dyDescent="0.35">
      <c r="A799" s="241">
        <v>7627</v>
      </c>
      <c r="B799" s="242" t="s">
        <v>1387</v>
      </c>
      <c r="C799" s="243" t="s">
        <v>1388</v>
      </c>
      <c r="D799" s="243" t="s">
        <v>616</v>
      </c>
      <c r="E799" s="243"/>
      <c r="F799" s="244" t="s">
        <v>49</v>
      </c>
      <c r="G799" s="275" t="s">
        <v>50</v>
      </c>
      <c r="H799" s="276" t="s">
        <v>45</v>
      </c>
      <c r="I799" s="243" t="s">
        <v>1362</v>
      </c>
      <c r="J799" s="243" t="s">
        <v>1363</v>
      </c>
      <c r="K799" s="247" t="s">
        <v>27</v>
      </c>
    </row>
    <row r="800" spans="1:17" ht="12.75" customHeight="1" x14ac:dyDescent="0.35">
      <c r="A800" s="241">
        <v>7620</v>
      </c>
      <c r="B800" s="242" t="s">
        <v>1389</v>
      </c>
      <c r="C800" s="243" t="s">
        <v>1388</v>
      </c>
      <c r="D800" s="243" t="s">
        <v>1075</v>
      </c>
      <c r="E800" s="243"/>
      <c r="F800" s="244" t="s">
        <v>43</v>
      </c>
      <c r="G800" s="275" t="s">
        <v>58</v>
      </c>
      <c r="H800" s="276" t="s">
        <v>45</v>
      </c>
      <c r="I800" s="243" t="s">
        <v>1362</v>
      </c>
      <c r="J800" s="243" t="s">
        <v>1363</v>
      </c>
      <c r="K800" s="247" t="s">
        <v>27</v>
      </c>
    </row>
    <row r="801" spans="1:17" ht="12.75" customHeight="1" x14ac:dyDescent="0.35">
      <c r="A801" s="241">
        <v>16672</v>
      </c>
      <c r="B801" s="242" t="s">
        <v>1390</v>
      </c>
      <c r="C801" s="243" t="s">
        <v>650</v>
      </c>
      <c r="D801" s="243" t="s">
        <v>61</v>
      </c>
      <c r="E801" s="243"/>
      <c r="F801" s="244" t="s">
        <v>43</v>
      </c>
      <c r="G801" s="275" t="s">
        <v>52</v>
      </c>
      <c r="H801" s="276" t="s">
        <v>45</v>
      </c>
      <c r="I801" s="243" t="s">
        <v>1362</v>
      </c>
      <c r="J801" s="243" t="s">
        <v>1363</v>
      </c>
      <c r="K801" s="247" t="s">
        <v>27</v>
      </c>
    </row>
    <row r="802" spans="1:17" ht="12.75" customHeight="1" x14ac:dyDescent="0.35">
      <c r="A802" s="241">
        <v>38391</v>
      </c>
      <c r="B802" s="242" t="s">
        <v>1391</v>
      </c>
      <c r="C802" s="249" t="s">
        <v>1392</v>
      </c>
      <c r="D802" s="249" t="s">
        <v>87</v>
      </c>
      <c r="E802" s="249" t="s">
        <v>2368</v>
      </c>
      <c r="F802" s="244" t="s">
        <v>43</v>
      </c>
      <c r="G802" s="275" t="s">
        <v>67</v>
      </c>
      <c r="H802" s="276" t="s">
        <v>66</v>
      </c>
      <c r="I802" s="249" t="s">
        <v>1362</v>
      </c>
      <c r="J802" s="249" t="s">
        <v>1363</v>
      </c>
      <c r="K802" s="247" t="s">
        <v>27</v>
      </c>
    </row>
    <row r="803" spans="1:17" ht="12.75" customHeight="1" x14ac:dyDescent="0.35">
      <c r="A803" s="241">
        <v>38392</v>
      </c>
      <c r="B803" s="242" t="s">
        <v>1502</v>
      </c>
      <c r="C803" s="249" t="s">
        <v>1392</v>
      </c>
      <c r="D803" s="249" t="s">
        <v>88</v>
      </c>
      <c r="E803" s="249" t="s">
        <v>2368</v>
      </c>
      <c r="F803" s="244" t="s">
        <v>43</v>
      </c>
      <c r="G803" s="275" t="s">
        <v>94</v>
      </c>
      <c r="H803" s="276" t="s">
        <v>66</v>
      </c>
      <c r="I803" s="249" t="s">
        <v>1362</v>
      </c>
      <c r="J803" s="249" t="s">
        <v>1363</v>
      </c>
      <c r="K803" s="247" t="s">
        <v>27</v>
      </c>
    </row>
    <row r="804" spans="1:17" ht="12.75" customHeight="1" x14ac:dyDescent="0.35">
      <c r="A804" s="241">
        <v>38586</v>
      </c>
      <c r="B804" s="242" t="s">
        <v>1393</v>
      </c>
      <c r="C804" s="249" t="s">
        <v>1394</v>
      </c>
      <c r="D804" s="249" t="s">
        <v>73</v>
      </c>
      <c r="E804" s="249" t="s">
        <v>2368</v>
      </c>
      <c r="F804" s="244" t="s">
        <v>43</v>
      </c>
      <c r="G804" s="275" t="s">
        <v>44</v>
      </c>
      <c r="H804" s="276" t="s">
        <v>45</v>
      </c>
      <c r="I804" s="249" t="s">
        <v>1362</v>
      </c>
      <c r="J804" s="249" t="s">
        <v>1363</v>
      </c>
      <c r="K804" s="247" t="s">
        <v>27</v>
      </c>
    </row>
    <row r="805" spans="1:17" ht="12.75" customHeight="1" x14ac:dyDescent="0.35">
      <c r="A805" s="241">
        <v>38530</v>
      </c>
      <c r="B805" s="242" t="s">
        <v>1395</v>
      </c>
      <c r="C805" s="243" t="s">
        <v>1396</v>
      </c>
      <c r="D805" s="243" t="s">
        <v>195</v>
      </c>
      <c r="E805" s="243"/>
      <c r="F805" s="244" t="s">
        <v>43</v>
      </c>
      <c r="G805" s="275" t="s">
        <v>44</v>
      </c>
      <c r="H805" s="276" t="s">
        <v>180</v>
      </c>
      <c r="I805" s="243" t="s">
        <v>1362</v>
      </c>
      <c r="J805" s="243" t="s">
        <v>1363</v>
      </c>
      <c r="K805" s="247" t="s">
        <v>27</v>
      </c>
    </row>
    <row r="806" spans="1:17" ht="12.75" customHeight="1" x14ac:dyDescent="0.35">
      <c r="A806" s="241">
        <v>16187</v>
      </c>
      <c r="B806" s="242" t="s">
        <v>108</v>
      </c>
      <c r="C806" s="243" t="s">
        <v>109</v>
      </c>
      <c r="D806" s="243" t="s">
        <v>93</v>
      </c>
      <c r="E806" s="243"/>
      <c r="F806" s="244" t="s">
        <v>43</v>
      </c>
      <c r="G806" s="275" t="s">
        <v>44</v>
      </c>
      <c r="H806" s="276" t="s">
        <v>45</v>
      </c>
      <c r="I806" s="243" t="s">
        <v>1362</v>
      </c>
      <c r="J806" s="243" t="s">
        <v>1363</v>
      </c>
      <c r="K806" s="247" t="s">
        <v>27</v>
      </c>
    </row>
    <row r="807" spans="1:17" ht="12.75" customHeight="1" x14ac:dyDescent="0.35">
      <c r="A807" s="241">
        <v>16185</v>
      </c>
      <c r="B807" s="242" t="s">
        <v>121</v>
      </c>
      <c r="C807" s="249" t="s">
        <v>109</v>
      </c>
      <c r="D807" s="249" t="s">
        <v>122</v>
      </c>
      <c r="E807" s="249" t="s">
        <v>2368</v>
      </c>
      <c r="F807" s="244" t="s">
        <v>43</v>
      </c>
      <c r="G807" s="275" t="s">
        <v>44</v>
      </c>
      <c r="H807" s="276" t="s">
        <v>180</v>
      </c>
      <c r="I807" s="243" t="s">
        <v>1362</v>
      </c>
      <c r="J807" s="243" t="s">
        <v>1363</v>
      </c>
      <c r="K807" s="247" t="s">
        <v>27</v>
      </c>
    </row>
    <row r="808" spans="1:17" ht="12.75" customHeight="1" x14ac:dyDescent="0.35">
      <c r="A808" s="241">
        <v>25344</v>
      </c>
      <c r="B808" s="242" t="s">
        <v>1413</v>
      </c>
      <c r="C808" s="243" t="s">
        <v>1414</v>
      </c>
      <c r="D808" s="243" t="s">
        <v>1274</v>
      </c>
      <c r="E808" s="243"/>
      <c r="F808" s="244" t="s">
        <v>49</v>
      </c>
      <c r="G808" s="275" t="s">
        <v>79</v>
      </c>
      <c r="H808" s="276" t="s">
        <v>45</v>
      </c>
      <c r="I808" s="243" t="s">
        <v>1415</v>
      </c>
      <c r="J808" s="243" t="s">
        <v>1363</v>
      </c>
      <c r="K808" s="247" t="s">
        <v>27</v>
      </c>
    </row>
    <row r="809" spans="1:17" ht="12.75" customHeight="1" x14ac:dyDescent="0.35">
      <c r="A809" s="241">
        <v>7422</v>
      </c>
      <c r="B809" s="242" t="s">
        <v>1416</v>
      </c>
      <c r="C809" s="243" t="s">
        <v>1417</v>
      </c>
      <c r="D809" s="243" t="s">
        <v>179</v>
      </c>
      <c r="E809" s="243"/>
      <c r="F809" s="244" t="s">
        <v>43</v>
      </c>
      <c r="G809" s="275" t="s">
        <v>44</v>
      </c>
      <c r="H809" s="276"/>
      <c r="I809" s="243" t="s">
        <v>1415</v>
      </c>
      <c r="J809" s="243" t="s">
        <v>1363</v>
      </c>
      <c r="K809" s="247" t="s">
        <v>27</v>
      </c>
      <c r="L809" s="272"/>
      <c r="M809" s="272"/>
      <c r="N809" s="272"/>
      <c r="Q809" s="274"/>
    </row>
    <row r="810" spans="1:17" ht="12.75" customHeight="1" x14ac:dyDescent="0.35">
      <c r="A810" s="241">
        <v>25083</v>
      </c>
      <c r="B810" s="242" t="s">
        <v>1418</v>
      </c>
      <c r="C810" s="243" t="s">
        <v>1419</v>
      </c>
      <c r="D810" s="243" t="s">
        <v>159</v>
      </c>
      <c r="E810" s="243"/>
      <c r="F810" s="244" t="s">
        <v>49</v>
      </c>
      <c r="G810" s="275" t="s">
        <v>79</v>
      </c>
      <c r="H810" s="276" t="s">
        <v>180</v>
      </c>
      <c r="I810" s="243" t="s">
        <v>1415</v>
      </c>
      <c r="J810" s="243" t="s">
        <v>1363</v>
      </c>
      <c r="K810" s="247" t="s">
        <v>27</v>
      </c>
    </row>
    <row r="811" spans="1:17" ht="12.75" customHeight="1" x14ac:dyDescent="0.35">
      <c r="A811" s="241">
        <v>25010</v>
      </c>
      <c r="B811" s="242" t="s">
        <v>1420</v>
      </c>
      <c r="C811" s="249" t="s">
        <v>1421</v>
      </c>
      <c r="D811" s="249" t="s">
        <v>690</v>
      </c>
      <c r="E811" s="249" t="s">
        <v>2368</v>
      </c>
      <c r="F811" s="244" t="s">
        <v>49</v>
      </c>
      <c r="G811" s="275" t="s">
        <v>50</v>
      </c>
      <c r="H811" s="276" t="s">
        <v>66</v>
      </c>
      <c r="I811" s="249" t="s">
        <v>1415</v>
      </c>
      <c r="J811" s="249" t="s">
        <v>1363</v>
      </c>
      <c r="K811" s="247" t="s">
        <v>27</v>
      </c>
    </row>
    <row r="812" spans="1:17" ht="12.75" customHeight="1" x14ac:dyDescent="0.35">
      <c r="A812" s="241">
        <v>7408</v>
      </c>
      <c r="B812" s="242">
        <v>9111164</v>
      </c>
      <c r="C812" s="243" t="s">
        <v>1422</v>
      </c>
      <c r="D812" s="243" t="s">
        <v>986</v>
      </c>
      <c r="E812" s="243"/>
      <c r="F812" s="244" t="s">
        <v>43</v>
      </c>
      <c r="G812" s="275" t="s">
        <v>44</v>
      </c>
      <c r="H812" s="276" t="s">
        <v>239</v>
      </c>
      <c r="I812" s="243" t="s">
        <v>1415</v>
      </c>
      <c r="J812" s="243" t="s">
        <v>1363</v>
      </c>
      <c r="K812" s="247" t="s">
        <v>27</v>
      </c>
    </row>
    <row r="813" spans="1:17" ht="12.75" customHeight="1" x14ac:dyDescent="0.35">
      <c r="A813" s="241">
        <v>16762</v>
      </c>
      <c r="B813" s="242" t="s">
        <v>1423</v>
      </c>
      <c r="C813" s="243" t="s">
        <v>1424</v>
      </c>
      <c r="D813" s="243" t="s">
        <v>116</v>
      </c>
      <c r="E813" s="243"/>
      <c r="F813" s="244" t="s">
        <v>43</v>
      </c>
      <c r="G813" s="275" t="s">
        <v>52</v>
      </c>
      <c r="H813" s="276"/>
      <c r="I813" s="243" t="s">
        <v>1415</v>
      </c>
      <c r="J813" s="243" t="s">
        <v>1363</v>
      </c>
      <c r="K813" s="247" t="s">
        <v>27</v>
      </c>
    </row>
    <row r="814" spans="1:17" ht="12.75" customHeight="1" x14ac:dyDescent="0.35">
      <c r="A814" s="241">
        <v>16712</v>
      </c>
      <c r="B814" s="242" t="s">
        <v>1427</v>
      </c>
      <c r="C814" s="243" t="s">
        <v>1428</v>
      </c>
      <c r="D814" s="243" t="s">
        <v>746</v>
      </c>
      <c r="E814" s="243"/>
      <c r="F814" s="244" t="s">
        <v>49</v>
      </c>
      <c r="G814" s="275" t="s">
        <v>79</v>
      </c>
      <c r="H814" s="276" t="s">
        <v>180</v>
      </c>
      <c r="I814" s="243" t="s">
        <v>1415</v>
      </c>
      <c r="J814" s="243" t="s">
        <v>1363</v>
      </c>
      <c r="K814" s="247" t="s">
        <v>27</v>
      </c>
    </row>
    <row r="815" spans="1:17" ht="12.75" customHeight="1" x14ac:dyDescent="0.35">
      <c r="A815" s="241">
        <v>7600</v>
      </c>
      <c r="B815" s="242" t="s">
        <v>1429</v>
      </c>
      <c r="C815" s="243" t="s">
        <v>1430</v>
      </c>
      <c r="D815" s="243" t="s">
        <v>496</v>
      </c>
      <c r="E815" s="243"/>
      <c r="F815" s="244" t="s">
        <v>43</v>
      </c>
      <c r="G815" s="275" t="s">
        <v>44</v>
      </c>
      <c r="H815" s="276" t="s">
        <v>66</v>
      </c>
      <c r="I815" s="243" t="s">
        <v>1415</v>
      </c>
      <c r="J815" s="243" t="s">
        <v>1363</v>
      </c>
      <c r="K815" s="247" t="s">
        <v>27</v>
      </c>
    </row>
    <row r="816" spans="1:17" ht="12.75" customHeight="1" x14ac:dyDescent="0.35">
      <c r="A816" s="241">
        <v>7601</v>
      </c>
      <c r="B816" s="242" t="s">
        <v>1431</v>
      </c>
      <c r="C816" s="243" t="s">
        <v>1430</v>
      </c>
      <c r="D816" s="243" t="s">
        <v>1432</v>
      </c>
      <c r="E816" s="243"/>
      <c r="F816" s="244" t="s">
        <v>43</v>
      </c>
      <c r="G816" s="275" t="s">
        <v>52</v>
      </c>
      <c r="H816" s="276" t="s">
        <v>66</v>
      </c>
      <c r="I816" s="243" t="s">
        <v>1415</v>
      </c>
      <c r="J816" s="243" t="s">
        <v>1363</v>
      </c>
      <c r="K816" s="247" t="s">
        <v>27</v>
      </c>
    </row>
    <row r="817" spans="1:17" ht="12.75" customHeight="1" x14ac:dyDescent="0.35">
      <c r="A817" s="241">
        <v>7251</v>
      </c>
      <c r="B817" s="242" t="s">
        <v>1433</v>
      </c>
      <c r="C817" s="243" t="s">
        <v>1434</v>
      </c>
      <c r="D817" s="243" t="s">
        <v>483</v>
      </c>
      <c r="E817" s="243"/>
      <c r="F817" s="244" t="s">
        <v>43</v>
      </c>
      <c r="G817" s="275" t="s">
        <v>52</v>
      </c>
      <c r="H817" s="276" t="s">
        <v>45</v>
      </c>
      <c r="I817" s="243" t="s">
        <v>1415</v>
      </c>
      <c r="J817" s="243" t="s">
        <v>1363</v>
      </c>
      <c r="K817" s="247" t="s">
        <v>27</v>
      </c>
    </row>
    <row r="818" spans="1:17" ht="12.75" customHeight="1" x14ac:dyDescent="0.35">
      <c r="A818" s="241">
        <v>7443</v>
      </c>
      <c r="B818" s="242" t="s">
        <v>1435</v>
      </c>
      <c r="C818" s="243" t="s">
        <v>1434</v>
      </c>
      <c r="D818" s="243" t="s">
        <v>1436</v>
      </c>
      <c r="E818" s="243"/>
      <c r="F818" s="244" t="s">
        <v>49</v>
      </c>
      <c r="G818" s="275" t="s">
        <v>139</v>
      </c>
      <c r="H818" s="276" t="s">
        <v>45</v>
      </c>
      <c r="I818" s="243" t="s">
        <v>1415</v>
      </c>
      <c r="J818" s="243" t="s">
        <v>1363</v>
      </c>
      <c r="K818" s="247" t="s">
        <v>27</v>
      </c>
    </row>
    <row r="819" spans="1:17" ht="12.75" customHeight="1" x14ac:dyDescent="0.35">
      <c r="A819" s="241">
        <v>7416</v>
      </c>
      <c r="B819" s="242" t="s">
        <v>1437</v>
      </c>
      <c r="C819" s="243" t="s">
        <v>729</v>
      </c>
      <c r="D819" s="243" t="s">
        <v>369</v>
      </c>
      <c r="E819" s="243"/>
      <c r="F819" s="244" t="s">
        <v>43</v>
      </c>
      <c r="G819" s="275" t="s">
        <v>44</v>
      </c>
      <c r="H819" s="276" t="s">
        <v>180</v>
      </c>
      <c r="I819" s="243" t="s">
        <v>1415</v>
      </c>
      <c r="J819" s="243" t="s">
        <v>1363</v>
      </c>
      <c r="K819" s="247" t="s">
        <v>27</v>
      </c>
    </row>
    <row r="820" spans="1:17" ht="12.75" customHeight="1" x14ac:dyDescent="0.35">
      <c r="A820" s="241">
        <v>38099</v>
      </c>
      <c r="B820" s="242" t="s">
        <v>1440</v>
      </c>
      <c r="C820" s="249" t="s">
        <v>1439</v>
      </c>
      <c r="D820" s="249" t="s">
        <v>143</v>
      </c>
      <c r="E820" s="249" t="s">
        <v>2368</v>
      </c>
      <c r="F820" s="244" t="s">
        <v>43</v>
      </c>
      <c r="G820" s="275" t="s">
        <v>52</v>
      </c>
      <c r="H820" s="276"/>
      <c r="I820" s="249" t="s">
        <v>1415</v>
      </c>
      <c r="J820" s="249" t="s">
        <v>1363</v>
      </c>
      <c r="K820" s="247" t="s">
        <v>27</v>
      </c>
    </row>
    <row r="821" spans="1:17" ht="12.75" customHeight="1" x14ac:dyDescent="0.35">
      <c r="A821" s="241">
        <v>7424</v>
      </c>
      <c r="B821" s="242" t="s">
        <v>1441</v>
      </c>
      <c r="C821" s="243" t="s">
        <v>1442</v>
      </c>
      <c r="D821" s="243" t="s">
        <v>1443</v>
      </c>
      <c r="E821" s="243" t="s">
        <v>772</v>
      </c>
      <c r="F821" s="244" t="s">
        <v>43</v>
      </c>
      <c r="G821" s="275" t="s">
        <v>52</v>
      </c>
      <c r="H821" s="276" t="s">
        <v>45</v>
      </c>
      <c r="I821" s="243" t="s">
        <v>1415</v>
      </c>
      <c r="J821" s="243" t="s">
        <v>1363</v>
      </c>
      <c r="K821" s="247" t="s">
        <v>27</v>
      </c>
    </row>
    <row r="822" spans="1:17" ht="12.75" customHeight="1" x14ac:dyDescent="0.35">
      <c r="A822" s="241">
        <v>7439</v>
      </c>
      <c r="B822" s="242" t="s">
        <v>1444</v>
      </c>
      <c r="C822" s="249" t="s">
        <v>1442</v>
      </c>
      <c r="D822" s="249" t="s">
        <v>1445</v>
      </c>
      <c r="E822" s="249" t="s">
        <v>772</v>
      </c>
      <c r="F822" s="244" t="s">
        <v>49</v>
      </c>
      <c r="G822" s="275" t="s">
        <v>139</v>
      </c>
      <c r="H822" s="276" t="s">
        <v>45</v>
      </c>
      <c r="I822" s="243" t="s">
        <v>1415</v>
      </c>
      <c r="J822" s="249" t="s">
        <v>1363</v>
      </c>
      <c r="K822" s="247" t="s">
        <v>27</v>
      </c>
    </row>
    <row r="823" spans="1:17" ht="12.75" customHeight="1" x14ac:dyDescent="0.35">
      <c r="A823" s="241">
        <v>7415</v>
      </c>
      <c r="B823" s="242" t="s">
        <v>1984</v>
      </c>
      <c r="C823" s="243" t="s">
        <v>1446</v>
      </c>
      <c r="D823" s="243" t="s">
        <v>238</v>
      </c>
      <c r="E823" s="243"/>
      <c r="F823" s="244" t="s">
        <v>43</v>
      </c>
      <c r="G823" s="275" t="s">
        <v>52</v>
      </c>
      <c r="H823" s="276" t="s">
        <v>66</v>
      </c>
      <c r="I823" s="243" t="s">
        <v>1415</v>
      </c>
      <c r="J823" s="243" t="s">
        <v>1363</v>
      </c>
      <c r="K823" s="247" t="s">
        <v>27</v>
      </c>
      <c r="L823" s="272"/>
      <c r="M823" s="272"/>
      <c r="N823" s="272"/>
      <c r="Q823" s="274"/>
    </row>
    <row r="824" spans="1:17" ht="12.75" customHeight="1" x14ac:dyDescent="0.35">
      <c r="A824" s="241">
        <v>25722</v>
      </c>
      <c r="B824" s="242">
        <v>9091279</v>
      </c>
      <c r="C824" s="249" t="s">
        <v>1446</v>
      </c>
      <c r="D824" s="249" t="s">
        <v>496</v>
      </c>
      <c r="E824" s="249" t="s">
        <v>2368</v>
      </c>
      <c r="F824" s="244" t="s">
        <v>43</v>
      </c>
      <c r="G824" s="275" t="s">
        <v>44</v>
      </c>
      <c r="H824" s="276" t="s">
        <v>45</v>
      </c>
      <c r="I824" s="249" t="s">
        <v>1415</v>
      </c>
      <c r="J824" s="249" t="s">
        <v>1363</v>
      </c>
      <c r="K824" s="247" t="s">
        <v>27</v>
      </c>
    </row>
    <row r="825" spans="1:17" ht="12.75" customHeight="1" x14ac:dyDescent="0.35">
      <c r="A825" s="241">
        <v>38713</v>
      </c>
      <c r="B825" s="242" t="s">
        <v>1985</v>
      </c>
      <c r="C825" s="249" t="s">
        <v>1666</v>
      </c>
      <c r="D825" s="249" t="s">
        <v>1986</v>
      </c>
      <c r="E825" s="249" t="s">
        <v>2368</v>
      </c>
      <c r="F825" s="244" t="s">
        <v>49</v>
      </c>
      <c r="G825" s="275" t="s">
        <v>139</v>
      </c>
      <c r="H825" s="276" t="s">
        <v>66</v>
      </c>
      <c r="I825" s="249" t="s">
        <v>1449</v>
      </c>
      <c r="J825" s="249" t="s">
        <v>1363</v>
      </c>
      <c r="K825" s="247" t="s">
        <v>27</v>
      </c>
    </row>
    <row r="826" spans="1:17" ht="12.75" customHeight="1" x14ac:dyDescent="0.35">
      <c r="A826" s="241">
        <v>38216</v>
      </c>
      <c r="B826" s="242" t="s">
        <v>1447</v>
      </c>
      <c r="C826" s="249" t="s">
        <v>1448</v>
      </c>
      <c r="D826" s="249" t="s">
        <v>361</v>
      </c>
      <c r="E826" s="249" t="s">
        <v>2368</v>
      </c>
      <c r="F826" s="244" t="s">
        <v>43</v>
      </c>
      <c r="G826" s="275" t="s">
        <v>44</v>
      </c>
      <c r="H826" s="276" t="s">
        <v>66</v>
      </c>
      <c r="I826" s="249" t="s">
        <v>1449</v>
      </c>
      <c r="J826" s="249" t="s">
        <v>1363</v>
      </c>
      <c r="K826" s="247" t="s">
        <v>27</v>
      </c>
    </row>
    <row r="827" spans="1:17" ht="12.75" customHeight="1" x14ac:dyDescent="0.35">
      <c r="A827" s="241">
        <v>38677</v>
      </c>
      <c r="B827" s="242" t="s">
        <v>2214</v>
      </c>
      <c r="C827" s="249" t="s">
        <v>2215</v>
      </c>
      <c r="D827" s="249" t="s">
        <v>2216</v>
      </c>
      <c r="E827" s="249" t="s">
        <v>2368</v>
      </c>
      <c r="F827" s="244" t="s">
        <v>49</v>
      </c>
      <c r="G827" s="275" t="s">
        <v>139</v>
      </c>
      <c r="H827" s="276" t="s">
        <v>51</v>
      </c>
      <c r="I827" s="249" t="s">
        <v>1449</v>
      </c>
      <c r="J827" s="249" t="s">
        <v>1363</v>
      </c>
      <c r="K827" s="247" t="s">
        <v>27</v>
      </c>
    </row>
    <row r="828" spans="1:17" ht="12.75" customHeight="1" x14ac:dyDescent="0.35">
      <c r="A828" s="241">
        <v>38667</v>
      </c>
      <c r="B828" s="242" t="s">
        <v>458</v>
      </c>
      <c r="C828" s="243" t="s">
        <v>459</v>
      </c>
      <c r="D828" s="243" t="s">
        <v>460</v>
      </c>
      <c r="E828" s="243"/>
      <c r="F828" s="244" t="s">
        <v>49</v>
      </c>
      <c r="G828" s="275" t="s">
        <v>228</v>
      </c>
      <c r="H828" s="276" t="s">
        <v>104</v>
      </c>
      <c r="I828" s="243" t="s">
        <v>1449</v>
      </c>
      <c r="J828" s="243" t="s">
        <v>1363</v>
      </c>
      <c r="K828" s="247" t="s">
        <v>27</v>
      </c>
      <c r="L828" s="272"/>
      <c r="M828" s="272"/>
      <c r="N828" s="272"/>
      <c r="Q828" s="274"/>
    </row>
    <row r="829" spans="1:17" ht="12.75" customHeight="1" x14ac:dyDescent="0.35">
      <c r="A829" s="241">
        <v>38666</v>
      </c>
      <c r="B829" s="242" t="s">
        <v>461</v>
      </c>
      <c r="C829" s="243" t="s">
        <v>459</v>
      </c>
      <c r="D829" s="243" t="s">
        <v>73</v>
      </c>
      <c r="E829" s="243"/>
      <c r="F829" s="244" t="s">
        <v>43</v>
      </c>
      <c r="G829" s="275" t="s">
        <v>58</v>
      </c>
      <c r="H829" s="276" t="s">
        <v>104</v>
      </c>
      <c r="I829" s="243" t="s">
        <v>1449</v>
      </c>
      <c r="J829" s="243" t="s">
        <v>1363</v>
      </c>
      <c r="K829" s="247" t="s">
        <v>27</v>
      </c>
      <c r="L829" s="272"/>
      <c r="M829" s="272"/>
      <c r="N829" s="272"/>
      <c r="Q829" s="274"/>
    </row>
    <row r="830" spans="1:17" ht="12.75" customHeight="1" x14ac:dyDescent="0.35">
      <c r="A830" s="241">
        <v>25711</v>
      </c>
      <c r="B830" s="242">
        <v>9091132</v>
      </c>
      <c r="C830" s="249" t="s">
        <v>1450</v>
      </c>
      <c r="D830" s="249" t="s">
        <v>87</v>
      </c>
      <c r="E830" s="249" t="s">
        <v>2368</v>
      </c>
      <c r="F830" s="244" t="s">
        <v>43</v>
      </c>
      <c r="G830" s="275" t="s">
        <v>44</v>
      </c>
      <c r="H830" s="276" t="s">
        <v>66</v>
      </c>
      <c r="I830" s="249" t="s">
        <v>1449</v>
      </c>
      <c r="J830" s="249" t="s">
        <v>1363</v>
      </c>
      <c r="K830" s="247" t="s">
        <v>27</v>
      </c>
      <c r="L830" s="272"/>
      <c r="M830" s="272"/>
      <c r="N830" s="272"/>
      <c r="Q830" s="274"/>
    </row>
    <row r="831" spans="1:17" ht="12.75" customHeight="1" x14ac:dyDescent="0.35">
      <c r="A831" s="241">
        <v>38579</v>
      </c>
      <c r="B831" s="242" t="s">
        <v>1398</v>
      </c>
      <c r="C831" s="249" t="s">
        <v>1399</v>
      </c>
      <c r="D831" s="249" t="s">
        <v>1400</v>
      </c>
      <c r="E831" s="249" t="s">
        <v>2368</v>
      </c>
      <c r="F831" s="244" t="s">
        <v>49</v>
      </c>
      <c r="G831" s="275" t="s">
        <v>79</v>
      </c>
      <c r="H831" s="276"/>
      <c r="I831" s="249" t="s">
        <v>1449</v>
      </c>
      <c r="J831" s="249" t="s">
        <v>1363</v>
      </c>
      <c r="K831" s="247" t="s">
        <v>27</v>
      </c>
    </row>
    <row r="832" spans="1:17" s="269" customFormat="1" ht="12.75" customHeight="1" x14ac:dyDescent="0.45">
      <c r="A832" s="241">
        <v>25821</v>
      </c>
      <c r="B832" s="242" t="s">
        <v>2286</v>
      </c>
      <c r="C832" s="243" t="s">
        <v>312</v>
      </c>
      <c r="D832" s="243" t="s">
        <v>184</v>
      </c>
      <c r="E832" s="243"/>
      <c r="F832" s="244" t="s">
        <v>43</v>
      </c>
      <c r="G832" s="275" t="s">
        <v>52</v>
      </c>
      <c r="H832" s="276" t="s">
        <v>45</v>
      </c>
      <c r="I832" s="243" t="s">
        <v>1449</v>
      </c>
      <c r="J832" s="243" t="s">
        <v>1363</v>
      </c>
      <c r="K832" s="247" t="s">
        <v>27</v>
      </c>
    </row>
    <row r="833" spans="1:17" s="269" customFormat="1" ht="12.75" customHeight="1" x14ac:dyDescent="0.45">
      <c r="A833" s="241">
        <v>25822</v>
      </c>
      <c r="B833" s="242" t="s">
        <v>1451</v>
      </c>
      <c r="C833" s="243" t="s">
        <v>312</v>
      </c>
      <c r="D833" s="243" t="s">
        <v>669</v>
      </c>
      <c r="E833" s="243"/>
      <c r="F833" s="244" t="s">
        <v>43</v>
      </c>
      <c r="G833" s="275" t="s">
        <v>44</v>
      </c>
      <c r="H833" s="276" t="s">
        <v>239</v>
      </c>
      <c r="I833" s="243" t="s">
        <v>1449</v>
      </c>
      <c r="J833" s="243" t="s">
        <v>1363</v>
      </c>
      <c r="K833" s="247" t="s">
        <v>27</v>
      </c>
    </row>
    <row r="834" spans="1:17" s="269" customFormat="1" ht="12.75" customHeight="1" x14ac:dyDescent="0.45">
      <c r="A834" s="241">
        <v>25826</v>
      </c>
      <c r="B834" s="242" t="s">
        <v>2287</v>
      </c>
      <c r="C834" s="243" t="s">
        <v>1455</v>
      </c>
      <c r="D834" s="243" t="s">
        <v>122</v>
      </c>
      <c r="E834" s="243"/>
      <c r="F834" s="244" t="s">
        <v>43</v>
      </c>
      <c r="G834" s="275" t="s">
        <v>44</v>
      </c>
      <c r="H834" s="276" t="s">
        <v>66</v>
      </c>
      <c r="I834" s="243" t="s">
        <v>1449</v>
      </c>
      <c r="J834" s="243" t="s">
        <v>1363</v>
      </c>
      <c r="K834" s="247" t="s">
        <v>27</v>
      </c>
    </row>
    <row r="835" spans="1:17" s="269" customFormat="1" ht="12.75" customHeight="1" x14ac:dyDescent="0.45">
      <c r="A835" s="241">
        <v>38652</v>
      </c>
      <c r="B835" s="242" t="s">
        <v>1402</v>
      </c>
      <c r="C835" s="249" t="s">
        <v>1403</v>
      </c>
      <c r="D835" s="249" t="s">
        <v>1404</v>
      </c>
      <c r="E835" s="249" t="s">
        <v>2368</v>
      </c>
      <c r="F835" s="244" t="s">
        <v>43</v>
      </c>
      <c r="G835" s="275" t="s">
        <v>44</v>
      </c>
      <c r="H835" s="276" t="s">
        <v>66</v>
      </c>
      <c r="I835" s="249" t="s">
        <v>1449</v>
      </c>
      <c r="J835" s="249" t="s">
        <v>1363</v>
      </c>
      <c r="K835" s="247" t="s">
        <v>27</v>
      </c>
    </row>
    <row r="836" spans="1:17" s="269" customFormat="1" ht="12.75" customHeight="1" x14ac:dyDescent="0.45">
      <c r="A836" s="241">
        <v>38577</v>
      </c>
      <c r="B836" s="242" t="s">
        <v>1405</v>
      </c>
      <c r="C836" s="249" t="s">
        <v>1406</v>
      </c>
      <c r="D836" s="249" t="s">
        <v>65</v>
      </c>
      <c r="E836" s="249" t="s">
        <v>2368</v>
      </c>
      <c r="F836" s="244" t="s">
        <v>43</v>
      </c>
      <c r="G836" s="275" t="s">
        <v>52</v>
      </c>
      <c r="H836" s="276" t="s">
        <v>66</v>
      </c>
      <c r="I836" s="249" t="s">
        <v>1449</v>
      </c>
      <c r="J836" s="249" t="s">
        <v>1363</v>
      </c>
      <c r="K836" s="247" t="s">
        <v>27</v>
      </c>
    </row>
    <row r="837" spans="1:17" s="280" customFormat="1" ht="12.75" customHeight="1" x14ac:dyDescent="0.35">
      <c r="A837" s="241">
        <v>38384</v>
      </c>
      <c r="B837" s="242" t="s">
        <v>1456</v>
      </c>
      <c r="C837" s="243" t="s">
        <v>1457</v>
      </c>
      <c r="D837" s="243" t="s">
        <v>361</v>
      </c>
      <c r="E837" s="243"/>
      <c r="F837" s="244" t="s">
        <v>43</v>
      </c>
      <c r="G837" s="275" t="s">
        <v>67</v>
      </c>
      <c r="H837" s="276"/>
      <c r="I837" s="243" t="s">
        <v>1449</v>
      </c>
      <c r="J837" s="243" t="s">
        <v>1363</v>
      </c>
      <c r="K837" s="260" t="s">
        <v>27</v>
      </c>
    </row>
    <row r="838" spans="1:17" s="269" customFormat="1" ht="12.75" customHeight="1" x14ac:dyDescent="0.45">
      <c r="A838" s="241">
        <v>38627</v>
      </c>
      <c r="B838" s="242" t="s">
        <v>2351</v>
      </c>
      <c r="C838" s="249" t="s">
        <v>2352</v>
      </c>
      <c r="D838" s="249" t="s">
        <v>1114</v>
      </c>
      <c r="E838" s="249" t="s">
        <v>2368</v>
      </c>
      <c r="F838" s="244" t="s">
        <v>49</v>
      </c>
      <c r="G838" s="250" t="s">
        <v>50</v>
      </c>
      <c r="H838" s="251">
        <v>0</v>
      </c>
      <c r="I838" s="249" t="s">
        <v>1449</v>
      </c>
      <c r="J838" s="249" t="s">
        <v>1363</v>
      </c>
      <c r="K838" s="247" t="s">
        <v>27</v>
      </c>
    </row>
    <row r="839" spans="1:17" ht="12.75" customHeight="1" x14ac:dyDescent="0.35">
      <c r="A839" s="241">
        <v>7674</v>
      </c>
      <c r="B839" s="242">
        <v>9111434</v>
      </c>
      <c r="C839" s="243" t="s">
        <v>1458</v>
      </c>
      <c r="D839" s="243" t="s">
        <v>87</v>
      </c>
      <c r="E839" s="243"/>
      <c r="F839" s="244" t="s">
        <v>43</v>
      </c>
      <c r="G839" s="245" t="s">
        <v>44</v>
      </c>
      <c r="H839" s="246">
        <v>0</v>
      </c>
      <c r="I839" s="243" t="s">
        <v>1449</v>
      </c>
      <c r="J839" s="243" t="s">
        <v>1363</v>
      </c>
      <c r="K839" s="247" t="s">
        <v>27</v>
      </c>
    </row>
    <row r="840" spans="1:17" ht="12.75" customHeight="1" x14ac:dyDescent="0.35">
      <c r="A840" s="241">
        <v>38356</v>
      </c>
      <c r="B840" s="242" t="s">
        <v>1459</v>
      </c>
      <c r="C840" s="243" t="s">
        <v>1460</v>
      </c>
      <c r="D840" s="243" t="s">
        <v>413</v>
      </c>
      <c r="E840" s="243"/>
      <c r="F840" s="244" t="s">
        <v>49</v>
      </c>
      <c r="G840" s="275" t="s">
        <v>79</v>
      </c>
      <c r="H840" s="276" t="s">
        <v>45</v>
      </c>
      <c r="I840" s="243" t="s">
        <v>1449</v>
      </c>
      <c r="J840" s="243" t="s">
        <v>1363</v>
      </c>
      <c r="K840" s="247" t="s">
        <v>27</v>
      </c>
      <c r="L840" s="272"/>
      <c r="M840" s="272"/>
      <c r="N840" s="272"/>
      <c r="Q840" s="274"/>
    </row>
    <row r="841" spans="1:17" ht="12.75" customHeight="1" x14ac:dyDescent="0.35">
      <c r="A841" s="241">
        <v>3234</v>
      </c>
      <c r="B841" s="242" t="s">
        <v>2525</v>
      </c>
      <c r="C841" s="249" t="s">
        <v>69</v>
      </c>
      <c r="D841" s="249" t="s">
        <v>238</v>
      </c>
      <c r="E841" s="249" t="s">
        <v>2368</v>
      </c>
      <c r="F841" s="244" t="s">
        <v>43</v>
      </c>
      <c r="G841" s="245" t="s">
        <v>52</v>
      </c>
      <c r="H841" s="246" t="s">
        <v>51</v>
      </c>
      <c r="I841" s="249" t="s">
        <v>1449</v>
      </c>
      <c r="J841" s="249" t="s">
        <v>1363</v>
      </c>
      <c r="K841" s="247" t="s">
        <v>27</v>
      </c>
    </row>
    <row r="842" spans="1:17" ht="12.75" customHeight="1" x14ac:dyDescent="0.35">
      <c r="A842" s="241">
        <v>3233</v>
      </c>
      <c r="B842" s="242" t="s">
        <v>2526</v>
      </c>
      <c r="C842" s="249" t="s">
        <v>69</v>
      </c>
      <c r="D842" s="249" t="s">
        <v>1445</v>
      </c>
      <c r="E842" s="249" t="s">
        <v>2368</v>
      </c>
      <c r="F842" s="244" t="s">
        <v>49</v>
      </c>
      <c r="G842" s="245" t="s">
        <v>50</v>
      </c>
      <c r="H842" s="246" t="s">
        <v>45</v>
      </c>
      <c r="I842" s="249" t="s">
        <v>1449</v>
      </c>
      <c r="J842" s="249" t="s">
        <v>1363</v>
      </c>
      <c r="K842" s="247" t="s">
        <v>27</v>
      </c>
    </row>
    <row r="843" spans="1:17" ht="12.75" customHeight="1" x14ac:dyDescent="0.35">
      <c r="A843" s="241">
        <v>38547</v>
      </c>
      <c r="B843" s="242" t="s">
        <v>1461</v>
      </c>
      <c r="C843" s="249" t="s">
        <v>1462</v>
      </c>
      <c r="D843" s="249" t="s">
        <v>1463</v>
      </c>
      <c r="E843" s="249" t="s">
        <v>2368</v>
      </c>
      <c r="F843" s="244" t="s">
        <v>43</v>
      </c>
      <c r="G843" s="275" t="s">
        <v>67</v>
      </c>
      <c r="H843" s="276" t="s">
        <v>45</v>
      </c>
      <c r="I843" s="249" t="s">
        <v>1449</v>
      </c>
      <c r="J843" s="249" t="s">
        <v>1363</v>
      </c>
      <c r="K843" s="247" t="s">
        <v>27</v>
      </c>
    </row>
    <row r="844" spans="1:17" ht="12.75" customHeight="1" x14ac:dyDescent="0.35">
      <c r="A844" s="241">
        <v>25828</v>
      </c>
      <c r="B844" s="242" t="s">
        <v>2288</v>
      </c>
      <c r="C844" s="243" t="s">
        <v>1464</v>
      </c>
      <c r="D844" s="243" t="s">
        <v>383</v>
      </c>
      <c r="E844" s="243"/>
      <c r="F844" s="244" t="s">
        <v>43</v>
      </c>
      <c r="G844" s="275" t="s">
        <v>44</v>
      </c>
      <c r="H844" s="276" t="s">
        <v>66</v>
      </c>
      <c r="I844" s="243" t="s">
        <v>1449</v>
      </c>
      <c r="J844" s="243" t="s">
        <v>1363</v>
      </c>
      <c r="K844" s="247" t="s">
        <v>27</v>
      </c>
    </row>
    <row r="845" spans="1:17" ht="12.75" customHeight="1" x14ac:dyDescent="0.35">
      <c r="A845" s="241">
        <v>38743</v>
      </c>
      <c r="B845" s="242" t="s">
        <v>2527</v>
      </c>
      <c r="C845" s="249" t="s">
        <v>297</v>
      </c>
      <c r="D845" s="249" t="s">
        <v>2528</v>
      </c>
      <c r="E845" s="249" t="s">
        <v>2368</v>
      </c>
      <c r="F845" s="244" t="s">
        <v>49</v>
      </c>
      <c r="G845" s="245" t="s">
        <v>79</v>
      </c>
      <c r="H845" s="246">
        <v>0</v>
      </c>
      <c r="I845" s="249" t="s">
        <v>1449</v>
      </c>
      <c r="J845" s="249" t="s">
        <v>1363</v>
      </c>
      <c r="K845" s="247" t="s">
        <v>27</v>
      </c>
    </row>
    <row r="846" spans="1:17" ht="12.75" customHeight="1" x14ac:dyDescent="0.35">
      <c r="A846" s="241">
        <v>7666</v>
      </c>
      <c r="B846" s="242" t="s">
        <v>1465</v>
      </c>
      <c r="C846" s="243" t="s">
        <v>1466</v>
      </c>
      <c r="D846" s="243" t="s">
        <v>80</v>
      </c>
      <c r="E846" s="243"/>
      <c r="F846" s="244" t="s">
        <v>43</v>
      </c>
      <c r="G846" s="275" t="s">
        <v>58</v>
      </c>
      <c r="H846" s="276" t="s">
        <v>45</v>
      </c>
      <c r="I846" s="243" t="s">
        <v>1467</v>
      </c>
      <c r="J846" s="243" t="s">
        <v>1363</v>
      </c>
      <c r="K846" s="247" t="s">
        <v>27</v>
      </c>
    </row>
    <row r="847" spans="1:17" ht="12.75" customHeight="1" x14ac:dyDescent="0.35">
      <c r="A847" s="241">
        <v>25192</v>
      </c>
      <c r="B847" s="242" t="s">
        <v>1468</v>
      </c>
      <c r="C847" s="243" t="s">
        <v>1044</v>
      </c>
      <c r="D847" s="243" t="s">
        <v>1469</v>
      </c>
      <c r="E847" s="243"/>
      <c r="F847" s="244" t="s">
        <v>49</v>
      </c>
      <c r="G847" s="275" t="s">
        <v>79</v>
      </c>
      <c r="H847" s="276" t="s">
        <v>66</v>
      </c>
      <c r="I847" s="243" t="s">
        <v>1467</v>
      </c>
      <c r="J847" s="243" t="s">
        <v>1363</v>
      </c>
      <c r="K847" s="247" t="s">
        <v>27</v>
      </c>
    </row>
    <row r="848" spans="1:17" ht="12.75" customHeight="1" x14ac:dyDescent="0.35">
      <c r="A848" s="241">
        <v>16804</v>
      </c>
      <c r="B848" s="242" t="s">
        <v>1470</v>
      </c>
      <c r="C848" s="243" t="s">
        <v>1471</v>
      </c>
      <c r="D848" s="243" t="s">
        <v>226</v>
      </c>
      <c r="E848" s="243"/>
      <c r="F848" s="244" t="s">
        <v>49</v>
      </c>
      <c r="G848" s="275" t="s">
        <v>50</v>
      </c>
      <c r="H848" s="276" t="s">
        <v>66</v>
      </c>
      <c r="I848" s="243" t="s">
        <v>1467</v>
      </c>
      <c r="J848" s="243" t="s">
        <v>1363</v>
      </c>
      <c r="K848" s="247" t="s">
        <v>27</v>
      </c>
    </row>
    <row r="849" spans="1:17" ht="12.75" customHeight="1" x14ac:dyDescent="0.35">
      <c r="A849" s="241">
        <v>38738</v>
      </c>
      <c r="B849" s="242" t="s">
        <v>1987</v>
      </c>
      <c r="C849" s="243" t="s">
        <v>1988</v>
      </c>
      <c r="D849" s="243" t="s">
        <v>107</v>
      </c>
      <c r="E849" s="243"/>
      <c r="F849" s="244" t="s">
        <v>43</v>
      </c>
      <c r="G849" s="275" t="s">
        <v>52</v>
      </c>
      <c r="H849" s="276" t="s">
        <v>45</v>
      </c>
      <c r="I849" s="243" t="s">
        <v>1467</v>
      </c>
      <c r="J849" s="243" t="s">
        <v>1363</v>
      </c>
      <c r="K849" s="247" t="s">
        <v>27</v>
      </c>
      <c r="L849" s="272"/>
      <c r="M849" s="272"/>
      <c r="N849" s="272"/>
      <c r="Q849" s="274"/>
    </row>
    <row r="850" spans="1:17" ht="12.75" customHeight="1" x14ac:dyDescent="0.35">
      <c r="A850" s="241">
        <v>38737</v>
      </c>
      <c r="B850" s="242" t="s">
        <v>1989</v>
      </c>
      <c r="C850" s="243" t="s">
        <v>1988</v>
      </c>
      <c r="D850" s="243" t="s">
        <v>1264</v>
      </c>
      <c r="E850" s="243"/>
      <c r="F850" s="244" t="s">
        <v>49</v>
      </c>
      <c r="G850" s="275" t="s">
        <v>139</v>
      </c>
      <c r="H850" s="276" t="s">
        <v>51</v>
      </c>
      <c r="I850" s="243" t="s">
        <v>1467</v>
      </c>
      <c r="J850" s="243" t="s">
        <v>1363</v>
      </c>
      <c r="K850" s="247" t="s">
        <v>27</v>
      </c>
    </row>
    <row r="851" spans="1:17" ht="12.75" customHeight="1" x14ac:dyDescent="0.35">
      <c r="A851" s="241">
        <v>38050</v>
      </c>
      <c r="B851" s="242" t="s">
        <v>1472</v>
      </c>
      <c r="C851" s="243" t="s">
        <v>568</v>
      </c>
      <c r="D851" s="243" t="s">
        <v>1473</v>
      </c>
      <c r="E851" s="243"/>
      <c r="F851" s="244" t="s">
        <v>43</v>
      </c>
      <c r="G851" s="275" t="s">
        <v>44</v>
      </c>
      <c r="H851" s="276" t="s">
        <v>180</v>
      </c>
      <c r="I851" s="243" t="s">
        <v>1467</v>
      </c>
      <c r="J851" s="243" t="s">
        <v>1363</v>
      </c>
      <c r="K851" s="247" t="s">
        <v>27</v>
      </c>
    </row>
    <row r="852" spans="1:17" ht="12.75" customHeight="1" x14ac:dyDescent="0.35">
      <c r="A852" s="241">
        <v>7082</v>
      </c>
      <c r="B852" s="242" t="s">
        <v>958</v>
      </c>
      <c r="C852" s="243" t="s">
        <v>959</v>
      </c>
      <c r="D852" s="243" t="s">
        <v>960</v>
      </c>
      <c r="E852" s="243"/>
      <c r="F852" s="244" t="s">
        <v>49</v>
      </c>
      <c r="G852" s="275" t="s">
        <v>228</v>
      </c>
      <c r="H852" s="276" t="s">
        <v>51</v>
      </c>
      <c r="I852" s="243" t="s">
        <v>1467</v>
      </c>
      <c r="J852" s="243" t="s">
        <v>1363</v>
      </c>
      <c r="K852" s="247" t="s">
        <v>27</v>
      </c>
    </row>
    <row r="853" spans="1:17" ht="12.75" customHeight="1" x14ac:dyDescent="0.35">
      <c r="A853" s="241">
        <v>25390</v>
      </c>
      <c r="B853" s="242" t="s">
        <v>2217</v>
      </c>
      <c r="C853" s="243" t="s">
        <v>959</v>
      </c>
      <c r="D853" s="243" t="s">
        <v>73</v>
      </c>
      <c r="E853" s="243"/>
      <c r="F853" s="244" t="s">
        <v>43</v>
      </c>
      <c r="G853" s="275" t="s">
        <v>52</v>
      </c>
      <c r="H853" s="276" t="s">
        <v>51</v>
      </c>
      <c r="I853" s="243" t="s">
        <v>1467</v>
      </c>
      <c r="J853" s="243" t="s">
        <v>1363</v>
      </c>
      <c r="K853" s="247" t="s">
        <v>27</v>
      </c>
    </row>
    <row r="854" spans="1:17" ht="12.75" customHeight="1" x14ac:dyDescent="0.35">
      <c r="A854" s="241">
        <v>16270</v>
      </c>
      <c r="B854" s="242" t="s">
        <v>2529</v>
      </c>
      <c r="C854" s="243" t="s">
        <v>2530</v>
      </c>
      <c r="D854" s="243" t="s">
        <v>99</v>
      </c>
      <c r="E854" s="243"/>
      <c r="F854" s="244" t="s">
        <v>43</v>
      </c>
      <c r="G854" s="252" t="s">
        <v>52</v>
      </c>
      <c r="H854" s="253">
        <v>0</v>
      </c>
      <c r="I854" s="243" t="s">
        <v>1467</v>
      </c>
      <c r="J854" s="243" t="s">
        <v>1363</v>
      </c>
      <c r="K854" s="247" t="s">
        <v>27</v>
      </c>
      <c r="L854" s="272"/>
      <c r="M854" s="272"/>
      <c r="N854" s="272"/>
      <c r="Q854" s="274"/>
    </row>
    <row r="855" spans="1:17" ht="12.75" customHeight="1" x14ac:dyDescent="0.35">
      <c r="A855" s="241">
        <v>16807</v>
      </c>
      <c r="B855" s="242" t="s">
        <v>1474</v>
      </c>
      <c r="C855" s="243" t="s">
        <v>1475</v>
      </c>
      <c r="D855" s="243" t="s">
        <v>582</v>
      </c>
      <c r="E855" s="243"/>
      <c r="F855" s="244" t="s">
        <v>43</v>
      </c>
      <c r="G855" s="275" t="s">
        <v>58</v>
      </c>
      <c r="H855" s="276" t="s">
        <v>45</v>
      </c>
      <c r="I855" s="243" t="s">
        <v>1467</v>
      </c>
      <c r="J855" s="243" t="s">
        <v>1363</v>
      </c>
      <c r="K855" s="247" t="s">
        <v>27</v>
      </c>
      <c r="L855" s="272"/>
      <c r="M855" s="272"/>
      <c r="N855" s="272"/>
      <c r="Q855" s="274"/>
    </row>
    <row r="856" spans="1:17" ht="12.75" customHeight="1" x14ac:dyDescent="0.35">
      <c r="A856" s="241">
        <v>7662</v>
      </c>
      <c r="B856" s="242" t="s">
        <v>1476</v>
      </c>
      <c r="C856" s="243" t="s">
        <v>1477</v>
      </c>
      <c r="D856" s="243" t="s">
        <v>1478</v>
      </c>
      <c r="E856" s="243"/>
      <c r="F856" s="244" t="s">
        <v>43</v>
      </c>
      <c r="G856" s="245" t="s">
        <v>58</v>
      </c>
      <c r="H856" s="246">
        <v>0</v>
      </c>
      <c r="I856" s="243" t="s">
        <v>1467</v>
      </c>
      <c r="J856" s="243" t="s">
        <v>1363</v>
      </c>
      <c r="K856" s="247" t="s">
        <v>27</v>
      </c>
    </row>
    <row r="857" spans="1:17" ht="12.75" customHeight="1" x14ac:dyDescent="0.35">
      <c r="A857" s="241">
        <v>7412</v>
      </c>
      <c r="B857" s="242" t="s">
        <v>1479</v>
      </c>
      <c r="C857" s="243" t="s">
        <v>1480</v>
      </c>
      <c r="D857" s="243" t="s">
        <v>179</v>
      </c>
      <c r="E857" s="243"/>
      <c r="F857" s="244" t="s">
        <v>43</v>
      </c>
      <c r="G857" s="275" t="s">
        <v>52</v>
      </c>
      <c r="H857" s="276" t="s">
        <v>66</v>
      </c>
      <c r="I857" s="243" t="s">
        <v>1467</v>
      </c>
      <c r="J857" s="243" t="s">
        <v>1363</v>
      </c>
      <c r="K857" s="247" t="s">
        <v>27</v>
      </c>
    </row>
    <row r="858" spans="1:17" ht="12.75" customHeight="1" x14ac:dyDescent="0.35">
      <c r="A858" s="241">
        <v>25409</v>
      </c>
      <c r="B858" s="242" t="s">
        <v>2218</v>
      </c>
      <c r="C858" s="249" t="s">
        <v>1481</v>
      </c>
      <c r="D858" s="249" t="s">
        <v>991</v>
      </c>
      <c r="E858" s="249" t="s">
        <v>2368</v>
      </c>
      <c r="F858" s="244" t="s">
        <v>43</v>
      </c>
      <c r="G858" s="275" t="s">
        <v>58</v>
      </c>
      <c r="H858" s="276" t="s">
        <v>51</v>
      </c>
      <c r="I858" s="249" t="s">
        <v>1467</v>
      </c>
      <c r="J858" s="249" t="s">
        <v>1363</v>
      </c>
      <c r="K858" s="247" t="s">
        <v>27</v>
      </c>
    </row>
    <row r="859" spans="1:17" ht="12.75" customHeight="1" x14ac:dyDescent="0.35">
      <c r="A859" s="241">
        <v>38061</v>
      </c>
      <c r="B859" s="242" t="s">
        <v>1483</v>
      </c>
      <c r="C859" s="243" t="s">
        <v>1269</v>
      </c>
      <c r="D859" s="243" t="s">
        <v>1484</v>
      </c>
      <c r="E859" s="243"/>
      <c r="F859" s="244" t="s">
        <v>49</v>
      </c>
      <c r="G859" s="275" t="s">
        <v>79</v>
      </c>
      <c r="H859" s="276" t="s">
        <v>45</v>
      </c>
      <c r="I859" s="243" t="s">
        <v>1467</v>
      </c>
      <c r="J859" s="243" t="s">
        <v>1363</v>
      </c>
      <c r="K859" s="247" t="s">
        <v>27</v>
      </c>
    </row>
    <row r="860" spans="1:17" ht="12.75" customHeight="1" x14ac:dyDescent="0.35">
      <c r="A860" s="241">
        <v>25906</v>
      </c>
      <c r="B860" s="242" t="s">
        <v>1335</v>
      </c>
      <c r="C860" s="243" t="s">
        <v>1336</v>
      </c>
      <c r="D860" s="243" t="s">
        <v>64</v>
      </c>
      <c r="E860" s="243"/>
      <c r="F860" s="244" t="s">
        <v>43</v>
      </c>
      <c r="G860" s="275" t="s">
        <v>44</v>
      </c>
      <c r="H860" s="276" t="s">
        <v>66</v>
      </c>
      <c r="I860" s="243" t="s">
        <v>1467</v>
      </c>
      <c r="J860" s="243" t="s">
        <v>1363</v>
      </c>
      <c r="K860" s="247" t="s">
        <v>27</v>
      </c>
      <c r="L860" s="272"/>
      <c r="M860" s="272"/>
      <c r="N860" s="272"/>
      <c r="Q860" s="274"/>
    </row>
    <row r="861" spans="1:17" ht="12.75" customHeight="1" x14ac:dyDescent="0.35">
      <c r="A861" s="241">
        <v>7549</v>
      </c>
      <c r="B861" s="242" t="s">
        <v>1486</v>
      </c>
      <c r="C861" s="243" t="s">
        <v>1487</v>
      </c>
      <c r="D861" s="243" t="s">
        <v>938</v>
      </c>
      <c r="E861" s="243"/>
      <c r="F861" s="244" t="s">
        <v>49</v>
      </c>
      <c r="G861" s="275" t="s">
        <v>50</v>
      </c>
      <c r="H861" s="276" t="s">
        <v>180</v>
      </c>
      <c r="I861" s="243" t="s">
        <v>1467</v>
      </c>
      <c r="J861" s="243" t="s">
        <v>1363</v>
      </c>
      <c r="K861" s="247" t="s">
        <v>27</v>
      </c>
      <c r="L861" s="272"/>
      <c r="M861" s="272"/>
      <c r="N861" s="272"/>
      <c r="Q861" s="274"/>
    </row>
    <row r="862" spans="1:17" ht="12.75" customHeight="1" x14ac:dyDescent="0.35">
      <c r="A862" s="241">
        <v>38610</v>
      </c>
      <c r="B862" s="242" t="s">
        <v>1488</v>
      </c>
      <c r="C862" s="243" t="s">
        <v>813</v>
      </c>
      <c r="D862" s="243" t="s">
        <v>125</v>
      </c>
      <c r="E862" s="243"/>
      <c r="F862" s="244" t="s">
        <v>43</v>
      </c>
      <c r="G862" s="275" t="s">
        <v>67</v>
      </c>
      <c r="H862" s="276" t="s">
        <v>51</v>
      </c>
      <c r="I862" s="243" t="s">
        <v>1467</v>
      </c>
      <c r="J862" s="243" t="s">
        <v>1363</v>
      </c>
      <c r="K862" s="247" t="s">
        <v>27</v>
      </c>
      <c r="L862" s="272"/>
      <c r="M862" s="272"/>
      <c r="N862" s="272"/>
      <c r="Q862" s="274"/>
    </row>
    <row r="863" spans="1:17" ht="12.75" customHeight="1" x14ac:dyDescent="0.35">
      <c r="A863" s="241">
        <v>7676</v>
      </c>
      <c r="B863" s="242" t="s">
        <v>1489</v>
      </c>
      <c r="C863" s="243" t="s">
        <v>1490</v>
      </c>
      <c r="D863" s="243" t="s">
        <v>310</v>
      </c>
      <c r="E863" s="243"/>
      <c r="F863" s="244" t="s">
        <v>49</v>
      </c>
      <c r="G863" s="275" t="s">
        <v>228</v>
      </c>
      <c r="H863" s="276" t="s">
        <v>51</v>
      </c>
      <c r="I863" s="243" t="s">
        <v>1467</v>
      </c>
      <c r="J863" s="243" t="s">
        <v>1363</v>
      </c>
      <c r="K863" s="247" t="s">
        <v>27</v>
      </c>
    </row>
    <row r="864" spans="1:17" ht="12.75" customHeight="1" x14ac:dyDescent="0.35">
      <c r="A864" s="241">
        <v>7668</v>
      </c>
      <c r="B864" s="242" t="s">
        <v>1491</v>
      </c>
      <c r="C864" s="243" t="s">
        <v>1490</v>
      </c>
      <c r="D864" s="243" t="s">
        <v>73</v>
      </c>
      <c r="E864" s="243"/>
      <c r="F864" s="244" t="s">
        <v>43</v>
      </c>
      <c r="G864" s="275" t="s">
        <v>58</v>
      </c>
      <c r="H864" s="276" t="s">
        <v>51</v>
      </c>
      <c r="I864" s="243" t="s">
        <v>1467</v>
      </c>
      <c r="J864" s="243" t="s">
        <v>1363</v>
      </c>
      <c r="K864" s="247" t="s">
        <v>27</v>
      </c>
    </row>
    <row r="865" spans="1:11" ht="12.75" customHeight="1" x14ac:dyDescent="0.35">
      <c r="A865" s="241">
        <v>7534</v>
      </c>
      <c r="B865" s="242" t="s">
        <v>1492</v>
      </c>
      <c r="C865" s="243" t="s">
        <v>1493</v>
      </c>
      <c r="D865" s="243" t="s">
        <v>138</v>
      </c>
      <c r="E865" s="243"/>
      <c r="F865" s="244" t="s">
        <v>49</v>
      </c>
      <c r="G865" s="275" t="s">
        <v>139</v>
      </c>
      <c r="H865" s="276" t="s">
        <v>66</v>
      </c>
      <c r="I865" s="243" t="s">
        <v>1467</v>
      </c>
      <c r="J865" s="243" t="s">
        <v>1363</v>
      </c>
      <c r="K865" s="247" t="s">
        <v>27</v>
      </c>
    </row>
    <row r="866" spans="1:11" ht="12.75" customHeight="1" x14ac:dyDescent="0.35">
      <c r="A866" s="241">
        <v>7080</v>
      </c>
      <c r="B866" s="242" t="s">
        <v>961</v>
      </c>
      <c r="C866" s="243" t="s">
        <v>962</v>
      </c>
      <c r="D866" s="243" t="s">
        <v>184</v>
      </c>
      <c r="E866" s="243"/>
      <c r="F866" s="244" t="s">
        <v>43</v>
      </c>
      <c r="G866" s="275" t="s">
        <v>67</v>
      </c>
      <c r="H866" s="276" t="s">
        <v>66</v>
      </c>
      <c r="I866" s="243" t="s">
        <v>1467</v>
      </c>
      <c r="J866" s="243" t="s">
        <v>1363</v>
      </c>
      <c r="K866" s="247" t="s">
        <v>27</v>
      </c>
    </row>
    <row r="867" spans="1:11" ht="12.75" customHeight="1" x14ac:dyDescent="0.35">
      <c r="A867" s="241">
        <v>16405</v>
      </c>
      <c r="B867" s="242" t="s">
        <v>2308</v>
      </c>
      <c r="C867" s="243" t="s">
        <v>1494</v>
      </c>
      <c r="D867" s="243" t="s">
        <v>317</v>
      </c>
      <c r="E867" s="243"/>
      <c r="F867" s="244" t="s">
        <v>43</v>
      </c>
      <c r="G867" s="275" t="s">
        <v>52</v>
      </c>
      <c r="H867" s="276" t="s">
        <v>66</v>
      </c>
      <c r="I867" s="243" t="s">
        <v>1467</v>
      </c>
      <c r="J867" s="243" t="s">
        <v>1363</v>
      </c>
      <c r="K867" s="247" t="s">
        <v>27</v>
      </c>
    </row>
    <row r="868" spans="1:11" ht="12.75" customHeight="1" x14ac:dyDescent="0.35">
      <c r="A868" s="241">
        <v>16700</v>
      </c>
      <c r="B868" s="242" t="s">
        <v>963</v>
      </c>
      <c r="C868" s="243" t="s">
        <v>964</v>
      </c>
      <c r="D868" s="243" t="s">
        <v>965</v>
      </c>
      <c r="E868" s="243"/>
      <c r="F868" s="244" t="s">
        <v>49</v>
      </c>
      <c r="G868" s="275" t="s">
        <v>50</v>
      </c>
      <c r="H868" s="276" t="s">
        <v>51</v>
      </c>
      <c r="I868" s="243" t="s">
        <v>1467</v>
      </c>
      <c r="J868" s="243" t="s">
        <v>1363</v>
      </c>
      <c r="K868" s="247" t="s">
        <v>27</v>
      </c>
    </row>
    <row r="869" spans="1:11" ht="12.75" customHeight="1" x14ac:dyDescent="0.35">
      <c r="A869" s="241">
        <v>38113</v>
      </c>
      <c r="B869" s="242" t="s">
        <v>1495</v>
      </c>
      <c r="C869" s="243" t="s">
        <v>1496</v>
      </c>
      <c r="D869" s="243" t="s">
        <v>1497</v>
      </c>
      <c r="E869" s="243"/>
      <c r="F869" s="244" t="s">
        <v>43</v>
      </c>
      <c r="G869" s="275" t="s">
        <v>67</v>
      </c>
      <c r="H869" s="276" t="s">
        <v>45</v>
      </c>
      <c r="I869" s="243" t="s">
        <v>1467</v>
      </c>
      <c r="J869" s="243" t="s">
        <v>1363</v>
      </c>
      <c r="K869" s="247" t="s">
        <v>27</v>
      </c>
    </row>
    <row r="870" spans="1:11" ht="12.75" customHeight="1" x14ac:dyDescent="0.35">
      <c r="A870" s="241">
        <v>7978</v>
      </c>
      <c r="B870" s="242">
        <v>9070269</v>
      </c>
      <c r="C870" s="243" t="s">
        <v>1498</v>
      </c>
      <c r="D870" s="243" t="s">
        <v>1499</v>
      </c>
      <c r="E870" s="243"/>
      <c r="F870" s="244" t="s">
        <v>49</v>
      </c>
      <c r="G870" s="275" t="s">
        <v>50</v>
      </c>
      <c r="H870" s="276" t="s">
        <v>180</v>
      </c>
      <c r="I870" s="243" t="s">
        <v>1467</v>
      </c>
      <c r="J870" s="243" t="s">
        <v>1363</v>
      </c>
      <c r="K870" s="247" t="s">
        <v>27</v>
      </c>
    </row>
    <row r="871" spans="1:11" ht="12.75" customHeight="1" x14ac:dyDescent="0.35">
      <c r="A871" s="241">
        <v>16572</v>
      </c>
      <c r="B871" s="242" t="s">
        <v>1500</v>
      </c>
      <c r="C871" s="243" t="s">
        <v>192</v>
      </c>
      <c r="D871" s="243" t="s">
        <v>1075</v>
      </c>
      <c r="E871" s="243"/>
      <c r="F871" s="244" t="s">
        <v>43</v>
      </c>
      <c r="G871" s="245" t="s">
        <v>52</v>
      </c>
      <c r="H871" s="246">
        <v>0</v>
      </c>
      <c r="I871" s="243" t="s">
        <v>1467</v>
      </c>
      <c r="J871" s="243" t="s">
        <v>1363</v>
      </c>
      <c r="K871" s="247" t="s">
        <v>27</v>
      </c>
    </row>
    <row r="872" spans="1:11" ht="12.75" customHeight="1" x14ac:dyDescent="0.35">
      <c r="A872" s="241">
        <v>25714</v>
      </c>
      <c r="B872" s="242" t="s">
        <v>2219</v>
      </c>
      <c r="C872" s="243" t="s">
        <v>1411</v>
      </c>
      <c r="D872" s="243" t="s">
        <v>1501</v>
      </c>
      <c r="E872" s="243"/>
      <c r="F872" s="244" t="s">
        <v>49</v>
      </c>
      <c r="G872" s="275" t="s">
        <v>79</v>
      </c>
      <c r="H872" s="276" t="s">
        <v>180</v>
      </c>
      <c r="I872" s="243" t="s">
        <v>1467</v>
      </c>
      <c r="J872" s="243" t="s">
        <v>1363</v>
      </c>
      <c r="K872" s="247" t="s">
        <v>27</v>
      </c>
    </row>
    <row r="873" spans="1:11" ht="12.75" customHeight="1" x14ac:dyDescent="0.35">
      <c r="A873" s="241">
        <v>7072</v>
      </c>
      <c r="B873" s="242" t="s">
        <v>966</v>
      </c>
      <c r="C873" s="243" t="s">
        <v>967</v>
      </c>
      <c r="D873" s="243" t="s">
        <v>655</v>
      </c>
      <c r="E873" s="243"/>
      <c r="F873" s="244" t="s">
        <v>43</v>
      </c>
      <c r="G873" s="275" t="s">
        <v>58</v>
      </c>
      <c r="H873" s="276" t="s">
        <v>51</v>
      </c>
      <c r="I873" s="243" t="s">
        <v>1467</v>
      </c>
      <c r="J873" s="243" t="s">
        <v>1363</v>
      </c>
      <c r="K873" s="247" t="s">
        <v>27</v>
      </c>
    </row>
    <row r="874" spans="1:11" ht="12.75" customHeight="1" x14ac:dyDescent="0.35">
      <c r="A874" s="241">
        <v>38131</v>
      </c>
      <c r="B874" s="242" t="s">
        <v>1503</v>
      </c>
      <c r="C874" s="243" t="s">
        <v>1504</v>
      </c>
      <c r="D874" s="243" t="s">
        <v>99</v>
      </c>
      <c r="E874" s="243"/>
      <c r="F874" s="244" t="s">
        <v>43</v>
      </c>
      <c r="G874" s="275" t="s">
        <v>44</v>
      </c>
      <c r="H874" s="276" t="s">
        <v>45</v>
      </c>
      <c r="I874" s="243" t="s">
        <v>1467</v>
      </c>
      <c r="J874" s="243" t="s">
        <v>1363</v>
      </c>
      <c r="K874" s="247" t="s">
        <v>27</v>
      </c>
    </row>
    <row r="875" spans="1:11" ht="12.75" customHeight="1" x14ac:dyDescent="0.35">
      <c r="A875" s="241">
        <v>7752</v>
      </c>
      <c r="B875" s="242" t="s">
        <v>1505</v>
      </c>
      <c r="C875" s="249" t="s">
        <v>1506</v>
      </c>
      <c r="D875" s="249" t="s">
        <v>870</v>
      </c>
      <c r="E875" s="249" t="s">
        <v>2368</v>
      </c>
      <c r="F875" s="244" t="s">
        <v>49</v>
      </c>
      <c r="G875" s="275" t="s">
        <v>228</v>
      </c>
      <c r="H875" s="276" t="s">
        <v>45</v>
      </c>
      <c r="I875" s="249" t="s">
        <v>1467</v>
      </c>
      <c r="J875" s="249" t="s">
        <v>1363</v>
      </c>
      <c r="K875" s="247" t="s">
        <v>27</v>
      </c>
    </row>
    <row r="876" spans="1:11" ht="12.75" customHeight="1" x14ac:dyDescent="0.35">
      <c r="A876" s="241">
        <v>25397</v>
      </c>
      <c r="B876" s="242" t="s">
        <v>1979</v>
      </c>
      <c r="C876" s="249" t="s">
        <v>1281</v>
      </c>
      <c r="D876" s="249" t="s">
        <v>1282</v>
      </c>
      <c r="E876" s="249" t="s">
        <v>2368</v>
      </c>
      <c r="F876" s="244" t="s">
        <v>49</v>
      </c>
      <c r="G876" s="275" t="s">
        <v>79</v>
      </c>
      <c r="H876" s="276" t="s">
        <v>45</v>
      </c>
      <c r="I876" s="249" t="s">
        <v>1467</v>
      </c>
      <c r="J876" s="249" t="s">
        <v>1363</v>
      </c>
      <c r="K876" s="247" t="s">
        <v>27</v>
      </c>
    </row>
    <row r="877" spans="1:11" ht="12.75" customHeight="1" x14ac:dyDescent="0.35">
      <c r="A877" s="241">
        <v>16029</v>
      </c>
      <c r="B877" s="242" t="s">
        <v>1507</v>
      </c>
      <c r="C877" s="243" t="s">
        <v>1259</v>
      </c>
      <c r="D877" s="243" t="s">
        <v>1508</v>
      </c>
      <c r="E877" s="243"/>
      <c r="F877" s="244" t="s">
        <v>49</v>
      </c>
      <c r="G877" s="275" t="s">
        <v>228</v>
      </c>
      <c r="H877" s="276" t="s">
        <v>51</v>
      </c>
      <c r="I877" s="243" t="s">
        <v>1467</v>
      </c>
      <c r="J877" s="243" t="s">
        <v>1363</v>
      </c>
      <c r="K877" s="247" t="s">
        <v>27</v>
      </c>
    </row>
    <row r="878" spans="1:11" ht="12.75" customHeight="1" x14ac:dyDescent="0.35">
      <c r="A878" s="241">
        <v>7669</v>
      </c>
      <c r="B878" s="242" t="s">
        <v>1509</v>
      </c>
      <c r="C878" s="243" t="s">
        <v>1283</v>
      </c>
      <c r="D878" s="243" t="s">
        <v>552</v>
      </c>
      <c r="E878" s="243"/>
      <c r="F878" s="244" t="s">
        <v>43</v>
      </c>
      <c r="G878" s="275" t="s">
        <v>52</v>
      </c>
      <c r="H878" s="276"/>
      <c r="I878" s="243" t="s">
        <v>1467</v>
      </c>
      <c r="J878" s="243" t="s">
        <v>1363</v>
      </c>
      <c r="K878" s="247" t="s">
        <v>27</v>
      </c>
    </row>
    <row r="879" spans="1:11" ht="12.75" customHeight="1" x14ac:dyDescent="0.35">
      <c r="A879" s="241">
        <v>7635</v>
      </c>
      <c r="B879" s="242" t="s">
        <v>1510</v>
      </c>
      <c r="C879" s="243" t="s">
        <v>1511</v>
      </c>
      <c r="D879" s="243" t="s">
        <v>179</v>
      </c>
      <c r="E879" s="243"/>
      <c r="F879" s="244" t="s">
        <v>43</v>
      </c>
      <c r="G879" s="252" t="s">
        <v>58</v>
      </c>
      <c r="H879" s="253">
        <v>0</v>
      </c>
      <c r="I879" s="243" t="s">
        <v>1512</v>
      </c>
      <c r="J879" s="243" t="s">
        <v>1363</v>
      </c>
      <c r="K879" s="247" t="s">
        <v>27</v>
      </c>
    </row>
    <row r="880" spans="1:11" ht="12.75" customHeight="1" x14ac:dyDescent="0.4">
      <c r="A880" s="281">
        <v>7502</v>
      </c>
      <c r="B880" s="282" t="s">
        <v>2531</v>
      </c>
      <c r="C880" s="283" t="s">
        <v>2532</v>
      </c>
      <c r="D880" s="283" t="s">
        <v>99</v>
      </c>
      <c r="E880" s="283"/>
      <c r="F880" s="284" t="s">
        <v>43</v>
      </c>
      <c r="G880" s="275" t="s">
        <v>67</v>
      </c>
      <c r="H880" s="285">
        <v>0</v>
      </c>
      <c r="I880" s="283" t="s">
        <v>1512</v>
      </c>
      <c r="J880" s="283" t="s">
        <v>1363</v>
      </c>
      <c r="K880" s="247" t="s">
        <v>27</v>
      </c>
    </row>
    <row r="881" spans="1:17" ht="12.75" customHeight="1" x14ac:dyDescent="0.35">
      <c r="A881" s="241">
        <v>16710</v>
      </c>
      <c r="B881" s="242" t="s">
        <v>1513</v>
      </c>
      <c r="C881" s="243" t="s">
        <v>1514</v>
      </c>
      <c r="D881" s="243" t="s">
        <v>317</v>
      </c>
      <c r="E881" s="243"/>
      <c r="F881" s="244" t="s">
        <v>43</v>
      </c>
      <c r="G881" s="275" t="s">
        <v>58</v>
      </c>
      <c r="H881" s="276" t="s">
        <v>66</v>
      </c>
      <c r="I881" s="243" t="s">
        <v>1512</v>
      </c>
      <c r="J881" s="243" t="s">
        <v>1363</v>
      </c>
      <c r="K881" s="247" t="s">
        <v>27</v>
      </c>
    </row>
    <row r="882" spans="1:17" ht="12.75" customHeight="1" x14ac:dyDescent="0.35">
      <c r="A882" s="241">
        <v>25877</v>
      </c>
      <c r="B882" s="242" t="s">
        <v>2220</v>
      </c>
      <c r="C882" s="249" t="s">
        <v>1515</v>
      </c>
      <c r="D882" s="249" t="s">
        <v>413</v>
      </c>
      <c r="E882" s="249" t="s">
        <v>2368</v>
      </c>
      <c r="F882" s="244" t="s">
        <v>49</v>
      </c>
      <c r="G882" s="252" t="s">
        <v>139</v>
      </c>
      <c r="H882" s="253">
        <v>0</v>
      </c>
      <c r="I882" s="249" t="s">
        <v>1512</v>
      </c>
      <c r="J882" s="249" t="s">
        <v>1363</v>
      </c>
      <c r="K882" s="247" t="s">
        <v>27</v>
      </c>
    </row>
    <row r="883" spans="1:17" ht="12.75" customHeight="1" x14ac:dyDescent="0.35">
      <c r="A883" s="241">
        <v>38897</v>
      </c>
      <c r="B883" s="242" t="s">
        <v>2399</v>
      </c>
      <c r="C883" s="243" t="s">
        <v>1517</v>
      </c>
      <c r="D883" s="243" t="s">
        <v>1354</v>
      </c>
      <c r="E883" s="243"/>
      <c r="F883" s="244" t="s">
        <v>49</v>
      </c>
      <c r="G883" s="250" t="s">
        <v>79</v>
      </c>
      <c r="H883" s="251">
        <v>0</v>
      </c>
      <c r="I883" s="243" t="s">
        <v>1512</v>
      </c>
      <c r="J883" s="243" t="s">
        <v>1363</v>
      </c>
      <c r="K883" s="247" t="s">
        <v>27</v>
      </c>
    </row>
    <row r="884" spans="1:17" ht="12.75" customHeight="1" x14ac:dyDescent="0.35">
      <c r="A884" s="241">
        <v>7639</v>
      </c>
      <c r="B884" s="242" t="s">
        <v>1516</v>
      </c>
      <c r="C884" s="243" t="s">
        <v>1517</v>
      </c>
      <c r="D884" s="243" t="s">
        <v>73</v>
      </c>
      <c r="E884" s="243"/>
      <c r="F884" s="244" t="s">
        <v>43</v>
      </c>
      <c r="G884" s="275" t="s">
        <v>52</v>
      </c>
      <c r="H884" s="276" t="s">
        <v>45</v>
      </c>
      <c r="I884" s="243" t="s">
        <v>1512</v>
      </c>
      <c r="J884" s="243" t="s">
        <v>1363</v>
      </c>
      <c r="K884" s="247" t="s">
        <v>27</v>
      </c>
    </row>
    <row r="885" spans="1:17" ht="12.75" customHeight="1" x14ac:dyDescent="0.35">
      <c r="A885" s="241">
        <v>7636</v>
      </c>
      <c r="B885" s="242" t="s">
        <v>1518</v>
      </c>
      <c r="C885" s="243" t="s">
        <v>1519</v>
      </c>
      <c r="D885" s="243" t="s">
        <v>624</v>
      </c>
      <c r="E885" s="243"/>
      <c r="F885" s="244" t="s">
        <v>43</v>
      </c>
      <c r="G885" s="245" t="s">
        <v>52</v>
      </c>
      <c r="H885" s="246">
        <v>0</v>
      </c>
      <c r="I885" s="243" t="s">
        <v>1512</v>
      </c>
      <c r="J885" s="243" t="s">
        <v>1363</v>
      </c>
      <c r="K885" s="247" t="s">
        <v>27</v>
      </c>
    </row>
    <row r="886" spans="1:17" ht="12.75" customHeight="1" x14ac:dyDescent="0.35">
      <c r="A886" s="241">
        <v>7501</v>
      </c>
      <c r="B886" s="242" t="s">
        <v>1520</v>
      </c>
      <c r="C886" s="243" t="s">
        <v>1237</v>
      </c>
      <c r="D886" s="243" t="s">
        <v>120</v>
      </c>
      <c r="E886" s="243"/>
      <c r="F886" s="244" t="s">
        <v>43</v>
      </c>
      <c r="G886" s="275" t="s">
        <v>58</v>
      </c>
      <c r="H886" s="276" t="s">
        <v>45</v>
      </c>
      <c r="I886" s="249" t="s">
        <v>1512</v>
      </c>
      <c r="J886" s="243" t="s">
        <v>1363</v>
      </c>
      <c r="K886" s="247" t="s">
        <v>27</v>
      </c>
    </row>
    <row r="887" spans="1:17" ht="12.75" customHeight="1" x14ac:dyDescent="0.35">
      <c r="A887" s="241">
        <v>7640</v>
      </c>
      <c r="B887" s="242" t="s">
        <v>1521</v>
      </c>
      <c r="C887" s="249" t="s">
        <v>1522</v>
      </c>
      <c r="D887" s="249" t="s">
        <v>57</v>
      </c>
      <c r="E887" s="249" t="s">
        <v>2368</v>
      </c>
      <c r="F887" s="244" t="s">
        <v>43</v>
      </c>
      <c r="G887" s="275" t="s">
        <v>52</v>
      </c>
      <c r="H887" s="276"/>
      <c r="I887" s="249" t="s">
        <v>1512</v>
      </c>
      <c r="J887" s="249" t="s">
        <v>1363</v>
      </c>
      <c r="K887" s="247" t="s">
        <v>27</v>
      </c>
    </row>
    <row r="888" spans="1:17" ht="12.75" customHeight="1" x14ac:dyDescent="0.35">
      <c r="A888" s="241">
        <v>38186</v>
      </c>
      <c r="B888" s="242" t="s">
        <v>1523</v>
      </c>
      <c r="C888" s="249" t="s">
        <v>1524</v>
      </c>
      <c r="D888" s="249" t="s">
        <v>1525</v>
      </c>
      <c r="E888" s="249" t="s">
        <v>2368</v>
      </c>
      <c r="F888" s="244" t="s">
        <v>43</v>
      </c>
      <c r="G888" s="275" t="s">
        <v>67</v>
      </c>
      <c r="H888" s="276" t="s">
        <v>66</v>
      </c>
      <c r="I888" s="249" t="s">
        <v>1512</v>
      </c>
      <c r="J888" s="249" t="s">
        <v>1363</v>
      </c>
      <c r="K888" s="247" t="s">
        <v>27</v>
      </c>
      <c r="L888" s="272"/>
      <c r="M888" s="272"/>
      <c r="N888" s="272"/>
      <c r="Q888" s="274"/>
    </row>
    <row r="889" spans="1:17" ht="12.75" customHeight="1" x14ac:dyDescent="0.35">
      <c r="A889" s="241">
        <v>7423</v>
      </c>
      <c r="B889" s="242">
        <v>9046417</v>
      </c>
      <c r="C889" s="243" t="s">
        <v>1526</v>
      </c>
      <c r="D889" s="243" t="s">
        <v>1075</v>
      </c>
      <c r="E889" s="243"/>
      <c r="F889" s="244" t="s">
        <v>43</v>
      </c>
      <c r="G889" s="250" t="s">
        <v>58</v>
      </c>
      <c r="H889" s="251">
        <v>0</v>
      </c>
      <c r="I889" s="243" t="s">
        <v>1512</v>
      </c>
      <c r="J889" s="243" t="s">
        <v>1363</v>
      </c>
      <c r="K889" s="247" t="s">
        <v>27</v>
      </c>
      <c r="L889" s="272"/>
      <c r="M889" s="272"/>
      <c r="N889" s="272"/>
      <c r="Q889" s="274"/>
    </row>
    <row r="890" spans="1:17" ht="12.75" customHeight="1" x14ac:dyDescent="0.35">
      <c r="A890" s="241">
        <v>25678</v>
      </c>
      <c r="B890" s="242" t="s">
        <v>2221</v>
      </c>
      <c r="C890" s="249" t="s">
        <v>1527</v>
      </c>
      <c r="D890" s="249" t="s">
        <v>1383</v>
      </c>
      <c r="E890" s="249" t="s">
        <v>2368</v>
      </c>
      <c r="F890" s="244" t="s">
        <v>43</v>
      </c>
      <c r="G890" s="275" t="s">
        <v>58</v>
      </c>
      <c r="H890" s="276" t="s">
        <v>45</v>
      </c>
      <c r="I890" s="249" t="s">
        <v>1512</v>
      </c>
      <c r="J890" s="249" t="s">
        <v>1363</v>
      </c>
      <c r="K890" s="247" t="s">
        <v>27</v>
      </c>
    </row>
    <row r="891" spans="1:17" ht="12.75" customHeight="1" x14ac:dyDescent="0.35">
      <c r="A891" s="241">
        <v>38459</v>
      </c>
      <c r="B891" s="242" t="s">
        <v>1574</v>
      </c>
      <c r="C891" s="243" t="s">
        <v>745</v>
      </c>
      <c r="D891" s="243" t="s">
        <v>179</v>
      </c>
      <c r="E891" s="243"/>
      <c r="F891" s="244" t="s">
        <v>43</v>
      </c>
      <c r="G891" s="275" t="s">
        <v>67</v>
      </c>
      <c r="H891" s="276" t="s">
        <v>180</v>
      </c>
      <c r="I891" s="243" t="s">
        <v>1575</v>
      </c>
      <c r="J891" s="243" t="s">
        <v>1363</v>
      </c>
      <c r="K891" s="247" t="s">
        <v>27</v>
      </c>
      <c r="L891" s="272"/>
      <c r="M891" s="272"/>
      <c r="N891" s="272"/>
      <c r="Q891" s="274"/>
    </row>
    <row r="892" spans="1:17" ht="12.75" customHeight="1" x14ac:dyDescent="0.35">
      <c r="A892" s="241">
        <v>38750</v>
      </c>
      <c r="B892" s="242" t="s">
        <v>1990</v>
      </c>
      <c r="C892" s="243" t="s">
        <v>1991</v>
      </c>
      <c r="D892" s="243" t="s">
        <v>478</v>
      </c>
      <c r="E892" s="243"/>
      <c r="F892" s="244" t="s">
        <v>49</v>
      </c>
      <c r="G892" s="245" t="s">
        <v>79</v>
      </c>
      <c r="H892" s="246">
        <v>0</v>
      </c>
      <c r="I892" s="243" t="s">
        <v>1575</v>
      </c>
      <c r="J892" s="243" t="s">
        <v>1363</v>
      </c>
      <c r="K892" s="247" t="s">
        <v>27</v>
      </c>
      <c r="L892" s="272"/>
      <c r="M892" s="272"/>
      <c r="N892" s="272"/>
      <c r="Q892" s="274"/>
    </row>
    <row r="893" spans="1:17" ht="12.75" customHeight="1" x14ac:dyDescent="0.35">
      <c r="A893" s="241">
        <v>38751</v>
      </c>
      <c r="B893" s="242" t="s">
        <v>1992</v>
      </c>
      <c r="C893" s="243" t="s">
        <v>1993</v>
      </c>
      <c r="D893" s="243" t="s">
        <v>213</v>
      </c>
      <c r="E893" s="243"/>
      <c r="F893" s="244" t="s">
        <v>43</v>
      </c>
      <c r="G893" s="275" t="s">
        <v>58</v>
      </c>
      <c r="H893" s="276"/>
      <c r="I893" s="243" t="s">
        <v>1575</v>
      </c>
      <c r="J893" s="243" t="s">
        <v>1363</v>
      </c>
      <c r="K893" s="247" t="s">
        <v>27</v>
      </c>
      <c r="L893" s="272"/>
      <c r="M893" s="272"/>
      <c r="N893" s="272"/>
      <c r="Q893" s="274"/>
    </row>
    <row r="894" spans="1:17" ht="12.75" customHeight="1" x14ac:dyDescent="0.35">
      <c r="A894" s="241">
        <v>25808</v>
      </c>
      <c r="B894" s="242" t="s">
        <v>2353</v>
      </c>
      <c r="C894" s="243" t="s">
        <v>220</v>
      </c>
      <c r="D894" s="243" t="s">
        <v>455</v>
      </c>
      <c r="E894" s="243"/>
      <c r="F894" s="244" t="s">
        <v>49</v>
      </c>
      <c r="G894" s="275" t="s">
        <v>50</v>
      </c>
      <c r="H894" s="276" t="s">
        <v>45</v>
      </c>
      <c r="I894" s="243" t="s">
        <v>1575</v>
      </c>
      <c r="J894" s="243" t="s">
        <v>1363</v>
      </c>
      <c r="K894" s="247" t="s">
        <v>27</v>
      </c>
      <c r="L894" s="272"/>
      <c r="M894" s="272"/>
      <c r="N894" s="272"/>
      <c r="Q894" s="274"/>
    </row>
    <row r="895" spans="1:17" ht="12.75" customHeight="1" x14ac:dyDescent="0.35">
      <c r="A895" s="241">
        <v>38929</v>
      </c>
      <c r="B895" s="242" t="s">
        <v>2533</v>
      </c>
      <c r="C895" s="249" t="s">
        <v>131</v>
      </c>
      <c r="D895" s="249" t="s">
        <v>143</v>
      </c>
      <c r="E895" s="249" t="s">
        <v>2368</v>
      </c>
      <c r="F895" s="244" t="s">
        <v>43</v>
      </c>
      <c r="G895" s="245" t="s">
        <v>44</v>
      </c>
      <c r="H895" s="246">
        <v>0</v>
      </c>
      <c r="I895" s="249" t="s">
        <v>1575</v>
      </c>
      <c r="J895" s="249" t="s">
        <v>1363</v>
      </c>
      <c r="K895" s="247" t="s">
        <v>27</v>
      </c>
      <c r="L895" s="272"/>
      <c r="M895" s="272"/>
      <c r="N895" s="272"/>
      <c r="Q895" s="274"/>
    </row>
    <row r="896" spans="1:17" ht="12.75" customHeight="1" x14ac:dyDescent="0.35">
      <c r="A896" s="241">
        <v>10645</v>
      </c>
      <c r="B896" s="242" t="s">
        <v>1576</v>
      </c>
      <c r="C896" s="243" t="s">
        <v>1577</v>
      </c>
      <c r="D896" s="243" t="s">
        <v>266</v>
      </c>
      <c r="E896" s="243"/>
      <c r="F896" s="244" t="s">
        <v>43</v>
      </c>
      <c r="G896" s="275" t="s">
        <v>52</v>
      </c>
      <c r="H896" s="276" t="s">
        <v>51</v>
      </c>
      <c r="I896" s="243" t="s">
        <v>1575</v>
      </c>
      <c r="J896" s="243" t="s">
        <v>1363</v>
      </c>
      <c r="K896" s="247" t="s">
        <v>27</v>
      </c>
      <c r="L896" s="272"/>
      <c r="M896" s="272"/>
      <c r="N896" s="272"/>
      <c r="Q896" s="274"/>
    </row>
    <row r="897" spans="1:17" ht="12.75" customHeight="1" x14ac:dyDescent="0.35">
      <c r="A897" s="241">
        <v>38891</v>
      </c>
      <c r="B897" s="242" t="s">
        <v>2400</v>
      </c>
      <c r="C897" s="249" t="s">
        <v>2401</v>
      </c>
      <c r="D897" s="249" t="s">
        <v>669</v>
      </c>
      <c r="E897" s="249" t="s">
        <v>2368</v>
      </c>
      <c r="F897" s="244" t="s">
        <v>43</v>
      </c>
      <c r="G897" s="275" t="s">
        <v>44</v>
      </c>
      <c r="H897" s="276" t="s">
        <v>45</v>
      </c>
      <c r="I897" s="249" t="s">
        <v>1575</v>
      </c>
      <c r="J897" s="249" t="s">
        <v>1363</v>
      </c>
      <c r="K897" s="247" t="s">
        <v>27</v>
      </c>
      <c r="L897" s="272"/>
      <c r="M897" s="272"/>
      <c r="N897" s="272"/>
      <c r="Q897" s="274"/>
    </row>
    <row r="898" spans="1:17" ht="12.75" customHeight="1" x14ac:dyDescent="0.35">
      <c r="A898" s="241">
        <v>38650</v>
      </c>
      <c r="B898" s="242" t="s">
        <v>1578</v>
      </c>
      <c r="C898" s="243" t="s">
        <v>1579</v>
      </c>
      <c r="D898" s="243" t="s">
        <v>143</v>
      </c>
      <c r="E898" s="243"/>
      <c r="F898" s="244" t="s">
        <v>43</v>
      </c>
      <c r="G898" s="275" t="s">
        <v>67</v>
      </c>
      <c r="H898" s="276" t="s">
        <v>45</v>
      </c>
      <c r="I898" s="243" t="s">
        <v>1575</v>
      </c>
      <c r="J898" s="243" t="s">
        <v>1363</v>
      </c>
      <c r="K898" s="247" t="s">
        <v>27</v>
      </c>
    </row>
    <row r="899" spans="1:17" ht="12.75" customHeight="1" x14ac:dyDescent="0.35">
      <c r="A899" s="241">
        <v>16401</v>
      </c>
      <c r="B899" s="242" t="s">
        <v>1580</v>
      </c>
      <c r="C899" s="243" t="s">
        <v>1581</v>
      </c>
      <c r="D899" s="243" t="s">
        <v>597</v>
      </c>
      <c r="E899" s="243"/>
      <c r="F899" s="244" t="s">
        <v>43</v>
      </c>
      <c r="G899" s="245" t="s">
        <v>67</v>
      </c>
      <c r="H899" s="246">
        <v>0</v>
      </c>
      <c r="I899" s="243" t="s">
        <v>1575</v>
      </c>
      <c r="J899" s="243" t="s">
        <v>1363</v>
      </c>
      <c r="K899" s="247" t="s">
        <v>27</v>
      </c>
    </row>
    <row r="900" spans="1:17" ht="12.75" customHeight="1" x14ac:dyDescent="0.35">
      <c r="A900" s="241">
        <v>25525</v>
      </c>
      <c r="B900" s="242" t="s">
        <v>1582</v>
      </c>
      <c r="C900" s="243" t="s">
        <v>222</v>
      </c>
      <c r="D900" s="243" t="s">
        <v>179</v>
      </c>
      <c r="E900" s="243"/>
      <c r="F900" s="244" t="s">
        <v>43</v>
      </c>
      <c r="G900" s="275" t="s">
        <v>44</v>
      </c>
      <c r="H900" s="276" t="s">
        <v>66</v>
      </c>
      <c r="I900" s="243" t="s">
        <v>1575</v>
      </c>
      <c r="J900" s="243" t="s">
        <v>1363</v>
      </c>
      <c r="K900" s="247" t="s">
        <v>27</v>
      </c>
    </row>
    <row r="901" spans="1:17" ht="12.75" customHeight="1" x14ac:dyDescent="0.35">
      <c r="A901" s="241">
        <v>38752</v>
      </c>
      <c r="B901" s="242" t="s">
        <v>1994</v>
      </c>
      <c r="C901" s="243" t="s">
        <v>1273</v>
      </c>
      <c r="D901" s="243" t="s">
        <v>652</v>
      </c>
      <c r="E901" s="243"/>
      <c r="F901" s="244" t="s">
        <v>43</v>
      </c>
      <c r="G901" s="275" t="s">
        <v>67</v>
      </c>
      <c r="H901" s="276"/>
      <c r="I901" s="243" t="s">
        <v>1575</v>
      </c>
      <c r="J901" s="243" t="s">
        <v>1363</v>
      </c>
      <c r="K901" s="247" t="s">
        <v>27</v>
      </c>
      <c r="L901" s="272"/>
      <c r="M901" s="272"/>
      <c r="N901" s="272"/>
      <c r="Q901" s="274"/>
    </row>
    <row r="902" spans="1:17" ht="12.75" customHeight="1" x14ac:dyDescent="0.35">
      <c r="A902" s="241">
        <v>38753</v>
      </c>
      <c r="B902" s="242" t="s">
        <v>1995</v>
      </c>
      <c r="C902" s="243" t="s">
        <v>1996</v>
      </c>
      <c r="D902" s="243" t="s">
        <v>1997</v>
      </c>
      <c r="E902" s="243"/>
      <c r="F902" s="244" t="s">
        <v>43</v>
      </c>
      <c r="G902" s="275" t="s">
        <v>44</v>
      </c>
      <c r="H902" s="276" t="s">
        <v>66</v>
      </c>
      <c r="I902" s="243" t="s">
        <v>1575</v>
      </c>
      <c r="J902" s="243" t="s">
        <v>1363</v>
      </c>
      <c r="K902" s="247" t="s">
        <v>27</v>
      </c>
    </row>
    <row r="903" spans="1:17" ht="12.75" customHeight="1" x14ac:dyDescent="0.35">
      <c r="A903" s="241">
        <v>25842</v>
      </c>
      <c r="B903" s="242" t="s">
        <v>1349</v>
      </c>
      <c r="C903" s="243" t="s">
        <v>1350</v>
      </c>
      <c r="D903" s="243" t="s">
        <v>266</v>
      </c>
      <c r="E903" s="243"/>
      <c r="F903" s="244" t="s">
        <v>43</v>
      </c>
      <c r="G903" s="275" t="s">
        <v>67</v>
      </c>
      <c r="H903" s="276" t="s">
        <v>180</v>
      </c>
      <c r="I903" s="243" t="s">
        <v>1575</v>
      </c>
      <c r="J903" s="243" t="s">
        <v>1363</v>
      </c>
      <c r="K903" s="247" t="s">
        <v>27</v>
      </c>
      <c r="L903" s="272"/>
      <c r="M903" s="272"/>
      <c r="N903" s="272"/>
      <c r="Q903" s="274"/>
    </row>
    <row r="904" spans="1:17" ht="12.75" customHeight="1" x14ac:dyDescent="0.35">
      <c r="A904" s="241">
        <v>38221</v>
      </c>
      <c r="B904" s="242" t="s">
        <v>1583</v>
      </c>
      <c r="C904" s="243" t="s">
        <v>502</v>
      </c>
      <c r="D904" s="243" t="s">
        <v>99</v>
      </c>
      <c r="E904" s="243"/>
      <c r="F904" s="244" t="s">
        <v>43</v>
      </c>
      <c r="G904" s="275" t="s">
        <v>44</v>
      </c>
      <c r="H904" s="276" t="s">
        <v>66</v>
      </c>
      <c r="I904" s="243" t="s">
        <v>1575</v>
      </c>
      <c r="J904" s="243" t="s">
        <v>1363</v>
      </c>
      <c r="K904" s="247" t="s">
        <v>27</v>
      </c>
      <c r="L904" s="272"/>
      <c r="M904" s="272"/>
      <c r="N904" s="272"/>
      <c r="Q904" s="274"/>
    </row>
    <row r="905" spans="1:17" ht="12.75" customHeight="1" x14ac:dyDescent="0.35">
      <c r="A905" s="241">
        <v>38862</v>
      </c>
      <c r="B905" s="242" t="s">
        <v>2289</v>
      </c>
      <c r="C905" s="249" t="s">
        <v>2290</v>
      </c>
      <c r="D905" s="249" t="s">
        <v>669</v>
      </c>
      <c r="E905" s="249" t="s">
        <v>2368</v>
      </c>
      <c r="F905" s="244" t="s">
        <v>43</v>
      </c>
      <c r="G905" s="275" t="s">
        <v>44</v>
      </c>
      <c r="H905" s="276" t="s">
        <v>45</v>
      </c>
      <c r="I905" s="249" t="s">
        <v>1575</v>
      </c>
      <c r="J905" s="249" t="s">
        <v>1363</v>
      </c>
      <c r="K905" s="247" t="s">
        <v>27</v>
      </c>
    </row>
    <row r="906" spans="1:17" ht="12.75" customHeight="1" x14ac:dyDescent="0.35">
      <c r="A906" s="241">
        <v>38486</v>
      </c>
      <c r="B906" s="242" t="s">
        <v>1584</v>
      </c>
      <c r="C906" s="243" t="s">
        <v>1585</v>
      </c>
      <c r="D906" s="243" t="s">
        <v>479</v>
      </c>
      <c r="E906" s="243"/>
      <c r="F906" s="244" t="s">
        <v>43</v>
      </c>
      <c r="G906" s="275" t="s">
        <v>52</v>
      </c>
      <c r="H906" s="276"/>
      <c r="I906" s="243" t="s">
        <v>1575</v>
      </c>
      <c r="J906" s="243" t="s">
        <v>1363</v>
      </c>
      <c r="K906" s="247" t="s">
        <v>27</v>
      </c>
    </row>
    <row r="907" spans="1:17" ht="12.75" customHeight="1" x14ac:dyDescent="0.35">
      <c r="A907" s="241">
        <v>38487</v>
      </c>
      <c r="B907" s="242" t="s">
        <v>1586</v>
      </c>
      <c r="C907" s="243" t="s">
        <v>1585</v>
      </c>
      <c r="D907" s="243" t="s">
        <v>1445</v>
      </c>
      <c r="E907" s="243"/>
      <c r="F907" s="244" t="s">
        <v>49</v>
      </c>
      <c r="G907" s="275" t="s">
        <v>139</v>
      </c>
      <c r="H907" s="276"/>
      <c r="I907" s="243" t="s">
        <v>1575</v>
      </c>
      <c r="J907" s="243" t="s">
        <v>1363</v>
      </c>
      <c r="K907" s="247" t="s">
        <v>27</v>
      </c>
    </row>
    <row r="908" spans="1:17" ht="12.75" customHeight="1" x14ac:dyDescent="0.35">
      <c r="A908" s="241">
        <v>10080</v>
      </c>
      <c r="B908" s="242" t="s">
        <v>1587</v>
      </c>
      <c r="C908" s="243" t="s">
        <v>1588</v>
      </c>
      <c r="D908" s="243" t="s">
        <v>834</v>
      </c>
      <c r="E908" s="243"/>
      <c r="F908" s="244" t="s">
        <v>43</v>
      </c>
      <c r="G908" s="275" t="s">
        <v>52</v>
      </c>
      <c r="H908" s="276" t="s">
        <v>66</v>
      </c>
      <c r="I908" s="243" t="s">
        <v>1575</v>
      </c>
      <c r="J908" s="243" t="s">
        <v>1363</v>
      </c>
      <c r="K908" s="247" t="s">
        <v>27</v>
      </c>
      <c r="L908" s="272"/>
      <c r="M908" s="272"/>
      <c r="N908" s="272"/>
      <c r="Q908" s="274"/>
    </row>
    <row r="909" spans="1:17" ht="12.75" customHeight="1" x14ac:dyDescent="0.35">
      <c r="A909" s="241">
        <v>38863</v>
      </c>
      <c r="B909" s="242" t="s">
        <v>2402</v>
      </c>
      <c r="C909" s="249" t="s">
        <v>2291</v>
      </c>
      <c r="D909" s="249" t="s">
        <v>2292</v>
      </c>
      <c r="E909" s="249" t="s">
        <v>2368</v>
      </c>
      <c r="F909" s="244" t="s">
        <v>43</v>
      </c>
      <c r="G909" s="275" t="s">
        <v>44</v>
      </c>
      <c r="H909" s="276" t="s">
        <v>45</v>
      </c>
      <c r="I909" s="249" t="s">
        <v>1575</v>
      </c>
      <c r="J909" s="249" t="s">
        <v>1363</v>
      </c>
      <c r="K909" s="247" t="s">
        <v>27</v>
      </c>
    </row>
    <row r="910" spans="1:17" ht="12.75" customHeight="1" x14ac:dyDescent="0.35">
      <c r="A910" s="241">
        <v>38485</v>
      </c>
      <c r="B910" s="242" t="s">
        <v>1590</v>
      </c>
      <c r="C910" s="243" t="s">
        <v>1589</v>
      </c>
      <c r="D910" s="243" t="s">
        <v>184</v>
      </c>
      <c r="E910" s="243"/>
      <c r="F910" s="244" t="s">
        <v>43</v>
      </c>
      <c r="G910" s="275" t="s">
        <v>52</v>
      </c>
      <c r="H910" s="276" t="s">
        <v>45</v>
      </c>
      <c r="I910" s="243" t="s">
        <v>1575</v>
      </c>
      <c r="J910" s="243" t="s">
        <v>1363</v>
      </c>
      <c r="K910" s="247" t="s">
        <v>27</v>
      </c>
    </row>
    <row r="911" spans="1:17" ht="12.75" customHeight="1" x14ac:dyDescent="0.35">
      <c r="A911" s="241">
        <v>10798</v>
      </c>
      <c r="B911" s="242" t="s">
        <v>1998</v>
      </c>
      <c r="C911" s="243" t="s">
        <v>670</v>
      </c>
      <c r="D911" s="243" t="s">
        <v>213</v>
      </c>
      <c r="E911" s="243"/>
      <c r="F911" s="244" t="s">
        <v>43</v>
      </c>
      <c r="G911" s="275" t="s">
        <v>58</v>
      </c>
      <c r="H911" s="276" t="s">
        <v>104</v>
      </c>
      <c r="I911" s="243" t="s">
        <v>1575</v>
      </c>
      <c r="J911" s="243" t="s">
        <v>1363</v>
      </c>
      <c r="K911" s="247" t="s">
        <v>27</v>
      </c>
      <c r="L911" s="272"/>
      <c r="M911" s="272"/>
      <c r="N911" s="272"/>
      <c r="Q911" s="274"/>
    </row>
    <row r="912" spans="1:17" ht="12.75" customHeight="1" x14ac:dyDescent="0.35">
      <c r="A912" s="241">
        <v>38793</v>
      </c>
      <c r="B912" s="242" t="s">
        <v>2222</v>
      </c>
      <c r="C912" s="243" t="s">
        <v>2223</v>
      </c>
      <c r="D912" s="243" t="s">
        <v>143</v>
      </c>
      <c r="E912" s="243"/>
      <c r="F912" s="244" t="s">
        <v>43</v>
      </c>
      <c r="G912" s="275" t="s">
        <v>67</v>
      </c>
      <c r="H912" s="276" t="s">
        <v>51</v>
      </c>
      <c r="I912" s="243" t="s">
        <v>1575</v>
      </c>
      <c r="J912" s="243" t="s">
        <v>1363</v>
      </c>
      <c r="K912" s="247" t="s">
        <v>27</v>
      </c>
      <c r="L912" s="272"/>
      <c r="M912" s="272"/>
      <c r="N912" s="272"/>
      <c r="Q912" s="274"/>
    </row>
    <row r="913" spans="1:17" ht="12.75" customHeight="1" x14ac:dyDescent="0.35">
      <c r="A913" s="241">
        <v>25114</v>
      </c>
      <c r="B913" s="242" t="s">
        <v>1591</v>
      </c>
      <c r="C913" s="243" t="s">
        <v>1592</v>
      </c>
      <c r="D913" s="243" t="s">
        <v>143</v>
      </c>
      <c r="E913" s="243"/>
      <c r="F913" s="244" t="s">
        <v>43</v>
      </c>
      <c r="G913" s="275" t="s">
        <v>67</v>
      </c>
      <c r="H913" s="276" t="s">
        <v>45</v>
      </c>
      <c r="I913" s="243" t="s">
        <v>1575</v>
      </c>
      <c r="J913" s="243" t="s">
        <v>1363</v>
      </c>
      <c r="K913" s="247" t="s">
        <v>27</v>
      </c>
    </row>
    <row r="914" spans="1:17" ht="12.75" customHeight="1" x14ac:dyDescent="0.35">
      <c r="A914" s="241">
        <v>38002</v>
      </c>
      <c r="B914" s="242" t="s">
        <v>1593</v>
      </c>
      <c r="C914" s="243" t="s">
        <v>1594</v>
      </c>
      <c r="D914" s="243" t="s">
        <v>87</v>
      </c>
      <c r="E914" s="243"/>
      <c r="F914" s="244" t="s">
        <v>43</v>
      </c>
      <c r="G914" s="275" t="s">
        <v>67</v>
      </c>
      <c r="H914" s="276" t="s">
        <v>45</v>
      </c>
      <c r="I914" s="243" t="s">
        <v>1575</v>
      </c>
      <c r="J914" s="243" t="s">
        <v>1363</v>
      </c>
      <c r="K914" s="247" t="s">
        <v>27</v>
      </c>
      <c r="L914" s="272"/>
      <c r="M914" s="272"/>
      <c r="N914" s="272"/>
      <c r="Q914" s="274"/>
    </row>
    <row r="915" spans="1:17" ht="12.75" customHeight="1" x14ac:dyDescent="0.35">
      <c r="A915" s="241">
        <v>38928</v>
      </c>
      <c r="B915" s="242" t="s">
        <v>2534</v>
      </c>
      <c r="C915" s="249" t="s">
        <v>2355</v>
      </c>
      <c r="D915" s="249" t="s">
        <v>1274</v>
      </c>
      <c r="E915" s="249" t="s">
        <v>2368</v>
      </c>
      <c r="F915" s="244" t="s">
        <v>49</v>
      </c>
      <c r="G915" s="245" t="s">
        <v>139</v>
      </c>
      <c r="H915" s="246">
        <v>0</v>
      </c>
      <c r="I915" s="249" t="s">
        <v>1575</v>
      </c>
      <c r="J915" s="249" t="s">
        <v>1363</v>
      </c>
      <c r="K915" s="247" t="s">
        <v>27</v>
      </c>
    </row>
    <row r="916" spans="1:17" ht="12.75" customHeight="1" x14ac:dyDescent="0.35">
      <c r="A916" s="241">
        <v>38387</v>
      </c>
      <c r="B916" s="242" t="s">
        <v>2354</v>
      </c>
      <c r="C916" s="243" t="s">
        <v>2355</v>
      </c>
      <c r="D916" s="243" t="s">
        <v>582</v>
      </c>
      <c r="E916" s="243"/>
      <c r="F916" s="244" t="s">
        <v>43</v>
      </c>
      <c r="G916" s="275" t="s">
        <v>52</v>
      </c>
      <c r="H916" s="276" t="s">
        <v>45</v>
      </c>
      <c r="I916" s="243" t="s">
        <v>1575</v>
      </c>
      <c r="J916" s="243" t="s">
        <v>1363</v>
      </c>
      <c r="K916" s="247" t="s">
        <v>27</v>
      </c>
    </row>
    <row r="917" spans="1:17" ht="12.75" customHeight="1" x14ac:dyDescent="0.35">
      <c r="A917" s="241">
        <v>7591</v>
      </c>
      <c r="B917" s="242" t="s">
        <v>1595</v>
      </c>
      <c r="C917" s="243" t="s">
        <v>1596</v>
      </c>
      <c r="D917" s="243" t="s">
        <v>238</v>
      </c>
      <c r="E917" s="243"/>
      <c r="F917" s="244" t="s">
        <v>43</v>
      </c>
      <c r="G917" s="275" t="s">
        <v>44</v>
      </c>
      <c r="H917" s="276" t="s">
        <v>239</v>
      </c>
      <c r="I917" s="243" t="s">
        <v>1597</v>
      </c>
      <c r="J917" s="243" t="s">
        <v>1363</v>
      </c>
      <c r="K917" s="247" t="s">
        <v>27</v>
      </c>
    </row>
    <row r="918" spans="1:17" ht="12.75" customHeight="1" x14ac:dyDescent="0.35">
      <c r="A918" s="241">
        <v>7593</v>
      </c>
      <c r="B918" s="242" t="s">
        <v>1598</v>
      </c>
      <c r="C918" s="243" t="s">
        <v>1596</v>
      </c>
      <c r="D918" s="243" t="s">
        <v>73</v>
      </c>
      <c r="E918" s="243"/>
      <c r="F918" s="244" t="s">
        <v>43</v>
      </c>
      <c r="G918" s="275" t="s">
        <v>52</v>
      </c>
      <c r="H918" s="276" t="s">
        <v>180</v>
      </c>
      <c r="I918" s="243" t="s">
        <v>1597</v>
      </c>
      <c r="J918" s="243" t="s">
        <v>1363</v>
      </c>
      <c r="K918" s="247" t="s">
        <v>27</v>
      </c>
      <c r="L918" s="272"/>
      <c r="M918" s="272"/>
      <c r="N918" s="272"/>
      <c r="Q918" s="274"/>
    </row>
    <row r="919" spans="1:17" ht="12.75" customHeight="1" x14ac:dyDescent="0.35">
      <c r="A919" s="241">
        <v>7539</v>
      </c>
      <c r="B919" s="242" t="s">
        <v>1599</v>
      </c>
      <c r="C919" s="243" t="s">
        <v>1596</v>
      </c>
      <c r="D919" s="243" t="s">
        <v>230</v>
      </c>
      <c r="E919" s="243"/>
      <c r="F919" s="244" t="s">
        <v>49</v>
      </c>
      <c r="G919" s="275" t="s">
        <v>50</v>
      </c>
      <c r="H919" s="276" t="s">
        <v>66</v>
      </c>
      <c r="I919" s="243" t="s">
        <v>1597</v>
      </c>
      <c r="J919" s="243" t="s">
        <v>1363</v>
      </c>
      <c r="K919" s="247" t="s">
        <v>27</v>
      </c>
    </row>
    <row r="920" spans="1:17" ht="12.75" customHeight="1" x14ac:dyDescent="0.35">
      <c r="A920" s="241">
        <v>7592</v>
      </c>
      <c r="B920" s="242" t="s">
        <v>1600</v>
      </c>
      <c r="C920" s="243" t="s">
        <v>1596</v>
      </c>
      <c r="D920" s="243" t="s">
        <v>132</v>
      </c>
      <c r="E920" s="243"/>
      <c r="F920" s="244" t="s">
        <v>43</v>
      </c>
      <c r="G920" s="275" t="s">
        <v>44</v>
      </c>
      <c r="H920" s="276" t="s">
        <v>239</v>
      </c>
      <c r="I920" s="243" t="s">
        <v>1597</v>
      </c>
      <c r="J920" s="243" t="s">
        <v>1363</v>
      </c>
      <c r="K920" s="247" t="s">
        <v>27</v>
      </c>
    </row>
    <row r="921" spans="1:17" ht="12.75" customHeight="1" x14ac:dyDescent="0.35">
      <c r="A921" s="241">
        <v>7598</v>
      </c>
      <c r="B921" s="242">
        <v>9109428</v>
      </c>
      <c r="C921" s="243" t="s">
        <v>1601</v>
      </c>
      <c r="D921" s="243" t="s">
        <v>437</v>
      </c>
      <c r="E921" s="243"/>
      <c r="F921" s="244" t="s">
        <v>43</v>
      </c>
      <c r="G921" s="275" t="s">
        <v>58</v>
      </c>
      <c r="H921" s="276" t="s">
        <v>66</v>
      </c>
      <c r="I921" s="243" t="s">
        <v>1597</v>
      </c>
      <c r="J921" s="243" t="s">
        <v>1363</v>
      </c>
      <c r="K921" s="247" t="s">
        <v>27</v>
      </c>
    </row>
    <row r="922" spans="1:17" ht="12.75" customHeight="1" x14ac:dyDescent="0.35">
      <c r="A922" s="241">
        <v>7574</v>
      </c>
      <c r="B922" s="242" t="s">
        <v>1602</v>
      </c>
      <c r="C922" s="243" t="s">
        <v>1603</v>
      </c>
      <c r="D922" s="243" t="s">
        <v>1276</v>
      </c>
      <c r="E922" s="243"/>
      <c r="F922" s="244" t="s">
        <v>49</v>
      </c>
      <c r="G922" s="275" t="s">
        <v>228</v>
      </c>
      <c r="H922" s="276" t="s">
        <v>180</v>
      </c>
      <c r="I922" s="243" t="s">
        <v>1597</v>
      </c>
      <c r="J922" s="243" t="s">
        <v>1363</v>
      </c>
      <c r="K922" s="247" t="s">
        <v>27</v>
      </c>
    </row>
    <row r="923" spans="1:17" ht="12.75" customHeight="1" x14ac:dyDescent="0.35">
      <c r="A923" s="241">
        <v>16879</v>
      </c>
      <c r="B923" s="242" t="s">
        <v>916</v>
      </c>
      <c r="C923" s="243" t="s">
        <v>917</v>
      </c>
      <c r="D923" s="243" t="s">
        <v>918</v>
      </c>
      <c r="E923" s="243"/>
      <c r="F923" s="244" t="s">
        <v>49</v>
      </c>
      <c r="G923" s="275" t="s">
        <v>50</v>
      </c>
      <c r="H923" s="276" t="s">
        <v>45</v>
      </c>
      <c r="I923" s="243" t="s">
        <v>1597</v>
      </c>
      <c r="J923" s="243" t="s">
        <v>1363</v>
      </c>
      <c r="K923" s="247" t="s">
        <v>27</v>
      </c>
      <c r="L923" s="272"/>
      <c r="M923" s="272"/>
      <c r="N923" s="272"/>
      <c r="Q923" s="274"/>
    </row>
    <row r="924" spans="1:17" ht="12.75" customHeight="1" x14ac:dyDescent="0.35">
      <c r="A924" s="241">
        <v>16856</v>
      </c>
      <c r="B924" s="242" t="s">
        <v>919</v>
      </c>
      <c r="C924" s="243" t="s">
        <v>917</v>
      </c>
      <c r="D924" s="243" t="s">
        <v>70</v>
      </c>
      <c r="E924" s="243"/>
      <c r="F924" s="244" t="s">
        <v>43</v>
      </c>
      <c r="G924" s="275" t="s">
        <v>52</v>
      </c>
      <c r="H924" s="276" t="s">
        <v>66</v>
      </c>
      <c r="I924" s="243" t="s">
        <v>1597</v>
      </c>
      <c r="J924" s="243" t="s">
        <v>1363</v>
      </c>
      <c r="K924" s="247" t="s">
        <v>27</v>
      </c>
      <c r="L924" s="272"/>
      <c r="M924" s="272"/>
      <c r="N924" s="272"/>
      <c r="Q924" s="274"/>
    </row>
    <row r="925" spans="1:17" ht="12.75" customHeight="1" x14ac:dyDescent="0.35">
      <c r="A925" s="241">
        <v>38748</v>
      </c>
      <c r="B925" s="242" t="s">
        <v>1999</v>
      </c>
      <c r="C925" s="243" t="s">
        <v>2000</v>
      </c>
      <c r="D925" s="243" t="s">
        <v>2001</v>
      </c>
      <c r="E925" s="243"/>
      <c r="F925" s="244" t="s">
        <v>49</v>
      </c>
      <c r="G925" s="275" t="s">
        <v>79</v>
      </c>
      <c r="H925" s="276" t="s">
        <v>180</v>
      </c>
      <c r="I925" s="243" t="s">
        <v>1597</v>
      </c>
      <c r="J925" s="243" t="s">
        <v>1363</v>
      </c>
      <c r="K925" s="247" t="s">
        <v>27</v>
      </c>
      <c r="L925" s="272"/>
      <c r="M925" s="272"/>
      <c r="N925" s="272"/>
      <c r="Q925" s="274"/>
    </row>
    <row r="926" spans="1:17" ht="12.75" customHeight="1" x14ac:dyDescent="0.35">
      <c r="A926" s="241">
        <v>7575</v>
      </c>
      <c r="B926" s="242" t="s">
        <v>1604</v>
      </c>
      <c r="C926" s="243" t="s">
        <v>1605</v>
      </c>
      <c r="D926" s="243" t="s">
        <v>1533</v>
      </c>
      <c r="E926" s="243"/>
      <c r="F926" s="244" t="s">
        <v>49</v>
      </c>
      <c r="G926" s="275" t="s">
        <v>139</v>
      </c>
      <c r="H926" s="276" t="s">
        <v>180</v>
      </c>
      <c r="I926" s="243" t="s">
        <v>1597</v>
      </c>
      <c r="J926" s="243" t="s">
        <v>1363</v>
      </c>
      <c r="K926" s="247" t="s">
        <v>27</v>
      </c>
    </row>
    <row r="927" spans="1:17" ht="12.75" customHeight="1" x14ac:dyDescent="0.35">
      <c r="A927" s="241">
        <v>16679</v>
      </c>
      <c r="B927" s="242" t="s">
        <v>2535</v>
      </c>
      <c r="C927" s="249" t="s">
        <v>1537</v>
      </c>
      <c r="D927" s="249" t="s">
        <v>238</v>
      </c>
      <c r="E927" s="249" t="s">
        <v>2368</v>
      </c>
      <c r="F927" s="244" t="s">
        <v>43</v>
      </c>
      <c r="G927" s="275" t="s">
        <v>44</v>
      </c>
      <c r="H927" s="276" t="s">
        <v>180</v>
      </c>
      <c r="I927" s="249" t="s">
        <v>1597</v>
      </c>
      <c r="J927" s="249" t="s">
        <v>1363</v>
      </c>
      <c r="K927" s="247" t="s">
        <v>27</v>
      </c>
    </row>
    <row r="928" spans="1:17" ht="12.75" customHeight="1" x14ac:dyDescent="0.35">
      <c r="A928" s="241">
        <v>7595</v>
      </c>
      <c r="B928" s="242" t="s">
        <v>1606</v>
      </c>
      <c r="C928" s="243" t="s">
        <v>1607</v>
      </c>
      <c r="D928" s="243" t="s">
        <v>179</v>
      </c>
      <c r="E928" s="243"/>
      <c r="F928" s="244" t="s">
        <v>43</v>
      </c>
      <c r="G928" s="275" t="s">
        <v>44</v>
      </c>
      <c r="H928" s="276" t="s">
        <v>239</v>
      </c>
      <c r="I928" s="243" t="s">
        <v>1597</v>
      </c>
      <c r="J928" s="243" t="s">
        <v>1363</v>
      </c>
      <c r="K928" s="247" t="s">
        <v>27</v>
      </c>
    </row>
    <row r="929" spans="1:17" ht="12.75" customHeight="1" x14ac:dyDescent="0.35">
      <c r="A929" s="241">
        <v>7024</v>
      </c>
      <c r="B929" s="242" t="s">
        <v>2006</v>
      </c>
      <c r="C929" s="243" t="s">
        <v>1687</v>
      </c>
      <c r="D929" s="243" t="s">
        <v>254</v>
      </c>
      <c r="E929" s="243"/>
      <c r="F929" s="244" t="s">
        <v>49</v>
      </c>
      <c r="G929" s="275" t="s">
        <v>79</v>
      </c>
      <c r="H929" s="276" t="s">
        <v>239</v>
      </c>
      <c r="I929" s="243" t="s">
        <v>1597</v>
      </c>
      <c r="J929" s="243" t="s">
        <v>1363</v>
      </c>
      <c r="K929" s="247" t="s">
        <v>27</v>
      </c>
    </row>
    <row r="930" spans="1:17" ht="12.75" customHeight="1" x14ac:dyDescent="0.35">
      <c r="A930" s="241">
        <v>38546</v>
      </c>
      <c r="B930" s="242" t="s">
        <v>1608</v>
      </c>
      <c r="C930" s="243" t="s">
        <v>1609</v>
      </c>
      <c r="D930" s="243" t="s">
        <v>1610</v>
      </c>
      <c r="E930" s="243"/>
      <c r="F930" s="244" t="s">
        <v>43</v>
      </c>
      <c r="G930" s="275" t="s">
        <v>362</v>
      </c>
      <c r="H930" s="276" t="s">
        <v>51</v>
      </c>
      <c r="I930" s="243" t="s">
        <v>1597</v>
      </c>
      <c r="J930" s="243" t="s">
        <v>1363</v>
      </c>
      <c r="K930" s="247" t="s">
        <v>27</v>
      </c>
      <c r="L930" s="272"/>
      <c r="M930" s="272"/>
      <c r="N930" s="272"/>
      <c r="Q930" s="274"/>
    </row>
    <row r="931" spans="1:17" ht="12.75" customHeight="1" x14ac:dyDescent="0.35">
      <c r="A931" s="241">
        <v>38708</v>
      </c>
      <c r="B931" s="242" t="s">
        <v>1905</v>
      </c>
      <c r="C931" s="256" t="s">
        <v>1906</v>
      </c>
      <c r="D931" s="249" t="s">
        <v>125</v>
      </c>
      <c r="E931" s="249" t="s">
        <v>2368</v>
      </c>
      <c r="F931" s="244" t="s">
        <v>43</v>
      </c>
      <c r="G931" s="275" t="s">
        <v>89</v>
      </c>
      <c r="H931" s="276" t="s">
        <v>180</v>
      </c>
      <c r="I931" s="249" t="s">
        <v>1597</v>
      </c>
      <c r="J931" s="249" t="s">
        <v>1363</v>
      </c>
      <c r="K931" s="247" t="s">
        <v>27</v>
      </c>
      <c r="L931" s="272"/>
      <c r="M931" s="272"/>
      <c r="N931" s="272"/>
      <c r="Q931" s="274"/>
    </row>
    <row r="932" spans="1:17" ht="12.75" customHeight="1" x14ac:dyDescent="0.35">
      <c r="A932" s="241">
        <v>38438</v>
      </c>
      <c r="B932" s="242" t="s">
        <v>1611</v>
      </c>
      <c r="C932" s="243" t="s">
        <v>1612</v>
      </c>
      <c r="D932" s="243" t="s">
        <v>1613</v>
      </c>
      <c r="E932" s="243"/>
      <c r="F932" s="244" t="s">
        <v>49</v>
      </c>
      <c r="G932" s="275" t="s">
        <v>1125</v>
      </c>
      <c r="H932" s="276" t="s">
        <v>180</v>
      </c>
      <c r="I932" s="243" t="s">
        <v>1597</v>
      </c>
      <c r="J932" s="243" t="s">
        <v>1363</v>
      </c>
      <c r="K932" s="247" t="s">
        <v>27</v>
      </c>
    </row>
    <row r="933" spans="1:17" ht="12.75" customHeight="1" x14ac:dyDescent="0.35">
      <c r="A933" s="241">
        <v>38792</v>
      </c>
      <c r="B933" s="242" t="s">
        <v>2536</v>
      </c>
      <c r="C933" s="243" t="s">
        <v>1612</v>
      </c>
      <c r="D933" s="243" t="s">
        <v>90</v>
      </c>
      <c r="E933" s="243"/>
      <c r="F933" s="244" t="s">
        <v>43</v>
      </c>
      <c r="G933" s="250" t="s">
        <v>67</v>
      </c>
      <c r="H933" s="251">
        <v>0</v>
      </c>
      <c r="I933" s="243" t="s">
        <v>1597</v>
      </c>
      <c r="J933" s="243" t="s">
        <v>1363</v>
      </c>
      <c r="K933" s="247" t="s">
        <v>27</v>
      </c>
    </row>
    <row r="934" spans="1:17" ht="12.75" customHeight="1" x14ac:dyDescent="0.35">
      <c r="A934" s="241">
        <v>16912</v>
      </c>
      <c r="B934" s="242" t="s">
        <v>1614</v>
      </c>
      <c r="C934" s="243" t="s">
        <v>1615</v>
      </c>
      <c r="D934" s="243" t="s">
        <v>669</v>
      </c>
      <c r="E934" s="243"/>
      <c r="F934" s="244" t="s">
        <v>43</v>
      </c>
      <c r="G934" s="275" t="s">
        <v>44</v>
      </c>
      <c r="H934" s="276" t="s">
        <v>180</v>
      </c>
      <c r="I934" s="243" t="s">
        <v>1597</v>
      </c>
      <c r="J934" s="243" t="s">
        <v>1363</v>
      </c>
      <c r="K934" s="247" t="s">
        <v>27</v>
      </c>
      <c r="L934" s="272"/>
      <c r="M934" s="272"/>
      <c r="N934" s="272"/>
      <c r="Q934" s="274"/>
    </row>
    <row r="935" spans="1:17" ht="12.75" customHeight="1" x14ac:dyDescent="0.35">
      <c r="A935" s="241">
        <v>38222</v>
      </c>
      <c r="B935" s="242" t="s">
        <v>1616</v>
      </c>
      <c r="C935" s="243" t="s">
        <v>1617</v>
      </c>
      <c r="D935" s="243" t="s">
        <v>1501</v>
      </c>
      <c r="E935" s="243"/>
      <c r="F935" s="244" t="s">
        <v>49</v>
      </c>
      <c r="G935" s="275" t="s">
        <v>342</v>
      </c>
      <c r="H935" s="276" t="s">
        <v>66</v>
      </c>
      <c r="I935" s="243" t="s">
        <v>1597</v>
      </c>
      <c r="J935" s="243" t="s">
        <v>1363</v>
      </c>
      <c r="K935" s="247" t="s">
        <v>27</v>
      </c>
    </row>
    <row r="936" spans="1:17" ht="12.75" customHeight="1" x14ac:dyDescent="0.35">
      <c r="A936" s="241">
        <v>7867</v>
      </c>
      <c r="B936" s="242" t="s">
        <v>1107</v>
      </c>
      <c r="C936" s="249" t="s">
        <v>1108</v>
      </c>
      <c r="D936" s="249" t="s">
        <v>263</v>
      </c>
      <c r="E936" s="249" t="s">
        <v>2368</v>
      </c>
      <c r="F936" s="244" t="s">
        <v>43</v>
      </c>
      <c r="G936" s="275" t="s">
        <v>52</v>
      </c>
      <c r="H936" s="276" t="s">
        <v>239</v>
      </c>
      <c r="I936" s="249" t="s">
        <v>1597</v>
      </c>
      <c r="J936" s="249" t="s">
        <v>1363</v>
      </c>
      <c r="K936" s="247" t="s">
        <v>27</v>
      </c>
      <c r="L936" s="272"/>
      <c r="M936" s="272"/>
      <c r="N936" s="272"/>
      <c r="Q936" s="274"/>
    </row>
    <row r="937" spans="1:17" ht="12.75" customHeight="1" x14ac:dyDescent="0.35">
      <c r="A937" s="241">
        <v>7885</v>
      </c>
      <c r="B937" s="242" t="s">
        <v>1191</v>
      </c>
      <c r="C937" s="243" t="s">
        <v>1108</v>
      </c>
      <c r="D937" s="243" t="s">
        <v>82</v>
      </c>
      <c r="E937" s="243"/>
      <c r="F937" s="244" t="s">
        <v>43</v>
      </c>
      <c r="G937" s="275" t="s">
        <v>44</v>
      </c>
      <c r="H937" s="276" t="s">
        <v>239</v>
      </c>
      <c r="I937" s="243" t="s">
        <v>1597</v>
      </c>
      <c r="J937" s="243" t="s">
        <v>1363</v>
      </c>
      <c r="K937" s="247" t="s">
        <v>27</v>
      </c>
      <c r="L937" s="272"/>
      <c r="M937" s="272"/>
      <c r="N937" s="272"/>
      <c r="Q937" s="274"/>
    </row>
    <row r="938" spans="1:17" ht="12.75" customHeight="1" x14ac:dyDescent="0.35">
      <c r="A938" s="241">
        <v>7578</v>
      </c>
      <c r="B938" s="242" t="s">
        <v>1618</v>
      </c>
      <c r="C938" s="243" t="s">
        <v>1108</v>
      </c>
      <c r="D938" s="243" t="s">
        <v>1114</v>
      </c>
      <c r="E938" s="243"/>
      <c r="F938" s="244" t="s">
        <v>49</v>
      </c>
      <c r="G938" s="275" t="s">
        <v>50</v>
      </c>
      <c r="H938" s="276" t="s">
        <v>239</v>
      </c>
      <c r="I938" s="243" t="s">
        <v>1597</v>
      </c>
      <c r="J938" s="243" t="s">
        <v>1363</v>
      </c>
      <c r="K938" s="247" t="s">
        <v>27</v>
      </c>
    </row>
    <row r="939" spans="1:17" ht="12.75" customHeight="1" x14ac:dyDescent="0.35">
      <c r="A939" s="241">
        <v>7341</v>
      </c>
      <c r="B939" s="242">
        <v>9111169</v>
      </c>
      <c r="C939" s="243" t="s">
        <v>1619</v>
      </c>
      <c r="D939" s="243" t="s">
        <v>238</v>
      </c>
      <c r="E939" s="243"/>
      <c r="F939" s="244" t="s">
        <v>43</v>
      </c>
      <c r="G939" s="275" t="s">
        <v>44</v>
      </c>
      <c r="H939" s="276" t="s">
        <v>239</v>
      </c>
      <c r="I939" s="243" t="s">
        <v>1597</v>
      </c>
      <c r="J939" s="243" t="s">
        <v>1363</v>
      </c>
      <c r="K939" s="247" t="s">
        <v>27</v>
      </c>
      <c r="L939" s="272"/>
      <c r="M939" s="272"/>
      <c r="N939" s="272"/>
      <c r="Q939" s="274"/>
    </row>
    <row r="940" spans="1:17" ht="12.75" customHeight="1" x14ac:dyDescent="0.35">
      <c r="A940" s="241">
        <v>25550</v>
      </c>
      <c r="B940" s="242" t="s">
        <v>907</v>
      </c>
      <c r="C940" s="243" t="s">
        <v>908</v>
      </c>
      <c r="D940" s="243" t="s">
        <v>254</v>
      </c>
      <c r="E940" s="243"/>
      <c r="F940" s="244" t="s">
        <v>49</v>
      </c>
      <c r="G940" s="275" t="s">
        <v>79</v>
      </c>
      <c r="H940" s="276" t="s">
        <v>45</v>
      </c>
      <c r="I940" s="243" t="s">
        <v>1597</v>
      </c>
      <c r="J940" s="243" t="s">
        <v>1363</v>
      </c>
      <c r="K940" s="247" t="s">
        <v>27</v>
      </c>
    </row>
    <row r="941" spans="1:17" ht="12.75" customHeight="1" x14ac:dyDescent="0.35">
      <c r="A941" s="241">
        <v>38327</v>
      </c>
      <c r="B941" s="242" t="s">
        <v>1620</v>
      </c>
      <c r="C941" s="243" t="s">
        <v>1337</v>
      </c>
      <c r="D941" s="243" t="s">
        <v>999</v>
      </c>
      <c r="E941" s="243"/>
      <c r="F941" s="244" t="s">
        <v>43</v>
      </c>
      <c r="G941" s="275" t="s">
        <v>362</v>
      </c>
      <c r="H941" s="276" t="s">
        <v>66</v>
      </c>
      <c r="I941" s="243" t="s">
        <v>1597</v>
      </c>
      <c r="J941" s="243" t="s">
        <v>1363</v>
      </c>
      <c r="K941" s="247" t="s">
        <v>27</v>
      </c>
    </row>
    <row r="942" spans="1:17" ht="12.75" customHeight="1" x14ac:dyDescent="0.35">
      <c r="A942" s="241">
        <v>38553</v>
      </c>
      <c r="B942" s="242" t="s">
        <v>1621</v>
      </c>
      <c r="C942" s="243" t="s">
        <v>1339</v>
      </c>
      <c r="D942" s="243" t="s">
        <v>1117</v>
      </c>
      <c r="E942" s="243"/>
      <c r="F942" s="244" t="s">
        <v>49</v>
      </c>
      <c r="G942" s="275" t="s">
        <v>1125</v>
      </c>
      <c r="H942" s="276" t="s">
        <v>66</v>
      </c>
      <c r="I942" s="243" t="s">
        <v>1597</v>
      </c>
      <c r="J942" s="243" t="s">
        <v>1363</v>
      </c>
      <c r="K942" s="247" t="s">
        <v>27</v>
      </c>
    </row>
    <row r="943" spans="1:17" ht="12.75" customHeight="1" x14ac:dyDescent="0.35">
      <c r="A943" s="241">
        <v>25213</v>
      </c>
      <c r="B943" s="242" t="s">
        <v>1622</v>
      </c>
      <c r="C943" s="243" t="s">
        <v>1623</v>
      </c>
      <c r="D943" s="243" t="s">
        <v>845</v>
      </c>
      <c r="E943" s="243"/>
      <c r="F943" s="244" t="s">
        <v>43</v>
      </c>
      <c r="G943" s="275" t="s">
        <v>44</v>
      </c>
      <c r="H943" s="276" t="s">
        <v>239</v>
      </c>
      <c r="I943" s="243" t="s">
        <v>1597</v>
      </c>
      <c r="J943" s="243" t="s">
        <v>1363</v>
      </c>
      <c r="K943" s="247" t="s">
        <v>27</v>
      </c>
    </row>
    <row r="944" spans="1:17" ht="12.75" customHeight="1" x14ac:dyDescent="0.35">
      <c r="A944" s="241">
        <v>18708</v>
      </c>
      <c r="B944" s="242" t="s">
        <v>1192</v>
      </c>
      <c r="C944" s="243" t="s">
        <v>1193</v>
      </c>
      <c r="D944" s="243" t="s">
        <v>122</v>
      </c>
      <c r="E944" s="243"/>
      <c r="F944" s="244" t="s">
        <v>43</v>
      </c>
      <c r="G944" s="275" t="s">
        <v>44</v>
      </c>
      <c r="H944" s="276" t="s">
        <v>66</v>
      </c>
      <c r="I944" s="249" t="s">
        <v>1597</v>
      </c>
      <c r="J944" s="243" t="s">
        <v>1363</v>
      </c>
      <c r="K944" s="247" t="s">
        <v>27</v>
      </c>
    </row>
    <row r="945" spans="1:17" ht="12.75" customHeight="1" x14ac:dyDescent="0.35">
      <c r="A945" s="241">
        <v>7576</v>
      </c>
      <c r="B945" s="242" t="s">
        <v>1624</v>
      </c>
      <c r="C945" s="243" t="s">
        <v>1119</v>
      </c>
      <c r="D945" s="243" t="s">
        <v>1410</v>
      </c>
      <c r="E945" s="243"/>
      <c r="F945" s="244" t="s">
        <v>49</v>
      </c>
      <c r="G945" s="275" t="s">
        <v>228</v>
      </c>
      <c r="H945" s="276" t="s">
        <v>66</v>
      </c>
      <c r="I945" s="243" t="s">
        <v>1597</v>
      </c>
      <c r="J945" s="243" t="s">
        <v>1363</v>
      </c>
      <c r="K945" s="247" t="s">
        <v>27</v>
      </c>
      <c r="L945" s="272"/>
      <c r="M945" s="272"/>
      <c r="N945" s="272"/>
      <c r="Q945" s="274"/>
    </row>
    <row r="946" spans="1:17" ht="12.75" customHeight="1" x14ac:dyDescent="0.35">
      <c r="A946" s="241">
        <v>7597</v>
      </c>
      <c r="B946" s="242" t="s">
        <v>1625</v>
      </c>
      <c r="C946" s="243" t="s">
        <v>1119</v>
      </c>
      <c r="D946" s="243" t="s">
        <v>624</v>
      </c>
      <c r="E946" s="243"/>
      <c r="F946" s="244" t="s">
        <v>43</v>
      </c>
      <c r="G946" s="275" t="s">
        <v>52</v>
      </c>
      <c r="H946" s="276" t="s">
        <v>180</v>
      </c>
      <c r="I946" s="243" t="s">
        <v>1597</v>
      </c>
      <c r="J946" s="243" t="s">
        <v>1363</v>
      </c>
      <c r="K946" s="247" t="s">
        <v>27</v>
      </c>
    </row>
    <row r="947" spans="1:17" ht="12.75" customHeight="1" x14ac:dyDescent="0.35">
      <c r="A947" s="241">
        <v>38334</v>
      </c>
      <c r="B947" s="242" t="s">
        <v>1626</v>
      </c>
      <c r="C947" s="243" t="s">
        <v>1627</v>
      </c>
      <c r="D947" s="243" t="s">
        <v>88</v>
      </c>
      <c r="E947" s="243"/>
      <c r="F947" s="244" t="s">
        <v>43</v>
      </c>
      <c r="G947" s="275" t="s">
        <v>362</v>
      </c>
      <c r="H947" s="276" t="s">
        <v>45</v>
      </c>
      <c r="I947" s="243" t="s">
        <v>1597</v>
      </c>
      <c r="J947" s="243" t="s">
        <v>1363</v>
      </c>
      <c r="K947" s="247" t="s">
        <v>27</v>
      </c>
    </row>
    <row r="948" spans="1:17" ht="12.75" customHeight="1" x14ac:dyDescent="0.35">
      <c r="A948" s="241">
        <v>7440</v>
      </c>
      <c r="B948" s="242" t="s">
        <v>1629</v>
      </c>
      <c r="C948" s="243" t="s">
        <v>777</v>
      </c>
      <c r="D948" s="243" t="s">
        <v>1630</v>
      </c>
      <c r="E948" s="243"/>
      <c r="F948" s="244" t="s">
        <v>49</v>
      </c>
      <c r="G948" s="275" t="s">
        <v>139</v>
      </c>
      <c r="H948" s="276" t="s">
        <v>239</v>
      </c>
      <c r="I948" s="243" t="s">
        <v>1597</v>
      </c>
      <c r="J948" s="243" t="s">
        <v>1363</v>
      </c>
      <c r="K948" s="247" t="s">
        <v>27</v>
      </c>
    </row>
    <row r="949" spans="1:17" ht="12.75" customHeight="1" x14ac:dyDescent="0.35">
      <c r="A949" s="241">
        <v>7580</v>
      </c>
      <c r="B949" s="242" t="s">
        <v>1634</v>
      </c>
      <c r="C949" s="243" t="s">
        <v>1275</v>
      </c>
      <c r="D949" s="243" t="s">
        <v>80</v>
      </c>
      <c r="E949" s="243"/>
      <c r="F949" s="244" t="s">
        <v>43</v>
      </c>
      <c r="G949" s="275" t="s">
        <v>58</v>
      </c>
      <c r="H949" s="276" t="s">
        <v>45</v>
      </c>
      <c r="I949" s="243" t="s">
        <v>1597</v>
      </c>
      <c r="J949" s="243" t="s">
        <v>1363</v>
      </c>
      <c r="K949" s="247" t="s">
        <v>27</v>
      </c>
    </row>
    <row r="950" spans="1:17" ht="12.75" customHeight="1" x14ac:dyDescent="0.35">
      <c r="A950" s="241">
        <v>16965</v>
      </c>
      <c r="B950" s="242" t="s">
        <v>1635</v>
      </c>
      <c r="C950" s="243" t="s">
        <v>1636</v>
      </c>
      <c r="D950" s="243" t="s">
        <v>270</v>
      </c>
      <c r="E950" s="243"/>
      <c r="F950" s="244" t="s">
        <v>43</v>
      </c>
      <c r="G950" s="275" t="s">
        <v>44</v>
      </c>
      <c r="H950" s="276"/>
      <c r="I950" s="243" t="s">
        <v>1597</v>
      </c>
      <c r="J950" s="243" t="s">
        <v>1363</v>
      </c>
      <c r="K950" s="247" t="s">
        <v>27</v>
      </c>
      <c r="L950" s="272"/>
      <c r="M950" s="272"/>
      <c r="N950" s="272"/>
      <c r="Q950" s="274"/>
    </row>
    <row r="951" spans="1:17" ht="12.75" customHeight="1" x14ac:dyDescent="0.35">
      <c r="A951" s="241">
        <v>25534</v>
      </c>
      <c r="B951" s="242" t="s">
        <v>1637</v>
      </c>
      <c r="C951" s="243" t="s">
        <v>1638</v>
      </c>
      <c r="D951" s="243" t="s">
        <v>383</v>
      </c>
      <c r="E951" s="243"/>
      <c r="F951" s="244" t="s">
        <v>43</v>
      </c>
      <c r="G951" s="275" t="s">
        <v>44</v>
      </c>
      <c r="H951" s="276" t="s">
        <v>180</v>
      </c>
      <c r="I951" s="243" t="s">
        <v>1597</v>
      </c>
      <c r="J951" s="243" t="s">
        <v>1363</v>
      </c>
      <c r="K951" s="247" t="s">
        <v>27</v>
      </c>
    </row>
    <row r="952" spans="1:17" ht="12.75" customHeight="1" x14ac:dyDescent="0.35">
      <c r="A952" s="241">
        <v>12850</v>
      </c>
      <c r="B952" s="242" t="s">
        <v>937</v>
      </c>
      <c r="C952" s="243" t="s">
        <v>502</v>
      </c>
      <c r="D952" s="243" t="s">
        <v>938</v>
      </c>
      <c r="E952" s="243"/>
      <c r="F952" s="244" t="s">
        <v>49</v>
      </c>
      <c r="G952" s="275" t="s">
        <v>50</v>
      </c>
      <c r="H952" s="276" t="s">
        <v>45</v>
      </c>
      <c r="I952" s="243" t="s">
        <v>1597</v>
      </c>
      <c r="J952" s="243" t="s">
        <v>1363</v>
      </c>
      <c r="K952" s="247" t="s">
        <v>27</v>
      </c>
    </row>
    <row r="953" spans="1:17" ht="12.75" customHeight="1" x14ac:dyDescent="0.35">
      <c r="A953" s="241">
        <v>7865</v>
      </c>
      <c r="B953" s="242" t="s">
        <v>1641</v>
      </c>
      <c r="C953" s="243" t="s">
        <v>1642</v>
      </c>
      <c r="D953" s="243" t="s">
        <v>87</v>
      </c>
      <c r="E953" s="243"/>
      <c r="F953" s="244" t="s">
        <v>43</v>
      </c>
      <c r="G953" s="275" t="s">
        <v>44</v>
      </c>
      <c r="H953" s="276" t="s">
        <v>239</v>
      </c>
      <c r="I953" s="249" t="s">
        <v>1597</v>
      </c>
      <c r="J953" s="243" t="s">
        <v>1363</v>
      </c>
      <c r="K953" s="247" t="s">
        <v>27</v>
      </c>
    </row>
    <row r="954" spans="1:17" ht="12.75" customHeight="1" x14ac:dyDescent="0.35">
      <c r="A954" s="241">
        <v>16998</v>
      </c>
      <c r="B954" s="242" t="s">
        <v>946</v>
      </c>
      <c r="C954" s="243" t="s">
        <v>670</v>
      </c>
      <c r="D954" s="243" t="s">
        <v>947</v>
      </c>
      <c r="E954" s="243"/>
      <c r="F954" s="244" t="s">
        <v>43</v>
      </c>
      <c r="G954" s="275" t="s">
        <v>52</v>
      </c>
      <c r="H954" s="276" t="s">
        <v>180</v>
      </c>
      <c r="I954" s="243" t="s">
        <v>1597</v>
      </c>
      <c r="J954" s="243" t="s">
        <v>1363</v>
      </c>
      <c r="K954" s="247" t="s">
        <v>27</v>
      </c>
      <c r="L954" s="272"/>
      <c r="M954" s="272"/>
      <c r="N954" s="272"/>
      <c r="Q954" s="274"/>
    </row>
    <row r="955" spans="1:17" ht="12.75" customHeight="1" x14ac:dyDescent="0.35">
      <c r="A955" s="241">
        <v>16594</v>
      </c>
      <c r="B955" s="242" t="s">
        <v>1643</v>
      </c>
      <c r="C955" s="243" t="s">
        <v>192</v>
      </c>
      <c r="D955" s="243" t="s">
        <v>324</v>
      </c>
      <c r="E955" s="243"/>
      <c r="F955" s="244" t="s">
        <v>49</v>
      </c>
      <c r="G955" s="275" t="s">
        <v>139</v>
      </c>
      <c r="H955" s="276" t="s">
        <v>45</v>
      </c>
      <c r="I955" s="243" t="s">
        <v>1597</v>
      </c>
      <c r="J955" s="243" t="s">
        <v>1363</v>
      </c>
      <c r="K955" s="247" t="s">
        <v>27</v>
      </c>
      <c r="L955" s="272"/>
      <c r="M955" s="272"/>
      <c r="N955" s="272"/>
      <c r="Q955" s="274"/>
    </row>
    <row r="956" spans="1:17" ht="12.75" customHeight="1" x14ac:dyDescent="0.35">
      <c r="A956" s="241">
        <v>16595</v>
      </c>
      <c r="B956" s="242" t="s">
        <v>1644</v>
      </c>
      <c r="C956" s="243" t="s">
        <v>192</v>
      </c>
      <c r="D956" s="243" t="s">
        <v>509</v>
      </c>
      <c r="E956" s="243"/>
      <c r="F956" s="244" t="s">
        <v>49</v>
      </c>
      <c r="G956" s="275" t="s">
        <v>79</v>
      </c>
      <c r="H956" s="276" t="s">
        <v>180</v>
      </c>
      <c r="I956" s="243" t="s">
        <v>1597</v>
      </c>
      <c r="J956" s="243" t="s">
        <v>1363</v>
      </c>
      <c r="K956" s="247" t="s">
        <v>27</v>
      </c>
    </row>
    <row r="957" spans="1:17" ht="12.75" customHeight="1" x14ac:dyDescent="0.35">
      <c r="A957" s="241">
        <v>38350</v>
      </c>
      <c r="B957" s="242" t="s">
        <v>1645</v>
      </c>
      <c r="C957" s="243" t="s">
        <v>1646</v>
      </c>
      <c r="D957" s="243" t="s">
        <v>433</v>
      </c>
      <c r="E957" s="243"/>
      <c r="F957" s="244" t="s">
        <v>49</v>
      </c>
      <c r="G957" s="275" t="s">
        <v>342</v>
      </c>
      <c r="H957" s="276" t="s">
        <v>66</v>
      </c>
      <c r="I957" s="243" t="s">
        <v>1597</v>
      </c>
      <c r="J957" s="243" t="s">
        <v>1363</v>
      </c>
      <c r="K957" s="247" t="s">
        <v>27</v>
      </c>
    </row>
    <row r="958" spans="1:17" ht="12.75" customHeight="1" x14ac:dyDescent="0.35">
      <c r="A958" s="241">
        <v>7485</v>
      </c>
      <c r="B958" s="242" t="s">
        <v>1647</v>
      </c>
      <c r="C958" s="243" t="s">
        <v>1648</v>
      </c>
      <c r="D958" s="243" t="s">
        <v>179</v>
      </c>
      <c r="E958" s="243"/>
      <c r="F958" s="244" t="s">
        <v>43</v>
      </c>
      <c r="G958" s="275" t="s">
        <v>44</v>
      </c>
      <c r="H958" s="276" t="s">
        <v>66</v>
      </c>
      <c r="I958" s="243" t="s">
        <v>1597</v>
      </c>
      <c r="J958" s="243" t="s">
        <v>1363</v>
      </c>
      <c r="K958" s="247" t="s">
        <v>27</v>
      </c>
    </row>
    <row r="959" spans="1:17" ht="12.75" customHeight="1" x14ac:dyDescent="0.35">
      <c r="A959" s="241">
        <v>7991</v>
      </c>
      <c r="B959" s="242" t="s">
        <v>1649</v>
      </c>
      <c r="C959" s="249" t="s">
        <v>500</v>
      </c>
      <c r="D959" s="249" t="s">
        <v>1650</v>
      </c>
      <c r="E959" s="249" t="s">
        <v>2368</v>
      </c>
      <c r="F959" s="244" t="s">
        <v>49</v>
      </c>
      <c r="G959" s="275" t="s">
        <v>50</v>
      </c>
      <c r="H959" s="276" t="s">
        <v>51</v>
      </c>
      <c r="I959" s="249" t="s">
        <v>1597</v>
      </c>
      <c r="J959" s="249" t="s">
        <v>1363</v>
      </c>
      <c r="K959" s="247" t="s">
        <v>27</v>
      </c>
    </row>
    <row r="960" spans="1:17" ht="12.75" customHeight="1" x14ac:dyDescent="0.35">
      <c r="A960" s="241">
        <v>7071</v>
      </c>
      <c r="B960" s="242" t="s">
        <v>951</v>
      </c>
      <c r="C960" s="243" t="s">
        <v>952</v>
      </c>
      <c r="D960" s="243" t="s">
        <v>112</v>
      </c>
      <c r="E960" s="243"/>
      <c r="F960" s="244" t="s">
        <v>43</v>
      </c>
      <c r="G960" s="275" t="s">
        <v>58</v>
      </c>
      <c r="H960" s="276" t="s">
        <v>180</v>
      </c>
      <c r="I960" s="243" t="s">
        <v>1597</v>
      </c>
      <c r="J960" s="243" t="s">
        <v>1363</v>
      </c>
      <c r="K960" s="247" t="s">
        <v>27</v>
      </c>
    </row>
    <row r="961" spans="1:17" ht="12.75" customHeight="1" x14ac:dyDescent="0.35">
      <c r="A961" s="241">
        <v>38621</v>
      </c>
      <c r="B961" s="242" t="s">
        <v>1651</v>
      </c>
      <c r="C961" s="243" t="s">
        <v>1652</v>
      </c>
      <c r="D961" s="243" t="s">
        <v>1653</v>
      </c>
      <c r="E961" s="243"/>
      <c r="F961" s="244" t="s">
        <v>43</v>
      </c>
      <c r="G961" s="245" t="s">
        <v>362</v>
      </c>
      <c r="H961" s="246">
        <v>0</v>
      </c>
      <c r="I961" s="243" t="s">
        <v>1597</v>
      </c>
      <c r="J961" s="243" t="s">
        <v>1363</v>
      </c>
      <c r="K961" s="247" t="s">
        <v>27</v>
      </c>
    </row>
    <row r="962" spans="1:17" ht="12.75" customHeight="1" x14ac:dyDescent="0.35">
      <c r="A962" s="241">
        <v>16093</v>
      </c>
      <c r="B962" s="242" t="s">
        <v>271</v>
      </c>
      <c r="C962" s="243" t="s">
        <v>272</v>
      </c>
      <c r="D962" s="243" t="s">
        <v>273</v>
      </c>
      <c r="E962" s="243"/>
      <c r="F962" s="244" t="s">
        <v>49</v>
      </c>
      <c r="G962" s="275" t="s">
        <v>79</v>
      </c>
      <c r="H962" s="276" t="s">
        <v>66</v>
      </c>
      <c r="I962" s="243" t="s">
        <v>1597</v>
      </c>
      <c r="J962" s="243" t="s">
        <v>1363</v>
      </c>
      <c r="K962" s="247" t="s">
        <v>27</v>
      </c>
    </row>
    <row r="963" spans="1:17" ht="12.75" customHeight="1" x14ac:dyDescent="0.35">
      <c r="A963" s="241">
        <v>7061</v>
      </c>
      <c r="B963" s="242" t="s">
        <v>1249</v>
      </c>
      <c r="C963" s="243" t="s">
        <v>1250</v>
      </c>
      <c r="D963" s="243" t="s">
        <v>230</v>
      </c>
      <c r="E963" s="243"/>
      <c r="F963" s="244" t="s">
        <v>49</v>
      </c>
      <c r="G963" s="275" t="s">
        <v>139</v>
      </c>
      <c r="H963" s="276" t="s">
        <v>45</v>
      </c>
      <c r="I963" s="243" t="s">
        <v>1597</v>
      </c>
      <c r="J963" s="243" t="s">
        <v>1363</v>
      </c>
      <c r="K963" s="247" t="s">
        <v>27</v>
      </c>
    </row>
    <row r="964" spans="1:17" ht="12.75" customHeight="1" x14ac:dyDescent="0.35">
      <c r="A964" s="241">
        <v>38655</v>
      </c>
      <c r="B964" s="242" t="s">
        <v>1655</v>
      </c>
      <c r="C964" s="243" t="s">
        <v>1656</v>
      </c>
      <c r="D964" s="243" t="s">
        <v>1657</v>
      </c>
      <c r="E964" s="243"/>
      <c r="F964" s="244" t="s">
        <v>43</v>
      </c>
      <c r="G964" s="275" t="s">
        <v>362</v>
      </c>
      <c r="H964" s="276" t="s">
        <v>180</v>
      </c>
      <c r="I964" s="243" t="s">
        <v>1597</v>
      </c>
      <c r="J964" s="243" t="s">
        <v>1363</v>
      </c>
      <c r="K964" s="247" t="s">
        <v>27</v>
      </c>
    </row>
    <row r="965" spans="1:17" ht="12.75" customHeight="1" x14ac:dyDescent="0.35">
      <c r="A965" s="241">
        <v>25203</v>
      </c>
      <c r="B965" s="242" t="s">
        <v>1658</v>
      </c>
      <c r="C965" s="249" t="s">
        <v>1659</v>
      </c>
      <c r="D965" s="249" t="s">
        <v>165</v>
      </c>
      <c r="E965" s="249" t="s">
        <v>2368</v>
      </c>
      <c r="F965" s="244" t="s">
        <v>43</v>
      </c>
      <c r="G965" s="275" t="s">
        <v>44</v>
      </c>
      <c r="H965" s="276" t="s">
        <v>180</v>
      </c>
      <c r="I965" s="249" t="s">
        <v>1597</v>
      </c>
      <c r="J965" s="249" t="s">
        <v>1363</v>
      </c>
      <c r="K965" s="247" t="s">
        <v>27</v>
      </c>
    </row>
    <row r="966" spans="1:17" ht="12.75" customHeight="1" x14ac:dyDescent="0.35">
      <c r="A966" s="241">
        <v>25204</v>
      </c>
      <c r="B966" s="242" t="s">
        <v>1660</v>
      </c>
      <c r="C966" s="249" t="s">
        <v>1659</v>
      </c>
      <c r="D966" s="249" t="s">
        <v>206</v>
      </c>
      <c r="E966" s="249" t="s">
        <v>2368</v>
      </c>
      <c r="F966" s="244" t="s">
        <v>43</v>
      </c>
      <c r="G966" s="275" t="s">
        <v>44</v>
      </c>
      <c r="H966" s="276" t="s">
        <v>66</v>
      </c>
      <c r="I966" s="249" t="s">
        <v>1597</v>
      </c>
      <c r="J966" s="249" t="s">
        <v>1363</v>
      </c>
      <c r="K966" s="247" t="s">
        <v>27</v>
      </c>
    </row>
    <row r="967" spans="1:17" ht="12.75" customHeight="1" x14ac:dyDescent="0.35">
      <c r="A967" s="241">
        <v>25205</v>
      </c>
      <c r="B967" s="242" t="s">
        <v>1661</v>
      </c>
      <c r="C967" s="249" t="s">
        <v>1659</v>
      </c>
      <c r="D967" s="249" t="s">
        <v>136</v>
      </c>
      <c r="E967" s="249" t="s">
        <v>2368</v>
      </c>
      <c r="F967" s="244" t="s">
        <v>43</v>
      </c>
      <c r="G967" s="275" t="s">
        <v>44</v>
      </c>
      <c r="H967" s="276" t="s">
        <v>239</v>
      </c>
      <c r="I967" s="249" t="s">
        <v>1597</v>
      </c>
      <c r="J967" s="249" t="s">
        <v>1363</v>
      </c>
      <c r="K967" s="247" t="s">
        <v>27</v>
      </c>
    </row>
    <row r="968" spans="1:17" ht="12.75" customHeight="1" x14ac:dyDescent="0.35">
      <c r="A968" s="241">
        <v>25557</v>
      </c>
      <c r="B968" s="242" t="s">
        <v>1662</v>
      </c>
      <c r="C968" s="243" t="s">
        <v>1659</v>
      </c>
      <c r="D968" s="243" t="s">
        <v>705</v>
      </c>
      <c r="E968" s="243"/>
      <c r="F968" s="244" t="s">
        <v>43</v>
      </c>
      <c r="G968" s="275" t="s">
        <v>44</v>
      </c>
      <c r="H968" s="276" t="s">
        <v>239</v>
      </c>
      <c r="I968" s="243" t="s">
        <v>1597</v>
      </c>
      <c r="J968" s="243" t="s">
        <v>1363</v>
      </c>
      <c r="K968" s="247" t="s">
        <v>27</v>
      </c>
    </row>
    <row r="969" spans="1:17" ht="12.75" customHeight="1" x14ac:dyDescent="0.35">
      <c r="A969" s="241">
        <v>25830</v>
      </c>
      <c r="B969" s="242" t="s">
        <v>2356</v>
      </c>
      <c r="C969" s="243" t="s">
        <v>1659</v>
      </c>
      <c r="D969" s="243" t="s">
        <v>999</v>
      </c>
      <c r="E969" s="243"/>
      <c r="F969" s="244" t="s">
        <v>43</v>
      </c>
      <c r="G969" s="275" t="s">
        <v>94</v>
      </c>
      <c r="H969" s="276" t="s">
        <v>239</v>
      </c>
      <c r="I969" s="243" t="s">
        <v>1597</v>
      </c>
      <c r="J969" s="243" t="s">
        <v>1363</v>
      </c>
      <c r="K969" s="247" t="s">
        <v>27</v>
      </c>
      <c r="L969" s="272"/>
      <c r="M969" s="272"/>
      <c r="N969" s="272"/>
      <c r="Q969" s="274"/>
    </row>
    <row r="970" spans="1:17" ht="12.75" customHeight="1" x14ac:dyDescent="0.35">
      <c r="A970" s="241">
        <v>26157</v>
      </c>
      <c r="B970" s="242" t="s">
        <v>2002</v>
      </c>
      <c r="C970" s="243" t="s">
        <v>2003</v>
      </c>
      <c r="D970" s="243" t="s">
        <v>840</v>
      </c>
      <c r="E970" s="243"/>
      <c r="F970" s="244" t="s">
        <v>43</v>
      </c>
      <c r="G970" s="275" t="s">
        <v>44</v>
      </c>
      <c r="H970" s="276" t="s">
        <v>239</v>
      </c>
      <c r="I970" s="243" t="s">
        <v>1597</v>
      </c>
      <c r="J970" s="243" t="s">
        <v>1363</v>
      </c>
      <c r="K970" s="247" t="s">
        <v>27</v>
      </c>
      <c r="L970" s="272"/>
      <c r="M970" s="272"/>
      <c r="N970" s="272"/>
      <c r="Q970" s="274"/>
    </row>
    <row r="971" spans="1:17" ht="12.75" customHeight="1" x14ac:dyDescent="0.35">
      <c r="A971" s="241">
        <v>38626</v>
      </c>
      <c r="B971" s="242" t="s">
        <v>1682</v>
      </c>
      <c r="C971" s="243" t="s">
        <v>1683</v>
      </c>
      <c r="D971" s="243" t="s">
        <v>125</v>
      </c>
      <c r="E971" s="243"/>
      <c r="F971" s="244" t="s">
        <v>43</v>
      </c>
      <c r="G971" s="275" t="s">
        <v>362</v>
      </c>
      <c r="H971" s="276" t="s">
        <v>66</v>
      </c>
      <c r="I971" s="243" t="s">
        <v>1597</v>
      </c>
      <c r="J971" s="243" t="s">
        <v>1363</v>
      </c>
      <c r="K971" s="247" t="s">
        <v>27</v>
      </c>
      <c r="L971" s="272"/>
      <c r="M971" s="272"/>
      <c r="N971" s="272"/>
      <c r="Q971" s="274"/>
    </row>
    <row r="972" spans="1:17" ht="12.75" customHeight="1" x14ac:dyDescent="0.35">
      <c r="A972" s="241">
        <v>7573</v>
      </c>
      <c r="B972" s="242" t="s">
        <v>1663</v>
      </c>
      <c r="C972" s="243" t="s">
        <v>1664</v>
      </c>
      <c r="D972" s="243" t="s">
        <v>317</v>
      </c>
      <c r="E972" s="243"/>
      <c r="F972" s="244" t="s">
        <v>43</v>
      </c>
      <c r="G972" s="275" t="s">
        <v>52</v>
      </c>
      <c r="H972" s="276" t="s">
        <v>66</v>
      </c>
      <c r="I972" s="243" t="s">
        <v>1597</v>
      </c>
      <c r="J972" s="243" t="s">
        <v>1363</v>
      </c>
      <c r="K972" s="247" t="s">
        <v>27</v>
      </c>
      <c r="L972" s="272"/>
      <c r="M972" s="272"/>
      <c r="N972" s="272"/>
      <c r="Q972" s="274"/>
    </row>
    <row r="973" spans="1:17" ht="12.75" customHeight="1" x14ac:dyDescent="0.35">
      <c r="A973" s="241">
        <v>38672</v>
      </c>
      <c r="B973" s="242" t="s">
        <v>1665</v>
      </c>
      <c r="C973" s="243" t="s">
        <v>1666</v>
      </c>
      <c r="D973" s="243" t="s">
        <v>493</v>
      </c>
      <c r="E973" s="243"/>
      <c r="F973" s="244" t="s">
        <v>43</v>
      </c>
      <c r="G973" s="275" t="s">
        <v>362</v>
      </c>
      <c r="H973" s="276" t="s">
        <v>45</v>
      </c>
      <c r="I973" s="243" t="s">
        <v>255</v>
      </c>
      <c r="J973" s="243" t="s">
        <v>1363</v>
      </c>
      <c r="K973" s="247" t="s">
        <v>27</v>
      </c>
    </row>
    <row r="974" spans="1:17" ht="12.75" customHeight="1" x14ac:dyDescent="0.35">
      <c r="A974" s="241">
        <v>38867</v>
      </c>
      <c r="B974" s="242" t="s">
        <v>2309</v>
      </c>
      <c r="C974" s="243" t="s">
        <v>2310</v>
      </c>
      <c r="D974" s="243" t="s">
        <v>2311</v>
      </c>
      <c r="E974" s="243"/>
      <c r="F974" s="244" t="s">
        <v>43</v>
      </c>
      <c r="G974" s="275" t="s">
        <v>89</v>
      </c>
      <c r="H974" s="276"/>
      <c r="I974" s="243" t="s">
        <v>255</v>
      </c>
      <c r="J974" s="243" t="s">
        <v>1363</v>
      </c>
      <c r="K974" s="247" t="s">
        <v>27</v>
      </c>
    </row>
    <row r="975" spans="1:17" ht="12.75" customHeight="1" x14ac:dyDescent="0.35">
      <c r="A975" s="241">
        <v>25127</v>
      </c>
      <c r="B975" s="242" t="s">
        <v>1688</v>
      </c>
      <c r="C975" s="249" t="s">
        <v>1689</v>
      </c>
      <c r="D975" s="249" t="s">
        <v>107</v>
      </c>
      <c r="E975" s="249" t="s">
        <v>2368</v>
      </c>
      <c r="F975" s="244" t="s">
        <v>43</v>
      </c>
      <c r="G975" s="275" t="s">
        <v>52</v>
      </c>
      <c r="H975" s="276" t="s">
        <v>239</v>
      </c>
      <c r="I975" s="243" t="s">
        <v>255</v>
      </c>
      <c r="J975" s="249" t="s">
        <v>1363</v>
      </c>
      <c r="K975" s="247" t="s">
        <v>27</v>
      </c>
    </row>
    <row r="976" spans="1:17" ht="12.75" customHeight="1" x14ac:dyDescent="0.35">
      <c r="A976" s="241">
        <v>25857</v>
      </c>
      <c r="B976" s="242" t="s">
        <v>1425</v>
      </c>
      <c r="C976" s="243" t="s">
        <v>1219</v>
      </c>
      <c r="D976" s="243" t="s">
        <v>1426</v>
      </c>
      <c r="E976" s="243"/>
      <c r="F976" s="244" t="s">
        <v>49</v>
      </c>
      <c r="G976" s="275" t="s">
        <v>342</v>
      </c>
      <c r="H976" s="276" t="s">
        <v>180</v>
      </c>
      <c r="I976" s="243" t="s">
        <v>255</v>
      </c>
      <c r="J976" s="243" t="s">
        <v>1363</v>
      </c>
      <c r="K976" s="247" t="s">
        <v>27</v>
      </c>
      <c r="L976" s="272"/>
      <c r="M976" s="272"/>
      <c r="N976" s="272"/>
      <c r="Q976" s="274"/>
    </row>
    <row r="977" spans="1:17" ht="12.75" customHeight="1" x14ac:dyDescent="0.35">
      <c r="A977" s="241">
        <v>25388</v>
      </c>
      <c r="B977" s="242" t="s">
        <v>1669</v>
      </c>
      <c r="C977" s="249" t="s">
        <v>1670</v>
      </c>
      <c r="D977" s="249" t="s">
        <v>184</v>
      </c>
      <c r="E977" s="249" t="s">
        <v>2368</v>
      </c>
      <c r="F977" s="244" t="s">
        <v>43</v>
      </c>
      <c r="G977" s="275" t="s">
        <v>52</v>
      </c>
      <c r="H977" s="276"/>
      <c r="I977" s="249" t="s">
        <v>255</v>
      </c>
      <c r="J977" s="249" t="s">
        <v>1363</v>
      </c>
      <c r="K977" s="247" t="s">
        <v>27</v>
      </c>
      <c r="L977" s="272"/>
      <c r="M977" s="272"/>
      <c r="N977" s="272"/>
      <c r="Q977" s="274"/>
    </row>
    <row r="978" spans="1:17" ht="12.75" customHeight="1" x14ac:dyDescent="0.35">
      <c r="A978" s="241">
        <v>38806</v>
      </c>
      <c r="B978" s="242" t="s">
        <v>2224</v>
      </c>
      <c r="C978" s="243" t="s">
        <v>1627</v>
      </c>
      <c r="D978" s="243" t="s">
        <v>1909</v>
      </c>
      <c r="E978" s="243"/>
      <c r="F978" s="244" t="s">
        <v>43</v>
      </c>
      <c r="G978" s="275" t="s">
        <v>89</v>
      </c>
      <c r="H978" s="276" t="s">
        <v>104</v>
      </c>
      <c r="I978" s="243" t="s">
        <v>255</v>
      </c>
      <c r="J978" s="243" t="s">
        <v>1363</v>
      </c>
      <c r="K978" s="247" t="s">
        <v>27</v>
      </c>
      <c r="L978" s="272"/>
      <c r="M978" s="272"/>
      <c r="N978" s="272"/>
      <c r="Q978" s="274"/>
    </row>
    <row r="979" spans="1:17" ht="12.75" customHeight="1" x14ac:dyDescent="0.35">
      <c r="A979" s="241">
        <v>7558</v>
      </c>
      <c r="B979" s="242" t="s">
        <v>1628</v>
      </c>
      <c r="C979" s="243" t="s">
        <v>1493</v>
      </c>
      <c r="D979" s="243" t="s">
        <v>317</v>
      </c>
      <c r="E979" s="243"/>
      <c r="F979" s="244" t="s">
        <v>43</v>
      </c>
      <c r="G979" s="275" t="s">
        <v>58</v>
      </c>
      <c r="H979" s="276" t="s">
        <v>66</v>
      </c>
      <c r="I979" s="243" t="s">
        <v>255</v>
      </c>
      <c r="J979" s="243" t="s">
        <v>1363</v>
      </c>
      <c r="K979" s="247" t="s">
        <v>27</v>
      </c>
      <c r="L979" s="272"/>
      <c r="M979" s="272"/>
      <c r="N979" s="272"/>
      <c r="Q979" s="274"/>
    </row>
    <row r="980" spans="1:17" ht="12.75" customHeight="1" x14ac:dyDescent="0.35">
      <c r="A980" s="241">
        <v>7561</v>
      </c>
      <c r="B980" s="242" t="s">
        <v>1640</v>
      </c>
      <c r="C980" s="243" t="s">
        <v>1434</v>
      </c>
      <c r="D980" s="243" t="s">
        <v>65</v>
      </c>
      <c r="E980" s="243"/>
      <c r="F980" s="244" t="s">
        <v>43</v>
      </c>
      <c r="G980" s="275" t="s">
        <v>52</v>
      </c>
      <c r="H980" s="276" t="s">
        <v>180</v>
      </c>
      <c r="I980" s="243" t="s">
        <v>255</v>
      </c>
      <c r="J980" s="243" t="s">
        <v>1363</v>
      </c>
      <c r="K980" s="247" t="s">
        <v>27</v>
      </c>
      <c r="L980" s="272"/>
      <c r="M980" s="272"/>
      <c r="N980" s="272"/>
      <c r="Q980" s="274"/>
    </row>
    <row r="981" spans="1:17" ht="12.75" customHeight="1" x14ac:dyDescent="0.35">
      <c r="A981" s="241">
        <v>7565</v>
      </c>
      <c r="B981" s="242" t="s">
        <v>2225</v>
      </c>
      <c r="C981" s="243" t="s">
        <v>2226</v>
      </c>
      <c r="D981" s="243" t="s">
        <v>855</v>
      </c>
      <c r="E981" s="243"/>
      <c r="F981" s="244" t="s">
        <v>43</v>
      </c>
      <c r="G981" s="245" t="s">
        <v>58</v>
      </c>
      <c r="H981" s="246">
        <v>0</v>
      </c>
      <c r="I981" s="243" t="s">
        <v>255</v>
      </c>
      <c r="J981" s="243" t="s">
        <v>1363</v>
      </c>
      <c r="K981" s="247" t="s">
        <v>27</v>
      </c>
      <c r="L981" s="272"/>
      <c r="M981" s="272"/>
      <c r="N981" s="272"/>
      <c r="Q981" s="274"/>
    </row>
    <row r="982" spans="1:17" ht="12.75" customHeight="1" x14ac:dyDescent="0.35">
      <c r="A982" s="241">
        <v>25631</v>
      </c>
      <c r="B982" s="242">
        <v>9079766</v>
      </c>
      <c r="C982" s="243" t="s">
        <v>1678</v>
      </c>
      <c r="D982" s="243" t="s">
        <v>1679</v>
      </c>
      <c r="E982" s="243"/>
      <c r="F982" s="244" t="s">
        <v>43</v>
      </c>
      <c r="G982" s="275" t="s">
        <v>58</v>
      </c>
      <c r="H982" s="276" t="s">
        <v>66</v>
      </c>
      <c r="I982" s="243" t="s">
        <v>255</v>
      </c>
      <c r="J982" s="243" t="s">
        <v>1363</v>
      </c>
      <c r="K982" s="247" t="s">
        <v>27</v>
      </c>
    </row>
    <row r="983" spans="1:17" ht="12.75" customHeight="1" x14ac:dyDescent="0.35">
      <c r="A983" s="241">
        <v>38676</v>
      </c>
      <c r="B983" s="242" t="s">
        <v>1680</v>
      </c>
      <c r="C983" s="243" t="s">
        <v>1681</v>
      </c>
      <c r="D983" s="243" t="s">
        <v>755</v>
      </c>
      <c r="E983" s="243"/>
      <c r="F983" s="244" t="s">
        <v>43</v>
      </c>
      <c r="G983" s="275" t="s">
        <v>362</v>
      </c>
      <c r="H983" s="276"/>
      <c r="I983" s="243" t="s">
        <v>255</v>
      </c>
      <c r="J983" s="243" t="s">
        <v>1363</v>
      </c>
      <c r="K983" s="247" t="s">
        <v>27</v>
      </c>
    </row>
    <row r="984" spans="1:17" ht="12.75" customHeight="1" x14ac:dyDescent="0.35">
      <c r="A984" s="241">
        <v>38526</v>
      </c>
      <c r="B984" s="242" t="s">
        <v>2312</v>
      </c>
      <c r="C984" s="243" t="s">
        <v>2313</v>
      </c>
      <c r="D984" s="243" t="s">
        <v>2314</v>
      </c>
      <c r="E984" s="243"/>
      <c r="F984" s="244" t="s">
        <v>49</v>
      </c>
      <c r="G984" s="275" t="s">
        <v>1125</v>
      </c>
      <c r="H984" s="276"/>
      <c r="I984" s="243" t="s">
        <v>255</v>
      </c>
      <c r="J984" s="243" t="s">
        <v>1363</v>
      </c>
      <c r="K984" s="247" t="s">
        <v>27</v>
      </c>
    </row>
    <row r="985" spans="1:17" ht="12.75" customHeight="1" x14ac:dyDescent="0.35">
      <c r="A985" s="241">
        <v>38538</v>
      </c>
      <c r="B985" s="242" t="s">
        <v>1654</v>
      </c>
      <c r="C985" s="243" t="s">
        <v>199</v>
      </c>
      <c r="D985" s="243" t="s">
        <v>1426</v>
      </c>
      <c r="E985" s="243"/>
      <c r="F985" s="244" t="s">
        <v>49</v>
      </c>
      <c r="G985" s="275" t="s">
        <v>79</v>
      </c>
      <c r="H985" s="276" t="s">
        <v>66</v>
      </c>
      <c r="I985" s="243" t="s">
        <v>255</v>
      </c>
      <c r="J985" s="243" t="s">
        <v>1363</v>
      </c>
      <c r="K985" s="247" t="s">
        <v>27</v>
      </c>
    </row>
    <row r="986" spans="1:17" ht="12.75" customHeight="1" x14ac:dyDescent="0.35">
      <c r="A986" s="241">
        <v>38835</v>
      </c>
      <c r="B986" s="242" t="s">
        <v>2227</v>
      </c>
      <c r="C986" s="243" t="s">
        <v>199</v>
      </c>
      <c r="D986" s="243" t="s">
        <v>2228</v>
      </c>
      <c r="E986" s="243"/>
      <c r="F986" s="244" t="s">
        <v>43</v>
      </c>
      <c r="G986" s="275" t="s">
        <v>362</v>
      </c>
      <c r="H986" s="276" t="s">
        <v>104</v>
      </c>
      <c r="I986" s="243" t="s">
        <v>255</v>
      </c>
      <c r="J986" s="243" t="s">
        <v>1363</v>
      </c>
      <c r="K986" s="247" t="s">
        <v>27</v>
      </c>
    </row>
    <row r="987" spans="1:17" ht="12.75" customHeight="1" x14ac:dyDescent="0.35">
      <c r="A987" s="241">
        <v>7650</v>
      </c>
      <c r="B987" s="242" t="s">
        <v>1685</v>
      </c>
      <c r="C987" s="243" t="s">
        <v>1686</v>
      </c>
      <c r="D987" s="243" t="s">
        <v>1143</v>
      </c>
      <c r="E987" s="243"/>
      <c r="F987" s="244" t="s">
        <v>43</v>
      </c>
      <c r="G987" s="275" t="s">
        <v>44</v>
      </c>
      <c r="H987" s="276" t="s">
        <v>180</v>
      </c>
      <c r="I987" s="243" t="s">
        <v>1684</v>
      </c>
      <c r="J987" s="243" t="s">
        <v>1363</v>
      </c>
      <c r="K987" s="247" t="s">
        <v>27</v>
      </c>
    </row>
    <row r="988" spans="1:17" ht="12.75" customHeight="1" x14ac:dyDescent="0.35">
      <c r="A988" s="241">
        <v>38728</v>
      </c>
      <c r="B988" s="242" t="s">
        <v>2004</v>
      </c>
      <c r="C988" s="249" t="s">
        <v>2005</v>
      </c>
      <c r="D988" s="249" t="s">
        <v>1726</v>
      </c>
      <c r="E988" s="249" t="s">
        <v>2368</v>
      </c>
      <c r="F988" s="244" t="s">
        <v>43</v>
      </c>
      <c r="G988" s="275" t="s">
        <v>44</v>
      </c>
      <c r="H988" s="276"/>
      <c r="I988" s="249" t="s">
        <v>1684</v>
      </c>
      <c r="J988" s="249" t="s">
        <v>1363</v>
      </c>
      <c r="K988" s="247" t="s">
        <v>27</v>
      </c>
    </row>
    <row r="989" spans="1:17" ht="12.75" customHeight="1" x14ac:dyDescent="0.35">
      <c r="A989" s="241">
        <v>38681</v>
      </c>
      <c r="B989" s="242" t="s">
        <v>1690</v>
      </c>
      <c r="C989" s="243" t="s">
        <v>1691</v>
      </c>
      <c r="D989" s="243" t="s">
        <v>1692</v>
      </c>
      <c r="E989" s="243"/>
      <c r="F989" s="244" t="s">
        <v>43</v>
      </c>
      <c r="G989" s="275" t="s">
        <v>44</v>
      </c>
      <c r="H989" s="276" t="s">
        <v>45</v>
      </c>
      <c r="I989" s="243" t="s">
        <v>1684</v>
      </c>
      <c r="J989" s="243" t="s">
        <v>1363</v>
      </c>
      <c r="K989" s="247" t="s">
        <v>27</v>
      </c>
      <c r="L989" s="272"/>
      <c r="M989" s="272"/>
      <c r="N989" s="272"/>
      <c r="Q989" s="274"/>
    </row>
    <row r="990" spans="1:17" ht="12.75" customHeight="1" x14ac:dyDescent="0.35">
      <c r="A990" s="241">
        <v>25629</v>
      </c>
      <c r="B990" s="242">
        <v>9079768</v>
      </c>
      <c r="C990" s="243" t="s">
        <v>1693</v>
      </c>
      <c r="D990" s="243" t="s">
        <v>270</v>
      </c>
      <c r="E990" s="243"/>
      <c r="F990" s="244" t="s">
        <v>43</v>
      </c>
      <c r="G990" s="275" t="s">
        <v>44</v>
      </c>
      <c r="H990" s="276" t="s">
        <v>66</v>
      </c>
      <c r="I990" s="243" t="s">
        <v>1684</v>
      </c>
      <c r="J990" s="243" t="s">
        <v>1363</v>
      </c>
      <c r="K990" s="247" t="s">
        <v>27</v>
      </c>
    </row>
    <row r="991" spans="1:17" ht="12.75" customHeight="1" x14ac:dyDescent="0.35">
      <c r="A991" s="241">
        <v>25972</v>
      </c>
      <c r="B991" s="242" t="s">
        <v>1695</v>
      </c>
      <c r="C991" s="249" t="s">
        <v>1627</v>
      </c>
      <c r="D991" s="249" t="s">
        <v>120</v>
      </c>
      <c r="E991" s="249" t="s">
        <v>2368</v>
      </c>
      <c r="F991" s="244" t="s">
        <v>43</v>
      </c>
      <c r="G991" s="275" t="s">
        <v>44</v>
      </c>
      <c r="H991" s="276" t="s">
        <v>45</v>
      </c>
      <c r="I991" s="249" t="s">
        <v>1684</v>
      </c>
      <c r="J991" s="249" t="s">
        <v>1363</v>
      </c>
      <c r="K991" s="247" t="s">
        <v>27</v>
      </c>
    </row>
    <row r="992" spans="1:17" ht="12.75" customHeight="1" x14ac:dyDescent="0.35">
      <c r="A992" s="241">
        <v>25279</v>
      </c>
      <c r="B992" s="242" t="s">
        <v>1696</v>
      </c>
      <c r="C992" s="243" t="s">
        <v>1697</v>
      </c>
      <c r="D992" s="243" t="s">
        <v>120</v>
      </c>
      <c r="E992" s="243"/>
      <c r="F992" s="244" t="s">
        <v>43</v>
      </c>
      <c r="G992" s="275" t="s">
        <v>58</v>
      </c>
      <c r="H992" s="276" t="s">
        <v>45</v>
      </c>
      <c r="I992" s="243" t="s">
        <v>1684</v>
      </c>
      <c r="J992" s="243" t="s">
        <v>1363</v>
      </c>
      <c r="K992" s="247" t="s">
        <v>27</v>
      </c>
    </row>
    <row r="993" spans="1:17" ht="12.75" customHeight="1" x14ac:dyDescent="0.35">
      <c r="A993" s="241">
        <v>38344</v>
      </c>
      <c r="B993" s="242" t="s">
        <v>1701</v>
      </c>
      <c r="C993" s="243" t="s">
        <v>1702</v>
      </c>
      <c r="D993" s="243" t="s">
        <v>143</v>
      </c>
      <c r="E993" s="243"/>
      <c r="F993" s="244" t="s">
        <v>43</v>
      </c>
      <c r="G993" s="275" t="s">
        <v>67</v>
      </c>
      <c r="H993" s="276"/>
      <c r="I993" s="243" t="s">
        <v>1684</v>
      </c>
      <c r="J993" s="243" t="s">
        <v>1363</v>
      </c>
      <c r="K993" s="247" t="s">
        <v>27</v>
      </c>
      <c r="L993" s="272"/>
      <c r="M993" s="272"/>
      <c r="N993" s="272"/>
      <c r="Q993" s="274"/>
    </row>
    <row r="994" spans="1:17" ht="12.75" customHeight="1" x14ac:dyDescent="0.35">
      <c r="A994" s="241">
        <v>38480</v>
      </c>
      <c r="B994" s="242" t="s">
        <v>1703</v>
      </c>
      <c r="C994" s="249" t="s">
        <v>1704</v>
      </c>
      <c r="D994" s="249" t="s">
        <v>1009</v>
      </c>
      <c r="E994" s="249" t="s">
        <v>2368</v>
      </c>
      <c r="F994" s="244" t="s">
        <v>43</v>
      </c>
      <c r="G994" s="275" t="s">
        <v>44</v>
      </c>
      <c r="H994" s="276" t="s">
        <v>180</v>
      </c>
      <c r="I994" s="249" t="s">
        <v>1684</v>
      </c>
      <c r="J994" s="249" t="s">
        <v>1363</v>
      </c>
      <c r="K994" s="247" t="s">
        <v>27</v>
      </c>
    </row>
    <row r="995" spans="1:17" ht="12.75" customHeight="1" x14ac:dyDescent="0.35">
      <c r="A995" s="241">
        <v>38847</v>
      </c>
      <c r="B995" s="242" t="s">
        <v>2231</v>
      </c>
      <c r="C995" s="243" t="s">
        <v>1707</v>
      </c>
      <c r="D995" s="243" t="s">
        <v>99</v>
      </c>
      <c r="E995" s="243"/>
      <c r="F995" s="244" t="s">
        <v>43</v>
      </c>
      <c r="G995" s="275" t="s">
        <v>44</v>
      </c>
      <c r="H995" s="276" t="s">
        <v>45</v>
      </c>
      <c r="I995" s="243" t="s">
        <v>1684</v>
      </c>
      <c r="J995" s="243" t="s">
        <v>1363</v>
      </c>
      <c r="K995" s="247" t="s">
        <v>27</v>
      </c>
    </row>
    <row r="996" spans="1:17" ht="12.75" customHeight="1" x14ac:dyDescent="0.35">
      <c r="A996" s="241">
        <v>38614</v>
      </c>
      <c r="B996" s="242" t="s">
        <v>1706</v>
      </c>
      <c r="C996" s="249" t="s">
        <v>1707</v>
      </c>
      <c r="D996" s="249" t="s">
        <v>93</v>
      </c>
      <c r="E996" s="249" t="s">
        <v>2368</v>
      </c>
      <c r="F996" s="244" t="s">
        <v>43</v>
      </c>
      <c r="G996" s="275" t="s">
        <v>94</v>
      </c>
      <c r="H996" s="276"/>
      <c r="I996" s="249" t="s">
        <v>1684</v>
      </c>
      <c r="J996" s="249" t="s">
        <v>1363</v>
      </c>
      <c r="K996" s="247" t="s">
        <v>27</v>
      </c>
    </row>
    <row r="997" spans="1:17" ht="12.75" customHeight="1" x14ac:dyDescent="0.35">
      <c r="A997" s="241">
        <v>38202</v>
      </c>
      <c r="B997" s="242" t="s">
        <v>1708</v>
      </c>
      <c r="C997" s="249" t="s">
        <v>1411</v>
      </c>
      <c r="D997" s="249" t="s">
        <v>1709</v>
      </c>
      <c r="E997" s="249" t="s">
        <v>2368</v>
      </c>
      <c r="F997" s="244" t="s">
        <v>43</v>
      </c>
      <c r="G997" s="275" t="s">
        <v>52</v>
      </c>
      <c r="H997" s="276" t="s">
        <v>45</v>
      </c>
      <c r="I997" s="249" t="s">
        <v>1684</v>
      </c>
      <c r="J997" s="249" t="s">
        <v>1363</v>
      </c>
      <c r="K997" s="247" t="s">
        <v>27</v>
      </c>
    </row>
    <row r="998" spans="1:17" ht="12.75" customHeight="1" x14ac:dyDescent="0.35">
      <c r="A998" s="241">
        <v>38535</v>
      </c>
      <c r="B998" s="242" t="s">
        <v>2358</v>
      </c>
      <c r="C998" s="249" t="s">
        <v>2359</v>
      </c>
      <c r="D998" s="249" t="s">
        <v>2360</v>
      </c>
      <c r="E998" s="249" t="s">
        <v>2368</v>
      </c>
      <c r="F998" s="244" t="s">
        <v>43</v>
      </c>
      <c r="G998" s="275" t="s">
        <v>52</v>
      </c>
      <c r="H998" s="276" t="s">
        <v>66</v>
      </c>
      <c r="I998" s="249" t="s">
        <v>1684</v>
      </c>
      <c r="J998" s="249" t="s">
        <v>1363</v>
      </c>
      <c r="K998" s="247" t="s">
        <v>27</v>
      </c>
    </row>
    <row r="999" spans="1:17" ht="12.75" customHeight="1" x14ac:dyDescent="0.35">
      <c r="A999" s="241">
        <v>16864</v>
      </c>
      <c r="B999" s="242" t="s">
        <v>561</v>
      </c>
      <c r="C999" s="249" t="s">
        <v>562</v>
      </c>
      <c r="D999" s="249" t="s">
        <v>107</v>
      </c>
      <c r="E999" s="249" t="s">
        <v>2368</v>
      </c>
      <c r="F999" s="244" t="s">
        <v>43</v>
      </c>
      <c r="G999" s="275" t="s">
        <v>52</v>
      </c>
      <c r="H999" s="276" t="s">
        <v>45</v>
      </c>
      <c r="I999" s="249" t="s">
        <v>1710</v>
      </c>
      <c r="J999" s="249" t="s">
        <v>1711</v>
      </c>
      <c r="K999" s="247" t="s">
        <v>25</v>
      </c>
    </row>
    <row r="1000" spans="1:17" ht="12.75" customHeight="1" x14ac:dyDescent="0.35">
      <c r="A1000" s="241">
        <v>4788</v>
      </c>
      <c r="B1000" s="242" t="s">
        <v>2232</v>
      </c>
      <c r="C1000" s="243" t="s">
        <v>2233</v>
      </c>
      <c r="D1000" s="243" t="s">
        <v>2234</v>
      </c>
      <c r="E1000" s="243"/>
      <c r="F1000" s="244" t="s">
        <v>43</v>
      </c>
      <c r="G1000" s="275" t="s">
        <v>44</v>
      </c>
      <c r="H1000" s="276" t="s">
        <v>45</v>
      </c>
      <c r="I1000" s="243" t="s">
        <v>1710</v>
      </c>
      <c r="J1000" s="243" t="s">
        <v>1711</v>
      </c>
      <c r="K1000" s="247" t="s">
        <v>25</v>
      </c>
    </row>
    <row r="1001" spans="1:17" ht="12.75" customHeight="1" x14ac:dyDescent="0.35">
      <c r="A1001" s="241">
        <v>16860</v>
      </c>
      <c r="B1001" s="242" t="s">
        <v>1712</v>
      </c>
      <c r="C1001" s="249" t="s">
        <v>1286</v>
      </c>
      <c r="D1001" s="249" t="s">
        <v>1713</v>
      </c>
      <c r="E1001" s="249" t="s">
        <v>2368</v>
      </c>
      <c r="F1001" s="244" t="s">
        <v>43</v>
      </c>
      <c r="G1001" s="275" t="s">
        <v>52</v>
      </c>
      <c r="H1001" s="276" t="s">
        <v>45</v>
      </c>
      <c r="I1001" s="249" t="s">
        <v>1710</v>
      </c>
      <c r="J1001" s="249" t="s">
        <v>1711</v>
      </c>
      <c r="K1001" s="247" t="s">
        <v>25</v>
      </c>
    </row>
    <row r="1002" spans="1:17" ht="12.75" customHeight="1" x14ac:dyDescent="0.35">
      <c r="A1002" s="241">
        <v>16861</v>
      </c>
      <c r="B1002" s="242" t="s">
        <v>1714</v>
      </c>
      <c r="C1002" s="249" t="s">
        <v>1286</v>
      </c>
      <c r="D1002" s="249" t="s">
        <v>896</v>
      </c>
      <c r="E1002" s="249" t="s">
        <v>2368</v>
      </c>
      <c r="F1002" s="244" t="s">
        <v>43</v>
      </c>
      <c r="G1002" s="275" t="s">
        <v>44</v>
      </c>
      <c r="H1002" s="276" t="s">
        <v>66</v>
      </c>
      <c r="I1002" s="249" t="s">
        <v>1710</v>
      </c>
      <c r="J1002" s="249" t="s">
        <v>1711</v>
      </c>
      <c r="K1002" s="247" t="s">
        <v>25</v>
      </c>
      <c r="L1002" s="272"/>
      <c r="M1002" s="272"/>
      <c r="N1002" s="272"/>
      <c r="Q1002" s="274"/>
    </row>
    <row r="1003" spans="1:17" ht="12.75" customHeight="1" x14ac:dyDescent="0.35">
      <c r="A1003" s="241">
        <v>38643</v>
      </c>
      <c r="B1003" s="242" t="s">
        <v>1715</v>
      </c>
      <c r="C1003" s="243" t="s">
        <v>1716</v>
      </c>
      <c r="D1003" s="243" t="s">
        <v>1093</v>
      </c>
      <c r="E1003" s="243"/>
      <c r="F1003" s="244" t="s">
        <v>43</v>
      </c>
      <c r="G1003" s="275" t="s">
        <v>44</v>
      </c>
      <c r="H1003" s="276"/>
      <c r="I1003" s="243" t="s">
        <v>1710</v>
      </c>
      <c r="J1003" s="243" t="s">
        <v>1711</v>
      </c>
      <c r="K1003" s="247" t="s">
        <v>25</v>
      </c>
    </row>
    <row r="1004" spans="1:17" ht="12.75" customHeight="1" x14ac:dyDescent="0.35">
      <c r="A1004" s="241">
        <v>16862</v>
      </c>
      <c r="B1004" s="242" t="s">
        <v>1717</v>
      </c>
      <c r="C1004" s="249" t="s">
        <v>1718</v>
      </c>
      <c r="D1004" s="249" t="s">
        <v>87</v>
      </c>
      <c r="E1004" s="249" t="s">
        <v>2368</v>
      </c>
      <c r="F1004" s="244" t="s">
        <v>43</v>
      </c>
      <c r="G1004" s="275" t="s">
        <v>44</v>
      </c>
      <c r="H1004" s="276" t="s">
        <v>180</v>
      </c>
      <c r="I1004" s="249" t="s">
        <v>1710</v>
      </c>
      <c r="J1004" s="249" t="s">
        <v>1711</v>
      </c>
      <c r="K1004" s="247" t="s">
        <v>25</v>
      </c>
    </row>
    <row r="1005" spans="1:17" ht="12.75" customHeight="1" x14ac:dyDescent="0.35">
      <c r="A1005" s="241">
        <v>38895</v>
      </c>
      <c r="B1005" s="242" t="s">
        <v>2403</v>
      </c>
      <c r="C1005" s="243" t="s">
        <v>2404</v>
      </c>
      <c r="D1005" s="243" t="s">
        <v>405</v>
      </c>
      <c r="E1005" s="243"/>
      <c r="F1005" s="244" t="s">
        <v>43</v>
      </c>
      <c r="G1005" s="275" t="s">
        <v>362</v>
      </c>
      <c r="H1005" s="276"/>
      <c r="I1005" s="243" t="s">
        <v>1710</v>
      </c>
      <c r="J1005" s="243" t="s">
        <v>1711</v>
      </c>
      <c r="K1005" s="247" t="s">
        <v>25</v>
      </c>
    </row>
    <row r="1006" spans="1:17" ht="12.75" customHeight="1" x14ac:dyDescent="0.35">
      <c r="A1006" s="241">
        <v>16565</v>
      </c>
      <c r="B1006" s="242" t="s">
        <v>2235</v>
      </c>
      <c r="C1006" s="243" t="s">
        <v>2236</v>
      </c>
      <c r="D1006" s="243" t="s">
        <v>125</v>
      </c>
      <c r="E1006" s="243"/>
      <c r="F1006" s="244" t="s">
        <v>43</v>
      </c>
      <c r="G1006" s="275" t="s">
        <v>67</v>
      </c>
      <c r="H1006" s="276" t="s">
        <v>45</v>
      </c>
      <c r="I1006" s="243" t="s">
        <v>1710</v>
      </c>
      <c r="J1006" s="243" t="s">
        <v>1711</v>
      </c>
      <c r="K1006" s="247" t="s">
        <v>25</v>
      </c>
    </row>
    <row r="1007" spans="1:17" ht="12.75" customHeight="1" x14ac:dyDescent="0.35">
      <c r="A1007" s="241">
        <v>38721</v>
      </c>
      <c r="B1007" s="242" t="s">
        <v>2007</v>
      </c>
      <c r="C1007" s="243" t="s">
        <v>615</v>
      </c>
      <c r="D1007" s="243" t="s">
        <v>1469</v>
      </c>
      <c r="E1007" s="243"/>
      <c r="F1007" s="244" t="s">
        <v>49</v>
      </c>
      <c r="G1007" s="275" t="s">
        <v>79</v>
      </c>
      <c r="H1007" s="276" t="s">
        <v>45</v>
      </c>
      <c r="I1007" s="243" t="s">
        <v>1710</v>
      </c>
      <c r="J1007" s="243" t="s">
        <v>1711</v>
      </c>
      <c r="K1007" s="247" t="s">
        <v>25</v>
      </c>
      <c r="L1007" s="272"/>
      <c r="M1007" s="272"/>
      <c r="N1007" s="272"/>
      <c r="Q1007" s="274"/>
    </row>
    <row r="1008" spans="1:17" ht="12.75" customHeight="1" x14ac:dyDescent="0.35">
      <c r="A1008" s="241">
        <v>38544</v>
      </c>
      <c r="B1008" s="242" t="s">
        <v>379</v>
      </c>
      <c r="C1008" s="243" t="s">
        <v>380</v>
      </c>
      <c r="D1008" s="243" t="s">
        <v>381</v>
      </c>
      <c r="E1008" s="243"/>
      <c r="F1008" s="244" t="s">
        <v>43</v>
      </c>
      <c r="G1008" s="275" t="s">
        <v>89</v>
      </c>
      <c r="H1008" s="276" t="s">
        <v>45</v>
      </c>
      <c r="I1008" s="243" t="s">
        <v>1710</v>
      </c>
      <c r="J1008" s="243" t="s">
        <v>1711</v>
      </c>
      <c r="K1008" s="247" t="s">
        <v>25</v>
      </c>
      <c r="L1008" s="272"/>
      <c r="M1008" s="272"/>
      <c r="N1008" s="272"/>
      <c r="Q1008" s="274"/>
    </row>
    <row r="1009" spans="1:17" ht="12.75" customHeight="1" x14ac:dyDescent="0.35">
      <c r="A1009" s="241">
        <v>38856</v>
      </c>
      <c r="B1009" s="242" t="s">
        <v>2293</v>
      </c>
      <c r="C1009" s="243" t="s">
        <v>2054</v>
      </c>
      <c r="D1009" s="243" t="s">
        <v>957</v>
      </c>
      <c r="E1009" s="243"/>
      <c r="F1009" s="244" t="s">
        <v>43</v>
      </c>
      <c r="G1009" s="250" t="s">
        <v>362</v>
      </c>
      <c r="H1009" s="251">
        <v>0</v>
      </c>
      <c r="I1009" s="243" t="s">
        <v>1710</v>
      </c>
      <c r="J1009" s="243" t="s">
        <v>1711</v>
      </c>
      <c r="K1009" s="247" t="s">
        <v>25</v>
      </c>
      <c r="L1009" s="272"/>
      <c r="M1009" s="272"/>
      <c r="N1009" s="272"/>
      <c r="Q1009" s="274"/>
    </row>
    <row r="1010" spans="1:17" ht="12.75" customHeight="1" x14ac:dyDescent="0.35">
      <c r="A1010" s="241">
        <v>38775</v>
      </c>
      <c r="B1010" s="242" t="s">
        <v>2053</v>
      </c>
      <c r="C1010" s="243" t="s">
        <v>2054</v>
      </c>
      <c r="D1010" s="243" t="s">
        <v>2055</v>
      </c>
      <c r="E1010" s="243"/>
      <c r="F1010" s="244" t="s">
        <v>49</v>
      </c>
      <c r="G1010" s="250" t="s">
        <v>775</v>
      </c>
      <c r="H1010" s="251">
        <v>0</v>
      </c>
      <c r="I1010" s="243" t="s">
        <v>1710</v>
      </c>
      <c r="J1010" s="243" t="s">
        <v>1711</v>
      </c>
      <c r="K1010" s="247" t="s">
        <v>25</v>
      </c>
      <c r="L1010" s="272"/>
      <c r="M1010" s="272"/>
      <c r="N1010" s="272"/>
      <c r="Q1010" s="274"/>
    </row>
    <row r="1011" spans="1:17" ht="12.75" customHeight="1" x14ac:dyDescent="0.35">
      <c r="A1011" s="241">
        <v>38919</v>
      </c>
      <c r="B1011" s="242" t="s">
        <v>2537</v>
      </c>
      <c r="C1011" s="243" t="s">
        <v>2316</v>
      </c>
      <c r="D1011" s="243" t="s">
        <v>767</v>
      </c>
      <c r="E1011" s="243"/>
      <c r="F1011" s="244" t="s">
        <v>43</v>
      </c>
      <c r="G1011" s="250" t="s">
        <v>44</v>
      </c>
      <c r="H1011" s="251">
        <v>0</v>
      </c>
      <c r="I1011" s="243" t="s">
        <v>1710</v>
      </c>
      <c r="J1011" s="243" t="s">
        <v>1711</v>
      </c>
      <c r="K1011" s="247" t="s">
        <v>25</v>
      </c>
      <c r="L1011" s="272"/>
      <c r="M1011" s="272"/>
      <c r="N1011" s="272"/>
      <c r="Q1011" s="274"/>
    </row>
    <row r="1012" spans="1:17" ht="12.75" customHeight="1" x14ac:dyDescent="0.35">
      <c r="A1012" s="241">
        <v>38876</v>
      </c>
      <c r="B1012" s="242" t="s">
        <v>2315</v>
      </c>
      <c r="C1012" s="243" t="s">
        <v>2316</v>
      </c>
      <c r="D1012" s="243" t="s">
        <v>1255</v>
      </c>
      <c r="E1012" s="243"/>
      <c r="F1012" s="244" t="s">
        <v>49</v>
      </c>
      <c r="G1012" s="275" t="s">
        <v>79</v>
      </c>
      <c r="H1012" s="276" t="s">
        <v>104</v>
      </c>
      <c r="I1012" s="243" t="s">
        <v>1710</v>
      </c>
      <c r="J1012" s="243" t="s">
        <v>1711</v>
      </c>
      <c r="K1012" s="247" t="s">
        <v>25</v>
      </c>
      <c r="L1012" s="272"/>
      <c r="M1012" s="272"/>
      <c r="N1012" s="272"/>
      <c r="Q1012" s="274"/>
    </row>
    <row r="1013" spans="1:17" ht="12.75" customHeight="1" x14ac:dyDescent="0.35">
      <c r="A1013" s="241">
        <v>16349</v>
      </c>
      <c r="B1013" s="242" t="s">
        <v>1719</v>
      </c>
      <c r="C1013" s="243" t="s">
        <v>1720</v>
      </c>
      <c r="D1013" s="243" t="s">
        <v>73</v>
      </c>
      <c r="E1013" s="243"/>
      <c r="F1013" s="244" t="s">
        <v>43</v>
      </c>
      <c r="G1013" s="252" t="s">
        <v>52</v>
      </c>
      <c r="H1013" s="253">
        <v>0</v>
      </c>
      <c r="I1013" s="243" t="s">
        <v>1710</v>
      </c>
      <c r="J1013" s="243" t="s">
        <v>1711</v>
      </c>
      <c r="K1013" s="247" t="s">
        <v>25</v>
      </c>
      <c r="L1013" s="272"/>
      <c r="M1013" s="272"/>
      <c r="N1013" s="272"/>
      <c r="Q1013" s="274"/>
    </row>
    <row r="1014" spans="1:17" ht="12.75" customHeight="1" x14ac:dyDescent="0.35">
      <c r="A1014" s="241">
        <v>25163</v>
      </c>
      <c r="B1014" s="242" t="s">
        <v>622</v>
      </c>
      <c r="C1014" s="243" t="s">
        <v>623</v>
      </c>
      <c r="D1014" s="243" t="s">
        <v>624</v>
      </c>
      <c r="E1014" s="243"/>
      <c r="F1014" s="244" t="s">
        <v>43</v>
      </c>
      <c r="G1014" s="245" t="s">
        <v>52</v>
      </c>
      <c r="H1014" s="246">
        <v>0</v>
      </c>
      <c r="I1014" s="243" t="s">
        <v>1710</v>
      </c>
      <c r="J1014" s="243" t="s">
        <v>1711</v>
      </c>
      <c r="K1014" s="247" t="s">
        <v>25</v>
      </c>
      <c r="L1014" s="272"/>
      <c r="M1014" s="272"/>
      <c r="N1014" s="272"/>
      <c r="Q1014" s="274"/>
    </row>
    <row r="1015" spans="1:17" ht="12.75" customHeight="1" x14ac:dyDescent="0.35">
      <c r="A1015" s="241">
        <v>38545</v>
      </c>
      <c r="B1015" s="242" t="s">
        <v>673</v>
      </c>
      <c r="C1015" s="243" t="s">
        <v>171</v>
      </c>
      <c r="D1015" s="243" t="s">
        <v>191</v>
      </c>
      <c r="E1015" s="243"/>
      <c r="F1015" s="244" t="s">
        <v>43</v>
      </c>
      <c r="G1015" s="275" t="s">
        <v>362</v>
      </c>
      <c r="H1015" s="276" t="s">
        <v>45</v>
      </c>
      <c r="I1015" s="243" t="s">
        <v>1710</v>
      </c>
      <c r="J1015" s="243" t="s">
        <v>1711</v>
      </c>
      <c r="K1015" s="247" t="s">
        <v>25</v>
      </c>
    </row>
    <row r="1016" spans="1:17" ht="12.75" customHeight="1" x14ac:dyDescent="0.35">
      <c r="A1016" s="241">
        <v>38780</v>
      </c>
      <c r="B1016" s="242" t="s">
        <v>2056</v>
      </c>
      <c r="C1016" s="243" t="s">
        <v>2057</v>
      </c>
      <c r="D1016" s="243" t="s">
        <v>2058</v>
      </c>
      <c r="E1016" s="243"/>
      <c r="F1016" s="244" t="s">
        <v>49</v>
      </c>
      <c r="G1016" s="275" t="s">
        <v>139</v>
      </c>
      <c r="H1016" s="276" t="s">
        <v>45</v>
      </c>
      <c r="I1016" s="243" t="s">
        <v>1710</v>
      </c>
      <c r="J1016" s="243" t="s">
        <v>1711</v>
      </c>
      <c r="K1016" s="247" t="s">
        <v>25</v>
      </c>
    </row>
    <row r="1017" spans="1:17" ht="12.75" customHeight="1" x14ac:dyDescent="0.35">
      <c r="A1017" s="241">
        <v>16945</v>
      </c>
      <c r="B1017" s="242" t="s">
        <v>1723</v>
      </c>
      <c r="C1017" s="243" t="s">
        <v>1724</v>
      </c>
      <c r="D1017" s="243" t="s">
        <v>61</v>
      </c>
      <c r="E1017" s="243"/>
      <c r="F1017" s="244" t="s">
        <v>43</v>
      </c>
      <c r="G1017" s="275" t="s">
        <v>44</v>
      </c>
      <c r="H1017" s="276" t="s">
        <v>180</v>
      </c>
      <c r="I1017" s="243" t="s">
        <v>1710</v>
      </c>
      <c r="J1017" s="243" t="s">
        <v>1711</v>
      </c>
      <c r="K1017" s="247" t="s">
        <v>25</v>
      </c>
    </row>
    <row r="1018" spans="1:17" ht="12.75" customHeight="1" x14ac:dyDescent="0.35">
      <c r="A1018" s="241">
        <v>38620</v>
      </c>
      <c r="B1018" s="242" t="s">
        <v>1725</v>
      </c>
      <c r="C1018" s="243" t="s">
        <v>292</v>
      </c>
      <c r="D1018" s="243" t="s">
        <v>1726</v>
      </c>
      <c r="E1018" s="243"/>
      <c r="F1018" s="244" t="s">
        <v>43</v>
      </c>
      <c r="G1018" s="275" t="s">
        <v>94</v>
      </c>
      <c r="H1018" s="276" t="s">
        <v>104</v>
      </c>
      <c r="I1018" s="243" t="s">
        <v>1710</v>
      </c>
      <c r="J1018" s="243" t="s">
        <v>1711</v>
      </c>
      <c r="K1018" s="247" t="s">
        <v>25</v>
      </c>
    </row>
    <row r="1019" spans="1:17" ht="12.75" customHeight="1" x14ac:dyDescent="0.35">
      <c r="A1019" s="241">
        <v>38642</v>
      </c>
      <c r="B1019" s="242" t="s">
        <v>1727</v>
      </c>
      <c r="C1019" s="243" t="s">
        <v>1032</v>
      </c>
      <c r="D1019" s="243" t="s">
        <v>87</v>
      </c>
      <c r="E1019" s="243"/>
      <c r="F1019" s="244" t="s">
        <v>43</v>
      </c>
      <c r="G1019" s="275" t="s">
        <v>44</v>
      </c>
      <c r="H1019" s="276" t="s">
        <v>45</v>
      </c>
      <c r="I1019" s="243" t="s">
        <v>1710</v>
      </c>
      <c r="J1019" s="243" t="s">
        <v>1711</v>
      </c>
      <c r="K1019" s="247" t="s">
        <v>25</v>
      </c>
    </row>
    <row r="1020" spans="1:17" ht="12.75" customHeight="1" x14ac:dyDescent="0.35">
      <c r="A1020" s="241">
        <v>16348</v>
      </c>
      <c r="B1020" s="242">
        <v>9111195</v>
      </c>
      <c r="C1020" s="243" t="s">
        <v>1032</v>
      </c>
      <c r="D1020" s="243" t="s">
        <v>641</v>
      </c>
      <c r="E1020" s="243"/>
      <c r="F1020" s="244" t="s">
        <v>43</v>
      </c>
      <c r="G1020" s="275" t="s">
        <v>52</v>
      </c>
      <c r="H1020" s="276" t="s">
        <v>45</v>
      </c>
      <c r="I1020" s="243" t="s">
        <v>1710</v>
      </c>
      <c r="J1020" s="243" t="s">
        <v>1711</v>
      </c>
      <c r="K1020" s="247" t="s">
        <v>25</v>
      </c>
    </row>
    <row r="1021" spans="1:17" ht="12.75" customHeight="1" x14ac:dyDescent="0.35">
      <c r="A1021" s="241">
        <v>38396</v>
      </c>
      <c r="B1021" s="242" t="s">
        <v>1728</v>
      </c>
      <c r="C1021" s="243" t="s">
        <v>1032</v>
      </c>
      <c r="D1021" s="243" t="s">
        <v>669</v>
      </c>
      <c r="E1021" s="243"/>
      <c r="F1021" s="244" t="s">
        <v>43</v>
      </c>
      <c r="G1021" s="275" t="s">
        <v>362</v>
      </c>
      <c r="H1021" s="276" t="s">
        <v>66</v>
      </c>
      <c r="I1021" s="243" t="s">
        <v>1710</v>
      </c>
      <c r="J1021" s="243" t="s">
        <v>1711</v>
      </c>
      <c r="K1021" s="247" t="s">
        <v>25</v>
      </c>
    </row>
    <row r="1022" spans="1:17" ht="12.75" customHeight="1" x14ac:dyDescent="0.35">
      <c r="A1022" s="241">
        <v>38453</v>
      </c>
      <c r="B1022" s="242" t="s">
        <v>1729</v>
      </c>
      <c r="C1022" s="243" t="s">
        <v>1730</v>
      </c>
      <c r="D1022" s="243" t="s">
        <v>64</v>
      </c>
      <c r="E1022" s="243"/>
      <c r="F1022" s="244" t="s">
        <v>43</v>
      </c>
      <c r="G1022" s="275" t="s">
        <v>44</v>
      </c>
      <c r="H1022" s="276" t="s">
        <v>180</v>
      </c>
      <c r="I1022" s="243" t="s">
        <v>1710</v>
      </c>
      <c r="J1022" s="243" t="s">
        <v>1711</v>
      </c>
      <c r="K1022" s="247" t="s">
        <v>25</v>
      </c>
    </row>
    <row r="1023" spans="1:17" ht="12.75" customHeight="1" x14ac:dyDescent="0.35">
      <c r="A1023" s="241">
        <v>16352</v>
      </c>
      <c r="B1023" s="242" t="s">
        <v>1731</v>
      </c>
      <c r="C1023" s="243" t="s">
        <v>1732</v>
      </c>
      <c r="D1023" s="243" t="s">
        <v>125</v>
      </c>
      <c r="E1023" s="243"/>
      <c r="F1023" s="244" t="s">
        <v>43</v>
      </c>
      <c r="G1023" s="275" t="s">
        <v>44</v>
      </c>
      <c r="H1023" s="276" t="s">
        <v>180</v>
      </c>
      <c r="I1023" s="243" t="s">
        <v>1710</v>
      </c>
      <c r="J1023" s="243" t="s">
        <v>1711</v>
      </c>
      <c r="K1023" s="247" t="s">
        <v>25</v>
      </c>
    </row>
    <row r="1024" spans="1:17" ht="12.75" customHeight="1" x14ac:dyDescent="0.35">
      <c r="A1024" s="241">
        <v>16346</v>
      </c>
      <c r="B1024" s="242">
        <v>9109435</v>
      </c>
      <c r="C1024" s="243" t="s">
        <v>1733</v>
      </c>
      <c r="D1024" s="243" t="s">
        <v>176</v>
      </c>
      <c r="E1024" s="243"/>
      <c r="F1024" s="244" t="s">
        <v>43</v>
      </c>
      <c r="G1024" s="275" t="s">
        <v>58</v>
      </c>
      <c r="H1024" s="276" t="s">
        <v>66</v>
      </c>
      <c r="I1024" s="243" t="s">
        <v>1710</v>
      </c>
      <c r="J1024" s="243" t="s">
        <v>1711</v>
      </c>
      <c r="K1024" s="247" t="s">
        <v>25</v>
      </c>
    </row>
    <row r="1025" spans="1:17" ht="12.75" customHeight="1" x14ac:dyDescent="0.35">
      <c r="A1025" s="241">
        <v>38005</v>
      </c>
      <c r="B1025" s="242" t="s">
        <v>1734</v>
      </c>
      <c r="C1025" s="249" t="s">
        <v>1735</v>
      </c>
      <c r="D1025" s="249" t="s">
        <v>1736</v>
      </c>
      <c r="E1025" s="249" t="s">
        <v>2368</v>
      </c>
      <c r="F1025" s="244" t="s">
        <v>43</v>
      </c>
      <c r="G1025" s="275" t="s">
        <v>52</v>
      </c>
      <c r="H1025" s="276" t="s">
        <v>45</v>
      </c>
      <c r="I1025" s="249" t="s">
        <v>1710</v>
      </c>
      <c r="J1025" s="249" t="s">
        <v>1711</v>
      </c>
      <c r="K1025" s="247" t="s">
        <v>25</v>
      </c>
    </row>
    <row r="1026" spans="1:17" ht="12.75" customHeight="1" x14ac:dyDescent="0.35">
      <c r="A1026" s="241">
        <v>38877</v>
      </c>
      <c r="B1026" s="242" t="s">
        <v>2317</v>
      </c>
      <c r="C1026" s="243" t="s">
        <v>2318</v>
      </c>
      <c r="D1026" s="243" t="s">
        <v>65</v>
      </c>
      <c r="E1026" s="243"/>
      <c r="F1026" s="244" t="s">
        <v>43</v>
      </c>
      <c r="G1026" s="275" t="s">
        <v>52</v>
      </c>
      <c r="H1026" s="276" t="s">
        <v>51</v>
      </c>
      <c r="I1026" s="243" t="s">
        <v>1710</v>
      </c>
      <c r="J1026" s="243" t="s">
        <v>1711</v>
      </c>
      <c r="K1026" s="247" t="s">
        <v>25</v>
      </c>
      <c r="L1026" s="272"/>
      <c r="M1026" s="272"/>
      <c r="N1026" s="272"/>
      <c r="Q1026" s="274"/>
    </row>
    <row r="1027" spans="1:17" ht="12.75" customHeight="1" x14ac:dyDescent="0.35">
      <c r="A1027" s="241">
        <v>16495</v>
      </c>
      <c r="B1027" s="242" t="s">
        <v>631</v>
      </c>
      <c r="C1027" s="243" t="s">
        <v>632</v>
      </c>
      <c r="D1027" s="243" t="s">
        <v>195</v>
      </c>
      <c r="E1027" s="243"/>
      <c r="F1027" s="244" t="s">
        <v>43</v>
      </c>
      <c r="G1027" s="275" t="s">
        <v>44</v>
      </c>
      <c r="H1027" s="276" t="s">
        <v>180</v>
      </c>
      <c r="I1027" s="243" t="s">
        <v>1710</v>
      </c>
      <c r="J1027" s="243" t="s">
        <v>1711</v>
      </c>
      <c r="K1027" s="247" t="s">
        <v>25</v>
      </c>
      <c r="L1027" s="272"/>
      <c r="M1027" s="272"/>
      <c r="N1027" s="272"/>
      <c r="Q1027" s="274"/>
    </row>
    <row r="1028" spans="1:17" ht="12.75" customHeight="1" x14ac:dyDescent="0.35">
      <c r="A1028" s="241">
        <v>16488</v>
      </c>
      <c r="B1028" s="242">
        <v>9111194</v>
      </c>
      <c r="C1028" s="243" t="s">
        <v>632</v>
      </c>
      <c r="D1028" s="243" t="s">
        <v>117</v>
      </c>
      <c r="E1028" s="243"/>
      <c r="F1028" s="244" t="s">
        <v>43</v>
      </c>
      <c r="G1028" s="275" t="s">
        <v>58</v>
      </c>
      <c r="H1028" s="276" t="s">
        <v>45</v>
      </c>
      <c r="I1028" s="243" t="s">
        <v>1710</v>
      </c>
      <c r="J1028" s="243" t="s">
        <v>1711</v>
      </c>
      <c r="K1028" s="247" t="s">
        <v>25</v>
      </c>
      <c r="L1028" s="272"/>
      <c r="M1028" s="272"/>
      <c r="N1028" s="272"/>
      <c r="Q1028" s="274"/>
    </row>
    <row r="1029" spans="1:17" ht="12.75" customHeight="1" x14ac:dyDescent="0.35">
      <c r="A1029" s="241">
        <v>16559</v>
      </c>
      <c r="B1029" s="242" t="s">
        <v>1737</v>
      </c>
      <c r="C1029" s="243" t="s">
        <v>1738</v>
      </c>
      <c r="D1029" s="243" t="s">
        <v>165</v>
      </c>
      <c r="E1029" s="243"/>
      <c r="F1029" s="244" t="s">
        <v>43</v>
      </c>
      <c r="G1029" s="275" t="s">
        <v>52</v>
      </c>
      <c r="H1029" s="276" t="s">
        <v>66</v>
      </c>
      <c r="I1029" s="243" t="s">
        <v>1710</v>
      </c>
      <c r="J1029" s="243" t="s">
        <v>1711</v>
      </c>
      <c r="K1029" s="247" t="s">
        <v>25</v>
      </c>
    </row>
    <row r="1030" spans="1:17" ht="12.75" customHeight="1" x14ac:dyDescent="0.35">
      <c r="A1030" s="241">
        <v>38776</v>
      </c>
      <c r="B1030" s="242" t="s">
        <v>2059</v>
      </c>
      <c r="C1030" s="243" t="s">
        <v>2060</v>
      </c>
      <c r="D1030" s="243" t="s">
        <v>810</v>
      </c>
      <c r="E1030" s="243"/>
      <c r="F1030" s="244" t="s">
        <v>43</v>
      </c>
      <c r="G1030" s="275" t="s">
        <v>2061</v>
      </c>
      <c r="H1030" s="276" t="s">
        <v>104</v>
      </c>
      <c r="I1030" s="243" t="s">
        <v>1710</v>
      </c>
      <c r="J1030" s="243" t="s">
        <v>1711</v>
      </c>
      <c r="K1030" s="247" t="s">
        <v>25</v>
      </c>
    </row>
    <row r="1031" spans="1:17" ht="12.75" customHeight="1" x14ac:dyDescent="0.35">
      <c r="A1031" s="241">
        <v>38777</v>
      </c>
      <c r="B1031" s="242" t="s">
        <v>2062</v>
      </c>
      <c r="C1031" s="243" t="s">
        <v>1740</v>
      </c>
      <c r="D1031" s="243" t="s">
        <v>2063</v>
      </c>
      <c r="E1031" s="243"/>
      <c r="F1031" s="244" t="s">
        <v>43</v>
      </c>
      <c r="G1031" s="250" t="s">
        <v>89</v>
      </c>
      <c r="H1031" s="251">
        <v>0</v>
      </c>
      <c r="I1031" s="243" t="s">
        <v>1710</v>
      </c>
      <c r="J1031" s="243" t="s">
        <v>1711</v>
      </c>
      <c r="K1031" s="247" t="s">
        <v>25</v>
      </c>
      <c r="L1031" s="272"/>
      <c r="M1031" s="272"/>
      <c r="N1031" s="272"/>
      <c r="Q1031" s="274"/>
    </row>
    <row r="1032" spans="1:17" ht="12.75" customHeight="1" x14ac:dyDescent="0.35">
      <c r="A1032" s="241">
        <v>16852</v>
      </c>
      <c r="B1032" s="242" t="s">
        <v>1739</v>
      </c>
      <c r="C1032" s="249" t="s">
        <v>1740</v>
      </c>
      <c r="D1032" s="249" t="s">
        <v>689</v>
      </c>
      <c r="E1032" s="249" t="s">
        <v>2368</v>
      </c>
      <c r="F1032" s="244" t="s">
        <v>43</v>
      </c>
      <c r="G1032" s="275" t="s">
        <v>44</v>
      </c>
      <c r="H1032" s="276" t="s">
        <v>180</v>
      </c>
      <c r="I1032" s="249" t="s">
        <v>1710</v>
      </c>
      <c r="J1032" s="249" t="s">
        <v>1711</v>
      </c>
      <c r="K1032" s="247" t="s">
        <v>25</v>
      </c>
    </row>
    <row r="1033" spans="1:17" ht="12.75" customHeight="1" x14ac:dyDescent="0.35">
      <c r="A1033" s="241">
        <v>16848</v>
      </c>
      <c r="B1033" s="242" t="s">
        <v>1741</v>
      </c>
      <c r="C1033" s="249" t="s">
        <v>1740</v>
      </c>
      <c r="D1033" s="249" t="s">
        <v>120</v>
      </c>
      <c r="E1033" s="249" t="s">
        <v>2368</v>
      </c>
      <c r="F1033" s="244" t="s">
        <v>43</v>
      </c>
      <c r="G1033" s="275" t="s">
        <v>52</v>
      </c>
      <c r="H1033" s="276" t="s">
        <v>51</v>
      </c>
      <c r="I1033" s="249" t="s">
        <v>1710</v>
      </c>
      <c r="J1033" s="249" t="s">
        <v>1711</v>
      </c>
      <c r="K1033" s="247" t="s">
        <v>25</v>
      </c>
      <c r="L1033" s="272"/>
      <c r="M1033" s="272"/>
      <c r="N1033" s="272"/>
      <c r="Q1033" s="274"/>
    </row>
    <row r="1034" spans="1:17" ht="12.75" customHeight="1" x14ac:dyDescent="0.35">
      <c r="A1034" s="241">
        <v>25541</v>
      </c>
      <c r="B1034" s="242" t="s">
        <v>2237</v>
      </c>
      <c r="C1034" s="249" t="s">
        <v>1742</v>
      </c>
      <c r="D1034" s="249" t="s">
        <v>73</v>
      </c>
      <c r="E1034" s="249" t="s">
        <v>2368</v>
      </c>
      <c r="F1034" s="244" t="s">
        <v>43</v>
      </c>
      <c r="G1034" s="275" t="s">
        <v>52</v>
      </c>
      <c r="H1034" s="276" t="s">
        <v>45</v>
      </c>
      <c r="I1034" s="249" t="s">
        <v>1710</v>
      </c>
      <c r="J1034" s="249" t="s">
        <v>1711</v>
      </c>
      <c r="K1034" s="247" t="s">
        <v>25</v>
      </c>
    </row>
    <row r="1035" spans="1:17" ht="12.75" customHeight="1" x14ac:dyDescent="0.35">
      <c r="A1035" s="241">
        <v>25199</v>
      </c>
      <c r="B1035" s="242" t="s">
        <v>1744</v>
      </c>
      <c r="C1035" s="249" t="s">
        <v>1743</v>
      </c>
      <c r="D1035" s="249" t="s">
        <v>810</v>
      </c>
      <c r="E1035" s="249" t="s">
        <v>2368</v>
      </c>
      <c r="F1035" s="244" t="s">
        <v>43</v>
      </c>
      <c r="G1035" s="275" t="s">
        <v>44</v>
      </c>
      <c r="H1035" s="276" t="s">
        <v>66</v>
      </c>
      <c r="I1035" s="249" t="s">
        <v>1710</v>
      </c>
      <c r="J1035" s="249" t="s">
        <v>1711</v>
      </c>
      <c r="K1035" s="247" t="s">
        <v>25</v>
      </c>
    </row>
    <row r="1036" spans="1:17" ht="12.75" customHeight="1" x14ac:dyDescent="0.35">
      <c r="A1036" s="241">
        <v>16253</v>
      </c>
      <c r="B1036" s="242" t="s">
        <v>607</v>
      </c>
      <c r="C1036" s="243" t="s">
        <v>608</v>
      </c>
      <c r="D1036" s="243" t="s">
        <v>405</v>
      </c>
      <c r="E1036" s="243"/>
      <c r="F1036" s="244" t="s">
        <v>43</v>
      </c>
      <c r="G1036" s="275" t="s">
        <v>44</v>
      </c>
      <c r="H1036" s="276" t="s">
        <v>239</v>
      </c>
      <c r="I1036" s="243" t="s">
        <v>19</v>
      </c>
      <c r="J1036" s="243" t="s">
        <v>1746</v>
      </c>
      <c r="K1036" s="247" t="s">
        <v>21</v>
      </c>
    </row>
    <row r="1037" spans="1:17" ht="12.75" customHeight="1" x14ac:dyDescent="0.35">
      <c r="A1037" s="241">
        <v>38686</v>
      </c>
      <c r="B1037" s="242" t="s">
        <v>1745</v>
      </c>
      <c r="C1037" s="249" t="s">
        <v>162</v>
      </c>
      <c r="D1037" s="249" t="s">
        <v>61</v>
      </c>
      <c r="E1037" s="249" t="s">
        <v>2368</v>
      </c>
      <c r="F1037" s="244" t="s">
        <v>43</v>
      </c>
      <c r="G1037" s="275" t="s">
        <v>44</v>
      </c>
      <c r="H1037" s="276" t="s">
        <v>66</v>
      </c>
      <c r="I1037" s="249" t="s">
        <v>19</v>
      </c>
      <c r="J1037" s="249" t="s">
        <v>1746</v>
      </c>
      <c r="K1037" s="247" t="s">
        <v>21</v>
      </c>
    </row>
    <row r="1038" spans="1:17" ht="12.75" customHeight="1" x14ac:dyDescent="0.35">
      <c r="A1038" s="241">
        <v>16287</v>
      </c>
      <c r="B1038" s="242" t="s">
        <v>1747</v>
      </c>
      <c r="C1038" s="249" t="s">
        <v>1748</v>
      </c>
      <c r="D1038" s="249" t="s">
        <v>82</v>
      </c>
      <c r="E1038" s="249" t="s">
        <v>2368</v>
      </c>
      <c r="F1038" s="244" t="s">
        <v>43</v>
      </c>
      <c r="G1038" s="275" t="s">
        <v>44</v>
      </c>
      <c r="H1038" s="276" t="s">
        <v>45</v>
      </c>
      <c r="I1038" s="249" t="s">
        <v>19</v>
      </c>
      <c r="J1038" s="249" t="s">
        <v>1746</v>
      </c>
      <c r="K1038" s="247" t="s">
        <v>21</v>
      </c>
    </row>
    <row r="1039" spans="1:17" ht="12.75" customHeight="1" x14ac:dyDescent="0.35">
      <c r="A1039" s="241">
        <v>16277</v>
      </c>
      <c r="B1039" s="242" t="s">
        <v>1749</v>
      </c>
      <c r="C1039" s="243" t="s">
        <v>1750</v>
      </c>
      <c r="D1039" s="243" t="s">
        <v>80</v>
      </c>
      <c r="E1039" s="243"/>
      <c r="F1039" s="244" t="s">
        <v>43</v>
      </c>
      <c r="G1039" s="275" t="s">
        <v>58</v>
      </c>
      <c r="H1039" s="276"/>
      <c r="I1039" s="243" t="s">
        <v>19</v>
      </c>
      <c r="J1039" s="243" t="s">
        <v>1746</v>
      </c>
      <c r="K1039" s="247" t="s">
        <v>21</v>
      </c>
    </row>
    <row r="1040" spans="1:17" ht="12.75" customHeight="1" x14ac:dyDescent="0.35">
      <c r="A1040" s="241">
        <v>38840</v>
      </c>
      <c r="B1040" s="242" t="s">
        <v>2238</v>
      </c>
      <c r="C1040" s="249" t="s">
        <v>2239</v>
      </c>
      <c r="D1040" s="249" t="s">
        <v>2240</v>
      </c>
      <c r="E1040" s="249" t="s">
        <v>2368</v>
      </c>
      <c r="F1040" s="244" t="s">
        <v>43</v>
      </c>
      <c r="G1040" s="275" t="s">
        <v>67</v>
      </c>
      <c r="H1040" s="276" t="s">
        <v>45</v>
      </c>
      <c r="I1040" s="249" t="s">
        <v>19</v>
      </c>
      <c r="J1040" s="249" t="s">
        <v>1746</v>
      </c>
      <c r="K1040" s="247" t="s">
        <v>21</v>
      </c>
      <c r="L1040" s="272"/>
      <c r="M1040" s="272"/>
      <c r="N1040" s="272"/>
      <c r="Q1040" s="274"/>
    </row>
    <row r="1041" spans="1:17" ht="12.75" customHeight="1" x14ac:dyDescent="0.35">
      <c r="A1041" s="241">
        <v>38687</v>
      </c>
      <c r="B1041" s="242" t="s">
        <v>1751</v>
      </c>
      <c r="C1041" s="249" t="s">
        <v>1752</v>
      </c>
      <c r="D1041" s="249" t="s">
        <v>82</v>
      </c>
      <c r="E1041" s="249" t="s">
        <v>2368</v>
      </c>
      <c r="F1041" s="244" t="s">
        <v>43</v>
      </c>
      <c r="G1041" s="275" t="s">
        <v>44</v>
      </c>
      <c r="H1041" s="276" t="s">
        <v>180</v>
      </c>
      <c r="I1041" s="249" t="s">
        <v>19</v>
      </c>
      <c r="J1041" s="249" t="s">
        <v>1746</v>
      </c>
      <c r="K1041" s="247" t="s">
        <v>21</v>
      </c>
    </row>
    <row r="1042" spans="1:17" ht="12.75" customHeight="1" x14ac:dyDescent="0.35">
      <c r="A1042" s="241">
        <v>25425</v>
      </c>
      <c r="B1042" s="242" t="s">
        <v>2008</v>
      </c>
      <c r="C1042" s="249" t="s">
        <v>1753</v>
      </c>
      <c r="D1042" s="249" t="s">
        <v>143</v>
      </c>
      <c r="E1042" s="249" t="s">
        <v>2368</v>
      </c>
      <c r="F1042" s="244" t="s">
        <v>43</v>
      </c>
      <c r="G1042" s="275" t="s">
        <v>44</v>
      </c>
      <c r="H1042" s="276" t="s">
        <v>51</v>
      </c>
      <c r="I1042" s="249" t="s">
        <v>19</v>
      </c>
      <c r="J1042" s="249" t="s">
        <v>1746</v>
      </c>
      <c r="K1042" s="247" t="s">
        <v>21</v>
      </c>
    </row>
    <row r="1043" spans="1:17" ht="12.75" customHeight="1" x14ac:dyDescent="0.35">
      <c r="A1043" s="241">
        <v>16285</v>
      </c>
      <c r="B1043" s="242" t="s">
        <v>1754</v>
      </c>
      <c r="C1043" s="243" t="s">
        <v>719</v>
      </c>
      <c r="D1043" s="243" t="s">
        <v>73</v>
      </c>
      <c r="E1043" s="243"/>
      <c r="F1043" s="244" t="s">
        <v>43</v>
      </c>
      <c r="G1043" s="275" t="s">
        <v>58</v>
      </c>
      <c r="H1043" s="276" t="s">
        <v>45</v>
      </c>
      <c r="I1043" s="243" t="s">
        <v>19</v>
      </c>
      <c r="J1043" s="243" t="s">
        <v>1746</v>
      </c>
      <c r="K1043" s="247" t="s">
        <v>21</v>
      </c>
    </row>
    <row r="1044" spans="1:17" ht="12.75" customHeight="1" x14ac:dyDescent="0.35">
      <c r="A1044" s="241">
        <v>10622</v>
      </c>
      <c r="B1044" s="242" t="s">
        <v>1755</v>
      </c>
      <c r="C1044" s="249" t="s">
        <v>1756</v>
      </c>
      <c r="D1044" s="249" t="s">
        <v>179</v>
      </c>
      <c r="E1044" s="249" t="s">
        <v>2368</v>
      </c>
      <c r="F1044" s="244" t="s">
        <v>43</v>
      </c>
      <c r="G1044" s="275" t="s">
        <v>44</v>
      </c>
      <c r="H1044" s="276" t="s">
        <v>239</v>
      </c>
      <c r="I1044" s="249" t="s">
        <v>19</v>
      </c>
      <c r="J1044" s="249" t="s">
        <v>1746</v>
      </c>
      <c r="K1044" s="247" t="s">
        <v>21</v>
      </c>
    </row>
    <row r="1045" spans="1:17" ht="12.75" customHeight="1" x14ac:dyDescent="0.35">
      <c r="A1045" s="241">
        <v>38039</v>
      </c>
      <c r="B1045" s="242" t="s">
        <v>625</v>
      </c>
      <c r="C1045" s="243" t="s">
        <v>626</v>
      </c>
      <c r="D1045" s="243" t="s">
        <v>150</v>
      </c>
      <c r="E1045" s="243"/>
      <c r="F1045" s="244" t="s">
        <v>43</v>
      </c>
      <c r="G1045" s="245" t="s">
        <v>44</v>
      </c>
      <c r="H1045" s="246">
        <v>0</v>
      </c>
      <c r="I1045" s="243" t="s">
        <v>19</v>
      </c>
      <c r="J1045" s="243" t="s">
        <v>1746</v>
      </c>
      <c r="K1045" s="247" t="s">
        <v>21</v>
      </c>
    </row>
    <row r="1046" spans="1:17" ht="12.75" customHeight="1" x14ac:dyDescent="0.35">
      <c r="A1046" s="241">
        <v>38841</v>
      </c>
      <c r="B1046" s="242" t="s">
        <v>2241</v>
      </c>
      <c r="C1046" s="249" t="s">
        <v>797</v>
      </c>
      <c r="D1046" s="249" t="s">
        <v>2242</v>
      </c>
      <c r="E1046" s="249" t="s">
        <v>2368</v>
      </c>
      <c r="F1046" s="244" t="s">
        <v>43</v>
      </c>
      <c r="G1046" s="275" t="s">
        <v>44</v>
      </c>
      <c r="H1046" s="276" t="s">
        <v>51</v>
      </c>
      <c r="I1046" s="249" t="s">
        <v>19</v>
      </c>
      <c r="J1046" s="249" t="s">
        <v>1746</v>
      </c>
      <c r="K1046" s="247" t="s">
        <v>21</v>
      </c>
    </row>
    <row r="1047" spans="1:17" ht="12.75" customHeight="1" x14ac:dyDescent="0.35">
      <c r="A1047" s="241">
        <v>16939</v>
      </c>
      <c r="B1047" s="242" t="s">
        <v>2361</v>
      </c>
      <c r="C1047" s="249" t="s">
        <v>2362</v>
      </c>
      <c r="D1047" s="249" t="s">
        <v>496</v>
      </c>
      <c r="E1047" s="249" t="s">
        <v>2368</v>
      </c>
      <c r="F1047" s="244" t="s">
        <v>43</v>
      </c>
      <c r="G1047" s="275" t="s">
        <v>44</v>
      </c>
      <c r="H1047" s="276" t="s">
        <v>104</v>
      </c>
      <c r="I1047" s="249" t="s">
        <v>19</v>
      </c>
      <c r="J1047" s="249" t="s">
        <v>1746</v>
      </c>
      <c r="K1047" s="247" t="s">
        <v>21</v>
      </c>
    </row>
    <row r="1048" spans="1:17" ht="12.75" customHeight="1" x14ac:dyDescent="0.35">
      <c r="A1048" s="241">
        <v>16305</v>
      </c>
      <c r="B1048" s="242" t="s">
        <v>1757</v>
      </c>
      <c r="C1048" s="243" t="s">
        <v>1758</v>
      </c>
      <c r="D1048" s="243" t="s">
        <v>1759</v>
      </c>
      <c r="E1048" s="243"/>
      <c r="F1048" s="244" t="s">
        <v>43</v>
      </c>
      <c r="G1048" s="275" t="s">
        <v>44</v>
      </c>
      <c r="H1048" s="276"/>
      <c r="I1048" s="243" t="s">
        <v>19</v>
      </c>
      <c r="J1048" s="243" t="s">
        <v>1746</v>
      </c>
      <c r="K1048" s="247" t="s">
        <v>21</v>
      </c>
    </row>
    <row r="1049" spans="1:17" ht="12.75" customHeight="1" x14ac:dyDescent="0.35">
      <c r="A1049" s="241">
        <v>16300</v>
      </c>
      <c r="B1049" s="242" t="s">
        <v>1760</v>
      </c>
      <c r="C1049" s="243" t="s">
        <v>1758</v>
      </c>
      <c r="D1049" s="243" t="s">
        <v>1016</v>
      </c>
      <c r="E1049" s="243"/>
      <c r="F1049" s="244" t="s">
        <v>43</v>
      </c>
      <c r="G1049" s="275" t="s">
        <v>52</v>
      </c>
      <c r="H1049" s="276" t="s">
        <v>51</v>
      </c>
      <c r="I1049" s="243" t="s">
        <v>19</v>
      </c>
      <c r="J1049" s="243" t="s">
        <v>1746</v>
      </c>
      <c r="K1049" s="247" t="s">
        <v>21</v>
      </c>
    </row>
    <row r="1050" spans="1:17" ht="12.75" customHeight="1" x14ac:dyDescent="0.35">
      <c r="A1050" s="241">
        <v>38723</v>
      </c>
      <c r="B1050" s="242" t="s">
        <v>2009</v>
      </c>
      <c r="C1050" s="249" t="s">
        <v>2010</v>
      </c>
      <c r="D1050" s="249" t="s">
        <v>1380</v>
      </c>
      <c r="E1050" s="249" t="s">
        <v>2368</v>
      </c>
      <c r="F1050" s="244" t="s">
        <v>43</v>
      </c>
      <c r="G1050" s="275" t="s">
        <v>44</v>
      </c>
      <c r="H1050" s="276" t="s">
        <v>66</v>
      </c>
      <c r="I1050" s="249" t="s">
        <v>19</v>
      </c>
      <c r="J1050" s="249" t="s">
        <v>1746</v>
      </c>
      <c r="K1050" s="247" t="s">
        <v>21</v>
      </c>
      <c r="L1050" s="272"/>
      <c r="M1050" s="272"/>
      <c r="N1050" s="272"/>
      <c r="Q1050" s="274"/>
    </row>
    <row r="1051" spans="1:17" ht="12.75" customHeight="1" x14ac:dyDescent="0.35">
      <c r="A1051" s="241">
        <v>16301</v>
      </c>
      <c r="B1051" s="242" t="s">
        <v>1761</v>
      </c>
      <c r="C1051" s="243" t="s">
        <v>1762</v>
      </c>
      <c r="D1051" s="243" t="s">
        <v>1763</v>
      </c>
      <c r="E1051" s="243"/>
      <c r="F1051" s="244" t="s">
        <v>43</v>
      </c>
      <c r="G1051" s="275" t="s">
        <v>44</v>
      </c>
      <c r="H1051" s="276" t="s">
        <v>239</v>
      </c>
      <c r="I1051" s="243" t="s">
        <v>19</v>
      </c>
      <c r="J1051" s="243" t="s">
        <v>1746</v>
      </c>
      <c r="K1051" s="247" t="s">
        <v>21</v>
      </c>
    </row>
    <row r="1052" spans="1:17" ht="12.75" customHeight="1" x14ac:dyDescent="0.35">
      <c r="A1052" s="241">
        <v>16291</v>
      </c>
      <c r="B1052" s="242" t="s">
        <v>1764</v>
      </c>
      <c r="C1052" s="243" t="s">
        <v>1762</v>
      </c>
      <c r="D1052" s="243" t="s">
        <v>65</v>
      </c>
      <c r="E1052" s="243"/>
      <c r="F1052" s="244" t="s">
        <v>43</v>
      </c>
      <c r="G1052" s="275" t="s">
        <v>52</v>
      </c>
      <c r="H1052" s="276" t="s">
        <v>51</v>
      </c>
      <c r="I1052" s="243" t="s">
        <v>19</v>
      </c>
      <c r="J1052" s="243" t="s">
        <v>1746</v>
      </c>
      <c r="K1052" s="247" t="s">
        <v>21</v>
      </c>
    </row>
    <row r="1053" spans="1:17" ht="12.75" customHeight="1" x14ac:dyDescent="0.35">
      <c r="A1053" s="241">
        <v>38018</v>
      </c>
      <c r="B1053" s="242" t="s">
        <v>1765</v>
      </c>
      <c r="C1053" s="243" t="s">
        <v>1766</v>
      </c>
      <c r="D1053" s="243" t="s">
        <v>1767</v>
      </c>
      <c r="E1053" s="243"/>
      <c r="F1053" s="244" t="s">
        <v>43</v>
      </c>
      <c r="G1053" s="275" t="s">
        <v>44</v>
      </c>
      <c r="H1053" s="276" t="s">
        <v>180</v>
      </c>
      <c r="I1053" s="243" t="s">
        <v>19</v>
      </c>
      <c r="J1053" s="243" t="s">
        <v>1746</v>
      </c>
      <c r="K1053" s="247" t="s">
        <v>21</v>
      </c>
    </row>
    <row r="1054" spans="1:17" ht="12.75" customHeight="1" x14ac:dyDescent="0.35">
      <c r="A1054" s="241">
        <v>25025</v>
      </c>
      <c r="B1054" s="242" t="s">
        <v>2405</v>
      </c>
      <c r="C1054" s="249" t="s">
        <v>344</v>
      </c>
      <c r="D1054" s="249" t="s">
        <v>117</v>
      </c>
      <c r="E1054" s="249" t="s">
        <v>2368</v>
      </c>
      <c r="F1054" s="244" t="s">
        <v>43</v>
      </c>
      <c r="G1054" s="275" t="s">
        <v>67</v>
      </c>
      <c r="H1054" s="276"/>
      <c r="I1054" s="243" t="s">
        <v>1768</v>
      </c>
      <c r="J1054" s="249" t="s">
        <v>14</v>
      </c>
      <c r="K1054" s="247" t="s">
        <v>28</v>
      </c>
    </row>
    <row r="1055" spans="1:17" ht="12.75" customHeight="1" x14ac:dyDescent="0.35">
      <c r="A1055" s="241">
        <v>7338</v>
      </c>
      <c r="B1055" s="242" t="s">
        <v>1769</v>
      </c>
      <c r="C1055" s="243" t="s">
        <v>1770</v>
      </c>
      <c r="D1055" s="243" t="s">
        <v>99</v>
      </c>
      <c r="E1055" s="243"/>
      <c r="F1055" s="244" t="s">
        <v>43</v>
      </c>
      <c r="G1055" s="252" t="s">
        <v>58</v>
      </c>
      <c r="H1055" s="253">
        <v>0</v>
      </c>
      <c r="I1055" s="243" t="s">
        <v>1768</v>
      </c>
      <c r="J1055" s="243" t="s">
        <v>14</v>
      </c>
      <c r="K1055" s="247" t="s">
        <v>28</v>
      </c>
      <c r="L1055" s="272"/>
      <c r="M1055" s="272"/>
      <c r="N1055" s="272"/>
      <c r="Q1055" s="274"/>
    </row>
    <row r="1056" spans="1:17" ht="12.75" customHeight="1" x14ac:dyDescent="0.35">
      <c r="A1056" s="241">
        <v>38411</v>
      </c>
      <c r="B1056" s="242" t="s">
        <v>1771</v>
      </c>
      <c r="C1056" s="243" t="s">
        <v>1305</v>
      </c>
      <c r="D1056" s="243" t="s">
        <v>143</v>
      </c>
      <c r="E1056" s="243"/>
      <c r="F1056" s="244" t="s">
        <v>43</v>
      </c>
      <c r="G1056" s="275" t="s">
        <v>44</v>
      </c>
      <c r="H1056" s="276" t="s">
        <v>66</v>
      </c>
      <c r="I1056" s="243" t="s">
        <v>1768</v>
      </c>
      <c r="J1056" s="243" t="s">
        <v>14</v>
      </c>
      <c r="K1056" s="247" t="s">
        <v>28</v>
      </c>
    </row>
    <row r="1057" spans="1:17" ht="12.75" customHeight="1" x14ac:dyDescent="0.35">
      <c r="A1057" s="241">
        <v>7337</v>
      </c>
      <c r="B1057" s="242" t="s">
        <v>1772</v>
      </c>
      <c r="C1057" s="243" t="s">
        <v>1773</v>
      </c>
      <c r="D1057" s="243" t="s">
        <v>143</v>
      </c>
      <c r="E1057" s="243"/>
      <c r="F1057" s="244" t="s">
        <v>43</v>
      </c>
      <c r="G1057" s="275" t="s">
        <v>44</v>
      </c>
      <c r="H1057" s="276" t="s">
        <v>66</v>
      </c>
      <c r="I1057" s="243" t="s">
        <v>1768</v>
      </c>
      <c r="J1057" s="243" t="s">
        <v>14</v>
      </c>
      <c r="K1057" s="247" t="s">
        <v>28</v>
      </c>
    </row>
    <row r="1058" spans="1:17" ht="12.75" customHeight="1" x14ac:dyDescent="0.35">
      <c r="A1058" s="241">
        <v>38360</v>
      </c>
      <c r="B1058" s="242" t="s">
        <v>1774</v>
      </c>
      <c r="C1058" s="243" t="s">
        <v>1775</v>
      </c>
      <c r="D1058" s="243" t="s">
        <v>82</v>
      </c>
      <c r="E1058" s="243"/>
      <c r="F1058" s="244" t="s">
        <v>43</v>
      </c>
      <c r="G1058" s="275" t="s">
        <v>44</v>
      </c>
      <c r="H1058" s="276" t="s">
        <v>66</v>
      </c>
      <c r="I1058" s="243" t="s">
        <v>1768</v>
      </c>
      <c r="J1058" s="243" t="s">
        <v>14</v>
      </c>
      <c r="K1058" s="247" t="s">
        <v>28</v>
      </c>
    </row>
    <row r="1059" spans="1:17" ht="12.75" customHeight="1" x14ac:dyDescent="0.35">
      <c r="A1059" s="241">
        <v>7344</v>
      </c>
      <c r="B1059" s="242" t="s">
        <v>1776</v>
      </c>
      <c r="C1059" s="243" t="s">
        <v>1777</v>
      </c>
      <c r="D1059" s="243" t="s">
        <v>136</v>
      </c>
      <c r="E1059" s="243"/>
      <c r="F1059" s="244" t="s">
        <v>43</v>
      </c>
      <c r="G1059" s="275" t="s">
        <v>67</v>
      </c>
      <c r="H1059" s="276" t="s">
        <v>45</v>
      </c>
      <c r="I1059" s="243" t="s">
        <v>1768</v>
      </c>
      <c r="J1059" s="243" t="s">
        <v>14</v>
      </c>
      <c r="K1059" s="247" t="s">
        <v>28</v>
      </c>
    </row>
    <row r="1060" spans="1:17" ht="12.75" customHeight="1" x14ac:dyDescent="0.35">
      <c r="A1060" s="241">
        <v>25024</v>
      </c>
      <c r="B1060" s="242" t="s">
        <v>1778</v>
      </c>
      <c r="C1060" s="249" t="s">
        <v>1779</v>
      </c>
      <c r="D1060" s="249" t="s">
        <v>179</v>
      </c>
      <c r="E1060" s="249" t="s">
        <v>2368</v>
      </c>
      <c r="F1060" s="244" t="s">
        <v>43</v>
      </c>
      <c r="G1060" s="275" t="s">
        <v>67</v>
      </c>
      <c r="H1060" s="276" t="s">
        <v>45</v>
      </c>
      <c r="I1060" s="243" t="s">
        <v>1768</v>
      </c>
      <c r="J1060" s="249" t="s">
        <v>14</v>
      </c>
      <c r="K1060" s="247" t="s">
        <v>28</v>
      </c>
    </row>
    <row r="1061" spans="1:17" ht="12.75" customHeight="1" x14ac:dyDescent="0.35">
      <c r="A1061" s="241">
        <v>38361</v>
      </c>
      <c r="B1061" s="242" t="s">
        <v>1780</v>
      </c>
      <c r="C1061" s="243" t="s">
        <v>1781</v>
      </c>
      <c r="D1061" s="243" t="s">
        <v>64</v>
      </c>
      <c r="E1061" s="243"/>
      <c r="F1061" s="244" t="s">
        <v>43</v>
      </c>
      <c r="G1061" s="275" t="s">
        <v>44</v>
      </c>
      <c r="H1061" s="276" t="s">
        <v>66</v>
      </c>
      <c r="I1061" s="243" t="s">
        <v>1768</v>
      </c>
      <c r="J1061" s="243" t="s">
        <v>14</v>
      </c>
      <c r="K1061" s="247" t="s">
        <v>28</v>
      </c>
    </row>
    <row r="1062" spans="1:17" ht="12.75" customHeight="1" x14ac:dyDescent="0.35">
      <c r="A1062" s="241">
        <v>25606</v>
      </c>
      <c r="B1062" s="242" t="s">
        <v>2406</v>
      </c>
      <c r="C1062" s="249" t="s">
        <v>1705</v>
      </c>
      <c r="D1062" s="249" t="s">
        <v>120</v>
      </c>
      <c r="E1062" s="249" t="s">
        <v>2368</v>
      </c>
      <c r="F1062" s="244" t="s">
        <v>43</v>
      </c>
      <c r="G1062" s="275" t="s">
        <v>44</v>
      </c>
      <c r="H1062" s="276"/>
      <c r="I1062" s="249" t="s">
        <v>1768</v>
      </c>
      <c r="J1062" s="249" t="s">
        <v>14</v>
      </c>
      <c r="K1062" s="247" t="s">
        <v>28</v>
      </c>
    </row>
    <row r="1063" spans="1:17" ht="12.75" customHeight="1" x14ac:dyDescent="0.35">
      <c r="A1063" s="241">
        <v>38550</v>
      </c>
      <c r="B1063" s="242" t="s">
        <v>1782</v>
      </c>
      <c r="C1063" s="243" t="s">
        <v>1783</v>
      </c>
      <c r="D1063" s="243" t="s">
        <v>634</v>
      </c>
      <c r="E1063" s="243"/>
      <c r="F1063" s="244" t="s">
        <v>43</v>
      </c>
      <c r="G1063" s="275" t="s">
        <v>44</v>
      </c>
      <c r="H1063" s="276" t="s">
        <v>180</v>
      </c>
      <c r="I1063" s="243" t="s">
        <v>1768</v>
      </c>
      <c r="J1063" s="243" t="s">
        <v>14</v>
      </c>
      <c r="K1063" s="247" t="s">
        <v>28</v>
      </c>
    </row>
    <row r="1064" spans="1:17" ht="12.75" customHeight="1" x14ac:dyDescent="0.35">
      <c r="A1064" s="241">
        <v>7348</v>
      </c>
      <c r="B1064" s="242" t="s">
        <v>1784</v>
      </c>
      <c r="C1064" s="243" t="s">
        <v>1785</v>
      </c>
      <c r="D1064" s="243" t="s">
        <v>348</v>
      </c>
      <c r="E1064" s="243"/>
      <c r="F1064" s="244" t="s">
        <v>43</v>
      </c>
      <c r="G1064" s="275" t="s">
        <v>44</v>
      </c>
      <c r="H1064" s="276" t="s">
        <v>180</v>
      </c>
      <c r="I1064" s="243" t="s">
        <v>1768</v>
      </c>
      <c r="J1064" s="243" t="s">
        <v>14</v>
      </c>
      <c r="K1064" s="247" t="s">
        <v>28</v>
      </c>
      <c r="L1064" s="272"/>
      <c r="M1064" s="272"/>
      <c r="N1064" s="272"/>
      <c r="Q1064" s="274"/>
    </row>
    <row r="1065" spans="1:17" ht="12.75" customHeight="1" x14ac:dyDescent="0.35">
      <c r="A1065" s="241"/>
      <c r="B1065" s="242"/>
      <c r="C1065" s="243"/>
      <c r="D1065" s="243"/>
      <c r="E1065" s="243"/>
      <c r="F1065" s="244"/>
      <c r="G1065" s="245"/>
      <c r="H1065" s="246"/>
      <c r="I1065" s="243"/>
      <c r="J1065" s="243"/>
      <c r="K1065" s="247"/>
    </row>
    <row r="1066" spans="1:17" ht="12.75" customHeight="1" x14ac:dyDescent="0.35">
      <c r="A1066" s="241"/>
      <c r="B1066" s="242"/>
      <c r="C1066" s="249"/>
      <c r="D1066" s="249"/>
      <c r="E1066" s="249"/>
      <c r="F1066" s="244"/>
      <c r="G1066" s="245"/>
      <c r="H1066" s="246"/>
      <c r="I1066" s="249"/>
      <c r="J1066" s="249"/>
      <c r="K1066" s="247"/>
    </row>
    <row r="1067" spans="1:17" ht="12.75" customHeight="1" x14ac:dyDescent="0.35">
      <c r="A1067" s="241"/>
      <c r="B1067" s="242"/>
      <c r="C1067" s="243"/>
      <c r="D1067" s="243"/>
      <c r="E1067" s="243"/>
      <c r="F1067" s="244"/>
      <c r="G1067" s="252"/>
      <c r="H1067" s="253"/>
      <c r="I1067" s="243"/>
      <c r="J1067" s="243"/>
      <c r="K1067" s="247"/>
    </row>
    <row r="1068" spans="1:17" ht="12.75" customHeight="1" x14ac:dyDescent="0.35">
      <c r="A1068" s="241"/>
      <c r="B1068" s="242"/>
      <c r="C1068" s="249"/>
      <c r="D1068" s="249"/>
      <c r="E1068" s="249"/>
      <c r="F1068" s="244"/>
      <c r="G1068" s="245"/>
      <c r="H1068" s="246"/>
      <c r="I1068" s="249"/>
      <c r="J1068" s="249"/>
      <c r="K1068" s="247"/>
    </row>
    <row r="1069" spans="1:17" ht="12.75" customHeight="1" x14ac:dyDescent="0.35">
      <c r="A1069" s="241"/>
      <c r="B1069" s="242"/>
      <c r="C1069" s="249"/>
      <c r="D1069" s="249"/>
      <c r="E1069" s="249"/>
      <c r="F1069" s="244"/>
      <c r="G1069" s="245"/>
      <c r="H1069" s="246"/>
      <c r="I1069" s="249"/>
      <c r="J1069" s="249"/>
      <c r="K1069" s="247"/>
    </row>
    <row r="1070" spans="1:17" ht="12.75" customHeight="1" x14ac:dyDescent="0.35">
      <c r="A1070" s="241"/>
      <c r="B1070" s="242"/>
      <c r="C1070" s="243"/>
      <c r="D1070" s="243"/>
      <c r="E1070" s="243"/>
      <c r="F1070" s="244"/>
      <c r="G1070" s="245"/>
      <c r="H1070" s="246"/>
      <c r="I1070" s="243"/>
      <c r="J1070" s="243"/>
      <c r="K1070" s="247"/>
    </row>
    <row r="1071" spans="1:17" ht="12.75" customHeight="1" x14ac:dyDescent="0.35">
      <c r="A1071" s="241"/>
      <c r="B1071" s="242"/>
      <c r="C1071" s="243"/>
      <c r="D1071" s="243"/>
      <c r="E1071" s="243"/>
      <c r="F1071" s="244"/>
      <c r="G1071" s="245"/>
      <c r="H1071" s="246"/>
      <c r="I1071" s="243"/>
      <c r="J1071" s="243"/>
      <c r="K1071" s="247"/>
    </row>
    <row r="1072" spans="1:17" ht="12.75" customHeight="1" x14ac:dyDescent="0.35">
      <c r="A1072" s="241"/>
      <c r="B1072" s="242"/>
      <c r="C1072" s="249"/>
      <c r="D1072" s="249"/>
      <c r="E1072" s="249"/>
      <c r="F1072" s="244"/>
      <c r="G1072" s="245"/>
      <c r="H1072" s="246"/>
      <c r="I1072" s="249"/>
      <c r="J1072" s="249"/>
      <c r="K1072" s="247"/>
    </row>
    <row r="1073" spans="1:17" ht="12.75" customHeight="1" x14ac:dyDescent="0.35">
      <c r="A1073" s="241"/>
      <c r="B1073" s="242"/>
      <c r="C1073" s="243"/>
      <c r="D1073" s="243"/>
      <c r="E1073" s="243"/>
      <c r="F1073" s="244"/>
      <c r="G1073" s="250"/>
      <c r="H1073" s="251"/>
      <c r="I1073" s="243"/>
      <c r="J1073" s="243"/>
      <c r="K1073" s="247"/>
    </row>
    <row r="1074" spans="1:17" ht="12.75" customHeight="1" x14ac:dyDescent="0.35">
      <c r="A1074" s="241"/>
      <c r="B1074" s="242"/>
      <c r="C1074" s="243"/>
      <c r="D1074" s="243"/>
      <c r="E1074" s="243"/>
      <c r="F1074" s="244"/>
      <c r="G1074" s="250"/>
      <c r="H1074" s="251"/>
      <c r="I1074" s="243"/>
      <c r="J1074" s="243"/>
      <c r="K1074" s="247"/>
      <c r="L1074" s="272"/>
      <c r="M1074" s="272"/>
      <c r="N1074" s="272"/>
      <c r="Q1074" s="274"/>
    </row>
    <row r="1075" spans="1:17" ht="12.75" customHeight="1" x14ac:dyDescent="0.35">
      <c r="A1075" s="241"/>
      <c r="B1075" s="242"/>
      <c r="C1075" s="243"/>
      <c r="D1075" s="243"/>
      <c r="E1075" s="243"/>
      <c r="F1075" s="244"/>
      <c r="G1075" s="250"/>
      <c r="H1075" s="251"/>
      <c r="I1075" s="243"/>
      <c r="J1075" s="243"/>
      <c r="K1075" s="247"/>
      <c r="L1075" s="272"/>
      <c r="M1075" s="272"/>
      <c r="N1075" s="272"/>
      <c r="Q1075" s="274"/>
    </row>
    <row r="1076" spans="1:17" ht="12.75" customHeight="1" x14ac:dyDescent="0.35">
      <c r="A1076" s="241"/>
      <c r="B1076" s="242"/>
      <c r="C1076" s="249"/>
      <c r="D1076" s="249"/>
      <c r="E1076" s="249"/>
      <c r="F1076" s="244"/>
      <c r="G1076" s="245"/>
      <c r="H1076" s="246"/>
      <c r="I1076" s="249"/>
      <c r="J1076" s="249"/>
      <c r="K1076" s="247"/>
    </row>
    <row r="1077" spans="1:17" ht="12.75" customHeight="1" x14ac:dyDescent="0.35">
      <c r="A1077" s="241"/>
      <c r="B1077" s="242"/>
      <c r="C1077" s="249"/>
      <c r="D1077" s="249"/>
      <c r="E1077" s="249"/>
      <c r="F1077" s="244"/>
      <c r="G1077" s="245"/>
      <c r="H1077" s="246"/>
      <c r="I1077" s="249"/>
      <c r="J1077" s="249"/>
      <c r="K1077" s="247"/>
    </row>
    <row r="1078" spans="1:17" ht="12.75" customHeight="1" x14ac:dyDescent="0.35">
      <c r="A1078" s="241"/>
      <c r="B1078" s="242"/>
      <c r="C1078" s="243"/>
      <c r="D1078" s="243"/>
      <c r="E1078" s="243"/>
      <c r="F1078" s="244"/>
      <c r="G1078" s="245"/>
      <c r="H1078" s="246"/>
      <c r="I1078" s="243"/>
      <c r="J1078" s="243"/>
      <c r="K1078" s="247"/>
    </row>
    <row r="1079" spans="1:17" ht="12.75" customHeight="1" x14ac:dyDescent="0.35">
      <c r="A1079" s="241"/>
      <c r="B1079" s="242"/>
      <c r="C1079" s="249"/>
      <c r="D1079" s="249"/>
      <c r="E1079" s="249"/>
      <c r="F1079" s="244"/>
      <c r="G1079" s="245"/>
      <c r="H1079" s="246"/>
      <c r="I1079" s="249"/>
      <c r="J1079" s="249"/>
      <c r="K1079" s="247"/>
      <c r="L1079" s="272"/>
      <c r="M1079" s="272"/>
      <c r="N1079" s="272"/>
      <c r="Q1079" s="274"/>
    </row>
    <row r="1080" spans="1:17" ht="12.75" customHeight="1" x14ac:dyDescent="0.35">
      <c r="A1080" s="241"/>
      <c r="B1080" s="242"/>
      <c r="C1080" s="243"/>
      <c r="D1080" s="243"/>
      <c r="E1080" s="243"/>
      <c r="F1080" s="244"/>
      <c r="G1080" s="250"/>
      <c r="H1080" s="251"/>
      <c r="I1080" s="243"/>
      <c r="J1080" s="243"/>
      <c r="K1080" s="247"/>
      <c r="L1080" s="272"/>
      <c r="M1080" s="272"/>
      <c r="N1080" s="272"/>
      <c r="Q1080" s="274"/>
    </row>
    <row r="1081" spans="1:17" ht="12.75" customHeight="1" x14ac:dyDescent="0.35">
      <c r="A1081" s="241"/>
      <c r="B1081" s="242"/>
      <c r="C1081" s="243"/>
      <c r="D1081" s="243"/>
      <c r="E1081" s="243"/>
      <c r="F1081" s="244"/>
      <c r="G1081" s="250"/>
      <c r="H1081" s="251"/>
      <c r="I1081" s="243"/>
      <c r="J1081" s="243"/>
      <c r="K1081" s="247"/>
    </row>
    <row r="1082" spans="1:17" ht="12.75" customHeight="1" x14ac:dyDescent="0.35">
      <c r="A1082" s="241"/>
      <c r="B1082" s="242"/>
      <c r="C1082" s="243"/>
      <c r="D1082" s="243"/>
      <c r="E1082" s="243"/>
      <c r="F1082" s="244"/>
      <c r="G1082" s="250"/>
      <c r="H1082" s="251"/>
      <c r="I1082" s="243"/>
      <c r="J1082" s="243"/>
      <c r="K1082" s="247"/>
    </row>
    <row r="1083" spans="1:17" ht="12.75" customHeight="1" x14ac:dyDescent="0.35">
      <c r="A1083" s="241"/>
      <c r="B1083" s="242"/>
      <c r="C1083" s="249"/>
      <c r="D1083" s="249"/>
      <c r="E1083" s="249"/>
      <c r="F1083" s="244"/>
      <c r="G1083" s="245"/>
      <c r="H1083" s="246"/>
      <c r="I1083" s="249"/>
      <c r="J1083" s="249"/>
      <c r="K1083" s="247"/>
    </row>
    <row r="1084" spans="1:17" ht="12.75" customHeight="1" x14ac:dyDescent="0.35">
      <c r="A1084" s="241"/>
      <c r="B1084" s="242"/>
      <c r="C1084" s="243"/>
      <c r="D1084" s="243"/>
      <c r="E1084" s="243"/>
      <c r="F1084" s="244"/>
      <c r="G1084" s="245"/>
      <c r="H1084" s="246"/>
      <c r="I1084" s="243"/>
      <c r="J1084" s="243"/>
      <c r="K1084" s="247"/>
    </row>
    <row r="1085" spans="1:17" ht="12.75" customHeight="1" x14ac:dyDescent="0.35">
      <c r="A1085" s="241"/>
      <c r="B1085" s="242"/>
      <c r="C1085" s="243"/>
      <c r="D1085" s="243"/>
      <c r="E1085" s="243"/>
      <c r="F1085" s="244"/>
      <c r="G1085" s="245"/>
      <c r="H1085" s="246"/>
      <c r="I1085" s="243"/>
      <c r="J1085" s="243"/>
      <c r="K1085" s="247"/>
    </row>
    <row r="1086" spans="1:17" ht="12.75" customHeight="1" x14ac:dyDescent="0.35">
      <c r="A1086" s="241"/>
      <c r="B1086" s="242"/>
      <c r="C1086" s="243"/>
      <c r="D1086" s="243"/>
      <c r="E1086" s="243"/>
      <c r="F1086" s="244"/>
      <c r="G1086" s="250"/>
      <c r="H1086" s="251"/>
      <c r="I1086" s="243"/>
      <c r="J1086" s="243"/>
      <c r="K1086" s="247"/>
    </row>
    <row r="1087" spans="1:17" ht="12.75" customHeight="1" x14ac:dyDescent="0.35">
      <c r="A1087" s="241"/>
      <c r="B1087" s="242"/>
      <c r="C1087" s="243"/>
      <c r="D1087" s="243"/>
      <c r="E1087" s="243"/>
      <c r="F1087" s="244"/>
      <c r="G1087" s="250"/>
      <c r="H1087" s="251"/>
      <c r="I1087" s="243"/>
      <c r="J1087" s="243"/>
      <c r="K1087" s="247"/>
    </row>
    <row r="1088" spans="1:17" ht="12.75" customHeight="1" x14ac:dyDescent="0.35">
      <c r="A1088" s="241"/>
      <c r="B1088" s="242"/>
      <c r="C1088" s="243"/>
      <c r="D1088" s="243"/>
      <c r="E1088" s="243"/>
      <c r="F1088" s="244"/>
      <c r="G1088" s="250"/>
      <c r="H1088" s="251"/>
      <c r="I1088" s="243"/>
      <c r="J1088" s="243"/>
      <c r="K1088" s="247"/>
    </row>
    <row r="1089" spans="1:17" ht="12.75" customHeight="1" x14ac:dyDescent="0.35">
      <c r="A1089" s="241"/>
      <c r="B1089" s="242"/>
      <c r="C1089" s="243"/>
      <c r="D1089" s="243"/>
      <c r="E1089" s="243"/>
      <c r="F1089" s="244"/>
      <c r="G1089" s="252"/>
      <c r="H1089" s="253"/>
      <c r="I1089" s="243"/>
      <c r="J1089" s="243"/>
      <c r="K1089" s="247"/>
    </row>
    <row r="1090" spans="1:17" ht="12.75" customHeight="1" x14ac:dyDescent="0.35">
      <c r="A1090" s="241"/>
      <c r="B1090" s="242"/>
      <c r="C1090" s="243"/>
      <c r="D1090" s="243"/>
      <c r="E1090" s="243"/>
      <c r="F1090" s="244"/>
      <c r="G1090" s="245"/>
      <c r="H1090" s="246"/>
      <c r="I1090" s="243"/>
      <c r="J1090" s="243"/>
      <c r="K1090" s="247"/>
    </row>
    <row r="1091" spans="1:17" ht="12.75" customHeight="1" x14ac:dyDescent="0.35">
      <c r="A1091" s="241"/>
      <c r="B1091" s="242"/>
      <c r="C1091" s="243"/>
      <c r="D1091" s="243"/>
      <c r="E1091" s="243"/>
      <c r="F1091" s="244"/>
      <c r="G1091" s="245"/>
      <c r="H1091" s="246"/>
      <c r="I1091" s="243"/>
      <c r="J1091" s="243"/>
      <c r="K1091" s="247"/>
    </row>
    <row r="1092" spans="1:17" ht="12.75" customHeight="1" x14ac:dyDescent="0.35">
      <c r="A1092" s="241"/>
      <c r="B1092" s="242"/>
      <c r="C1092" s="243"/>
      <c r="D1092" s="243"/>
      <c r="E1092" s="243"/>
      <c r="F1092" s="244"/>
      <c r="G1092" s="245"/>
      <c r="H1092" s="246"/>
      <c r="I1092" s="243"/>
      <c r="J1092" s="243"/>
      <c r="K1092" s="247"/>
    </row>
    <row r="1093" spans="1:17" ht="12.75" customHeight="1" x14ac:dyDescent="0.35">
      <c r="A1093" s="241"/>
      <c r="B1093" s="242"/>
      <c r="C1093" s="243"/>
      <c r="D1093" s="243"/>
      <c r="E1093" s="243"/>
      <c r="F1093" s="244"/>
      <c r="G1093" s="245"/>
      <c r="H1093" s="246"/>
      <c r="I1093" s="243"/>
      <c r="J1093" s="243"/>
      <c r="K1093" s="247"/>
      <c r="L1093" s="272"/>
      <c r="M1093" s="272"/>
      <c r="N1093" s="272"/>
      <c r="Q1093" s="274"/>
    </row>
    <row r="1094" spans="1:17" ht="12.75" customHeight="1" x14ac:dyDescent="0.35">
      <c r="A1094" s="241"/>
      <c r="B1094" s="242"/>
      <c r="C1094" s="243"/>
      <c r="D1094" s="243"/>
      <c r="E1094" s="243"/>
      <c r="F1094" s="244"/>
      <c r="G1094" s="245"/>
      <c r="H1094" s="246"/>
      <c r="I1094" s="243"/>
      <c r="J1094" s="243"/>
      <c r="K1094" s="247"/>
    </row>
    <row r="1095" spans="1:17" ht="12.75" customHeight="1" x14ac:dyDescent="0.35">
      <c r="A1095" s="241"/>
      <c r="B1095" s="242"/>
      <c r="C1095" s="243"/>
      <c r="D1095" s="243"/>
      <c r="E1095" s="243"/>
      <c r="F1095" s="244"/>
      <c r="G1095" s="245"/>
      <c r="H1095" s="246"/>
      <c r="I1095" s="243"/>
      <c r="J1095" s="243"/>
      <c r="K1095" s="247"/>
    </row>
    <row r="1096" spans="1:17" ht="12.75" customHeight="1" x14ac:dyDescent="0.35">
      <c r="A1096" s="241"/>
      <c r="B1096" s="242"/>
      <c r="C1096" s="243"/>
      <c r="D1096" s="243"/>
      <c r="E1096" s="243"/>
      <c r="F1096" s="244"/>
      <c r="G1096" s="245"/>
      <c r="H1096" s="246"/>
      <c r="I1096" s="243"/>
      <c r="J1096" s="243"/>
      <c r="K1096" s="247"/>
      <c r="L1096" s="272"/>
      <c r="M1096" s="272"/>
      <c r="N1096" s="272"/>
      <c r="Q1096" s="274"/>
    </row>
    <row r="1097" spans="1:17" ht="12.75" customHeight="1" x14ac:dyDescent="0.35">
      <c r="A1097" s="241"/>
      <c r="B1097" s="242"/>
      <c r="C1097" s="243"/>
      <c r="D1097" s="243"/>
      <c r="E1097" s="243"/>
      <c r="F1097" s="244"/>
      <c r="G1097" s="245"/>
      <c r="H1097" s="246"/>
      <c r="I1097" s="243"/>
      <c r="J1097" s="243"/>
      <c r="K1097" s="247"/>
    </row>
    <row r="1098" spans="1:17" ht="11.65" x14ac:dyDescent="0.35">
      <c r="A1098" s="241"/>
      <c r="B1098" s="242"/>
      <c r="C1098" s="243"/>
      <c r="D1098" s="243"/>
      <c r="E1098" s="243"/>
      <c r="F1098" s="244"/>
      <c r="G1098" s="245"/>
      <c r="H1098" s="246"/>
      <c r="I1098" s="243"/>
      <c r="J1098" s="243"/>
      <c r="K1098" s="247"/>
    </row>
    <row r="1099" spans="1:17" ht="11.65" x14ac:dyDescent="0.35">
      <c r="A1099" s="241"/>
      <c r="B1099" s="242"/>
      <c r="C1099" s="243"/>
      <c r="D1099" s="243"/>
      <c r="E1099" s="243"/>
      <c r="F1099" s="244"/>
      <c r="G1099" s="245"/>
      <c r="H1099" s="246"/>
      <c r="I1099" s="243"/>
      <c r="J1099" s="243"/>
      <c r="K1099" s="247"/>
    </row>
    <row r="1100" spans="1:17" ht="11.65" x14ac:dyDescent="0.35">
      <c r="A1100" s="241"/>
      <c r="B1100" s="242"/>
      <c r="C1100" s="243"/>
      <c r="D1100" s="243"/>
      <c r="E1100" s="243"/>
      <c r="F1100" s="244"/>
      <c r="G1100" s="245"/>
      <c r="H1100" s="246"/>
      <c r="I1100" s="243"/>
      <c r="J1100" s="243"/>
      <c r="K1100" s="247"/>
      <c r="L1100" s="272"/>
      <c r="M1100" s="272"/>
      <c r="N1100" s="272"/>
      <c r="Q1100" s="274"/>
    </row>
    <row r="1101" spans="1:17" ht="11.65" x14ac:dyDescent="0.35">
      <c r="A1101" s="241"/>
      <c r="B1101" s="242"/>
      <c r="C1101" s="243"/>
      <c r="D1101" s="243"/>
      <c r="E1101" s="243"/>
      <c r="F1101" s="244"/>
      <c r="G1101" s="245"/>
      <c r="H1101" s="246"/>
      <c r="I1101" s="243"/>
      <c r="J1101" s="243"/>
      <c r="K1101" s="247"/>
      <c r="L1101" s="272"/>
      <c r="M1101" s="272"/>
      <c r="N1101" s="272"/>
      <c r="Q1101" s="274"/>
    </row>
    <row r="1102" spans="1:17" ht="11.65" x14ac:dyDescent="0.35">
      <c r="A1102" s="241"/>
      <c r="B1102" s="242"/>
      <c r="C1102" s="249"/>
      <c r="D1102" s="249"/>
      <c r="E1102" s="249"/>
      <c r="F1102" s="244"/>
      <c r="G1102" s="245"/>
      <c r="H1102" s="246"/>
      <c r="I1102" s="249"/>
      <c r="J1102" s="249"/>
      <c r="K1102" s="247"/>
    </row>
    <row r="1103" spans="1:17" ht="11.65" x14ac:dyDescent="0.35">
      <c r="A1103" s="241"/>
      <c r="B1103" s="242"/>
      <c r="C1103" s="243"/>
      <c r="D1103" s="243"/>
      <c r="E1103" s="243"/>
      <c r="F1103" s="244"/>
      <c r="G1103" s="250"/>
      <c r="H1103" s="251"/>
      <c r="I1103" s="243"/>
      <c r="J1103" s="243"/>
      <c r="K1103" s="247"/>
      <c r="L1103" s="272"/>
      <c r="M1103" s="272"/>
      <c r="N1103" s="272"/>
      <c r="Q1103" s="274"/>
    </row>
    <row r="1104" spans="1:17" ht="11.65" x14ac:dyDescent="0.35">
      <c r="A1104" s="241"/>
      <c r="B1104" s="242"/>
      <c r="C1104" s="243"/>
      <c r="D1104" s="243"/>
      <c r="E1104" s="243"/>
      <c r="F1104" s="244"/>
      <c r="G1104" s="245"/>
      <c r="H1104" s="246"/>
      <c r="I1104" s="243"/>
      <c r="J1104" s="243"/>
      <c r="K1104" s="247"/>
      <c r="L1104" s="272"/>
      <c r="M1104" s="272"/>
      <c r="N1104" s="272"/>
      <c r="Q1104" s="274"/>
    </row>
    <row r="1105" spans="1:17" ht="11.65" x14ac:dyDescent="0.35">
      <c r="A1105" s="241"/>
      <c r="B1105" s="242"/>
      <c r="C1105" s="243"/>
      <c r="D1105" s="243"/>
      <c r="E1105" s="243"/>
      <c r="F1105" s="244"/>
      <c r="G1105" s="245"/>
      <c r="H1105" s="246"/>
      <c r="I1105" s="243"/>
      <c r="J1105" s="243"/>
      <c r="K1105" s="247"/>
      <c r="L1105" s="272"/>
      <c r="M1105" s="272"/>
      <c r="N1105" s="272"/>
      <c r="Q1105" s="274"/>
    </row>
    <row r="1106" spans="1:17" ht="11.65" x14ac:dyDescent="0.35">
      <c r="A1106" s="241"/>
      <c r="B1106" s="242"/>
      <c r="C1106" s="243"/>
      <c r="D1106" s="243"/>
      <c r="E1106" s="243"/>
      <c r="F1106" s="244"/>
      <c r="G1106" s="245"/>
      <c r="H1106" s="246"/>
      <c r="I1106" s="243"/>
      <c r="J1106" s="243"/>
      <c r="K1106" s="247"/>
      <c r="L1106" s="272"/>
      <c r="M1106" s="272"/>
      <c r="N1106" s="272"/>
      <c r="Q1106" s="274"/>
    </row>
    <row r="1107" spans="1:17" ht="11.65" x14ac:dyDescent="0.35">
      <c r="A1107" s="241"/>
      <c r="B1107" s="242"/>
      <c r="C1107" s="243"/>
      <c r="D1107" s="243"/>
      <c r="E1107" s="243"/>
      <c r="F1107" s="244"/>
      <c r="G1107" s="250"/>
      <c r="H1107" s="251"/>
      <c r="I1107" s="243"/>
      <c r="J1107" s="243"/>
      <c r="K1107" s="247"/>
    </row>
    <row r="1108" spans="1:17" ht="11.65" x14ac:dyDescent="0.35">
      <c r="A1108" s="241"/>
      <c r="B1108" s="242"/>
      <c r="C1108" s="243"/>
      <c r="D1108" s="243"/>
      <c r="E1108" s="243"/>
      <c r="F1108" s="244"/>
      <c r="G1108" s="245"/>
      <c r="H1108" s="246"/>
      <c r="I1108" s="243"/>
      <c r="J1108" s="243"/>
      <c r="K1108" s="247"/>
    </row>
    <row r="1109" spans="1:17" ht="11.65" x14ac:dyDescent="0.35">
      <c r="A1109" s="241"/>
      <c r="B1109" s="242"/>
      <c r="C1109" s="243"/>
      <c r="D1109" s="243"/>
      <c r="E1109" s="243"/>
      <c r="F1109" s="244"/>
      <c r="G1109" s="250"/>
      <c r="H1109" s="251"/>
      <c r="I1109" s="243"/>
      <c r="J1109" s="243"/>
      <c r="K1109" s="247"/>
    </row>
    <row r="1110" spans="1:17" ht="11.65" x14ac:dyDescent="0.35">
      <c r="A1110" s="241"/>
      <c r="B1110" s="242"/>
      <c r="C1110" s="243"/>
      <c r="D1110" s="243"/>
      <c r="E1110" s="243"/>
      <c r="F1110" s="244"/>
      <c r="G1110" s="250"/>
      <c r="H1110" s="251"/>
      <c r="I1110" s="243"/>
      <c r="J1110" s="243"/>
      <c r="K1110" s="247"/>
    </row>
    <row r="1111" spans="1:17" ht="11.65" x14ac:dyDescent="0.35">
      <c r="A1111" s="241"/>
      <c r="B1111" s="242"/>
      <c r="C1111" s="249"/>
      <c r="D1111" s="249"/>
      <c r="E1111" s="249"/>
      <c r="F1111" s="244"/>
      <c r="G1111" s="245"/>
      <c r="H1111" s="246"/>
      <c r="I1111" s="249"/>
      <c r="J1111" s="249"/>
      <c r="K1111" s="247"/>
    </row>
    <row r="1112" spans="1:17" ht="11.65" x14ac:dyDescent="0.35">
      <c r="A1112" s="241"/>
      <c r="B1112" s="242"/>
      <c r="C1112" s="249"/>
      <c r="D1112" s="249"/>
      <c r="E1112" s="249"/>
      <c r="F1112" s="244"/>
      <c r="G1112" s="245"/>
      <c r="H1112" s="246"/>
      <c r="I1112" s="249"/>
      <c r="J1112" s="249"/>
      <c r="K1112" s="247"/>
    </row>
    <row r="1113" spans="1:17" ht="11.65" x14ac:dyDescent="0.35">
      <c r="A1113" s="241"/>
      <c r="B1113" s="242"/>
      <c r="C1113" s="249"/>
      <c r="D1113" s="249"/>
      <c r="E1113" s="249"/>
      <c r="F1113" s="244"/>
      <c r="G1113" s="245"/>
      <c r="H1113" s="246"/>
      <c r="I1113" s="249"/>
      <c r="J1113" s="249"/>
      <c r="K1113" s="247"/>
    </row>
    <row r="1114" spans="1:17" ht="11.65" x14ac:dyDescent="0.35">
      <c r="A1114" s="241"/>
      <c r="B1114" s="242"/>
      <c r="C1114" s="249"/>
      <c r="D1114" s="249"/>
      <c r="E1114" s="249"/>
      <c r="F1114" s="244"/>
      <c r="G1114" s="245"/>
      <c r="H1114" s="246"/>
      <c r="I1114" s="249"/>
      <c r="J1114" s="249"/>
      <c r="K1114" s="247"/>
    </row>
    <row r="1115" spans="1:17" ht="11.65" x14ac:dyDescent="0.35">
      <c r="A1115" s="241"/>
      <c r="B1115" s="242"/>
      <c r="C1115" s="243"/>
      <c r="D1115" s="243"/>
      <c r="E1115" s="243"/>
      <c r="F1115" s="244"/>
      <c r="G1115" s="245"/>
      <c r="H1115" s="246"/>
      <c r="I1115" s="243"/>
      <c r="J1115" s="243"/>
      <c r="K1115" s="247"/>
    </row>
    <row r="1116" spans="1:17" ht="11.65" x14ac:dyDescent="0.35">
      <c r="A1116" s="241"/>
      <c r="B1116" s="242"/>
      <c r="C1116" s="243"/>
      <c r="D1116" s="243"/>
      <c r="E1116" s="243"/>
      <c r="F1116" s="244"/>
      <c r="G1116" s="245"/>
      <c r="H1116" s="246"/>
      <c r="I1116" s="243"/>
      <c r="J1116" s="243"/>
      <c r="K1116" s="247"/>
    </row>
    <row r="1117" spans="1:17" ht="11.65" x14ac:dyDescent="0.35">
      <c r="A1117" s="241"/>
      <c r="B1117" s="242"/>
      <c r="C1117" s="249"/>
      <c r="D1117" s="249"/>
      <c r="E1117" s="249"/>
      <c r="F1117" s="244"/>
      <c r="G1117" s="245"/>
      <c r="H1117" s="246"/>
      <c r="I1117" s="249"/>
      <c r="J1117" s="249"/>
      <c r="K1117" s="247"/>
    </row>
    <row r="1118" spans="1:17" ht="11.65" x14ac:dyDescent="0.35">
      <c r="A1118" s="241"/>
      <c r="B1118" s="242"/>
      <c r="C1118" s="249"/>
      <c r="D1118" s="249"/>
      <c r="E1118" s="249"/>
      <c r="F1118" s="244"/>
      <c r="G1118" s="245"/>
      <c r="H1118" s="246"/>
      <c r="I1118" s="249"/>
      <c r="J1118" s="249"/>
      <c r="K1118" s="247"/>
    </row>
    <row r="1119" spans="1:17" ht="11.65" x14ac:dyDescent="0.35">
      <c r="A1119" s="241"/>
      <c r="B1119" s="242"/>
      <c r="C1119" s="243"/>
      <c r="D1119" s="243"/>
      <c r="E1119" s="243"/>
      <c r="F1119" s="244"/>
      <c r="G1119" s="245"/>
      <c r="H1119" s="246"/>
      <c r="I1119" s="243"/>
      <c r="J1119" s="243"/>
      <c r="K1119" s="247"/>
    </row>
    <row r="1120" spans="1:17" ht="11.65" x14ac:dyDescent="0.35">
      <c r="A1120" s="241"/>
      <c r="B1120" s="242"/>
      <c r="C1120" s="249"/>
      <c r="D1120" s="249"/>
      <c r="E1120" s="249"/>
      <c r="F1120" s="244"/>
      <c r="G1120" s="245"/>
      <c r="H1120" s="246"/>
      <c r="I1120" s="249"/>
      <c r="J1120" s="249"/>
      <c r="K1120" s="247"/>
    </row>
    <row r="1121" spans="1:17" ht="11.65" x14ac:dyDescent="0.35">
      <c r="A1121" s="241"/>
      <c r="B1121" s="242"/>
      <c r="C1121" s="249"/>
      <c r="D1121" s="249"/>
      <c r="E1121" s="249"/>
      <c r="F1121" s="244"/>
      <c r="G1121" s="245"/>
      <c r="H1121" s="246"/>
      <c r="I1121" s="249"/>
      <c r="J1121" s="249"/>
      <c r="K1121" s="247"/>
    </row>
    <row r="1122" spans="1:17" ht="11.65" x14ac:dyDescent="0.35">
      <c r="A1122" s="241"/>
      <c r="B1122" s="242"/>
      <c r="C1122" s="249"/>
      <c r="D1122" s="249"/>
      <c r="E1122" s="249"/>
      <c r="F1122" s="244"/>
      <c r="G1122" s="245"/>
      <c r="H1122" s="246"/>
      <c r="I1122" s="249"/>
      <c r="J1122" s="249"/>
      <c r="K1122" s="247"/>
    </row>
    <row r="1123" spans="1:17" ht="11.65" x14ac:dyDescent="0.35">
      <c r="A1123" s="241"/>
      <c r="B1123" s="242"/>
      <c r="C1123" s="243"/>
      <c r="D1123" s="243"/>
      <c r="E1123" s="243"/>
      <c r="F1123" s="244"/>
      <c r="G1123" s="245"/>
      <c r="H1123" s="246"/>
      <c r="I1123" s="243"/>
      <c r="J1123" s="243"/>
      <c r="K1123" s="247"/>
      <c r="L1123" s="272"/>
      <c r="M1123" s="272"/>
      <c r="N1123" s="272"/>
      <c r="Q1123" s="274"/>
    </row>
    <row r="1124" spans="1:17" ht="11.65" x14ac:dyDescent="0.35">
      <c r="A1124" s="241"/>
      <c r="B1124" s="242"/>
      <c r="C1124" s="249"/>
      <c r="D1124" s="249"/>
      <c r="E1124" s="249"/>
      <c r="F1124" s="244"/>
      <c r="G1124" s="245"/>
      <c r="H1124" s="246"/>
      <c r="I1124" s="249"/>
      <c r="J1124" s="249"/>
      <c r="K1124" s="247"/>
    </row>
    <row r="1125" spans="1:17" ht="11.65" x14ac:dyDescent="0.35">
      <c r="A1125" s="241"/>
      <c r="B1125" s="242"/>
      <c r="C1125" s="249"/>
      <c r="D1125" s="249"/>
      <c r="E1125" s="249"/>
      <c r="F1125" s="244"/>
      <c r="G1125" s="245"/>
      <c r="H1125" s="246"/>
      <c r="I1125" s="249"/>
      <c r="J1125" s="249"/>
      <c r="K1125" s="247"/>
    </row>
    <row r="1126" spans="1:17" ht="11.65" x14ac:dyDescent="0.35">
      <c r="A1126" s="241"/>
      <c r="B1126" s="242"/>
      <c r="C1126" s="249"/>
      <c r="D1126" s="249"/>
      <c r="E1126" s="249"/>
      <c r="F1126" s="244"/>
      <c r="G1126" s="245"/>
      <c r="H1126" s="246"/>
      <c r="I1126" s="249"/>
      <c r="J1126" s="249"/>
      <c r="K1126" s="247"/>
      <c r="L1126" s="272"/>
      <c r="M1126" s="272"/>
      <c r="N1126" s="272"/>
      <c r="Q1126" s="274"/>
    </row>
    <row r="1127" spans="1:17" ht="11.65" x14ac:dyDescent="0.35">
      <c r="A1127" s="241"/>
      <c r="B1127" s="242"/>
      <c r="C1127" s="243"/>
      <c r="D1127" s="243"/>
      <c r="E1127" s="243"/>
      <c r="F1127" s="244"/>
      <c r="G1127" s="245"/>
      <c r="H1127" s="246"/>
      <c r="I1127" s="243"/>
      <c r="J1127" s="243"/>
      <c r="K1127" s="247"/>
      <c r="L1127" s="272"/>
      <c r="M1127" s="272"/>
      <c r="N1127" s="272"/>
      <c r="Q1127" s="274"/>
    </row>
    <row r="1128" spans="1:17" ht="11.65" x14ac:dyDescent="0.35">
      <c r="A1128" s="241"/>
      <c r="B1128" s="242"/>
      <c r="C1128" s="243"/>
      <c r="D1128" s="243"/>
      <c r="E1128" s="243"/>
      <c r="F1128" s="244"/>
      <c r="G1128" s="245"/>
      <c r="H1128" s="246"/>
      <c r="I1128" s="243"/>
      <c r="J1128" s="243"/>
      <c r="K1128" s="247"/>
    </row>
    <row r="1129" spans="1:17" ht="11.65" x14ac:dyDescent="0.35">
      <c r="A1129" s="241"/>
      <c r="B1129" s="242"/>
      <c r="C1129" s="249"/>
      <c r="D1129" s="249"/>
      <c r="E1129" s="249"/>
      <c r="F1129" s="244"/>
      <c r="G1129" s="245"/>
      <c r="H1129" s="246"/>
      <c r="I1129" s="249"/>
      <c r="J1129" s="249"/>
      <c r="K1129" s="247"/>
    </row>
    <row r="1130" spans="1:17" ht="11.65" x14ac:dyDescent="0.35">
      <c r="A1130" s="241"/>
      <c r="B1130" s="242"/>
      <c r="C1130" s="243"/>
      <c r="D1130" s="243"/>
      <c r="E1130" s="243"/>
      <c r="F1130" s="244"/>
      <c r="G1130" s="245"/>
      <c r="H1130" s="246"/>
      <c r="I1130" s="243"/>
      <c r="J1130" s="243"/>
      <c r="K1130" s="247"/>
    </row>
    <row r="1131" spans="1:17" ht="11.65" x14ac:dyDescent="0.35">
      <c r="A1131" s="241"/>
      <c r="B1131" s="242"/>
      <c r="C1131" s="243"/>
      <c r="D1131" s="243"/>
      <c r="E1131" s="243"/>
      <c r="F1131" s="244"/>
      <c r="G1131" s="245"/>
      <c r="H1131" s="246"/>
      <c r="I1131" s="243"/>
      <c r="J1131" s="243"/>
      <c r="K1131" s="247"/>
    </row>
    <row r="1132" spans="1:17" ht="11.65" x14ac:dyDescent="0.35">
      <c r="A1132" s="241"/>
      <c r="B1132" s="242"/>
      <c r="C1132" s="243"/>
      <c r="D1132" s="243"/>
      <c r="E1132" s="243"/>
      <c r="F1132" s="244"/>
      <c r="G1132" s="245"/>
      <c r="H1132" s="246"/>
      <c r="I1132" s="243"/>
      <c r="J1132" s="243"/>
      <c r="K1132" s="247"/>
    </row>
    <row r="1133" spans="1:17" ht="11.65" x14ac:dyDescent="0.35">
      <c r="A1133" s="241"/>
      <c r="B1133" s="242"/>
      <c r="C1133" s="243"/>
      <c r="D1133" s="243"/>
      <c r="E1133" s="243"/>
      <c r="F1133" s="244"/>
      <c r="G1133" s="245"/>
      <c r="H1133" s="246"/>
      <c r="I1133" s="243"/>
      <c r="J1133" s="243"/>
      <c r="K1133" s="247"/>
    </row>
    <row r="1134" spans="1:17" ht="11.65" x14ac:dyDescent="0.35">
      <c r="A1134" s="241"/>
      <c r="B1134" s="242"/>
      <c r="C1134" s="249"/>
      <c r="D1134" s="249"/>
      <c r="E1134" s="249"/>
      <c r="F1134" s="244"/>
      <c r="G1134" s="245"/>
      <c r="H1134" s="246"/>
      <c r="I1134" s="243"/>
      <c r="J1134" s="249"/>
      <c r="K1134" s="247"/>
    </row>
    <row r="1135" spans="1:17" ht="11.65" x14ac:dyDescent="0.35">
      <c r="A1135" s="241"/>
      <c r="B1135" s="242"/>
      <c r="C1135" s="243"/>
      <c r="D1135" s="243"/>
      <c r="E1135" s="243"/>
      <c r="F1135" s="244"/>
      <c r="G1135" s="252"/>
      <c r="H1135" s="253"/>
      <c r="I1135" s="243"/>
      <c r="J1135" s="243"/>
      <c r="K1135" s="247"/>
    </row>
    <row r="1136" spans="1:17" ht="11.25" customHeight="1" x14ac:dyDescent="0.35">
      <c r="A1136" s="241"/>
      <c r="B1136" s="242"/>
      <c r="C1136" s="243"/>
      <c r="D1136" s="243"/>
      <c r="E1136" s="243"/>
      <c r="F1136" s="244"/>
      <c r="G1136" s="245"/>
      <c r="H1136" s="246"/>
      <c r="I1136" s="243"/>
      <c r="J1136" s="243"/>
      <c r="K1136" s="247"/>
      <c r="L1136" s="272"/>
      <c r="M1136" s="272"/>
      <c r="N1136" s="272"/>
      <c r="Q1136" s="274"/>
    </row>
    <row r="1137" spans="1:17" ht="11.65" x14ac:dyDescent="0.35">
      <c r="A1137" s="241"/>
      <c r="B1137" s="242"/>
      <c r="C1137" s="243"/>
      <c r="D1137" s="243"/>
      <c r="E1137" s="243"/>
      <c r="F1137" s="244"/>
      <c r="G1137" s="245"/>
      <c r="H1137" s="246"/>
      <c r="I1137" s="243"/>
      <c r="J1137" s="243"/>
      <c r="K1137" s="247"/>
      <c r="L1137" s="272"/>
      <c r="M1137" s="272"/>
      <c r="N1137" s="272"/>
      <c r="Q1137" s="274"/>
    </row>
    <row r="1138" spans="1:17" ht="11.65" x14ac:dyDescent="0.35">
      <c r="A1138" s="241"/>
      <c r="B1138" s="242"/>
      <c r="C1138" s="243"/>
      <c r="D1138" s="243"/>
      <c r="E1138" s="243"/>
      <c r="F1138" s="244"/>
      <c r="G1138" s="245"/>
      <c r="H1138" s="246"/>
      <c r="I1138" s="243"/>
      <c r="J1138" s="243"/>
      <c r="K1138" s="247"/>
      <c r="L1138" s="272"/>
      <c r="M1138" s="272"/>
      <c r="N1138" s="272"/>
      <c r="Q1138" s="274"/>
    </row>
    <row r="1139" spans="1:17" ht="11.65" x14ac:dyDescent="0.35">
      <c r="A1139" s="241"/>
      <c r="B1139" s="242"/>
      <c r="C1139" s="243"/>
      <c r="D1139" s="243"/>
      <c r="E1139" s="243"/>
      <c r="F1139" s="244"/>
      <c r="G1139" s="245"/>
      <c r="H1139" s="246"/>
      <c r="I1139" s="243"/>
      <c r="J1139" s="243"/>
      <c r="K1139" s="247"/>
      <c r="L1139" s="272"/>
      <c r="M1139" s="272"/>
      <c r="N1139" s="272"/>
      <c r="Q1139" s="274"/>
    </row>
    <row r="1140" spans="1:17" ht="11.65" x14ac:dyDescent="0.35">
      <c r="A1140" s="241"/>
      <c r="B1140" s="242"/>
      <c r="C1140" s="249"/>
      <c r="D1140" s="249"/>
      <c r="E1140" s="249"/>
      <c r="F1140" s="244"/>
      <c r="G1140" s="245"/>
      <c r="H1140" s="246"/>
      <c r="I1140" s="243"/>
      <c r="J1140" s="249"/>
      <c r="K1140" s="247"/>
      <c r="L1140" s="272"/>
      <c r="M1140" s="272"/>
      <c r="N1140" s="272"/>
      <c r="Q1140" s="274"/>
    </row>
    <row r="1141" spans="1:17" ht="11.65" x14ac:dyDescent="0.35">
      <c r="A1141" s="241"/>
      <c r="B1141" s="242"/>
      <c r="C1141" s="243"/>
      <c r="D1141" s="243"/>
      <c r="E1141" s="243"/>
      <c r="F1141" s="244"/>
      <c r="G1141" s="245"/>
      <c r="H1141" s="246"/>
      <c r="I1141" s="243"/>
      <c r="J1141" s="243"/>
      <c r="K1141" s="247"/>
      <c r="L1141" s="272"/>
      <c r="M1141" s="272"/>
      <c r="N1141" s="272"/>
      <c r="Q1141" s="274"/>
    </row>
    <row r="1142" spans="1:17" ht="11.65" x14ac:dyDescent="0.35">
      <c r="A1142" s="241"/>
      <c r="B1142" s="242"/>
      <c r="C1142" s="249"/>
      <c r="D1142" s="249"/>
      <c r="E1142" s="249"/>
      <c r="F1142" s="244"/>
      <c r="G1142" s="245"/>
      <c r="H1142" s="246"/>
      <c r="I1142" s="249"/>
      <c r="J1142" s="249"/>
      <c r="K1142" s="247"/>
      <c r="L1142" s="272"/>
      <c r="M1142" s="272"/>
      <c r="N1142" s="272"/>
      <c r="Q1142" s="274"/>
    </row>
    <row r="1143" spans="1:17" ht="11.65" x14ac:dyDescent="0.35">
      <c r="A1143" s="241"/>
      <c r="B1143" s="242"/>
      <c r="C1143" s="243"/>
      <c r="D1143" s="243"/>
      <c r="E1143" s="243"/>
      <c r="F1143" s="244"/>
      <c r="G1143" s="245"/>
      <c r="H1143" s="246"/>
      <c r="I1143" s="243"/>
      <c r="J1143" s="243"/>
      <c r="K1143" s="247"/>
      <c r="L1143" s="272"/>
      <c r="M1143" s="272"/>
      <c r="N1143" s="272"/>
      <c r="Q1143" s="274"/>
    </row>
    <row r="1144" spans="1:17" ht="11.65" x14ac:dyDescent="0.35">
      <c r="A1144" s="241"/>
      <c r="B1144" s="242"/>
      <c r="C1144" s="243"/>
      <c r="D1144" s="243"/>
      <c r="E1144" s="243"/>
      <c r="F1144" s="244"/>
      <c r="G1144" s="245"/>
      <c r="H1144" s="246"/>
      <c r="I1144" s="243"/>
      <c r="J1144" s="243"/>
      <c r="K1144" s="247"/>
      <c r="L1144" s="272"/>
      <c r="M1144" s="272"/>
      <c r="N1144" s="272"/>
      <c r="Q1144" s="274"/>
    </row>
    <row r="1145" spans="1:17" ht="11.65" x14ac:dyDescent="0.35">
      <c r="A1145" s="241"/>
      <c r="B1145" s="242"/>
      <c r="C1145" s="249"/>
      <c r="D1145" s="249"/>
      <c r="E1145" s="249"/>
      <c r="F1145" s="244"/>
      <c r="G1145" s="245"/>
      <c r="H1145" s="246"/>
      <c r="I1145" s="249"/>
      <c r="J1145" s="249"/>
      <c r="K1145" s="247"/>
    </row>
    <row r="1146" spans="1:17" x14ac:dyDescent="0.4">
      <c r="A1146" s="191"/>
      <c r="B1146" s="193"/>
      <c r="C1146" s="192"/>
      <c r="D1146" s="192"/>
      <c r="E1146" s="192"/>
      <c r="F1146" s="194"/>
      <c r="G1146" s="261"/>
      <c r="H1146" s="262"/>
      <c r="I1146" s="192"/>
      <c r="J1146" s="192"/>
    </row>
    <row r="1147" spans="1:17" x14ac:dyDescent="0.4">
      <c r="A1147" s="191"/>
      <c r="B1147" s="193"/>
      <c r="C1147" s="263"/>
      <c r="D1147" s="263"/>
      <c r="E1147" s="263"/>
      <c r="F1147" s="194"/>
      <c r="G1147" s="261"/>
      <c r="H1147" s="262"/>
      <c r="I1147" s="263"/>
      <c r="J1147" s="263"/>
    </row>
    <row r="1148" spans="1:17" x14ac:dyDescent="0.4">
      <c r="A1148" s="191"/>
      <c r="B1148" s="193"/>
      <c r="C1148" s="192"/>
      <c r="D1148" s="192"/>
      <c r="E1148" s="192"/>
      <c r="F1148" s="194"/>
      <c r="G1148" s="261"/>
      <c r="H1148" s="262"/>
      <c r="I1148" s="192"/>
      <c r="J1148" s="192"/>
      <c r="L1148" s="272"/>
      <c r="M1148" s="272"/>
      <c r="N1148" s="272"/>
      <c r="Q1148" s="274"/>
    </row>
    <row r="1149" spans="1:17" x14ac:dyDescent="0.4">
      <c r="A1149" s="191"/>
      <c r="B1149" s="193"/>
      <c r="C1149" s="192"/>
      <c r="D1149" s="192"/>
      <c r="E1149" s="192"/>
      <c r="F1149" s="194"/>
      <c r="G1149" s="261"/>
      <c r="H1149" s="262"/>
      <c r="I1149" s="192"/>
      <c r="J1149" s="192"/>
    </row>
    <row r="1150" spans="1:17" x14ac:dyDescent="0.4">
      <c r="A1150" s="191"/>
      <c r="B1150" s="193"/>
      <c r="C1150" s="263"/>
      <c r="D1150" s="263"/>
      <c r="E1150" s="263"/>
      <c r="F1150" s="194"/>
      <c r="G1150" s="261"/>
      <c r="H1150" s="262"/>
      <c r="I1150" s="192"/>
      <c r="J1150" s="263"/>
      <c r="L1150" s="272"/>
      <c r="M1150" s="272"/>
      <c r="N1150" s="272"/>
      <c r="Q1150" s="274"/>
    </row>
    <row r="1151" spans="1:17" x14ac:dyDescent="0.4">
      <c r="A1151" s="191"/>
      <c r="B1151" s="193"/>
      <c r="C1151" s="192"/>
      <c r="D1151" s="192"/>
      <c r="E1151" s="192"/>
      <c r="F1151" s="194"/>
      <c r="G1151" s="261"/>
      <c r="H1151" s="262"/>
      <c r="I1151" s="192"/>
      <c r="J1151" s="192"/>
    </row>
    <row r="1152" spans="1:17" x14ac:dyDescent="0.4">
      <c r="A1152" s="191"/>
      <c r="B1152" s="193"/>
      <c r="C1152" s="192"/>
      <c r="D1152" s="192"/>
      <c r="E1152" s="192"/>
      <c r="F1152" s="194"/>
      <c r="G1152" s="261"/>
      <c r="H1152" s="262"/>
      <c r="I1152" s="192"/>
      <c r="J1152" s="192"/>
    </row>
    <row r="1153" spans="1:10" x14ac:dyDescent="0.4">
      <c r="A1153" s="191"/>
      <c r="B1153" s="193"/>
      <c r="C1153" s="263"/>
      <c r="D1153" s="263"/>
      <c r="E1153" s="263"/>
      <c r="F1153" s="194"/>
      <c r="G1153" s="261"/>
      <c r="H1153" s="262"/>
      <c r="I1153" s="192"/>
      <c r="J1153" s="263"/>
    </row>
    <row r="1154" spans="1:10" x14ac:dyDescent="0.4">
      <c r="A1154" s="191"/>
      <c r="B1154" s="193"/>
      <c r="C1154" s="192"/>
      <c r="D1154" s="192"/>
      <c r="E1154" s="192"/>
      <c r="F1154" s="194"/>
      <c r="G1154" s="261"/>
      <c r="H1154" s="262"/>
      <c r="I1154" s="192"/>
      <c r="J1154" s="192"/>
    </row>
    <row r="1155" spans="1:10" x14ac:dyDescent="0.4">
      <c r="A1155" s="191"/>
      <c r="B1155" s="193"/>
      <c r="C1155" s="192"/>
      <c r="D1155" s="192"/>
      <c r="E1155" s="192"/>
      <c r="F1155" s="194"/>
      <c r="G1155" s="261"/>
      <c r="H1155" s="262"/>
      <c r="I1155" s="192"/>
      <c r="J1155" s="192"/>
    </row>
    <row r="1156" spans="1:10" x14ac:dyDescent="0.4">
      <c r="A1156" s="191"/>
      <c r="B1156" s="193"/>
      <c r="C1156" s="192"/>
      <c r="D1156" s="192"/>
      <c r="E1156" s="192"/>
      <c r="F1156" s="194"/>
      <c r="G1156" s="261"/>
      <c r="H1156" s="262"/>
      <c r="I1156" s="192"/>
      <c r="J1156" s="192"/>
    </row>
    <row r="1157" spans="1:10" x14ac:dyDescent="0.4">
      <c r="A1157" s="191"/>
      <c r="B1157" s="193"/>
      <c r="C1157" s="192"/>
      <c r="D1157" s="192"/>
      <c r="E1157" s="192"/>
      <c r="F1157" s="194"/>
      <c r="G1157" s="261"/>
      <c r="H1157" s="262"/>
      <c r="I1157" s="192"/>
      <c r="J1157" s="192"/>
    </row>
    <row r="1158" spans="1:10" x14ac:dyDescent="0.4">
      <c r="A1158" s="191"/>
      <c r="B1158" s="193"/>
      <c r="C1158" s="263"/>
      <c r="D1158" s="263"/>
      <c r="E1158" s="263"/>
      <c r="F1158" s="194"/>
      <c r="G1158" s="261"/>
      <c r="H1158" s="262"/>
      <c r="I1158" s="192"/>
      <c r="J1158" s="263"/>
    </row>
    <row r="1159" spans="1:10" x14ac:dyDescent="0.4">
      <c r="A1159" s="191"/>
      <c r="B1159" s="193"/>
      <c r="C1159" s="192"/>
      <c r="D1159" s="192"/>
      <c r="E1159" s="192"/>
      <c r="F1159" s="194"/>
      <c r="G1159" s="261"/>
      <c r="H1159" s="262"/>
      <c r="I1159" s="192"/>
      <c r="J1159" s="192"/>
    </row>
    <row r="1160" spans="1:10" x14ac:dyDescent="0.4">
      <c r="A1160" s="191"/>
      <c r="B1160" s="193"/>
      <c r="C1160" s="192"/>
      <c r="D1160" s="192"/>
      <c r="E1160" s="192"/>
      <c r="F1160" s="194"/>
      <c r="G1160" s="261"/>
      <c r="H1160" s="262"/>
      <c r="I1160" s="192"/>
      <c r="J1160" s="192"/>
    </row>
    <row r="1161" spans="1:10" x14ac:dyDescent="0.4">
      <c r="A1161" s="191"/>
      <c r="B1161" s="193"/>
      <c r="C1161" s="192"/>
      <c r="D1161" s="192"/>
      <c r="E1161" s="192"/>
      <c r="F1161" s="194"/>
      <c r="G1161" s="261"/>
      <c r="H1161" s="262"/>
      <c r="I1161" s="192"/>
      <c r="J1161" s="192"/>
    </row>
    <row r="1162" spans="1:10" x14ac:dyDescent="0.4">
      <c r="A1162" s="191"/>
      <c r="B1162" s="193"/>
      <c r="C1162" s="192"/>
      <c r="D1162" s="192"/>
      <c r="E1162" s="192"/>
      <c r="F1162" s="194"/>
      <c r="G1162" s="261"/>
      <c r="H1162" s="262"/>
      <c r="I1162" s="192"/>
      <c r="J1162" s="192"/>
    </row>
    <row r="1163" spans="1:10" x14ac:dyDescent="0.4">
      <c r="A1163" s="191"/>
      <c r="B1163" s="193"/>
      <c r="C1163" s="192"/>
      <c r="D1163" s="192"/>
      <c r="E1163" s="192"/>
      <c r="F1163" s="194"/>
      <c r="G1163" s="261"/>
      <c r="H1163" s="262"/>
      <c r="I1163" s="192"/>
      <c r="J1163" s="192"/>
    </row>
    <row r="1164" spans="1:10" x14ac:dyDescent="0.4">
      <c r="A1164" s="191"/>
      <c r="B1164" s="193"/>
      <c r="C1164" s="192"/>
      <c r="D1164" s="192"/>
      <c r="E1164" s="192"/>
      <c r="F1164" s="194"/>
      <c r="G1164" s="261"/>
      <c r="H1164" s="262"/>
      <c r="I1164" s="192"/>
      <c r="J1164" s="192"/>
    </row>
    <row r="1165" spans="1:10" x14ac:dyDescent="0.4">
      <c r="A1165" s="191"/>
      <c r="B1165" s="193"/>
      <c r="C1165" s="263"/>
      <c r="D1165" s="263"/>
      <c r="E1165" s="263"/>
      <c r="F1165" s="194"/>
      <c r="G1165" s="261"/>
      <c r="H1165" s="262"/>
      <c r="I1165" s="192"/>
      <c r="J1165" s="263"/>
    </row>
    <row r="1166" spans="1:10" x14ac:dyDescent="0.4">
      <c r="A1166" s="191"/>
      <c r="B1166" s="193"/>
      <c r="C1166" s="192"/>
      <c r="D1166" s="192"/>
      <c r="E1166" s="192"/>
      <c r="F1166" s="194"/>
      <c r="G1166" s="261"/>
      <c r="H1166" s="262"/>
      <c r="I1166" s="192"/>
      <c r="J1166" s="192"/>
    </row>
    <row r="1167" spans="1:10" x14ac:dyDescent="0.4">
      <c r="A1167" s="191"/>
      <c r="B1167" s="193"/>
      <c r="C1167" s="192"/>
      <c r="D1167" s="192"/>
      <c r="E1167" s="192"/>
      <c r="F1167" s="194"/>
      <c r="G1167" s="261"/>
      <c r="H1167" s="262"/>
      <c r="I1167" s="192"/>
      <c r="J1167" s="192"/>
    </row>
    <row r="1168" spans="1:10" x14ac:dyDescent="0.4">
      <c r="A1168" s="191"/>
      <c r="B1168" s="193"/>
      <c r="C1168" s="192"/>
      <c r="D1168" s="192"/>
      <c r="E1168" s="192"/>
      <c r="F1168" s="194"/>
      <c r="G1168" s="261"/>
      <c r="H1168" s="262"/>
      <c r="I1168" s="192"/>
      <c r="J1168" s="192"/>
    </row>
    <row r="1169" spans="1:10" x14ac:dyDescent="0.4">
      <c r="A1169" s="191"/>
      <c r="B1169" s="193"/>
      <c r="C1169" s="192"/>
      <c r="D1169" s="192"/>
      <c r="E1169" s="192"/>
      <c r="F1169" s="194"/>
      <c r="G1169" s="261"/>
      <c r="H1169" s="262"/>
      <c r="I1169" s="192"/>
      <c r="J1169" s="192"/>
    </row>
    <row r="1170" spans="1:10" x14ac:dyDescent="0.4">
      <c r="A1170" s="191"/>
      <c r="B1170" s="193"/>
      <c r="C1170" s="263"/>
      <c r="D1170" s="263"/>
      <c r="E1170" s="263"/>
      <c r="F1170" s="194"/>
      <c r="G1170" s="261"/>
      <c r="H1170" s="262"/>
      <c r="I1170" s="263"/>
      <c r="J1170" s="263"/>
    </row>
    <row r="1171" spans="1:10" x14ac:dyDescent="0.4">
      <c r="A1171" s="191"/>
      <c r="B1171" s="193"/>
      <c r="C1171" s="192"/>
      <c r="D1171" s="192"/>
      <c r="E1171" s="192"/>
      <c r="F1171" s="194"/>
      <c r="G1171" s="261"/>
      <c r="H1171" s="262"/>
      <c r="I1171" s="192"/>
      <c r="J1171" s="192"/>
    </row>
    <row r="1172" spans="1:10" x14ac:dyDescent="0.4">
      <c r="A1172" s="191"/>
      <c r="B1172" s="193"/>
      <c r="C1172" s="192"/>
      <c r="D1172" s="192"/>
      <c r="E1172" s="192"/>
      <c r="F1172" s="194"/>
      <c r="G1172" s="261"/>
      <c r="H1172" s="262"/>
      <c r="I1172" s="192"/>
      <c r="J1172" s="192"/>
    </row>
    <row r="1173" spans="1:10" x14ac:dyDescent="0.4">
      <c r="A1173" s="191"/>
      <c r="B1173" s="193"/>
      <c r="C1173" s="192"/>
      <c r="D1173" s="192"/>
      <c r="E1173" s="192"/>
      <c r="F1173" s="194"/>
      <c r="G1173" s="261"/>
      <c r="H1173" s="262"/>
      <c r="I1173" s="192"/>
      <c r="J1173" s="192"/>
    </row>
    <row r="1174" spans="1:10" x14ac:dyDescent="0.4">
      <c r="A1174" s="191"/>
      <c r="B1174" s="193"/>
      <c r="C1174" s="192"/>
      <c r="D1174" s="192"/>
      <c r="E1174" s="192"/>
      <c r="F1174" s="194"/>
      <c r="G1174" s="261"/>
      <c r="H1174" s="262"/>
      <c r="I1174" s="192"/>
      <c r="J1174" s="192"/>
    </row>
    <row r="1175" spans="1:10" x14ac:dyDescent="0.4">
      <c r="A1175" s="191"/>
      <c r="B1175" s="193"/>
      <c r="C1175" s="263"/>
      <c r="D1175" s="263"/>
      <c r="E1175" s="263"/>
      <c r="F1175" s="194"/>
      <c r="G1175" s="261"/>
      <c r="H1175" s="262"/>
      <c r="I1175" s="263"/>
      <c r="J1175" s="263"/>
    </row>
    <row r="1176" spans="1:10" x14ac:dyDescent="0.4">
      <c r="A1176" s="191"/>
      <c r="B1176" s="193"/>
      <c r="C1176" s="192"/>
      <c r="D1176" s="192"/>
      <c r="E1176" s="192"/>
      <c r="F1176" s="194"/>
      <c r="G1176" s="261"/>
      <c r="H1176" s="262"/>
      <c r="I1176" s="192"/>
      <c r="J1176" s="192"/>
    </row>
    <row r="1177" spans="1:10" x14ac:dyDescent="0.4">
      <c r="A1177" s="191"/>
      <c r="B1177" s="193"/>
      <c r="C1177" s="192"/>
      <c r="D1177" s="192"/>
      <c r="E1177" s="192"/>
      <c r="F1177" s="194"/>
      <c r="G1177" s="261"/>
      <c r="H1177" s="262"/>
      <c r="I1177" s="192"/>
      <c r="J1177" s="192"/>
    </row>
    <row r="1178" spans="1:10" x14ac:dyDescent="0.4">
      <c r="A1178" s="191"/>
      <c r="B1178" s="193"/>
      <c r="C1178" s="192"/>
      <c r="D1178" s="192"/>
      <c r="E1178" s="192"/>
      <c r="F1178" s="194"/>
      <c r="G1178" s="261"/>
      <c r="H1178" s="262"/>
      <c r="I1178" s="192"/>
      <c r="J1178" s="192"/>
    </row>
    <row r="1179" spans="1:10" x14ac:dyDescent="0.4">
      <c r="A1179" s="191"/>
      <c r="B1179" s="193"/>
      <c r="C1179" s="192"/>
      <c r="D1179" s="192"/>
      <c r="E1179" s="192"/>
      <c r="F1179" s="194"/>
      <c r="G1179" s="261"/>
      <c r="H1179" s="262"/>
      <c r="I1179" s="192"/>
      <c r="J1179" s="192"/>
    </row>
    <row r="1180" spans="1:10" x14ac:dyDescent="0.4">
      <c r="A1180" s="191"/>
      <c r="B1180" s="193"/>
      <c r="C1180" s="192"/>
      <c r="D1180" s="192"/>
      <c r="E1180" s="192"/>
      <c r="F1180" s="194"/>
      <c r="G1180" s="261"/>
      <c r="H1180" s="262"/>
      <c r="I1180" s="192"/>
      <c r="J1180" s="192"/>
    </row>
    <row r="1181" spans="1:10" x14ac:dyDescent="0.4">
      <c r="A1181" s="191"/>
      <c r="B1181" s="193"/>
      <c r="C1181" s="192"/>
      <c r="D1181" s="192"/>
      <c r="E1181" s="192"/>
      <c r="F1181" s="194"/>
      <c r="G1181" s="264"/>
      <c r="H1181" s="265"/>
      <c r="I1181" s="192"/>
      <c r="J1181" s="192"/>
    </row>
    <row r="1182" spans="1:10" x14ac:dyDescent="0.4">
      <c r="A1182" s="191"/>
      <c r="B1182" s="193"/>
      <c r="C1182" s="263"/>
      <c r="D1182" s="263"/>
      <c r="E1182" s="263"/>
      <c r="F1182" s="194"/>
      <c r="G1182" s="261"/>
      <c r="H1182" s="262"/>
      <c r="I1182" s="263"/>
      <c r="J1182" s="263"/>
    </row>
    <row r="1183" spans="1:10" x14ac:dyDescent="0.4">
      <c r="A1183" s="191"/>
      <c r="B1183" s="193"/>
      <c r="C1183" s="263"/>
      <c r="D1183" s="263"/>
      <c r="E1183" s="263"/>
      <c r="F1183" s="194"/>
      <c r="G1183" s="261"/>
      <c r="H1183" s="262"/>
      <c r="I1183" s="263"/>
      <c r="J1183" s="263"/>
    </row>
    <row r="1184" spans="1:10" x14ac:dyDescent="0.4">
      <c r="A1184" s="191"/>
      <c r="B1184" s="193"/>
      <c r="C1184" s="192"/>
      <c r="D1184" s="192"/>
      <c r="E1184" s="192"/>
      <c r="F1184" s="194"/>
      <c r="G1184" s="261"/>
      <c r="H1184" s="262"/>
      <c r="I1184" s="192"/>
      <c r="J1184" s="192"/>
    </row>
    <row r="1185" spans="1:10" x14ac:dyDescent="0.4">
      <c r="A1185" s="191"/>
      <c r="B1185" s="193"/>
      <c r="C1185" s="263"/>
      <c r="D1185" s="263"/>
      <c r="E1185" s="263"/>
      <c r="F1185" s="194"/>
      <c r="G1185" s="261"/>
      <c r="H1185" s="262"/>
      <c r="I1185" s="263"/>
      <c r="J1185" s="263"/>
    </row>
    <row r="1186" spans="1:10" x14ac:dyDescent="0.4">
      <c r="A1186" s="191"/>
      <c r="B1186" s="193"/>
      <c r="C1186" s="263"/>
      <c r="D1186" s="263"/>
      <c r="E1186" s="263"/>
      <c r="F1186" s="194"/>
      <c r="G1186" s="261"/>
      <c r="H1186" s="262"/>
      <c r="I1186" s="263"/>
      <c r="J1186" s="263"/>
    </row>
    <row r="1187" spans="1:10" x14ac:dyDescent="0.4">
      <c r="A1187" s="191"/>
      <c r="B1187" s="193"/>
      <c r="C1187" s="263"/>
      <c r="D1187" s="263"/>
      <c r="E1187" s="263"/>
      <c r="F1187" s="194"/>
      <c r="G1187" s="261"/>
      <c r="H1187" s="262"/>
      <c r="I1187" s="263"/>
      <c r="J1187" s="263"/>
    </row>
    <row r="1188" spans="1:10" x14ac:dyDescent="0.4">
      <c r="A1188" s="191"/>
      <c r="B1188" s="193"/>
      <c r="C1188" s="263"/>
      <c r="D1188" s="263"/>
      <c r="E1188" s="263"/>
      <c r="F1188" s="194"/>
      <c r="G1188" s="261"/>
      <c r="H1188" s="262"/>
      <c r="I1188" s="263"/>
      <c r="J1188" s="263"/>
    </row>
    <row r="1189" spans="1:10" x14ac:dyDescent="0.4">
      <c r="A1189" s="191"/>
      <c r="B1189" s="193"/>
      <c r="C1189" s="263"/>
      <c r="D1189" s="263"/>
      <c r="E1189" s="263"/>
      <c r="F1189" s="194"/>
      <c r="G1189" s="261"/>
      <c r="H1189" s="262"/>
      <c r="I1189" s="263"/>
      <c r="J1189" s="263"/>
    </row>
    <row r="1190" spans="1:10" x14ac:dyDescent="0.4">
      <c r="A1190" s="191"/>
      <c r="B1190" s="193"/>
      <c r="C1190" s="192"/>
      <c r="D1190" s="192"/>
      <c r="E1190" s="192"/>
      <c r="F1190" s="194"/>
      <c r="G1190" s="261"/>
      <c r="H1190" s="262"/>
      <c r="I1190" s="192"/>
      <c r="J1190" s="192"/>
    </row>
    <row r="1191" spans="1:10" x14ac:dyDescent="0.4">
      <c r="A1191" s="191"/>
      <c r="B1191" s="193"/>
      <c r="C1191" s="192"/>
      <c r="D1191" s="192"/>
      <c r="E1191" s="192"/>
      <c r="F1191" s="194"/>
      <c r="G1191" s="261"/>
      <c r="H1191" s="262"/>
      <c r="I1191" s="192"/>
      <c r="J1191" s="192"/>
    </row>
    <row r="1192" spans="1:10" x14ac:dyDescent="0.4">
      <c r="A1192" s="191"/>
      <c r="B1192" s="193"/>
      <c r="C1192" s="263"/>
      <c r="D1192" s="263"/>
      <c r="E1192" s="263"/>
      <c r="F1192" s="194"/>
      <c r="G1192" s="261"/>
      <c r="H1192" s="262"/>
      <c r="I1192" s="263"/>
      <c r="J1192" s="263"/>
    </row>
    <row r="1193" spans="1:10" x14ac:dyDescent="0.4">
      <c r="A1193" s="191"/>
      <c r="B1193" s="193"/>
      <c r="C1193" s="192"/>
      <c r="D1193" s="192"/>
      <c r="E1193" s="192"/>
      <c r="F1193" s="194"/>
      <c r="G1193" s="261"/>
      <c r="H1193" s="262"/>
      <c r="I1193" s="192"/>
      <c r="J1193" s="192"/>
    </row>
    <row r="1194" spans="1:10" x14ac:dyDescent="0.4">
      <c r="A1194" s="191"/>
      <c r="B1194" s="193"/>
      <c r="C1194" s="192"/>
      <c r="D1194" s="192"/>
      <c r="E1194" s="192"/>
      <c r="F1194" s="194"/>
      <c r="G1194" s="261"/>
      <c r="H1194" s="262"/>
      <c r="I1194" s="192"/>
      <c r="J1194" s="192"/>
    </row>
    <row r="1195" spans="1:10" x14ac:dyDescent="0.4">
      <c r="A1195" s="191"/>
      <c r="B1195" s="193"/>
      <c r="C1195" s="192"/>
      <c r="D1195" s="192"/>
      <c r="E1195" s="192"/>
      <c r="F1195" s="194"/>
      <c r="G1195" s="261"/>
      <c r="H1195" s="262"/>
      <c r="I1195" s="192"/>
      <c r="J1195" s="192"/>
    </row>
    <row r="1196" spans="1:10" x14ac:dyDescent="0.4">
      <c r="A1196" s="191"/>
      <c r="B1196" s="193"/>
      <c r="C1196" s="192"/>
      <c r="D1196" s="192"/>
      <c r="E1196" s="192"/>
      <c r="F1196" s="194"/>
      <c r="G1196" s="261"/>
      <c r="H1196" s="262"/>
      <c r="I1196" s="192"/>
      <c r="J1196" s="192"/>
    </row>
    <row r="1197" spans="1:10" x14ac:dyDescent="0.4">
      <c r="A1197" s="191"/>
      <c r="B1197" s="193"/>
      <c r="C1197" s="192"/>
      <c r="D1197" s="192"/>
      <c r="E1197" s="192"/>
      <c r="F1197" s="194"/>
      <c r="G1197" s="261"/>
      <c r="H1197" s="262"/>
      <c r="I1197" s="192"/>
      <c r="J1197" s="192"/>
    </row>
    <row r="1198" spans="1:10" x14ac:dyDescent="0.4">
      <c r="A1198" s="191"/>
      <c r="B1198" s="193"/>
      <c r="C1198" s="192"/>
      <c r="D1198" s="192"/>
      <c r="E1198" s="192"/>
      <c r="F1198" s="194"/>
      <c r="G1198" s="261"/>
      <c r="H1198" s="262"/>
      <c r="I1198" s="192"/>
      <c r="J1198" s="192"/>
    </row>
    <row r="1199" spans="1:10" x14ac:dyDescent="0.4">
      <c r="A1199" s="191"/>
      <c r="B1199" s="193"/>
      <c r="C1199" s="192"/>
      <c r="D1199" s="192"/>
      <c r="E1199" s="192"/>
      <c r="F1199" s="194"/>
      <c r="G1199" s="261"/>
      <c r="H1199" s="262"/>
      <c r="I1199" s="192"/>
      <c r="J1199" s="192"/>
    </row>
    <row r="1200" spans="1:10" x14ac:dyDescent="0.4">
      <c r="A1200" s="191"/>
      <c r="B1200" s="193"/>
      <c r="C1200" s="192"/>
      <c r="D1200" s="192"/>
      <c r="E1200" s="192"/>
      <c r="F1200" s="194"/>
      <c r="G1200" s="261"/>
      <c r="H1200" s="262"/>
      <c r="I1200" s="192"/>
      <c r="J1200" s="192"/>
    </row>
    <row r="1201" spans="1:10" x14ac:dyDescent="0.4">
      <c r="A1201" s="191"/>
      <c r="B1201" s="193"/>
      <c r="C1201" s="192"/>
      <c r="D1201" s="192"/>
      <c r="E1201" s="192"/>
      <c r="F1201" s="194"/>
      <c r="G1201" s="261"/>
      <c r="H1201" s="262"/>
      <c r="I1201" s="192"/>
      <c r="J1201" s="192"/>
    </row>
    <row r="1202" spans="1:10" x14ac:dyDescent="0.4">
      <c r="A1202" s="191"/>
      <c r="B1202" s="193"/>
      <c r="C1202" s="192"/>
      <c r="D1202" s="192"/>
      <c r="E1202" s="192"/>
      <c r="F1202" s="194"/>
      <c r="G1202" s="192"/>
      <c r="H1202" s="194"/>
      <c r="I1202" s="192"/>
      <c r="J1202" s="192"/>
    </row>
    <row r="1203" spans="1:10" x14ac:dyDescent="0.4">
      <c r="A1203" s="191"/>
      <c r="B1203" s="193"/>
      <c r="C1203" s="192"/>
      <c r="D1203" s="192"/>
      <c r="E1203" s="192"/>
      <c r="F1203" s="194"/>
      <c r="G1203" s="261"/>
      <c r="H1203" s="262"/>
      <c r="I1203" s="192"/>
      <c r="J1203" s="192"/>
    </row>
    <row r="1204" spans="1:10" x14ac:dyDescent="0.4">
      <c r="A1204" s="191"/>
      <c r="B1204" s="193"/>
      <c r="C1204" s="263"/>
      <c r="D1204" s="263"/>
      <c r="E1204" s="263"/>
      <c r="F1204" s="194"/>
      <c r="G1204" s="261"/>
      <c r="H1204" s="262"/>
      <c r="I1204" s="263"/>
      <c r="J1204" s="263"/>
    </row>
    <row r="1205" spans="1:10" x14ac:dyDescent="0.4">
      <c r="A1205" s="191"/>
      <c r="B1205" s="193"/>
      <c r="C1205" s="263"/>
      <c r="D1205" s="263"/>
      <c r="E1205" s="263"/>
      <c r="F1205" s="194"/>
      <c r="G1205" s="261"/>
      <c r="H1205" s="262"/>
      <c r="I1205" s="263"/>
      <c r="J1205" s="263"/>
    </row>
    <row r="1206" spans="1:10" x14ac:dyDescent="0.4">
      <c r="A1206" s="191"/>
      <c r="B1206" s="193"/>
      <c r="C1206" s="263"/>
      <c r="D1206" s="263"/>
      <c r="E1206" s="263"/>
      <c r="F1206" s="194"/>
      <c r="G1206" s="261"/>
      <c r="H1206" s="262"/>
      <c r="I1206" s="263"/>
      <c r="J1206" s="263"/>
    </row>
    <row r="1207" spans="1:10" x14ac:dyDescent="0.4">
      <c r="A1207" s="191"/>
      <c r="B1207" s="193"/>
      <c r="C1207" s="192"/>
      <c r="D1207" s="192"/>
      <c r="E1207" s="192"/>
      <c r="F1207" s="194"/>
      <c r="G1207" s="261"/>
      <c r="H1207" s="262"/>
      <c r="I1207" s="192"/>
      <c r="J1207" s="192"/>
    </row>
    <row r="1208" spans="1:10" x14ac:dyDescent="0.4">
      <c r="A1208" s="191"/>
      <c r="B1208" s="193"/>
      <c r="C1208" s="263"/>
      <c r="D1208" s="263"/>
      <c r="E1208" s="263"/>
      <c r="F1208" s="194"/>
      <c r="G1208" s="261"/>
      <c r="H1208" s="262"/>
      <c r="I1208" s="263"/>
      <c r="J1208" s="263"/>
    </row>
    <row r="1209" spans="1:10" x14ac:dyDescent="0.4">
      <c r="A1209" s="191"/>
      <c r="B1209" s="193"/>
      <c r="C1209" s="263"/>
      <c r="D1209" s="263"/>
      <c r="E1209" s="263"/>
      <c r="F1209" s="194"/>
      <c r="G1209" s="261"/>
      <c r="H1209" s="262"/>
      <c r="I1209" s="263"/>
      <c r="J1209" s="263"/>
    </row>
    <row r="1210" spans="1:10" x14ac:dyDescent="0.4">
      <c r="A1210" s="191"/>
      <c r="B1210" s="193"/>
      <c r="C1210" s="192"/>
      <c r="D1210" s="192"/>
      <c r="E1210" s="192"/>
      <c r="F1210" s="194"/>
      <c r="G1210" s="261"/>
      <c r="H1210" s="262"/>
      <c r="I1210" s="192"/>
      <c r="J1210" s="192"/>
    </row>
    <row r="1211" spans="1:10" x14ac:dyDescent="0.4">
      <c r="A1211" s="191"/>
      <c r="B1211" s="193"/>
      <c r="C1211" s="192"/>
      <c r="D1211" s="192"/>
      <c r="E1211" s="192"/>
      <c r="F1211" s="194"/>
      <c r="G1211" s="261"/>
      <c r="H1211" s="262"/>
      <c r="I1211" s="192"/>
      <c r="J1211" s="192"/>
    </row>
    <row r="1212" spans="1:10" x14ac:dyDescent="0.4">
      <c r="A1212" s="191"/>
      <c r="B1212" s="193"/>
      <c r="C1212" s="192"/>
      <c r="D1212" s="192"/>
      <c r="E1212" s="192"/>
      <c r="F1212" s="194"/>
      <c r="G1212" s="261"/>
      <c r="H1212" s="262"/>
      <c r="I1212" s="192"/>
      <c r="J1212" s="192"/>
    </row>
    <row r="1213" spans="1:10" x14ac:dyDescent="0.4">
      <c r="A1213" s="191"/>
      <c r="B1213" s="193"/>
      <c r="C1213" s="192"/>
      <c r="D1213" s="192"/>
      <c r="E1213" s="192"/>
      <c r="F1213" s="194"/>
      <c r="G1213" s="261"/>
      <c r="H1213" s="262"/>
      <c r="I1213" s="192"/>
      <c r="J1213" s="192"/>
    </row>
    <row r="1214" spans="1:10" x14ac:dyDescent="0.4">
      <c r="A1214" s="191"/>
      <c r="B1214" s="193"/>
      <c r="C1214" s="263"/>
      <c r="D1214" s="263"/>
      <c r="E1214" s="263"/>
      <c r="F1214" s="194"/>
      <c r="G1214" s="261"/>
      <c r="H1214" s="262"/>
      <c r="I1214" s="263"/>
      <c r="J1214" s="263"/>
    </row>
    <row r="1215" spans="1:10" x14ac:dyDescent="0.4">
      <c r="A1215" s="191"/>
      <c r="B1215" s="193"/>
      <c r="C1215" s="192"/>
      <c r="D1215" s="192"/>
      <c r="E1215" s="192"/>
      <c r="F1215" s="194"/>
      <c r="G1215" s="261"/>
      <c r="H1215" s="262"/>
      <c r="I1215" s="192"/>
      <c r="J1215" s="192"/>
    </row>
    <row r="1216" spans="1:10" x14ac:dyDescent="0.4">
      <c r="A1216" s="191"/>
      <c r="B1216" s="193"/>
      <c r="C1216" s="192"/>
      <c r="D1216" s="192"/>
      <c r="E1216" s="192"/>
      <c r="F1216" s="194"/>
      <c r="G1216" s="261"/>
      <c r="H1216" s="262"/>
      <c r="I1216" s="192"/>
      <c r="J1216" s="192"/>
    </row>
    <row r="1217" spans="1:10" x14ac:dyDescent="0.4">
      <c r="A1217" s="191"/>
      <c r="B1217" s="193"/>
      <c r="C1217" s="192"/>
      <c r="D1217" s="192"/>
      <c r="E1217" s="192"/>
      <c r="F1217" s="194"/>
      <c r="G1217" s="261"/>
      <c r="H1217" s="262"/>
      <c r="I1217" s="192"/>
      <c r="J1217" s="192"/>
    </row>
    <row r="1218" spans="1:10" x14ac:dyDescent="0.4">
      <c r="A1218" s="191"/>
      <c r="B1218" s="193"/>
      <c r="C1218" s="263"/>
      <c r="D1218" s="263"/>
      <c r="E1218" s="263"/>
      <c r="F1218" s="194"/>
      <c r="G1218" s="261"/>
      <c r="H1218" s="262"/>
      <c r="I1218" s="192"/>
      <c r="J1218" s="263"/>
    </row>
    <row r="1219" spans="1:10" x14ac:dyDescent="0.4">
      <c r="A1219" s="191"/>
      <c r="B1219" s="193"/>
      <c r="C1219" s="192"/>
      <c r="D1219" s="192"/>
      <c r="E1219" s="192"/>
      <c r="F1219" s="194"/>
      <c r="G1219" s="261"/>
      <c r="H1219" s="262"/>
      <c r="I1219" s="192"/>
      <c r="J1219" s="192"/>
    </row>
    <row r="1220" spans="1:10" x14ac:dyDescent="0.4">
      <c r="A1220" s="191"/>
      <c r="B1220" s="193"/>
      <c r="C1220" s="192"/>
      <c r="D1220" s="192"/>
      <c r="E1220" s="192"/>
      <c r="F1220" s="194"/>
      <c r="G1220" s="261"/>
      <c r="H1220" s="262"/>
      <c r="I1220" s="192"/>
      <c r="J1220" s="192"/>
    </row>
    <row r="1221" spans="1:10" x14ac:dyDescent="0.4">
      <c r="A1221" s="191"/>
      <c r="B1221" s="193"/>
      <c r="C1221" s="192"/>
      <c r="D1221" s="192"/>
      <c r="E1221" s="192"/>
      <c r="F1221" s="194"/>
      <c r="G1221" s="261"/>
      <c r="H1221" s="262"/>
      <c r="I1221" s="192"/>
      <c r="J1221" s="192"/>
    </row>
    <row r="1222" spans="1:10" x14ac:dyDescent="0.4">
      <c r="A1222" s="191"/>
      <c r="B1222" s="193"/>
      <c r="C1222" s="263"/>
      <c r="D1222" s="263"/>
      <c r="E1222" s="263"/>
      <c r="F1222" s="194"/>
      <c r="G1222" s="261"/>
      <c r="H1222" s="262"/>
      <c r="I1222" s="192"/>
      <c r="J1222" s="263"/>
    </row>
    <row r="1223" spans="1:10" x14ac:dyDescent="0.4">
      <c r="A1223" s="191"/>
      <c r="B1223" s="193"/>
      <c r="C1223" s="192"/>
      <c r="D1223" s="192"/>
      <c r="E1223" s="192"/>
      <c r="F1223" s="194"/>
      <c r="G1223" s="261"/>
      <c r="H1223" s="262"/>
      <c r="I1223" s="192"/>
      <c r="J1223" s="192"/>
    </row>
    <row r="1224" spans="1:10" x14ac:dyDescent="0.4">
      <c r="A1224" s="191"/>
      <c r="B1224" s="193"/>
      <c r="C1224" s="192"/>
      <c r="D1224" s="192"/>
      <c r="E1224" s="192"/>
      <c r="F1224" s="194"/>
      <c r="G1224" s="261"/>
      <c r="H1224" s="262"/>
      <c r="I1224" s="192"/>
      <c r="J1224" s="192"/>
    </row>
    <row r="1225" spans="1:10" x14ac:dyDescent="0.4">
      <c r="A1225" s="191"/>
      <c r="B1225" s="193"/>
      <c r="C1225" s="192"/>
      <c r="D1225" s="192"/>
      <c r="E1225" s="192"/>
      <c r="F1225" s="194"/>
      <c r="G1225" s="261"/>
      <c r="H1225" s="262"/>
      <c r="I1225" s="192"/>
      <c r="J1225" s="192"/>
    </row>
    <row r="1226" spans="1:10" x14ac:dyDescent="0.4">
      <c r="A1226" s="191"/>
      <c r="B1226" s="193"/>
      <c r="C1226" s="192"/>
      <c r="D1226" s="192"/>
      <c r="E1226" s="192"/>
      <c r="F1226" s="194"/>
      <c r="G1226" s="261"/>
      <c r="H1226" s="262"/>
      <c r="I1226" s="192"/>
      <c r="J1226" s="192"/>
    </row>
    <row r="1227" spans="1:10" x14ac:dyDescent="0.4">
      <c r="A1227" s="191"/>
      <c r="B1227" s="193"/>
      <c r="C1227" s="263"/>
      <c r="D1227" s="263"/>
      <c r="E1227" s="263"/>
      <c r="F1227" s="194"/>
      <c r="G1227" s="261"/>
      <c r="H1227" s="262"/>
      <c r="I1227" s="192"/>
      <c r="J1227" s="263"/>
    </row>
    <row r="1228" spans="1:10" x14ac:dyDescent="0.4">
      <c r="A1228" s="191"/>
      <c r="B1228" s="193"/>
      <c r="C1228" s="192"/>
      <c r="D1228" s="192"/>
      <c r="E1228" s="192"/>
      <c r="F1228" s="194"/>
      <c r="G1228" s="261"/>
      <c r="H1228" s="262"/>
      <c r="I1228" s="192"/>
      <c r="J1228" s="192"/>
    </row>
    <row r="1229" spans="1:10" x14ac:dyDescent="0.4">
      <c r="A1229" s="191"/>
      <c r="B1229" s="193"/>
      <c r="C1229" s="192"/>
      <c r="D1229" s="192"/>
      <c r="E1229" s="192"/>
      <c r="F1229" s="194"/>
      <c r="G1229" s="261"/>
      <c r="H1229" s="262"/>
      <c r="I1229" s="192"/>
      <c r="J1229" s="192"/>
    </row>
    <row r="1230" spans="1:10" x14ac:dyDescent="0.4">
      <c r="A1230" s="191"/>
      <c r="B1230" s="193"/>
      <c r="C1230" s="192"/>
      <c r="D1230" s="192"/>
      <c r="E1230" s="192"/>
      <c r="F1230" s="194"/>
      <c r="G1230" s="261"/>
      <c r="H1230" s="262"/>
      <c r="I1230" s="192"/>
      <c r="J1230" s="192"/>
    </row>
    <row r="1231" spans="1:10" x14ac:dyDescent="0.4">
      <c r="A1231" s="191"/>
      <c r="B1231" s="193"/>
      <c r="C1231" s="192"/>
      <c r="D1231" s="192"/>
      <c r="E1231" s="192"/>
      <c r="F1231" s="194"/>
      <c r="G1231" s="261"/>
      <c r="H1231" s="262"/>
      <c r="I1231" s="192"/>
      <c r="J1231" s="192"/>
    </row>
    <row r="1232" spans="1:10" x14ac:dyDescent="0.4">
      <c r="A1232" s="191"/>
      <c r="B1232" s="193"/>
      <c r="C1232" s="192"/>
      <c r="D1232" s="192"/>
      <c r="E1232" s="192"/>
      <c r="F1232" s="194"/>
      <c r="G1232" s="261"/>
      <c r="H1232" s="262"/>
      <c r="I1232" s="192"/>
      <c r="J1232" s="192"/>
    </row>
    <row r="1233" spans="1:10" x14ac:dyDescent="0.4">
      <c r="A1233" s="191"/>
      <c r="B1233" s="193"/>
      <c r="C1233" s="263"/>
      <c r="D1233" s="263"/>
      <c r="E1233" s="263"/>
      <c r="F1233" s="194"/>
      <c r="G1233" s="261"/>
      <c r="H1233" s="262"/>
      <c r="I1233" s="192"/>
      <c r="J1233" s="263"/>
    </row>
    <row r="1234" spans="1:10" x14ac:dyDescent="0.4">
      <c r="A1234" s="191"/>
      <c r="B1234" s="193"/>
      <c r="C1234" s="192"/>
      <c r="D1234" s="192"/>
      <c r="E1234" s="192"/>
      <c r="F1234" s="194"/>
      <c r="G1234" s="261"/>
      <c r="H1234" s="262"/>
      <c r="I1234" s="192"/>
      <c r="J1234" s="192"/>
    </row>
    <row r="1235" spans="1:10" x14ac:dyDescent="0.4">
      <c r="A1235" s="191"/>
      <c r="B1235" s="193"/>
      <c r="C1235" s="192"/>
      <c r="D1235" s="192"/>
      <c r="E1235" s="192"/>
      <c r="F1235" s="194"/>
      <c r="G1235" s="261"/>
      <c r="H1235" s="262"/>
      <c r="I1235" s="192"/>
      <c r="J1235" s="192"/>
    </row>
    <row r="1236" spans="1:10" x14ac:dyDescent="0.4">
      <c r="A1236" s="191"/>
      <c r="B1236" s="193"/>
      <c r="C1236" s="192"/>
      <c r="D1236" s="192"/>
      <c r="E1236" s="192"/>
      <c r="F1236" s="194"/>
      <c r="G1236" s="261"/>
      <c r="H1236" s="262"/>
      <c r="I1236" s="192"/>
      <c r="J1236" s="192"/>
    </row>
    <row r="1237" spans="1:10" x14ac:dyDescent="0.4">
      <c r="A1237" s="191"/>
      <c r="B1237" s="193"/>
      <c r="C1237" s="192"/>
      <c r="D1237" s="192"/>
      <c r="E1237" s="192"/>
      <c r="F1237" s="194"/>
      <c r="G1237" s="261"/>
      <c r="H1237" s="262"/>
      <c r="I1237" s="192"/>
      <c r="J1237" s="192"/>
    </row>
    <row r="1238" spans="1:10" x14ac:dyDescent="0.4">
      <c r="A1238" s="191"/>
      <c r="B1238" s="193"/>
      <c r="C1238" s="263"/>
      <c r="D1238" s="263"/>
      <c r="E1238" s="263"/>
      <c r="F1238" s="194"/>
      <c r="G1238" s="261"/>
      <c r="H1238" s="262"/>
      <c r="I1238" s="192"/>
      <c r="J1238" s="263"/>
    </row>
    <row r="1239" spans="1:10" x14ac:dyDescent="0.4">
      <c r="A1239" s="191"/>
      <c r="B1239" s="193"/>
      <c r="C1239" s="192"/>
      <c r="D1239" s="192"/>
      <c r="E1239" s="192"/>
      <c r="F1239" s="194"/>
      <c r="G1239" s="261"/>
      <c r="H1239" s="262"/>
      <c r="I1239" s="192"/>
      <c r="J1239" s="192"/>
    </row>
    <row r="1240" spans="1:10" x14ac:dyDescent="0.4">
      <c r="A1240" s="191"/>
      <c r="B1240" s="193"/>
      <c r="C1240" s="192"/>
      <c r="D1240" s="192"/>
      <c r="E1240" s="192"/>
      <c r="F1240" s="194"/>
      <c r="G1240" s="261"/>
      <c r="H1240" s="262"/>
      <c r="I1240" s="192"/>
      <c r="J1240" s="192"/>
    </row>
    <row r="1241" spans="1:10" x14ac:dyDescent="0.4">
      <c r="A1241" s="191"/>
      <c r="B1241" s="193"/>
      <c r="C1241" s="192"/>
      <c r="D1241" s="192"/>
      <c r="E1241" s="192"/>
      <c r="F1241" s="194"/>
      <c r="G1241" s="261"/>
      <c r="H1241" s="262"/>
      <c r="I1241" s="192"/>
      <c r="J1241" s="192"/>
    </row>
    <row r="1242" spans="1:10" x14ac:dyDescent="0.4">
      <c r="A1242" s="191"/>
      <c r="B1242" s="193"/>
      <c r="C1242" s="192"/>
      <c r="D1242" s="192"/>
      <c r="E1242" s="192"/>
      <c r="F1242" s="194"/>
      <c r="G1242" s="261"/>
      <c r="H1242" s="262"/>
      <c r="I1242" s="192"/>
      <c r="J1242" s="192"/>
    </row>
    <row r="1243" spans="1:10" x14ac:dyDescent="0.4">
      <c r="A1243" s="191"/>
      <c r="B1243" s="193"/>
      <c r="C1243" s="192"/>
      <c r="D1243" s="192"/>
      <c r="E1243" s="192"/>
      <c r="F1243" s="194"/>
      <c r="G1243" s="261"/>
      <c r="H1243" s="262"/>
      <c r="I1243" s="192"/>
      <c r="J1243" s="192"/>
    </row>
    <row r="1244" spans="1:10" x14ac:dyDescent="0.4">
      <c r="A1244" s="191"/>
      <c r="B1244" s="193"/>
      <c r="C1244" s="192"/>
      <c r="D1244" s="192"/>
      <c r="E1244" s="192"/>
      <c r="F1244" s="194"/>
      <c r="G1244" s="261"/>
      <c r="H1244" s="262"/>
      <c r="I1244" s="192"/>
      <c r="J1244" s="192"/>
    </row>
    <row r="1245" spans="1:10" x14ac:dyDescent="0.4">
      <c r="A1245" s="191"/>
      <c r="B1245" s="193"/>
      <c r="C1245" s="192"/>
      <c r="D1245" s="192"/>
      <c r="E1245" s="192"/>
      <c r="F1245" s="194"/>
      <c r="G1245" s="261"/>
      <c r="H1245" s="262"/>
      <c r="I1245" s="192"/>
      <c r="J1245" s="192"/>
    </row>
    <row r="1246" spans="1:10" x14ac:dyDescent="0.4">
      <c r="A1246" s="191"/>
      <c r="B1246" s="193"/>
      <c r="C1246" s="192"/>
      <c r="D1246" s="192"/>
      <c r="E1246" s="192"/>
      <c r="F1246" s="194"/>
      <c r="G1246" s="261"/>
      <c r="H1246" s="262"/>
      <c r="I1246" s="192"/>
      <c r="J1246" s="192"/>
    </row>
    <row r="1247" spans="1:10" x14ac:dyDescent="0.4">
      <c r="A1247" s="191"/>
      <c r="B1247" s="193"/>
      <c r="C1247" s="192"/>
      <c r="D1247" s="192"/>
      <c r="E1247" s="192"/>
      <c r="F1247" s="194"/>
      <c r="G1247" s="261"/>
      <c r="H1247" s="262"/>
      <c r="I1247" s="192"/>
      <c r="J1247" s="192"/>
    </row>
    <row r="1248" spans="1:10" x14ac:dyDescent="0.4">
      <c r="A1248" s="191"/>
      <c r="B1248" s="193"/>
      <c r="C1248" s="192"/>
      <c r="D1248" s="192"/>
      <c r="E1248" s="192"/>
      <c r="F1248" s="194"/>
      <c r="G1248" s="192"/>
      <c r="H1248" s="194"/>
      <c r="I1248" s="192"/>
      <c r="J1248" s="192"/>
    </row>
    <row r="1249" spans="1:10" x14ac:dyDescent="0.4">
      <c r="A1249" s="191"/>
      <c r="B1249" s="193"/>
      <c r="C1249" s="192"/>
      <c r="D1249" s="192"/>
      <c r="E1249" s="192"/>
      <c r="F1249" s="194"/>
      <c r="G1249" s="261"/>
      <c r="H1249" s="262"/>
      <c r="I1249" s="192"/>
      <c r="J1249" s="192"/>
    </row>
    <row r="1250" spans="1:10" x14ac:dyDescent="0.4">
      <c r="A1250" s="191"/>
      <c r="B1250" s="193"/>
      <c r="C1250" s="192"/>
      <c r="D1250" s="192"/>
      <c r="E1250" s="192"/>
      <c r="F1250" s="194"/>
      <c r="G1250" s="192"/>
      <c r="H1250" s="194"/>
      <c r="I1250" s="192"/>
      <c r="J1250" s="192"/>
    </row>
    <row r="1251" spans="1:10" x14ac:dyDescent="0.4">
      <c r="A1251" s="191"/>
      <c r="B1251" s="193"/>
      <c r="C1251" s="192"/>
      <c r="D1251" s="192"/>
      <c r="E1251" s="192"/>
      <c r="F1251" s="194"/>
      <c r="G1251" s="261"/>
      <c r="H1251" s="262"/>
      <c r="I1251" s="192"/>
      <c r="J1251" s="192"/>
    </row>
    <row r="1252" spans="1:10" x14ac:dyDescent="0.4">
      <c r="A1252" s="191"/>
      <c r="B1252" s="193"/>
      <c r="C1252" s="263"/>
      <c r="D1252" s="263"/>
      <c r="E1252" s="263"/>
      <c r="F1252" s="194"/>
      <c r="G1252" s="261"/>
      <c r="H1252" s="262"/>
      <c r="I1252" s="263"/>
      <c r="J1252" s="263"/>
    </row>
    <row r="1253" spans="1:10" x14ac:dyDescent="0.4">
      <c r="A1253" s="191"/>
      <c r="B1253" s="193"/>
      <c r="C1253" s="263"/>
      <c r="D1253" s="263"/>
      <c r="E1253" s="263"/>
      <c r="F1253" s="194"/>
      <c r="G1253" s="261"/>
      <c r="H1253" s="262"/>
      <c r="I1253" s="263"/>
      <c r="J1253" s="263"/>
    </row>
    <row r="1254" spans="1:10" x14ac:dyDescent="0.4">
      <c r="A1254" s="191"/>
      <c r="B1254" s="193"/>
      <c r="C1254" s="192"/>
      <c r="D1254" s="192"/>
      <c r="E1254" s="192"/>
      <c r="F1254" s="194"/>
      <c r="G1254" s="261"/>
      <c r="H1254" s="262"/>
      <c r="I1254" s="192"/>
      <c r="J1254" s="192"/>
    </row>
    <row r="1255" spans="1:10" x14ac:dyDescent="0.4">
      <c r="A1255" s="191"/>
      <c r="B1255" s="193"/>
      <c r="C1255" s="263"/>
      <c r="D1255" s="263"/>
      <c r="E1255" s="263"/>
      <c r="F1255" s="194"/>
      <c r="G1255" s="261"/>
      <c r="H1255" s="262"/>
      <c r="I1255" s="263"/>
      <c r="J1255" s="263"/>
    </row>
    <row r="1256" spans="1:10" x14ac:dyDescent="0.4">
      <c r="A1256" s="191"/>
      <c r="B1256" s="193"/>
      <c r="C1256" s="192"/>
      <c r="D1256" s="192"/>
      <c r="E1256" s="192"/>
      <c r="F1256" s="194"/>
      <c r="G1256" s="261"/>
      <c r="H1256" s="262"/>
      <c r="I1256" s="192"/>
      <c r="J1256" s="192"/>
    </row>
    <row r="1257" spans="1:10" x14ac:dyDescent="0.4">
      <c r="A1257" s="191"/>
      <c r="B1257" s="193"/>
      <c r="C1257" s="192"/>
      <c r="D1257" s="192"/>
      <c r="E1257" s="192"/>
      <c r="F1257" s="194"/>
      <c r="G1257" s="261"/>
      <c r="H1257" s="262"/>
      <c r="I1257" s="192"/>
      <c r="J1257" s="192"/>
    </row>
    <row r="1258" spans="1:10" x14ac:dyDescent="0.4">
      <c r="A1258" s="191"/>
      <c r="B1258" s="193"/>
      <c r="C1258" s="192"/>
      <c r="D1258" s="192"/>
      <c r="E1258" s="192"/>
      <c r="F1258" s="194"/>
      <c r="G1258" s="261"/>
      <c r="H1258" s="262"/>
      <c r="I1258" s="192"/>
      <c r="J1258" s="192"/>
    </row>
    <row r="1259" spans="1:10" x14ac:dyDescent="0.4">
      <c r="A1259" s="191"/>
      <c r="B1259" s="193"/>
      <c r="C1259" s="192"/>
      <c r="D1259" s="192"/>
      <c r="E1259" s="192"/>
      <c r="F1259" s="194"/>
      <c r="G1259" s="261"/>
      <c r="H1259" s="262"/>
      <c r="I1259" s="192"/>
      <c r="J1259" s="192"/>
    </row>
    <row r="1260" spans="1:10" x14ac:dyDescent="0.4">
      <c r="A1260" s="191"/>
      <c r="B1260" s="193"/>
      <c r="C1260" s="263"/>
      <c r="D1260" s="263"/>
      <c r="E1260" s="263"/>
      <c r="F1260" s="194"/>
      <c r="G1260" s="192"/>
      <c r="H1260" s="194"/>
      <c r="I1260" s="192"/>
      <c r="J1260" s="263"/>
    </row>
    <row r="1261" spans="1:10" x14ac:dyDescent="0.4">
      <c r="A1261" s="191"/>
      <c r="B1261" s="193"/>
      <c r="C1261" s="263"/>
      <c r="D1261" s="263"/>
      <c r="E1261" s="263"/>
      <c r="F1261" s="194"/>
      <c r="G1261" s="261"/>
      <c r="H1261" s="262"/>
      <c r="I1261" s="263"/>
      <c r="J1261" s="263"/>
    </row>
    <row r="1262" spans="1:10" x14ac:dyDescent="0.4">
      <c r="A1262" s="191"/>
      <c r="B1262" s="193"/>
      <c r="C1262" s="192"/>
      <c r="D1262" s="192"/>
      <c r="E1262" s="192"/>
      <c r="F1262" s="194"/>
      <c r="G1262" s="261"/>
      <c r="H1262" s="262"/>
      <c r="I1262" s="192"/>
      <c r="J1262" s="192"/>
    </row>
    <row r="1263" spans="1:10" x14ac:dyDescent="0.4">
      <c r="A1263" s="191"/>
      <c r="B1263" s="193"/>
      <c r="C1263" s="192"/>
      <c r="D1263" s="192"/>
      <c r="E1263" s="192"/>
      <c r="F1263" s="194"/>
      <c r="G1263" s="261"/>
      <c r="H1263" s="262"/>
      <c r="I1263" s="192"/>
      <c r="J1263" s="192"/>
    </row>
    <row r="1264" spans="1:10" x14ac:dyDescent="0.4">
      <c r="A1264" s="191"/>
      <c r="B1264" s="193"/>
      <c r="C1264" s="192"/>
      <c r="D1264" s="192"/>
      <c r="E1264" s="192"/>
      <c r="F1264" s="194"/>
      <c r="G1264" s="261"/>
      <c r="H1264" s="262"/>
      <c r="I1264" s="192"/>
      <c r="J1264" s="192"/>
    </row>
    <row r="1265" spans="1:10" x14ac:dyDescent="0.4">
      <c r="A1265" s="191"/>
      <c r="B1265" s="193"/>
      <c r="C1265" s="263"/>
      <c r="D1265" s="263"/>
      <c r="E1265" s="263"/>
      <c r="F1265" s="194"/>
      <c r="G1265" s="261"/>
      <c r="H1265" s="262"/>
      <c r="I1265" s="192"/>
      <c r="J1265" s="263"/>
    </row>
    <row r="1266" spans="1:10" x14ac:dyDescent="0.4">
      <c r="A1266" s="191"/>
      <c r="B1266" s="193"/>
      <c r="C1266" s="192"/>
      <c r="D1266" s="192"/>
      <c r="E1266" s="192"/>
      <c r="F1266" s="194"/>
      <c r="G1266" s="261"/>
      <c r="H1266" s="262"/>
      <c r="I1266" s="192"/>
      <c r="J1266" s="192"/>
    </row>
    <row r="1267" spans="1:10" x14ac:dyDescent="0.4">
      <c r="A1267" s="191"/>
      <c r="B1267" s="193"/>
      <c r="C1267" s="192"/>
      <c r="D1267" s="192"/>
      <c r="E1267" s="192"/>
      <c r="F1267" s="194"/>
      <c r="G1267" s="261"/>
      <c r="H1267" s="262"/>
      <c r="I1267" s="192"/>
      <c r="J1267" s="192"/>
    </row>
    <row r="1268" spans="1:10" x14ac:dyDescent="0.4">
      <c r="A1268" s="191"/>
      <c r="B1268" s="193"/>
      <c r="C1268" s="192"/>
      <c r="D1268" s="192"/>
      <c r="E1268" s="192"/>
      <c r="F1268" s="194"/>
      <c r="G1268" s="261"/>
      <c r="H1268" s="262"/>
      <c r="I1268" s="192"/>
      <c r="J1268" s="192"/>
    </row>
    <row r="1269" spans="1:10" x14ac:dyDescent="0.4">
      <c r="A1269" s="191"/>
      <c r="B1269" s="193"/>
      <c r="C1269" s="192"/>
      <c r="D1269" s="192"/>
      <c r="E1269" s="192"/>
      <c r="F1269" s="194"/>
      <c r="G1269" s="261"/>
      <c r="H1269" s="262"/>
      <c r="I1269" s="192"/>
      <c r="J1269" s="192"/>
    </row>
    <row r="1270" spans="1:10" x14ac:dyDescent="0.4">
      <c r="A1270" s="191"/>
      <c r="B1270" s="193"/>
      <c r="C1270" s="263"/>
      <c r="D1270" s="263"/>
      <c r="E1270" s="263"/>
      <c r="F1270" s="194"/>
      <c r="G1270" s="261"/>
      <c r="H1270" s="262"/>
      <c r="I1270" s="192"/>
      <c r="J1270" s="263"/>
    </row>
    <row r="1271" spans="1:10" x14ac:dyDescent="0.4">
      <c r="A1271" s="191"/>
      <c r="B1271" s="193"/>
      <c r="C1271" s="192"/>
      <c r="D1271" s="192"/>
      <c r="E1271" s="192"/>
      <c r="F1271" s="194"/>
      <c r="G1271" s="261"/>
      <c r="H1271" s="262"/>
      <c r="I1271" s="192"/>
      <c r="J1271" s="192"/>
    </row>
    <row r="1272" spans="1:10" x14ac:dyDescent="0.4">
      <c r="A1272" s="191"/>
      <c r="B1272" s="193"/>
      <c r="C1272" s="192"/>
      <c r="D1272" s="192"/>
      <c r="E1272" s="192"/>
      <c r="F1272" s="194"/>
      <c r="G1272" s="261"/>
      <c r="H1272" s="262"/>
      <c r="I1272" s="192"/>
      <c r="J1272" s="192"/>
    </row>
    <row r="1273" spans="1:10" x14ac:dyDescent="0.4">
      <c r="A1273" s="191"/>
      <c r="B1273" s="193"/>
      <c r="C1273" s="192"/>
      <c r="D1273" s="192"/>
      <c r="E1273" s="192"/>
      <c r="F1273" s="194"/>
      <c r="G1273" s="261"/>
      <c r="H1273" s="262"/>
      <c r="I1273" s="192"/>
      <c r="J1273" s="192"/>
    </row>
    <row r="1274" spans="1:10" x14ac:dyDescent="0.4">
      <c r="A1274" s="191"/>
      <c r="B1274" s="193"/>
      <c r="C1274" s="192"/>
      <c r="D1274" s="192"/>
      <c r="E1274" s="192"/>
      <c r="F1274" s="194"/>
      <c r="G1274" s="261"/>
      <c r="H1274" s="262"/>
      <c r="I1274" s="192"/>
      <c r="J1274" s="192"/>
    </row>
    <row r="1275" spans="1:10" x14ac:dyDescent="0.4">
      <c r="A1275" s="191"/>
      <c r="B1275" s="193"/>
      <c r="C1275" s="263"/>
      <c r="D1275" s="263"/>
      <c r="E1275" s="263"/>
      <c r="F1275" s="194"/>
      <c r="G1275" s="261"/>
      <c r="H1275" s="262"/>
      <c r="I1275" s="192"/>
      <c r="J1275" s="263"/>
    </row>
    <row r="1276" spans="1:10" x14ac:dyDescent="0.4">
      <c r="A1276" s="191"/>
      <c r="B1276" s="193"/>
      <c r="C1276" s="192"/>
      <c r="D1276" s="192"/>
      <c r="E1276" s="192"/>
      <c r="F1276" s="194"/>
      <c r="G1276" s="261"/>
      <c r="H1276" s="262"/>
      <c r="I1276" s="192"/>
      <c r="J1276" s="192"/>
    </row>
    <row r="1277" spans="1:10" x14ac:dyDescent="0.4">
      <c r="A1277" s="191"/>
      <c r="B1277" s="193"/>
      <c r="C1277" s="192"/>
      <c r="D1277" s="192"/>
      <c r="E1277" s="192"/>
      <c r="F1277" s="194"/>
      <c r="G1277" s="261"/>
      <c r="H1277" s="262"/>
      <c r="I1277" s="192"/>
      <c r="J1277" s="192"/>
    </row>
    <row r="1278" spans="1:10" x14ac:dyDescent="0.4">
      <c r="A1278" s="191"/>
      <c r="B1278" s="193"/>
      <c r="C1278" s="192"/>
      <c r="D1278" s="192"/>
      <c r="E1278" s="192"/>
      <c r="F1278" s="194"/>
      <c r="G1278" s="261"/>
      <c r="H1278" s="262"/>
      <c r="I1278" s="192"/>
      <c r="J1278" s="192"/>
    </row>
    <row r="1279" spans="1:10" x14ac:dyDescent="0.4">
      <c r="A1279" s="191"/>
      <c r="B1279" s="193"/>
      <c r="C1279" s="263"/>
      <c r="D1279" s="263"/>
      <c r="E1279" s="263"/>
      <c r="F1279" s="194"/>
      <c r="G1279" s="261"/>
      <c r="H1279" s="262"/>
      <c r="I1279" s="192"/>
      <c r="J1279" s="263"/>
    </row>
    <row r="1280" spans="1:10" x14ac:dyDescent="0.4">
      <c r="A1280" s="191"/>
      <c r="B1280" s="193"/>
      <c r="C1280" s="192"/>
      <c r="D1280" s="192"/>
      <c r="E1280" s="192"/>
      <c r="F1280" s="194"/>
      <c r="G1280" s="261"/>
      <c r="H1280" s="262"/>
      <c r="I1280" s="192"/>
      <c r="J1280" s="192"/>
    </row>
    <row r="1281" spans="1:10" x14ac:dyDescent="0.4">
      <c r="A1281" s="191"/>
      <c r="B1281" s="193"/>
      <c r="C1281" s="192"/>
      <c r="D1281" s="192"/>
      <c r="E1281" s="192"/>
      <c r="F1281" s="194"/>
      <c r="G1281" s="261"/>
      <c r="H1281" s="262"/>
      <c r="I1281" s="192"/>
      <c r="J1281" s="192"/>
    </row>
    <row r="1282" spans="1:10" x14ac:dyDescent="0.4">
      <c r="A1282" s="191"/>
      <c r="B1282" s="193"/>
      <c r="C1282" s="263"/>
      <c r="D1282" s="263"/>
      <c r="E1282" s="263"/>
      <c r="F1282" s="194"/>
      <c r="G1282" s="261"/>
      <c r="H1282" s="262"/>
      <c r="I1282" s="192"/>
      <c r="J1282" s="263"/>
    </row>
    <row r="1283" spans="1:10" x14ac:dyDescent="0.4">
      <c r="A1283" s="191"/>
      <c r="B1283" s="193"/>
      <c r="C1283" s="192"/>
      <c r="D1283" s="192"/>
      <c r="E1283" s="192"/>
      <c r="F1283" s="194"/>
      <c r="G1283" s="261"/>
      <c r="H1283" s="262"/>
      <c r="I1283" s="192"/>
      <c r="J1283" s="192"/>
    </row>
    <row r="1284" spans="1:10" x14ac:dyDescent="0.4">
      <c r="A1284" s="191"/>
      <c r="B1284" s="193"/>
      <c r="C1284" s="192"/>
      <c r="D1284" s="192"/>
      <c r="E1284" s="192"/>
      <c r="F1284" s="194"/>
      <c r="G1284" s="261"/>
      <c r="H1284" s="262"/>
      <c r="I1284" s="192"/>
      <c r="J1284" s="192"/>
    </row>
    <row r="1285" spans="1:10" x14ac:dyDescent="0.4">
      <c r="A1285" s="191"/>
      <c r="B1285" s="193"/>
      <c r="C1285" s="192"/>
      <c r="D1285" s="192"/>
      <c r="E1285" s="192"/>
      <c r="F1285" s="194"/>
      <c r="G1285" s="261"/>
      <c r="H1285" s="262"/>
      <c r="I1285" s="192"/>
      <c r="J1285" s="192"/>
    </row>
    <row r="1286" spans="1:10" x14ac:dyDescent="0.4">
      <c r="A1286" s="191"/>
      <c r="B1286" s="193"/>
      <c r="C1286" s="192"/>
      <c r="D1286" s="192"/>
      <c r="E1286" s="192"/>
      <c r="F1286" s="194"/>
      <c r="G1286" s="261"/>
      <c r="H1286" s="262"/>
      <c r="I1286" s="192"/>
      <c r="J1286" s="192"/>
    </row>
  </sheetData>
  <sheetProtection formatCells="0" formatColumns="0" formatRows="0"/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46</vt:i4>
      </vt:variant>
      <vt:variant>
        <vt:lpstr>Benannte Bereiche</vt:lpstr>
      </vt:variant>
      <vt:variant>
        <vt:i4>35</vt:i4>
      </vt:variant>
    </vt:vector>
  </HeadingPairs>
  <TitlesOfParts>
    <vt:vector size="81" baseType="lpstr">
      <vt:lpstr>MS</vt:lpstr>
      <vt:lpstr>Spielorte</vt:lpstr>
      <vt:lpstr>Schlüssel</vt:lpstr>
      <vt:lpstr>Schiedsrichterinfos</vt:lpstr>
      <vt:lpstr>SRBericht1</vt:lpstr>
      <vt:lpstr>Spielzettel1</vt:lpstr>
      <vt:lpstr>Erfassung1</vt:lpstr>
      <vt:lpstr>Tabelle1</vt:lpstr>
      <vt:lpstr>Schnitt1</vt:lpstr>
      <vt:lpstr>SRBericht2</vt:lpstr>
      <vt:lpstr>Spielzettel2</vt:lpstr>
      <vt:lpstr>Erfassung2</vt:lpstr>
      <vt:lpstr>Tabelle2</vt:lpstr>
      <vt:lpstr>TabGes2</vt:lpstr>
      <vt:lpstr>Schnitt2</vt:lpstr>
      <vt:lpstr>SchnittGes2</vt:lpstr>
      <vt:lpstr>SRBericht3</vt:lpstr>
      <vt:lpstr>Spielzettel3</vt:lpstr>
      <vt:lpstr>Erfassung3</vt:lpstr>
      <vt:lpstr>Tabelle3</vt:lpstr>
      <vt:lpstr>TabGes3</vt:lpstr>
      <vt:lpstr>Schnitt3</vt:lpstr>
      <vt:lpstr>SchnittGes3</vt:lpstr>
      <vt:lpstr>SRBericht4</vt:lpstr>
      <vt:lpstr>Spielzettel4</vt:lpstr>
      <vt:lpstr>Erfassung4</vt:lpstr>
      <vt:lpstr>Tabelle4</vt:lpstr>
      <vt:lpstr>TabGes4</vt:lpstr>
      <vt:lpstr>Schnitt4</vt:lpstr>
      <vt:lpstr>SchnittGes4</vt:lpstr>
      <vt:lpstr>SRBericht5</vt:lpstr>
      <vt:lpstr>Spielzettel5</vt:lpstr>
      <vt:lpstr>Erfassung5</vt:lpstr>
      <vt:lpstr>Tabelle5</vt:lpstr>
      <vt:lpstr>TabGes5</vt:lpstr>
      <vt:lpstr>Schnitt5</vt:lpstr>
      <vt:lpstr>SchnittGes5</vt:lpstr>
      <vt:lpstr>SRBericht6</vt:lpstr>
      <vt:lpstr>Spielzettel6</vt:lpstr>
      <vt:lpstr>Erfassung6</vt:lpstr>
      <vt:lpstr>Tabelle6</vt:lpstr>
      <vt:lpstr>TabGes6</vt:lpstr>
      <vt:lpstr>Schnitt6</vt:lpstr>
      <vt:lpstr>SchnittGes6</vt:lpstr>
      <vt:lpstr>Starter</vt:lpstr>
      <vt:lpstr>member</vt:lpstr>
      <vt:lpstr>Erfassung1!Druckbereich</vt:lpstr>
      <vt:lpstr>Erfassung2!Druckbereich</vt:lpstr>
      <vt:lpstr>Erfassung3!Druckbereich</vt:lpstr>
      <vt:lpstr>Erfassung4!Druckbereich</vt:lpstr>
      <vt:lpstr>Erfassung5!Druckbereich</vt:lpstr>
      <vt:lpstr>Erfassung6!Druckbereich</vt:lpstr>
      <vt:lpstr>Schlüssel!Druckbereich</vt:lpstr>
      <vt:lpstr>Schnitt1!Druckbereich</vt:lpstr>
      <vt:lpstr>Schnitt2!Druckbereich</vt:lpstr>
      <vt:lpstr>Schnitt3!Druckbereich</vt:lpstr>
      <vt:lpstr>Schnitt4!Druckbereich</vt:lpstr>
      <vt:lpstr>Schnitt5!Druckbereich</vt:lpstr>
      <vt:lpstr>Schnitt6!Druckbereich</vt:lpstr>
      <vt:lpstr>SchnittGes2!Druckbereich</vt:lpstr>
      <vt:lpstr>SchnittGes3!Druckbereich</vt:lpstr>
      <vt:lpstr>SchnittGes4!Druckbereich</vt:lpstr>
      <vt:lpstr>SchnittGes5!Druckbereich</vt:lpstr>
      <vt:lpstr>SchnittGes6!Druckbereich</vt:lpstr>
      <vt:lpstr>Spielzettel1!Druckbereich</vt:lpstr>
      <vt:lpstr>Spielzettel2!Druckbereich</vt:lpstr>
      <vt:lpstr>Spielzettel3!Druckbereich</vt:lpstr>
      <vt:lpstr>Spielzettel4!Druckbereich</vt:lpstr>
      <vt:lpstr>Spielzettel5!Druckbereich</vt:lpstr>
      <vt:lpstr>Spielzettel6!Druckbereich</vt:lpstr>
      <vt:lpstr>Tabelle1!Druckbereich</vt:lpstr>
      <vt:lpstr>Tabelle2!Druckbereich</vt:lpstr>
      <vt:lpstr>Tabelle3!Druckbereich</vt:lpstr>
      <vt:lpstr>Tabelle4!Druckbereich</vt:lpstr>
      <vt:lpstr>Tabelle5!Druckbereich</vt:lpstr>
      <vt:lpstr>Tabelle6!Druckbereich</vt:lpstr>
      <vt:lpstr>TabGes2!Druckbereich</vt:lpstr>
      <vt:lpstr>TabGes3!Druckbereich</vt:lpstr>
      <vt:lpstr>TabGes4!Druckbereich</vt:lpstr>
      <vt:lpstr>TabGes5!Druckbereich</vt:lpstr>
      <vt:lpstr>TabGes6!Druckbereich</vt:lpstr>
    </vt:vector>
  </TitlesOfParts>
  <Company>Adam Keller Augsburg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remmel</dc:creator>
  <cp:lastModifiedBy>Oswald Kohl</cp:lastModifiedBy>
  <cp:lastPrinted>2025-02-16T11:53:22Z</cp:lastPrinted>
  <dcterms:created xsi:type="dcterms:W3CDTF">2008-06-12T13:54:35Z</dcterms:created>
  <dcterms:modified xsi:type="dcterms:W3CDTF">2025-02-16T14:01:27Z</dcterms:modified>
</cp:coreProperties>
</file>